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9125" windowHeight="11520" tabRatio="766" firstSheet="22" activeTab="15"/>
  </bookViews>
  <sheets>
    <sheet name="__snloffice" sheetId="264" state="veryHidden" r:id="rId1"/>
    <sheet name="DEU 2.01R Constant Growth DCF" sheetId="236" r:id="rId2"/>
    <sheet name="DEU 2.02R Retention Growth" sheetId="237" r:id="rId3"/>
    <sheet name="DEU 2.03R MRP Bloomberg" sheetId="248" r:id="rId4"/>
    <sheet name="DEU 2.03R MRP Value Line" sheetId="249" r:id="rId5"/>
    <sheet name="DEU 2.04R Beta" sheetId="250" r:id="rId6"/>
    <sheet name="DEU 2.05R CAPM" sheetId="251" r:id="rId7"/>
    <sheet name="DEU 2.06R Risk Premium" sheetId="252" r:id="rId8"/>
    <sheet name="DEU 2.07R Expected Earnings" sheetId="255" r:id="rId9"/>
    <sheet name="DEU 2.08R Capital Structure" sheetId="263" r:id="rId10"/>
    <sheet name="DEU 2.09R Recent Auth ROEs" sheetId="271" r:id="rId11"/>
    <sheet name="DEU 2.10R DPU 3.04 Corrected" sheetId="291" r:id="rId12"/>
    <sheet name="DEU 2.11R DCF Proof" sheetId="272" r:id="rId13"/>
    <sheet name="DEU 2.12R Payout Ratio" sheetId="273" r:id="rId14"/>
    <sheet name="DEU 2.13R DJL MStage Midyear" sheetId="274" r:id="rId15"/>
    <sheet name="DEU 2.14R DJL Fin Integrity" sheetId="288" r:id="rId16"/>
    <sheet name="DEU 2.15R 2.01excl DJL outliers" sheetId="277" r:id="rId17"/>
    <sheet name="DEU 2.16R OCS 3.7_3.8 Corrected" sheetId="290" r:id="rId18"/>
    <sheet name="DEU 2.17R RP Rolling Avg" sheetId="281" r:id="rId19"/>
    <sheet name="DEU 2.18R RP Annl Credit Spread" sheetId="282" r:id="rId20"/>
    <sheet name="DEU 2.19R MRP Freq. Dist." sheetId="283" r:id="rId21"/>
    <sheet name="DEU 2.20R CAPM_ECAPM Alpha" sheetId="285" r:id="rId22"/>
    <sheet name="DEU 2.21R Alt. RP" sheetId="286" r:id="rId23"/>
    <sheet name="DEU 2.22R Flotation Cost Ex" sheetId="280" r:id="rId24"/>
    <sheet name="DEU 2.23R MPG Fin. Integrity" sheetId="284" r:id="rId25"/>
    <sheet name="DEU 2.24R ANGC Exh 1.04 correct" sheetId="287" r:id="rId26"/>
    <sheet name="RBH-8 Small Size" sheetId="256"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________bb" localSheetId="10" hidden="1">#REF!</definedName>
    <definedName name="__________bb" localSheetId="11" hidden="1">#REF!</definedName>
    <definedName name="__________bb" localSheetId="12" hidden="1">#REF!</definedName>
    <definedName name="__________bb" localSheetId="21" hidden="1">#REF!</definedName>
    <definedName name="__________bb" localSheetId="22" hidden="1">#REF!</definedName>
    <definedName name="__________bb" localSheetId="23" hidden="1">#REF!</definedName>
    <definedName name="__________bb" localSheetId="24" hidden="1">#REF!</definedName>
    <definedName name="__________bb" hidden="1">#REF!</definedName>
    <definedName name="__________sort" localSheetId="10" hidden="1">#REF!</definedName>
    <definedName name="__________sort" localSheetId="11" hidden="1">#REF!</definedName>
    <definedName name="__________sort" localSheetId="12" hidden="1">#REF!</definedName>
    <definedName name="__________sort" localSheetId="21" hidden="1">#REF!</definedName>
    <definedName name="__________sort" localSheetId="22" hidden="1">#REF!</definedName>
    <definedName name="__________sort" localSheetId="23" hidden="1">#REF!</definedName>
    <definedName name="__________sort" localSheetId="24" hidden="1">#REF!</definedName>
    <definedName name="__________sort" hidden="1">#REF!</definedName>
    <definedName name="_________bb" localSheetId="10" hidden="1">#REF!</definedName>
    <definedName name="_________bb" localSheetId="11" hidden="1">#REF!</definedName>
    <definedName name="_________bb" localSheetId="12" hidden="1">#REF!</definedName>
    <definedName name="_________bb" localSheetId="21" hidden="1">#REF!</definedName>
    <definedName name="_________bb" localSheetId="22" hidden="1">#REF!</definedName>
    <definedName name="_________bb" localSheetId="23" hidden="1">#REF!</definedName>
    <definedName name="_________bb" localSheetId="24" hidden="1">#REF!</definedName>
    <definedName name="_________bb" hidden="1">#REF!</definedName>
    <definedName name="_________Sort" localSheetId="10" hidden="1">#REF!</definedName>
    <definedName name="_________Sort" localSheetId="11" hidden="1">#REF!</definedName>
    <definedName name="_________Sort" localSheetId="12" hidden="1">#REF!</definedName>
    <definedName name="_________Sort" localSheetId="21" hidden="1">#REF!</definedName>
    <definedName name="_________Sort" localSheetId="22" hidden="1">#REF!</definedName>
    <definedName name="_________Sort" localSheetId="23" hidden="1">#REF!</definedName>
    <definedName name="_________Sort" localSheetId="24" hidden="1">#REF!</definedName>
    <definedName name="_________Sort" hidden="1">#REF!</definedName>
    <definedName name="_______kay1" localSheetId="10" hidden="1">#REF!</definedName>
    <definedName name="_______kay1" localSheetId="11" hidden="1">#REF!</definedName>
    <definedName name="_______kay1" localSheetId="12" hidden="1">#REF!</definedName>
    <definedName name="_______kay1" localSheetId="21" hidden="1">#REF!</definedName>
    <definedName name="_______kay1" localSheetId="22" hidden="1">#REF!</definedName>
    <definedName name="_______kay1" localSheetId="23" hidden="1">#REF!</definedName>
    <definedName name="_______kay1" localSheetId="24" hidden="1">#REF!</definedName>
    <definedName name="_______kay1" hidden="1">#REF!</definedName>
    <definedName name="_______ke1" localSheetId="10" hidden="1">#REF!</definedName>
    <definedName name="_______ke1" localSheetId="11" hidden="1">#REF!</definedName>
    <definedName name="_______ke1" localSheetId="12" hidden="1">#REF!</definedName>
    <definedName name="_______ke1" localSheetId="21" hidden="1">#REF!</definedName>
    <definedName name="_______ke1" localSheetId="22" hidden="1">#REF!</definedName>
    <definedName name="_______ke1" localSheetId="23" hidden="1">#REF!</definedName>
    <definedName name="_______ke1" localSheetId="24" hidden="1">#REF!</definedName>
    <definedName name="_______ke1" hidden="1">#REF!</definedName>
    <definedName name="_______key1" localSheetId="10" hidden="1">#REF!</definedName>
    <definedName name="_______key1" localSheetId="11" hidden="1">#REF!</definedName>
    <definedName name="_______key1" localSheetId="12" hidden="1">#REF!</definedName>
    <definedName name="_______key1" localSheetId="21" hidden="1">#REF!</definedName>
    <definedName name="_______key1" localSheetId="22" hidden="1">#REF!</definedName>
    <definedName name="_______key1" localSheetId="23" hidden="1">#REF!</definedName>
    <definedName name="_______key1" localSheetId="24" hidden="1">#REF!</definedName>
    <definedName name="_______key1" hidden="1">#REF!</definedName>
    <definedName name="_______sort" localSheetId="10" hidden="1">#REF!</definedName>
    <definedName name="_______sort" localSheetId="11" hidden="1">#REF!</definedName>
    <definedName name="_______sort" localSheetId="12" hidden="1">#REF!</definedName>
    <definedName name="_______sort" localSheetId="21" hidden="1">#REF!</definedName>
    <definedName name="_______sort" localSheetId="22" hidden="1">#REF!</definedName>
    <definedName name="_______sort" localSheetId="23" hidden="1">#REF!</definedName>
    <definedName name="_______sort" localSheetId="24" hidden="1">#REF!</definedName>
    <definedName name="_______sort" hidden="1">#REF!</definedName>
    <definedName name="______key1" localSheetId="10" hidden="1">#REF!</definedName>
    <definedName name="______key1" localSheetId="11" hidden="1">#REF!</definedName>
    <definedName name="______key1" localSheetId="12" hidden="1">#REF!</definedName>
    <definedName name="______key1" localSheetId="21" hidden="1">#REF!</definedName>
    <definedName name="______key1" localSheetId="22" hidden="1">#REF!</definedName>
    <definedName name="______key1" localSheetId="23" hidden="1">#REF!</definedName>
    <definedName name="______key1" localSheetId="24" hidden="1">#REF!</definedName>
    <definedName name="______key1" hidden="1">#REF!</definedName>
    <definedName name="______sort1" localSheetId="10" hidden="1">#REF!</definedName>
    <definedName name="______sort1" localSheetId="11" hidden="1">#REF!</definedName>
    <definedName name="______sort1" localSheetId="12" hidden="1">#REF!</definedName>
    <definedName name="______sort1" localSheetId="21" hidden="1">#REF!</definedName>
    <definedName name="______sort1" localSheetId="22" hidden="1">#REF!</definedName>
    <definedName name="______sort1" localSheetId="23" hidden="1">#REF!</definedName>
    <definedName name="______sort1" localSheetId="24" hidden="1">#REF!</definedName>
    <definedName name="______sort1" hidden="1">#REF!</definedName>
    <definedName name="_____BB" localSheetId="10" hidden="1">#REF!</definedName>
    <definedName name="_____BB" localSheetId="11" hidden="1">#REF!</definedName>
    <definedName name="_____BB" localSheetId="12" hidden="1">#REF!</definedName>
    <definedName name="_____BB" localSheetId="21" hidden="1">#REF!</definedName>
    <definedName name="_____BB" localSheetId="22" hidden="1">#REF!</definedName>
    <definedName name="_____BB" localSheetId="23" hidden="1">#REF!</definedName>
    <definedName name="_____BB" localSheetId="24" hidden="1">#REF!</definedName>
    <definedName name="_____BB" hidden="1">#REF!</definedName>
    <definedName name="_____Sort" localSheetId="10" hidden="1">#REF!</definedName>
    <definedName name="_____Sort" localSheetId="11" hidden="1">#REF!</definedName>
    <definedName name="_____Sort" localSheetId="12" hidden="1">#REF!</definedName>
    <definedName name="_____Sort" localSheetId="21" hidden="1">#REF!</definedName>
    <definedName name="_____Sort" localSheetId="22" hidden="1">#REF!</definedName>
    <definedName name="_____Sort" localSheetId="23" hidden="1">#REF!</definedName>
    <definedName name="_____Sort" localSheetId="24" hidden="1">#REF!</definedName>
    <definedName name="_____Sort" hidden="1">#REF!</definedName>
    <definedName name="____sort" localSheetId="10" hidden="1">#REF!</definedName>
    <definedName name="____sort" localSheetId="11" hidden="1">#REF!</definedName>
    <definedName name="____sort" localSheetId="12" hidden="1">#REF!</definedName>
    <definedName name="____sort" localSheetId="21" hidden="1">#REF!</definedName>
    <definedName name="____sort" localSheetId="22" hidden="1">#REF!</definedName>
    <definedName name="____sort" localSheetId="23" hidden="1">#REF!</definedName>
    <definedName name="____sort" localSheetId="24" hidden="1">#REF!</definedName>
    <definedName name="____sort" hidden="1">#REF!</definedName>
    <definedName name="___bb" localSheetId="10" hidden="1">#REF!</definedName>
    <definedName name="___bb" localSheetId="11" hidden="1">#REF!</definedName>
    <definedName name="___bb" localSheetId="12" hidden="1">#REF!</definedName>
    <definedName name="___bb" localSheetId="21" hidden="1">#REF!</definedName>
    <definedName name="___bb" localSheetId="22" hidden="1">#REF!</definedName>
    <definedName name="___bb" localSheetId="23" hidden="1">#REF!</definedName>
    <definedName name="___bb" localSheetId="24" hidden="1">#REF!</definedName>
    <definedName name="___bb" hidden="1">#REF!</definedName>
    <definedName name="___Key1" localSheetId="10" hidden="1">#REF!</definedName>
    <definedName name="___Key1" localSheetId="11" hidden="1">#REF!</definedName>
    <definedName name="___Key1" localSheetId="12" hidden="1">#REF!</definedName>
    <definedName name="___Key1" localSheetId="21" hidden="1">#REF!</definedName>
    <definedName name="___Key1" localSheetId="22" hidden="1">#REF!</definedName>
    <definedName name="___Key1" localSheetId="23" hidden="1">#REF!</definedName>
    <definedName name="___Key1" localSheetId="24" hidden="1">#REF!</definedName>
    <definedName name="___Key1" hidden="1">#REF!</definedName>
    <definedName name="___Sort" localSheetId="10" hidden="1">#REF!</definedName>
    <definedName name="___Sort" localSheetId="11" hidden="1">#REF!</definedName>
    <definedName name="___Sort" localSheetId="12" hidden="1">#REF!</definedName>
    <definedName name="___Sort" localSheetId="21" hidden="1">#REF!</definedName>
    <definedName name="___Sort" localSheetId="22" hidden="1">#REF!</definedName>
    <definedName name="___Sort" localSheetId="23" hidden="1">#REF!</definedName>
    <definedName name="___Sort" localSheetId="24" hidden="1">#REF!</definedName>
    <definedName name="___Sort" hidden="1">#REF!</definedName>
    <definedName name="__123Graph_A" localSheetId="10" hidden="1">'[1]Plant in Ser'!#REF!</definedName>
    <definedName name="__123Graph_A" localSheetId="11" hidden="1">'[1]Plant in Ser'!#REF!</definedName>
    <definedName name="__123Graph_A" localSheetId="12" hidden="1">'[1]Plant in Ser'!#REF!</definedName>
    <definedName name="__123Graph_A" localSheetId="21" hidden="1">'[1]Plant in Ser'!#REF!</definedName>
    <definedName name="__123Graph_A" hidden="1">'[1]Plant in Ser'!#REF!</definedName>
    <definedName name="__123Graph_Achart" hidden="1">'[2]Chart Data'!$E$30:$E$233</definedName>
    <definedName name="__123Graph_ACurrent" localSheetId="10" hidden="1">[3]Summary!#REF!</definedName>
    <definedName name="__123Graph_ACurrent" localSheetId="11" hidden="1">[3]Summary!#REF!</definedName>
    <definedName name="__123Graph_ACurrent" localSheetId="12" hidden="1">[3]Summary!#REF!</definedName>
    <definedName name="__123Graph_ACurrent" localSheetId="21" hidden="1">[3]Summary!#REF!</definedName>
    <definedName name="__123Graph_ACurrent" localSheetId="22" hidden="1">[3]Summary!#REF!</definedName>
    <definedName name="__123Graph_ACurrent" localSheetId="23" hidden="1">[3]Summary!#REF!</definedName>
    <definedName name="__123Graph_ACurrent" localSheetId="24" hidden="1">[3]Summary!#REF!</definedName>
    <definedName name="__123Graph_ACurrent" hidden="1">[3]Summary!#REF!</definedName>
    <definedName name="__123Graph_AHOBKEN4H" localSheetId="11" hidden="1">#REF!</definedName>
    <definedName name="__123Graph_AHOBKEN4H" localSheetId="12" hidden="1">#REF!</definedName>
    <definedName name="__123Graph_AHOBKEN4H" localSheetId="20" hidden="1">#REF!</definedName>
    <definedName name="__123Graph_AHOBKEN4H" localSheetId="21" hidden="1">#REF!</definedName>
    <definedName name="__123Graph_AHOBKEN4H" localSheetId="22" hidden="1">#REF!</definedName>
    <definedName name="__123Graph_AHOBKEN4H" localSheetId="23" hidden="1">#REF!</definedName>
    <definedName name="__123Graph_AHOBKEN4H" hidden="1">#REF!</definedName>
    <definedName name="__123Graph_AJCCASH4" localSheetId="11" hidden="1">#REF!</definedName>
    <definedName name="__123Graph_AJCCASH4" localSheetId="12" hidden="1">#REF!</definedName>
    <definedName name="__123Graph_AJCCASH4" localSheetId="20" hidden="1">#REF!</definedName>
    <definedName name="__123Graph_AJCCASH4" localSheetId="21" hidden="1">#REF!</definedName>
    <definedName name="__123Graph_AJCCASH4" localSheetId="22" hidden="1">#REF!</definedName>
    <definedName name="__123Graph_AJCCASH4" localSheetId="23" hidden="1">#REF!</definedName>
    <definedName name="__123Graph_AJCCASH4" hidden="1">#REF!</definedName>
    <definedName name="__123Graph_AJCCASH5" localSheetId="11" hidden="1">#REF!</definedName>
    <definedName name="__123Graph_AJCCASH5" localSheetId="12" hidden="1">#REF!</definedName>
    <definedName name="__123Graph_AJCCASH5" localSheetId="20" hidden="1">#REF!</definedName>
    <definedName name="__123Graph_AJCCASH5" localSheetId="21" hidden="1">#REF!</definedName>
    <definedName name="__123Graph_AJCCASH5" localSheetId="22" hidden="1">#REF!</definedName>
    <definedName name="__123Graph_AJCCASH5" localSheetId="23" hidden="1">#REF!</definedName>
    <definedName name="__123Graph_AJCCASH5" hidden="1">#REF!</definedName>
    <definedName name="__123Graph_AJCCASH6" localSheetId="12" hidden="1">#REF!</definedName>
    <definedName name="__123Graph_AJCCASH6" localSheetId="21" hidden="1">#REF!</definedName>
    <definedName name="__123Graph_AJCCASH6" localSheetId="22" hidden="1">#REF!</definedName>
    <definedName name="__123Graph_AJCCASH6" localSheetId="23" hidden="1">#REF!</definedName>
    <definedName name="__123Graph_AJCCASH6" hidden="1">#REF!</definedName>
    <definedName name="__123Graph_AJCCASH7" localSheetId="12" hidden="1">#REF!</definedName>
    <definedName name="__123Graph_AJCCASH7" localSheetId="21" hidden="1">#REF!</definedName>
    <definedName name="__123Graph_AJCCASH7" localSheetId="22" hidden="1">#REF!</definedName>
    <definedName name="__123Graph_AJCCASH7" localSheetId="23" hidden="1">#REF!</definedName>
    <definedName name="__123Graph_AJCCASH7" hidden="1">#REF!</definedName>
    <definedName name="__123Graph_B" localSheetId="10" hidden="1">[4]SD!#REF!</definedName>
    <definedName name="__123Graph_B" localSheetId="11" hidden="1">[5]SD!#REF!</definedName>
    <definedName name="__123Graph_B" localSheetId="12" hidden="1">[4]SD!#REF!</definedName>
    <definedName name="__123Graph_B" localSheetId="21" hidden="1">[4]SD!#REF!</definedName>
    <definedName name="__123Graph_B" localSheetId="23" hidden="1">[4]SD!#REF!</definedName>
    <definedName name="__123Graph_B" localSheetId="24" hidden="1">[4]SD!#REF!</definedName>
    <definedName name="__123Graph_B" hidden="1">[5]SD!#REF!</definedName>
    <definedName name="__123Graph_BCurrent" localSheetId="12" hidden="1">[3]Summary!#REF!</definedName>
    <definedName name="__123Graph_BCurrent" localSheetId="21" hidden="1">[3]Summary!#REF!</definedName>
    <definedName name="__123Graph_BCurrent" localSheetId="24" hidden="1">[3]Summary!#REF!</definedName>
    <definedName name="__123Graph_BCurrent" hidden="1">[3]Summary!#REF!</definedName>
    <definedName name="__123Graph_BHOBKEN4H" localSheetId="11" hidden="1">#REF!</definedName>
    <definedName name="__123Graph_BHOBKEN4H" localSheetId="12" hidden="1">#REF!</definedName>
    <definedName name="__123Graph_BHOBKEN4H" localSheetId="20" hidden="1">#REF!</definedName>
    <definedName name="__123Graph_BHOBKEN4H" localSheetId="21" hidden="1">#REF!</definedName>
    <definedName name="__123Graph_BHOBKEN4H" localSheetId="22" hidden="1">#REF!</definedName>
    <definedName name="__123Graph_BHOBKEN4H" localSheetId="23" hidden="1">#REF!</definedName>
    <definedName name="__123Graph_BHOBKEN4H" hidden="1">#REF!</definedName>
    <definedName name="__123Graph_BHOBOKEN" localSheetId="11" hidden="1">#REF!</definedName>
    <definedName name="__123Graph_BHOBOKEN" localSheetId="12" hidden="1">#REF!</definedName>
    <definedName name="__123Graph_BHOBOKEN" localSheetId="20" hidden="1">#REF!</definedName>
    <definedName name="__123Graph_BHOBOKEN" localSheetId="21" hidden="1">#REF!</definedName>
    <definedName name="__123Graph_BHOBOKEN" localSheetId="22" hidden="1">#REF!</definedName>
    <definedName name="__123Graph_BHOBOKEN" localSheetId="23" hidden="1">#REF!</definedName>
    <definedName name="__123Graph_BHOBOKEN" hidden="1">#REF!</definedName>
    <definedName name="__123Graph_BJCCASH4" localSheetId="11" hidden="1">#REF!</definedName>
    <definedName name="__123Graph_BJCCASH4" localSheetId="12" hidden="1">#REF!</definedName>
    <definedName name="__123Graph_BJCCASH4" localSheetId="20" hidden="1">#REF!</definedName>
    <definedName name="__123Graph_BJCCASH4" localSheetId="21" hidden="1">#REF!</definedName>
    <definedName name="__123Graph_BJCCASH4" localSheetId="22" hidden="1">#REF!</definedName>
    <definedName name="__123Graph_BJCCASH4" localSheetId="23" hidden="1">#REF!</definedName>
    <definedName name="__123Graph_BJCCASH4" hidden="1">#REF!</definedName>
    <definedName name="__123Graph_BJCCASH5" localSheetId="12" hidden="1">#REF!</definedName>
    <definedName name="__123Graph_BJCCASH5" localSheetId="21" hidden="1">#REF!</definedName>
    <definedName name="__123Graph_BJCCASH5" localSheetId="22" hidden="1">#REF!</definedName>
    <definedName name="__123Graph_BJCCASH5" localSheetId="23" hidden="1">#REF!</definedName>
    <definedName name="__123Graph_BJCCASH5" hidden="1">#REF!</definedName>
    <definedName name="__123Graph_BJCCASH6" localSheetId="12" hidden="1">#REF!</definedName>
    <definedName name="__123Graph_BJCCASH6" localSheetId="21" hidden="1">#REF!</definedName>
    <definedName name="__123Graph_BJCCASH6" localSheetId="22" hidden="1">#REF!</definedName>
    <definedName name="__123Graph_BJCCASH6" localSheetId="23" hidden="1">#REF!</definedName>
    <definedName name="__123Graph_BJCCASH6" hidden="1">#REF!</definedName>
    <definedName name="__123Graph_BJCCASH7" localSheetId="12" hidden="1">#REF!</definedName>
    <definedName name="__123Graph_BJCCASH7" localSheetId="21" hidden="1">#REF!</definedName>
    <definedName name="__123Graph_BJCCASH7" localSheetId="22" hidden="1">#REF!</definedName>
    <definedName name="__123Graph_BJCCASH7" localSheetId="23" hidden="1">#REF!</definedName>
    <definedName name="__123Graph_BJCCASH7" hidden="1">#REF!</definedName>
    <definedName name="__123Graph_C" localSheetId="10" hidden="1">#REF!</definedName>
    <definedName name="__123Graph_C" localSheetId="11" hidden="1">#REF!</definedName>
    <definedName name="__123Graph_C" localSheetId="12"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hidden="1">#REF!</definedName>
    <definedName name="__123Graph_D" localSheetId="10" hidden="1">[6]TOPrs!#REF!</definedName>
    <definedName name="__123Graph_D" localSheetId="11" hidden="1">[6]TOPrs!#REF!</definedName>
    <definedName name="__123Graph_D" localSheetId="12" hidden="1">[6]TOPrs!#REF!</definedName>
    <definedName name="__123Graph_D" localSheetId="21" hidden="1">[6]TOPrs!#REF!</definedName>
    <definedName name="__123Graph_D" localSheetId="22" hidden="1">[6]TOPrs!#REF!</definedName>
    <definedName name="__123Graph_D" localSheetId="23" hidden="1">[6]TOPrs!#REF!</definedName>
    <definedName name="__123Graph_D" localSheetId="24" hidden="1">[6]TOPrs!#REF!</definedName>
    <definedName name="__123Graph_D" hidden="1">[6]TOPrs!#REF!</definedName>
    <definedName name="__123Graph_E" localSheetId="10" hidden="1">[7]Stmt!#REF!</definedName>
    <definedName name="__123Graph_E" localSheetId="11" hidden="1">[8]Stmt!#REF!</definedName>
    <definedName name="__123Graph_E" localSheetId="12" hidden="1">[7]Stmt!#REF!</definedName>
    <definedName name="__123Graph_E" localSheetId="21" hidden="1">[7]Stmt!#REF!</definedName>
    <definedName name="__123Graph_E" localSheetId="23" hidden="1">[7]Stmt!#REF!</definedName>
    <definedName name="__123Graph_E" localSheetId="24" hidden="1">[7]Stmt!#REF!</definedName>
    <definedName name="__123Graph_E" hidden="1">[8]Stmt!#REF!</definedName>
    <definedName name="__123Graph_F" localSheetId="10" hidden="1">[7]Stmt!#REF!</definedName>
    <definedName name="__123Graph_F" localSheetId="11" hidden="1">[8]Stmt!#REF!</definedName>
    <definedName name="__123Graph_F" localSheetId="12" hidden="1">[7]Stmt!#REF!</definedName>
    <definedName name="__123Graph_F" localSheetId="21" hidden="1">[7]Stmt!#REF!</definedName>
    <definedName name="__123Graph_F" localSheetId="23" hidden="1">[7]Stmt!#REF!</definedName>
    <definedName name="__123Graph_F" localSheetId="24" hidden="1">[7]Stmt!#REF!</definedName>
    <definedName name="__123Graph_F" hidden="1">[8]Stmt!#REF!</definedName>
    <definedName name="__123Graph_LBL_A" localSheetId="12" hidden="1">[9]Report!#REF!</definedName>
    <definedName name="__123Graph_LBL_A" hidden="1">[9]Report!#REF!</definedName>
    <definedName name="__123Graph_X" localSheetId="10" hidden="1">#REF!</definedName>
    <definedName name="__123Graph_X" localSheetId="11" hidden="1">#REF!</definedName>
    <definedName name="__123Graph_X" localSheetId="12" hidden="1">#REF!</definedName>
    <definedName name="__123Graph_X" localSheetId="16" hidden="1">#REF!</definedName>
    <definedName name="__123Graph_X" localSheetId="17"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hidden="1">#REF!</definedName>
    <definedName name="__123Graph_XCHART" hidden="1">'[2]Chart Data'!$B$30:$B$222</definedName>
    <definedName name="__123Graph_XCurrent" localSheetId="10" hidden="1">[3]Summary!#REF!</definedName>
    <definedName name="__123Graph_XCurrent" localSheetId="11" hidden="1">[3]Summary!#REF!</definedName>
    <definedName name="__123Graph_XCurrent" localSheetId="12" hidden="1">[3]Summary!#REF!</definedName>
    <definedName name="__123Graph_XCurrent" localSheetId="16" hidden="1">[3]Summary!#REF!</definedName>
    <definedName name="__123Graph_XCurrent" localSheetId="17" hidden="1">[3]Summary!#REF!</definedName>
    <definedName name="__123Graph_XCurrent" localSheetId="21" hidden="1">[3]Summary!#REF!</definedName>
    <definedName name="__123Graph_XCurrent" localSheetId="22" hidden="1">[3]Summary!#REF!</definedName>
    <definedName name="__123Graph_XCurrent" localSheetId="23" hidden="1">[3]Summary!#REF!</definedName>
    <definedName name="__123Graph_XCurrent" localSheetId="24" hidden="1">[3]Summary!#REF!</definedName>
    <definedName name="__123Graph_XCurrent" hidden="1">[3]Summary!#REF!</definedName>
    <definedName name="__123Graph_XJCCASH4" localSheetId="11" hidden="1">#REF!</definedName>
    <definedName name="__123Graph_XJCCASH4" localSheetId="12" hidden="1">#REF!</definedName>
    <definedName name="__123Graph_XJCCASH4" localSheetId="20" hidden="1">#REF!</definedName>
    <definedName name="__123Graph_XJCCASH4" localSheetId="21" hidden="1">#REF!</definedName>
    <definedName name="__123Graph_XJCCASH4" localSheetId="22" hidden="1">#REF!</definedName>
    <definedName name="__123Graph_XJCCASH4" localSheetId="23" hidden="1">#REF!</definedName>
    <definedName name="__123Graph_XJCCASH4" hidden="1">#REF!</definedName>
    <definedName name="__123Graph_XJCCASH5" localSheetId="11" hidden="1">#REF!</definedName>
    <definedName name="__123Graph_XJCCASH5" localSheetId="12" hidden="1">#REF!</definedName>
    <definedName name="__123Graph_XJCCASH5" localSheetId="20" hidden="1">#REF!</definedName>
    <definedName name="__123Graph_XJCCASH5" localSheetId="21" hidden="1">#REF!</definedName>
    <definedName name="__123Graph_XJCCASH5" localSheetId="22" hidden="1">#REF!</definedName>
    <definedName name="__123Graph_XJCCASH5" localSheetId="23" hidden="1">#REF!</definedName>
    <definedName name="__123Graph_XJCCASH5" hidden="1">#REF!</definedName>
    <definedName name="__123Graph_XJCCASH6" localSheetId="11" hidden="1">#REF!</definedName>
    <definedName name="__123Graph_XJCCASH6" localSheetId="12" hidden="1">#REF!</definedName>
    <definedName name="__123Graph_XJCCASH6" localSheetId="20" hidden="1">#REF!</definedName>
    <definedName name="__123Graph_XJCCASH6" localSheetId="21" hidden="1">#REF!</definedName>
    <definedName name="__123Graph_XJCCASH6" localSheetId="22" hidden="1">#REF!</definedName>
    <definedName name="__123Graph_XJCCASH6" localSheetId="23" hidden="1">#REF!</definedName>
    <definedName name="__123Graph_XJCCASH6" hidden="1">#REF!</definedName>
    <definedName name="__123Graph_XJCCASH7" localSheetId="12" hidden="1">#REF!</definedName>
    <definedName name="__123Graph_XJCCASH7" localSheetId="21" hidden="1">#REF!</definedName>
    <definedName name="__123Graph_XJCCASH7" localSheetId="22" hidden="1">#REF!</definedName>
    <definedName name="__123Graph_XJCCASH7" localSheetId="23" hidden="1">#REF!</definedName>
    <definedName name="__123Graph_XJCCASH7" hidden="1">#REF!</definedName>
    <definedName name="__BB" localSheetId="10" hidden="1">#REF!</definedName>
    <definedName name="__BB" localSheetId="11" hidden="1">#REF!</definedName>
    <definedName name="__BB" localSheetId="12" hidden="1">#REF!</definedName>
    <definedName name="__BB" localSheetId="21" hidden="1">#REF!</definedName>
    <definedName name="__BB" localSheetId="22" hidden="1">#REF!</definedName>
    <definedName name="__BB" localSheetId="23" hidden="1">#REF!</definedName>
    <definedName name="__BB" localSheetId="24" hidden="1">#REF!</definedName>
    <definedName name="__BB" hidden="1">#REF!</definedName>
    <definedName name="__key1" localSheetId="10" hidden="1">#REF!</definedName>
    <definedName name="__key1" localSheetId="11" hidden="1">#REF!</definedName>
    <definedName name="__key1" localSheetId="12" hidden="1">#REF!</definedName>
    <definedName name="__key1" localSheetId="21" hidden="1">#REF!</definedName>
    <definedName name="__key1" localSheetId="22" hidden="1">#REF!</definedName>
    <definedName name="__key1" localSheetId="23" hidden="1">#REF!</definedName>
    <definedName name="__key1" localSheetId="24" hidden="1">#REF!</definedName>
    <definedName name="__key1" hidden="1">#REF!</definedName>
    <definedName name="__Sort" localSheetId="10" hidden="1">#REF!</definedName>
    <definedName name="__Sort" localSheetId="11" hidden="1">#REF!</definedName>
    <definedName name="__Sort" localSheetId="12" hidden="1">#REF!</definedName>
    <definedName name="__Sort" localSheetId="21" hidden="1">#REF!</definedName>
    <definedName name="__Sort" localSheetId="22" hidden="1">#REF!</definedName>
    <definedName name="__Sort" localSheetId="23" hidden="1">#REF!</definedName>
    <definedName name="__Sort" localSheetId="24" hidden="1">#REF!</definedName>
    <definedName name="__Sort" hidden="1">#REF!</definedName>
    <definedName name="__Sort1" localSheetId="10" hidden="1">#REF!</definedName>
    <definedName name="__Sort1" localSheetId="11" hidden="1">#REF!</definedName>
    <definedName name="__Sort1" localSheetId="12" hidden="1">#REF!</definedName>
    <definedName name="__Sort1" localSheetId="21" hidden="1">#REF!</definedName>
    <definedName name="__Sort1" localSheetId="22" hidden="1">#REF!</definedName>
    <definedName name="__Sort1" localSheetId="23" hidden="1">#REF!</definedName>
    <definedName name="__Sort1" localSheetId="24" hidden="1">#REF!</definedName>
    <definedName name="__Sort1" hidden="1">#REF!</definedName>
    <definedName name="_1" localSheetId="10" hidden="1">{#N/A,#N/A,FALSE,"SCA";#N/A,#N/A,FALSE,"NCA";#N/A,#N/A,FALSE,"SAZ";#N/A,#N/A,FALSE,"CAZ";#N/A,#N/A,FALSE,"SNV";#N/A,#N/A,FALSE,"NNV";#N/A,#N/A,FALSE,"PP";#N/A,#N/A,FALSE,"SA"}</definedName>
    <definedName name="_1" localSheetId="11" hidden="1">{#N/A,#N/A,FALSE,"SCA";#N/A,#N/A,FALSE,"NCA";#N/A,#N/A,FALSE,"SAZ";#N/A,#N/A,FALSE,"CAZ";#N/A,#N/A,FALSE,"SNV";#N/A,#N/A,FALSE,"NNV";#N/A,#N/A,FALSE,"PP";#N/A,#N/A,FALSE,"SA"}</definedName>
    <definedName name="_1" localSheetId="12" hidden="1">{#N/A,#N/A,FALSE,"SCA";#N/A,#N/A,FALSE,"NCA";#N/A,#N/A,FALSE,"SAZ";#N/A,#N/A,FALSE,"CAZ";#N/A,#N/A,FALSE,"SNV";#N/A,#N/A,FALSE,"NNV";#N/A,#N/A,FALSE,"PP";#N/A,#N/A,FALSE,"SA"}</definedName>
    <definedName name="_1" localSheetId="16" hidden="1">{#N/A,#N/A,FALSE,"SCA";#N/A,#N/A,FALSE,"NCA";#N/A,#N/A,FALSE,"SAZ";#N/A,#N/A,FALSE,"CAZ";#N/A,#N/A,FALSE,"SNV";#N/A,#N/A,FALSE,"NNV";#N/A,#N/A,FALSE,"PP";#N/A,#N/A,FALSE,"SA"}</definedName>
    <definedName name="_1" localSheetId="17" hidden="1">{#N/A,#N/A,FALSE,"SCA";#N/A,#N/A,FALSE,"NCA";#N/A,#N/A,FALSE,"SAZ";#N/A,#N/A,FALSE,"CAZ";#N/A,#N/A,FALSE,"SNV";#N/A,#N/A,FALSE,"NNV";#N/A,#N/A,FALSE,"PP";#N/A,#N/A,FALSE,"SA"}</definedName>
    <definedName name="_1" localSheetId="19" hidden="1">{#N/A,#N/A,FALSE,"SCA";#N/A,#N/A,FALSE,"NCA";#N/A,#N/A,FALSE,"SAZ";#N/A,#N/A,FALSE,"CAZ";#N/A,#N/A,FALSE,"SNV";#N/A,#N/A,FALSE,"NNV";#N/A,#N/A,FALSE,"PP";#N/A,#N/A,FALSE,"SA"}</definedName>
    <definedName name="_1" localSheetId="20" hidden="1">{#N/A,#N/A,FALSE,"SCA";#N/A,#N/A,FALSE,"NCA";#N/A,#N/A,FALSE,"SAZ";#N/A,#N/A,FALSE,"CAZ";#N/A,#N/A,FALSE,"SNV";#N/A,#N/A,FALSE,"NNV";#N/A,#N/A,FALSE,"PP";#N/A,#N/A,FALSE,"SA"}</definedName>
    <definedName name="_1" localSheetId="21" hidden="1">{#N/A,#N/A,FALSE,"SCA";#N/A,#N/A,FALSE,"NCA";#N/A,#N/A,FALSE,"SAZ";#N/A,#N/A,FALSE,"CAZ";#N/A,#N/A,FALSE,"SNV";#N/A,#N/A,FALSE,"NNV";#N/A,#N/A,FALSE,"PP";#N/A,#N/A,FALSE,"SA"}</definedName>
    <definedName name="_1" localSheetId="22" hidden="1">{#N/A,#N/A,FALSE,"SCA";#N/A,#N/A,FALSE,"NCA";#N/A,#N/A,FALSE,"SAZ";#N/A,#N/A,FALSE,"CAZ";#N/A,#N/A,FALSE,"SNV";#N/A,#N/A,FALSE,"NNV";#N/A,#N/A,FALSE,"PP";#N/A,#N/A,FALSE,"SA"}</definedName>
    <definedName name="_1" localSheetId="23" hidden="1">{#N/A,#N/A,FALSE,"SCA";#N/A,#N/A,FALSE,"NCA";#N/A,#N/A,FALSE,"SAZ";#N/A,#N/A,FALSE,"CAZ";#N/A,#N/A,FALSE,"SNV";#N/A,#N/A,FALSE,"NNV";#N/A,#N/A,FALSE,"PP";#N/A,#N/A,FALSE,"SA"}</definedName>
    <definedName name="_1" localSheetId="24" hidden="1">{#N/A,#N/A,FALSE,"SCA";#N/A,#N/A,FALSE,"NCA";#N/A,#N/A,FALSE,"SAZ";#N/A,#N/A,FALSE,"CAZ";#N/A,#N/A,FALSE,"SNV";#N/A,#N/A,FALSE,"NNV";#N/A,#N/A,FALSE,"PP";#N/A,#N/A,FALSE,"SA"}</definedName>
    <definedName name="_1" hidden="1">{#N/A,#N/A,FALSE,"SCA";#N/A,#N/A,FALSE,"NCA";#N/A,#N/A,FALSE,"SAZ";#N/A,#N/A,FALSE,"CAZ";#N/A,#N/A,FALSE,"SNV";#N/A,#N/A,FALSE,"NNV";#N/A,#N/A,FALSE,"PP";#N/A,#N/A,FALSE,"SA"}</definedName>
    <definedName name="_1__123Graph_AYIELD_CURVES" localSheetId="12" hidden="1">[10]Yield_curve!#REF!</definedName>
    <definedName name="_1__123Graph_AYIELD_CURVES" hidden="1">[10]Yield_curve!#REF!</definedName>
    <definedName name="_1_0__123Grap" localSheetId="10" hidden="1">'[11]Plant in Ser'!#REF!</definedName>
    <definedName name="_1_0__123Grap" localSheetId="11" hidden="1">'[1]Plant in Ser'!#REF!</definedName>
    <definedName name="_1_0__123Grap" localSheetId="12" hidden="1">'[11]Plant in Ser'!#REF!</definedName>
    <definedName name="_1_0__123Grap" localSheetId="21" hidden="1">'[11]Plant in Ser'!#REF!</definedName>
    <definedName name="_1_0__123Grap" localSheetId="23" hidden="1">'[11]Plant in Ser'!#REF!</definedName>
    <definedName name="_1_0__123Grap" hidden="1">'[1]Plant in Ser'!#REF!</definedName>
    <definedName name="_10" localSheetId="10" hidden="1">{"FAC_SUMMARY",#N/A,FALSE,"Summaries"}</definedName>
    <definedName name="_10" localSheetId="11" hidden="1">{"FAC_SUMMARY",#N/A,FALSE,"Summaries"}</definedName>
    <definedName name="_10" localSheetId="12" hidden="1">{"FAC_SUMMARY",#N/A,FALSE,"Summaries"}</definedName>
    <definedName name="_10" localSheetId="16" hidden="1">{"FAC_SUMMARY",#N/A,FALSE,"Summaries"}</definedName>
    <definedName name="_10" localSheetId="17" hidden="1">{"FAC_SUMMARY",#N/A,FALSE,"Summaries"}</definedName>
    <definedName name="_10" localSheetId="19" hidden="1">{"FAC_SUMMARY",#N/A,FALSE,"Summaries"}</definedName>
    <definedName name="_10" localSheetId="20" hidden="1">{"FAC_SUMMARY",#N/A,FALSE,"Summaries"}</definedName>
    <definedName name="_10" localSheetId="21" hidden="1">{"FAC_SUMMARY",#N/A,FALSE,"Summaries"}</definedName>
    <definedName name="_10" localSheetId="22" hidden="1">{"FAC_SUMMARY",#N/A,FALSE,"Summaries"}</definedName>
    <definedName name="_10" localSheetId="23" hidden="1">{"FAC_SUMMARY",#N/A,FALSE,"Summaries"}</definedName>
    <definedName name="_10" localSheetId="24" hidden="1">{"FAC_SUMMARY",#N/A,FALSE,"Summaries"}</definedName>
    <definedName name="_10" hidden="1">{"FAC_SUMMARY",#N/A,FALSE,"Summaries"}</definedName>
    <definedName name="_100" localSheetId="10" hidden="1">{#N/A,#N/A,FALSE,"OTHERINPUTS";#N/A,#N/A,FALSE,"DITRATEINPUTS";#N/A,#N/A,FALSE,"SUPPLIEDADJINPUT";#N/A,#N/A,FALSE,"TIMINGDIFFINPUTS";#N/A,#N/A,FALSE,"BR&amp;SUPADJ."}</definedName>
    <definedName name="_100" localSheetId="11" hidden="1">{#N/A,#N/A,FALSE,"OTHERINPUTS";#N/A,#N/A,FALSE,"DITRATEINPUTS";#N/A,#N/A,FALSE,"SUPPLIEDADJINPUT";#N/A,#N/A,FALSE,"TIMINGDIFFINPUTS";#N/A,#N/A,FALSE,"BR&amp;SUPADJ."}</definedName>
    <definedName name="_100" localSheetId="12" hidden="1">{#N/A,#N/A,FALSE,"OTHERINPUTS";#N/A,#N/A,FALSE,"DITRATEINPUTS";#N/A,#N/A,FALSE,"SUPPLIEDADJINPUT";#N/A,#N/A,FALSE,"TIMINGDIFFINPUTS";#N/A,#N/A,FALSE,"BR&amp;SUPADJ."}</definedName>
    <definedName name="_100" localSheetId="16" hidden="1">{#N/A,#N/A,FALSE,"OTHERINPUTS";#N/A,#N/A,FALSE,"DITRATEINPUTS";#N/A,#N/A,FALSE,"SUPPLIEDADJINPUT";#N/A,#N/A,FALSE,"TIMINGDIFFINPUTS";#N/A,#N/A,FALSE,"BR&amp;SUPADJ."}</definedName>
    <definedName name="_100" localSheetId="17" hidden="1">{#N/A,#N/A,FALSE,"OTHERINPUTS";#N/A,#N/A,FALSE,"DITRATEINPUTS";#N/A,#N/A,FALSE,"SUPPLIEDADJINPUT";#N/A,#N/A,FALSE,"TIMINGDIFFINPUTS";#N/A,#N/A,FALSE,"BR&amp;SUPADJ."}</definedName>
    <definedName name="_100" localSheetId="19" hidden="1">{#N/A,#N/A,FALSE,"OTHERINPUTS";#N/A,#N/A,FALSE,"DITRATEINPUTS";#N/A,#N/A,FALSE,"SUPPLIEDADJINPUT";#N/A,#N/A,FALSE,"TIMINGDIFFINPUTS";#N/A,#N/A,FALSE,"BR&amp;SUPADJ."}</definedName>
    <definedName name="_100" localSheetId="20" hidden="1">{#N/A,#N/A,FALSE,"OTHERINPUTS";#N/A,#N/A,FALSE,"DITRATEINPUTS";#N/A,#N/A,FALSE,"SUPPLIEDADJINPUT";#N/A,#N/A,FALSE,"TIMINGDIFFINPUTS";#N/A,#N/A,FALSE,"BR&amp;SUPADJ."}</definedName>
    <definedName name="_100" localSheetId="21" hidden="1">{#N/A,#N/A,FALSE,"OTHERINPUTS";#N/A,#N/A,FALSE,"DITRATEINPUTS";#N/A,#N/A,FALSE,"SUPPLIEDADJINPUT";#N/A,#N/A,FALSE,"TIMINGDIFFINPUTS";#N/A,#N/A,FALSE,"BR&amp;SUPADJ."}</definedName>
    <definedName name="_100" localSheetId="22" hidden="1">{#N/A,#N/A,FALSE,"OTHERINPUTS";#N/A,#N/A,FALSE,"DITRATEINPUTS";#N/A,#N/A,FALSE,"SUPPLIEDADJINPUT";#N/A,#N/A,FALSE,"TIMINGDIFFINPUTS";#N/A,#N/A,FALSE,"BR&amp;SUPADJ."}</definedName>
    <definedName name="_100" localSheetId="23" hidden="1">{#N/A,#N/A,FALSE,"OTHERINPUTS";#N/A,#N/A,FALSE,"DITRATEINPUTS";#N/A,#N/A,FALSE,"SUPPLIEDADJINPUT";#N/A,#N/A,FALSE,"TIMINGDIFFINPUTS";#N/A,#N/A,FALSE,"BR&amp;SUPADJ."}</definedName>
    <definedName name="_100" localSheetId="24" hidden="1">{#N/A,#N/A,FALSE,"OTHERINPUTS";#N/A,#N/A,FALSE,"DITRATEINPUTS";#N/A,#N/A,FALSE,"SUPPLIEDADJINPUT";#N/A,#N/A,FALSE,"TIMINGDIFFINPUTS";#N/A,#N/A,FALSE,"BR&amp;SUPADJ."}</definedName>
    <definedName name="_100" hidden="1">{#N/A,#N/A,FALSE,"OTHERINPUTS";#N/A,#N/A,FALSE,"DITRATEINPUTS";#N/A,#N/A,FALSE,"SUPPLIEDADJINPUT";#N/A,#N/A,FALSE,"TIMINGDIFFINPUTS";#N/A,#N/A,FALSE,"BR&amp;SUPADJ."}</definedName>
    <definedName name="_101" localSheetId="1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2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2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2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2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2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2" localSheetId="10" hidden="1">{#N/A,#N/A,FALSE,"RORMEMO";#N/A,#N/A,FALSE,"RORSUMMARY";#N/A,#N/A,FALSE,"RORDETAIL"}</definedName>
    <definedName name="_102" localSheetId="11" hidden="1">{#N/A,#N/A,FALSE,"RORMEMO";#N/A,#N/A,FALSE,"RORSUMMARY";#N/A,#N/A,FALSE,"RORDETAIL"}</definedName>
    <definedName name="_102" localSheetId="12" hidden="1">{#N/A,#N/A,FALSE,"RORMEMO";#N/A,#N/A,FALSE,"RORSUMMARY";#N/A,#N/A,FALSE,"RORDETAIL"}</definedName>
    <definedName name="_102" localSheetId="16" hidden="1">{#N/A,#N/A,FALSE,"RORMEMO";#N/A,#N/A,FALSE,"RORSUMMARY";#N/A,#N/A,FALSE,"RORDETAIL"}</definedName>
    <definedName name="_102" localSheetId="17" hidden="1">{#N/A,#N/A,FALSE,"RORMEMO";#N/A,#N/A,FALSE,"RORSUMMARY";#N/A,#N/A,FALSE,"RORDETAIL"}</definedName>
    <definedName name="_102" localSheetId="19" hidden="1">{#N/A,#N/A,FALSE,"RORMEMO";#N/A,#N/A,FALSE,"RORSUMMARY";#N/A,#N/A,FALSE,"RORDETAIL"}</definedName>
    <definedName name="_102" localSheetId="20" hidden="1">{#N/A,#N/A,FALSE,"RORMEMO";#N/A,#N/A,FALSE,"RORSUMMARY";#N/A,#N/A,FALSE,"RORDETAIL"}</definedName>
    <definedName name="_102" localSheetId="21" hidden="1">{#N/A,#N/A,FALSE,"RORMEMO";#N/A,#N/A,FALSE,"RORSUMMARY";#N/A,#N/A,FALSE,"RORDETAIL"}</definedName>
    <definedName name="_102" localSheetId="22" hidden="1">{#N/A,#N/A,FALSE,"RORMEMO";#N/A,#N/A,FALSE,"RORSUMMARY";#N/A,#N/A,FALSE,"RORDETAIL"}</definedName>
    <definedName name="_102" localSheetId="23" hidden="1">{#N/A,#N/A,FALSE,"RORMEMO";#N/A,#N/A,FALSE,"RORSUMMARY";#N/A,#N/A,FALSE,"RORDETAIL"}</definedName>
    <definedName name="_102" localSheetId="24" hidden="1">{#N/A,#N/A,FALSE,"RORMEMO";#N/A,#N/A,FALSE,"RORSUMMARY";#N/A,#N/A,FALSE,"RORDETAIL"}</definedName>
    <definedName name="_102" hidden="1">{#N/A,#N/A,FALSE,"RORMEMO";#N/A,#N/A,FALSE,"RORSUMMARY";#N/A,#N/A,FALSE,"RORDETAIL"}</definedName>
    <definedName name="_103" localSheetId="10" hidden="1">{#N/A,#N/A,FALSE,"GLDwnLoad"}</definedName>
    <definedName name="_103" localSheetId="11" hidden="1">{#N/A,#N/A,FALSE,"GLDwnLoad"}</definedName>
    <definedName name="_103" localSheetId="12" hidden="1">{#N/A,#N/A,FALSE,"GLDwnLoad"}</definedName>
    <definedName name="_103" localSheetId="16" hidden="1">{#N/A,#N/A,FALSE,"GLDwnLoad"}</definedName>
    <definedName name="_103" localSheetId="17" hidden="1">{#N/A,#N/A,FALSE,"GLDwnLoad"}</definedName>
    <definedName name="_103" localSheetId="19" hidden="1">{#N/A,#N/A,FALSE,"GLDwnLoad"}</definedName>
    <definedName name="_103" localSheetId="20" hidden="1">{#N/A,#N/A,FALSE,"GLDwnLoad"}</definedName>
    <definedName name="_103" localSheetId="21" hidden="1">{#N/A,#N/A,FALSE,"GLDwnLoad"}</definedName>
    <definedName name="_103" localSheetId="22" hidden="1">{#N/A,#N/A,FALSE,"GLDwnLoad"}</definedName>
    <definedName name="_103" localSheetId="23" hidden="1">{#N/A,#N/A,FALSE,"GLDwnLoad"}</definedName>
    <definedName name="_103" localSheetId="24" hidden="1">{#N/A,#N/A,FALSE,"GLDwnLoad"}</definedName>
    <definedName name="_103" hidden="1">{#N/A,#N/A,FALSE,"GLDwnLoad"}</definedName>
    <definedName name="_104" localSheetId="10" hidden="1">{#N/A,#N/A,FALSE,"OTHERINPUTS";#N/A,#N/A,FALSE,"SUPPLIEDADJINPUT";#N/A,#N/A,FALSE,"BR&amp;SUPADJ."}</definedName>
    <definedName name="_104" localSheetId="11" hidden="1">{#N/A,#N/A,FALSE,"OTHERINPUTS";#N/A,#N/A,FALSE,"SUPPLIEDADJINPUT";#N/A,#N/A,FALSE,"BR&amp;SUPADJ."}</definedName>
    <definedName name="_104" localSheetId="12" hidden="1">{#N/A,#N/A,FALSE,"OTHERINPUTS";#N/A,#N/A,FALSE,"SUPPLIEDADJINPUT";#N/A,#N/A,FALSE,"BR&amp;SUPADJ."}</definedName>
    <definedName name="_104" localSheetId="16" hidden="1">{#N/A,#N/A,FALSE,"OTHERINPUTS";#N/A,#N/A,FALSE,"SUPPLIEDADJINPUT";#N/A,#N/A,FALSE,"BR&amp;SUPADJ."}</definedName>
    <definedName name="_104" localSheetId="17" hidden="1">{#N/A,#N/A,FALSE,"OTHERINPUTS";#N/A,#N/A,FALSE,"SUPPLIEDADJINPUT";#N/A,#N/A,FALSE,"BR&amp;SUPADJ."}</definedName>
    <definedName name="_104" localSheetId="19" hidden="1">{#N/A,#N/A,FALSE,"OTHERINPUTS";#N/A,#N/A,FALSE,"SUPPLIEDADJINPUT";#N/A,#N/A,FALSE,"BR&amp;SUPADJ."}</definedName>
    <definedName name="_104" localSheetId="20" hidden="1">{#N/A,#N/A,FALSE,"OTHERINPUTS";#N/A,#N/A,FALSE,"SUPPLIEDADJINPUT";#N/A,#N/A,FALSE,"BR&amp;SUPADJ."}</definedName>
    <definedName name="_104" localSheetId="21" hidden="1">{#N/A,#N/A,FALSE,"OTHERINPUTS";#N/A,#N/A,FALSE,"SUPPLIEDADJINPUT";#N/A,#N/A,FALSE,"BR&amp;SUPADJ."}</definedName>
    <definedName name="_104" localSheetId="22" hidden="1">{#N/A,#N/A,FALSE,"OTHERINPUTS";#N/A,#N/A,FALSE,"SUPPLIEDADJINPUT";#N/A,#N/A,FALSE,"BR&amp;SUPADJ."}</definedName>
    <definedName name="_104" localSheetId="23" hidden="1">{#N/A,#N/A,FALSE,"OTHERINPUTS";#N/A,#N/A,FALSE,"SUPPLIEDADJINPUT";#N/A,#N/A,FALSE,"BR&amp;SUPADJ."}</definedName>
    <definedName name="_104" localSheetId="24" hidden="1">{#N/A,#N/A,FALSE,"OTHERINPUTS";#N/A,#N/A,FALSE,"SUPPLIEDADJINPUT";#N/A,#N/A,FALSE,"BR&amp;SUPADJ."}</definedName>
    <definedName name="_104" hidden="1">{#N/A,#N/A,FALSE,"OTHERINPUTS";#N/A,#N/A,FALSE,"SUPPLIEDADJINPUT";#N/A,#N/A,FALSE,"BR&amp;SUPADJ."}</definedName>
    <definedName name="_105" localSheetId="1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2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2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2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2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2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6" localSheetId="10" hidden="1">{"SPA_FAC",#N/A,FALSE,"OMPA SPA FAC"}</definedName>
    <definedName name="_106" localSheetId="11" hidden="1">{"SPA_FAC",#N/A,FALSE,"OMPA SPA FAC"}</definedName>
    <definedName name="_106" localSheetId="12" hidden="1">{"SPA_FAC",#N/A,FALSE,"OMPA SPA FAC"}</definedName>
    <definedName name="_106" localSheetId="16" hidden="1">{"SPA_FAC",#N/A,FALSE,"OMPA SPA FAC"}</definedName>
    <definedName name="_106" localSheetId="17" hidden="1">{"SPA_FAC",#N/A,FALSE,"OMPA SPA FAC"}</definedName>
    <definedName name="_106" localSheetId="19" hidden="1">{"SPA_FAC",#N/A,FALSE,"OMPA SPA FAC"}</definedName>
    <definedName name="_106" localSheetId="20" hidden="1">{"SPA_FAC",#N/A,FALSE,"OMPA SPA FAC"}</definedName>
    <definedName name="_106" localSheetId="21" hidden="1">{"SPA_FAC",#N/A,FALSE,"OMPA SPA FAC"}</definedName>
    <definedName name="_106" localSheetId="22" hidden="1">{"SPA_FAC",#N/A,FALSE,"OMPA SPA FAC"}</definedName>
    <definedName name="_106" localSheetId="23" hidden="1">{"SPA_FAC",#N/A,FALSE,"OMPA SPA FAC"}</definedName>
    <definedName name="_106" localSheetId="24" hidden="1">{"SPA_FAC",#N/A,FALSE,"OMPA SPA FAC"}</definedName>
    <definedName name="_106" hidden="1">{"SPA_FAC",#N/A,FALSE,"OMPA SPA FAC"}</definedName>
    <definedName name="_107" localSheetId="10" hidden="1">{#N/A,#N/A,FALSE,"GLDwnLoad"}</definedName>
    <definedName name="_107" localSheetId="11" hidden="1">{#N/A,#N/A,FALSE,"GLDwnLoad"}</definedName>
    <definedName name="_107" localSheetId="12" hidden="1">{#N/A,#N/A,FALSE,"GLDwnLoad"}</definedName>
    <definedName name="_107" localSheetId="16" hidden="1">{#N/A,#N/A,FALSE,"GLDwnLoad"}</definedName>
    <definedName name="_107" localSheetId="17" hidden="1">{#N/A,#N/A,FALSE,"GLDwnLoad"}</definedName>
    <definedName name="_107" localSheetId="19" hidden="1">{#N/A,#N/A,FALSE,"GLDwnLoad"}</definedName>
    <definedName name="_107" localSheetId="20" hidden="1">{#N/A,#N/A,FALSE,"GLDwnLoad"}</definedName>
    <definedName name="_107" localSheetId="21" hidden="1">{#N/A,#N/A,FALSE,"GLDwnLoad"}</definedName>
    <definedName name="_107" localSheetId="22" hidden="1">{#N/A,#N/A,FALSE,"GLDwnLoad"}</definedName>
    <definedName name="_107" localSheetId="23" hidden="1">{#N/A,#N/A,FALSE,"GLDwnLoad"}</definedName>
    <definedName name="_107" localSheetId="24" hidden="1">{#N/A,#N/A,FALSE,"GLDwnLoad"}</definedName>
    <definedName name="_107" hidden="1">{#N/A,#N/A,FALSE,"GLDwnLoad"}</definedName>
    <definedName name="_108"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9"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1" localSheetId="10" hidden="1">{#N/A,#N/A,TRUE,"1990";#N/A,#N/A,TRUE,"1991";#N/A,#N/A,TRUE,"1992";#N/A,#N/A,TRUE,"1993"}</definedName>
    <definedName name="_11" localSheetId="11" hidden="1">{#N/A,#N/A,TRUE,"1990";#N/A,#N/A,TRUE,"1991";#N/A,#N/A,TRUE,"1992";#N/A,#N/A,TRUE,"1993"}</definedName>
    <definedName name="_11" localSheetId="12" hidden="1">{#N/A,#N/A,TRUE,"1990";#N/A,#N/A,TRUE,"1991";#N/A,#N/A,TRUE,"1992";#N/A,#N/A,TRUE,"1993"}</definedName>
    <definedName name="_11" localSheetId="16" hidden="1">{#N/A,#N/A,TRUE,"1990";#N/A,#N/A,TRUE,"1991";#N/A,#N/A,TRUE,"1992";#N/A,#N/A,TRUE,"1993"}</definedName>
    <definedName name="_11" localSheetId="17" hidden="1">{#N/A,#N/A,TRUE,"1990";#N/A,#N/A,TRUE,"1991";#N/A,#N/A,TRUE,"1992";#N/A,#N/A,TRUE,"1993"}</definedName>
    <definedName name="_11" localSheetId="19" hidden="1">{#N/A,#N/A,TRUE,"1990";#N/A,#N/A,TRUE,"1991";#N/A,#N/A,TRUE,"1992";#N/A,#N/A,TRUE,"1993"}</definedName>
    <definedName name="_11" localSheetId="20" hidden="1">{#N/A,#N/A,TRUE,"1990";#N/A,#N/A,TRUE,"1991";#N/A,#N/A,TRUE,"1992";#N/A,#N/A,TRUE,"1993"}</definedName>
    <definedName name="_11" localSheetId="21" hidden="1">{#N/A,#N/A,TRUE,"1990";#N/A,#N/A,TRUE,"1991";#N/A,#N/A,TRUE,"1992";#N/A,#N/A,TRUE,"1993"}</definedName>
    <definedName name="_11" localSheetId="22" hidden="1">{#N/A,#N/A,TRUE,"1990";#N/A,#N/A,TRUE,"1991";#N/A,#N/A,TRUE,"1992";#N/A,#N/A,TRUE,"1993"}</definedName>
    <definedName name="_11" localSheetId="23" hidden="1">{#N/A,#N/A,TRUE,"1990";#N/A,#N/A,TRUE,"1991";#N/A,#N/A,TRUE,"1992";#N/A,#N/A,TRUE,"1993"}</definedName>
    <definedName name="_11" localSheetId="24" hidden="1">{#N/A,#N/A,TRUE,"1990";#N/A,#N/A,TRUE,"1991";#N/A,#N/A,TRUE,"1992";#N/A,#N/A,TRUE,"1993"}</definedName>
    <definedName name="_11" hidden="1">{#N/A,#N/A,TRUE,"1990";#N/A,#N/A,TRUE,"1991";#N/A,#N/A,TRUE,"1992";#N/A,#N/A,TRUE,"1993"}</definedName>
    <definedName name="_110" localSheetId="10" hidden="1">{"print1",#N/A,FALSE,"D21CUSTS";"print2",#N/A,FALSE,"D21CUSTS";"print3",#N/A,FALSE,"D21CUSTS";"print4",#N/A,FALSE,"D21CUSTS"}</definedName>
    <definedName name="_110" localSheetId="11" hidden="1">{"print1",#N/A,FALSE,"D21CUSTS";"print2",#N/A,FALSE,"D21CUSTS";"print3",#N/A,FALSE,"D21CUSTS";"print4",#N/A,FALSE,"D21CUSTS"}</definedName>
    <definedName name="_110" localSheetId="12" hidden="1">{"print1",#N/A,FALSE,"D21CUSTS";"print2",#N/A,FALSE,"D21CUSTS";"print3",#N/A,FALSE,"D21CUSTS";"print4",#N/A,FALSE,"D21CUSTS"}</definedName>
    <definedName name="_110" localSheetId="16" hidden="1">{"print1",#N/A,FALSE,"D21CUSTS";"print2",#N/A,FALSE,"D21CUSTS";"print3",#N/A,FALSE,"D21CUSTS";"print4",#N/A,FALSE,"D21CUSTS"}</definedName>
    <definedName name="_110" localSheetId="17" hidden="1">{"print1",#N/A,FALSE,"D21CUSTS";"print2",#N/A,FALSE,"D21CUSTS";"print3",#N/A,FALSE,"D21CUSTS";"print4",#N/A,FALSE,"D21CUSTS"}</definedName>
    <definedName name="_110" localSheetId="19" hidden="1">{"print1",#N/A,FALSE,"D21CUSTS";"print2",#N/A,FALSE,"D21CUSTS";"print3",#N/A,FALSE,"D21CUSTS";"print4",#N/A,FALSE,"D21CUSTS"}</definedName>
    <definedName name="_110" localSheetId="20" hidden="1">{"print1",#N/A,FALSE,"D21CUSTS";"print2",#N/A,FALSE,"D21CUSTS";"print3",#N/A,FALSE,"D21CUSTS";"print4",#N/A,FALSE,"D21CUSTS"}</definedName>
    <definedName name="_110" localSheetId="21" hidden="1">{"print1",#N/A,FALSE,"D21CUSTS";"print2",#N/A,FALSE,"D21CUSTS";"print3",#N/A,FALSE,"D21CUSTS";"print4",#N/A,FALSE,"D21CUSTS"}</definedName>
    <definedName name="_110" localSheetId="22" hidden="1">{"print1",#N/A,FALSE,"D21CUSTS";"print2",#N/A,FALSE,"D21CUSTS";"print3",#N/A,FALSE,"D21CUSTS";"print4",#N/A,FALSE,"D21CUSTS"}</definedName>
    <definedName name="_110" localSheetId="23" hidden="1">{"print1",#N/A,FALSE,"D21CUSTS";"print2",#N/A,FALSE,"D21CUSTS";"print3",#N/A,FALSE,"D21CUSTS";"print4",#N/A,FALSE,"D21CUSTS"}</definedName>
    <definedName name="_110" localSheetId="24" hidden="1">{"print1",#N/A,FALSE,"D21CUSTS";"print2",#N/A,FALSE,"D21CUSTS";"print3",#N/A,FALSE,"D21CUSTS";"print4",#N/A,FALSE,"D21CUSTS"}</definedName>
    <definedName name="_110" hidden="1">{"print1",#N/A,FALSE,"D21CUSTS";"print2",#N/A,FALSE,"D21CUSTS";"print3",#N/A,FALSE,"D21CUSTS";"print4",#N/A,FALSE,"D21CUSTS"}</definedName>
    <definedName name="_111" localSheetId="10" hidden="1">{"Fuel by Type",#N/A,FALSE,"00whfuel";"Fuel by Account",#N/A,FALSE,"00whfuel";"NTEC",#N/A,FALSE,"00whfuel";"Hope",#N/A,FALSE,"00whfuel";"Net Energy Load",#N/A,FALSE,"00whfuel";"Purchased Power",#N/A,FALSE,"00whfuel"}</definedName>
    <definedName name="_111" localSheetId="11" hidden="1">{"Fuel by Type",#N/A,FALSE,"00whfuel";"Fuel by Account",#N/A,FALSE,"00whfuel";"NTEC",#N/A,FALSE,"00whfuel";"Hope",#N/A,FALSE,"00whfuel";"Net Energy Load",#N/A,FALSE,"00whfuel";"Purchased Power",#N/A,FALSE,"00whfuel"}</definedName>
    <definedName name="_111" localSheetId="12" hidden="1">{"Fuel by Type",#N/A,FALSE,"00whfuel";"Fuel by Account",#N/A,FALSE,"00whfuel";"NTEC",#N/A,FALSE,"00whfuel";"Hope",#N/A,FALSE,"00whfuel";"Net Energy Load",#N/A,FALSE,"00whfuel";"Purchased Power",#N/A,FALSE,"00whfuel"}</definedName>
    <definedName name="_111" localSheetId="16" hidden="1">{"Fuel by Type",#N/A,FALSE,"00whfuel";"Fuel by Account",#N/A,FALSE,"00whfuel";"NTEC",#N/A,FALSE,"00whfuel";"Hope",#N/A,FALSE,"00whfuel";"Net Energy Load",#N/A,FALSE,"00whfuel";"Purchased Power",#N/A,FALSE,"00whfuel"}</definedName>
    <definedName name="_111" localSheetId="17" hidden="1">{"Fuel by Type",#N/A,FALSE,"00whfuel";"Fuel by Account",#N/A,FALSE,"00whfuel";"NTEC",#N/A,FALSE,"00whfuel";"Hope",#N/A,FALSE,"00whfuel";"Net Energy Load",#N/A,FALSE,"00whfuel";"Purchased Power",#N/A,FALSE,"00whfuel"}</definedName>
    <definedName name="_111" localSheetId="19" hidden="1">{"Fuel by Type",#N/A,FALSE,"00whfuel";"Fuel by Account",#N/A,FALSE,"00whfuel";"NTEC",#N/A,FALSE,"00whfuel";"Hope",#N/A,FALSE,"00whfuel";"Net Energy Load",#N/A,FALSE,"00whfuel";"Purchased Power",#N/A,FALSE,"00whfuel"}</definedName>
    <definedName name="_111" localSheetId="20" hidden="1">{"Fuel by Type",#N/A,FALSE,"00whfuel";"Fuel by Account",#N/A,FALSE,"00whfuel";"NTEC",#N/A,FALSE,"00whfuel";"Hope",#N/A,FALSE,"00whfuel";"Net Energy Load",#N/A,FALSE,"00whfuel";"Purchased Power",#N/A,FALSE,"00whfuel"}</definedName>
    <definedName name="_111" localSheetId="21" hidden="1">{"Fuel by Type",#N/A,FALSE,"00whfuel";"Fuel by Account",#N/A,FALSE,"00whfuel";"NTEC",#N/A,FALSE,"00whfuel";"Hope",#N/A,FALSE,"00whfuel";"Net Energy Load",#N/A,FALSE,"00whfuel";"Purchased Power",#N/A,FALSE,"00whfuel"}</definedName>
    <definedName name="_111" localSheetId="22" hidden="1">{"Fuel by Type",#N/A,FALSE,"00whfuel";"Fuel by Account",#N/A,FALSE,"00whfuel";"NTEC",#N/A,FALSE,"00whfuel";"Hope",#N/A,FALSE,"00whfuel";"Net Energy Load",#N/A,FALSE,"00whfuel";"Purchased Power",#N/A,FALSE,"00whfuel"}</definedName>
    <definedName name="_111" localSheetId="23" hidden="1">{"Fuel by Type",#N/A,FALSE,"00whfuel";"Fuel by Account",#N/A,FALSE,"00whfuel";"NTEC",#N/A,FALSE,"00whfuel";"Hope",#N/A,FALSE,"00whfuel";"Net Energy Load",#N/A,FALSE,"00whfuel";"Purchased Power",#N/A,FALSE,"00whfuel"}</definedName>
    <definedName name="_111" localSheetId="24" hidden="1">{"Fuel by Type",#N/A,FALSE,"00whfuel";"Fuel by Account",#N/A,FALSE,"00whfuel";"NTEC",#N/A,FALSE,"00whfuel";"Hope",#N/A,FALSE,"00whfuel";"Net Energy Load",#N/A,FALSE,"00whfuel";"Purchased Power",#N/A,FALSE,"00whfuel"}</definedName>
    <definedName name="_111" hidden="1">{"Fuel by Type",#N/A,FALSE,"00whfuel";"Fuel by Account",#N/A,FALSE,"00whfuel";"NTEC",#N/A,FALSE,"00whfuel";"Hope",#N/A,FALSE,"00whfuel";"Net Energy Load",#N/A,FALSE,"00whfuel";"Purchased Power",#N/A,FALSE,"00whfuel"}</definedName>
    <definedName name="_112" localSheetId="10" hidden="1">{"WEATHER_CUSTOMERS",#N/A,FALSE,"Ok_Fuel&amp;Rev"}</definedName>
    <definedName name="_112" localSheetId="11" hidden="1">{"WEATHER_CUSTOMERS",#N/A,FALSE,"Ok_Fuel&amp;Rev"}</definedName>
    <definedName name="_112" localSheetId="12" hidden="1">{"WEATHER_CUSTOMERS",#N/A,FALSE,"Ok_Fuel&amp;Rev"}</definedName>
    <definedName name="_112" localSheetId="16" hidden="1">{"WEATHER_CUSTOMERS",#N/A,FALSE,"Ok_Fuel&amp;Rev"}</definedName>
    <definedName name="_112" localSheetId="17" hidden="1">{"WEATHER_CUSTOMERS",#N/A,FALSE,"Ok_Fuel&amp;Rev"}</definedName>
    <definedName name="_112" localSheetId="19" hidden="1">{"WEATHER_CUSTOMERS",#N/A,FALSE,"Ok_Fuel&amp;Rev"}</definedName>
    <definedName name="_112" localSheetId="20" hidden="1">{"WEATHER_CUSTOMERS",#N/A,FALSE,"Ok_Fuel&amp;Rev"}</definedName>
    <definedName name="_112" localSheetId="21" hidden="1">{"WEATHER_CUSTOMERS",#N/A,FALSE,"Ok_Fuel&amp;Rev"}</definedName>
    <definedName name="_112" localSheetId="22" hidden="1">{"WEATHER_CUSTOMERS",#N/A,FALSE,"Ok_Fuel&amp;Rev"}</definedName>
    <definedName name="_112" localSheetId="23" hidden="1">{"WEATHER_CUSTOMERS",#N/A,FALSE,"Ok_Fuel&amp;Rev"}</definedName>
    <definedName name="_112" localSheetId="24" hidden="1">{"WEATHER_CUSTOMERS",#N/A,FALSE,"Ok_Fuel&amp;Rev"}</definedName>
    <definedName name="_112" hidden="1">{"WEATHER_CUSTOMERS",#N/A,FALSE,"Ok_Fuel&amp;Rev"}</definedName>
    <definedName name="_113" localSheetId="10" hidden="1">{#N/A,#N/A,FALSE,"GLDwnLoad"}</definedName>
    <definedName name="_113" localSheetId="11" hidden="1">{#N/A,#N/A,FALSE,"GLDwnLoad"}</definedName>
    <definedName name="_113" localSheetId="12" hidden="1">{#N/A,#N/A,FALSE,"GLDwnLoad"}</definedName>
    <definedName name="_113" localSheetId="16" hidden="1">{#N/A,#N/A,FALSE,"GLDwnLoad"}</definedName>
    <definedName name="_113" localSheetId="17" hidden="1">{#N/A,#N/A,FALSE,"GLDwnLoad"}</definedName>
    <definedName name="_113" localSheetId="19" hidden="1">{#N/A,#N/A,FALSE,"GLDwnLoad"}</definedName>
    <definedName name="_113" localSheetId="20" hidden="1">{#N/A,#N/A,FALSE,"GLDwnLoad"}</definedName>
    <definedName name="_113" localSheetId="21" hidden="1">{#N/A,#N/A,FALSE,"GLDwnLoad"}</definedName>
    <definedName name="_113" localSheetId="22" hidden="1">{#N/A,#N/A,FALSE,"GLDwnLoad"}</definedName>
    <definedName name="_113" localSheetId="23" hidden="1">{#N/A,#N/A,FALSE,"GLDwnLoad"}</definedName>
    <definedName name="_113" localSheetId="24" hidden="1">{#N/A,#N/A,FALSE,"GLDwnLoad"}</definedName>
    <definedName name="_113" hidden="1">{#N/A,#N/A,FALSE,"GLDwnLoad"}</definedName>
    <definedName name="_114" localSheetId="10" hidden="1">{#N/A,#N/A,FALSE,"OTHERINPUTS";#N/A,#N/A,FALSE,"DITRATEINPUTS";#N/A,#N/A,FALSE,"SUPPLIEDADJINPUT";#N/A,#N/A,FALSE,"TIMINGDIFFINPUTS";#N/A,#N/A,FALSE,"BR&amp;SUPADJ."}</definedName>
    <definedName name="_114" localSheetId="11" hidden="1">{#N/A,#N/A,FALSE,"OTHERINPUTS";#N/A,#N/A,FALSE,"DITRATEINPUTS";#N/A,#N/A,FALSE,"SUPPLIEDADJINPUT";#N/A,#N/A,FALSE,"TIMINGDIFFINPUTS";#N/A,#N/A,FALSE,"BR&amp;SUPADJ."}</definedName>
    <definedName name="_114" localSheetId="12" hidden="1">{#N/A,#N/A,FALSE,"OTHERINPUTS";#N/A,#N/A,FALSE,"DITRATEINPUTS";#N/A,#N/A,FALSE,"SUPPLIEDADJINPUT";#N/A,#N/A,FALSE,"TIMINGDIFFINPUTS";#N/A,#N/A,FALSE,"BR&amp;SUPADJ."}</definedName>
    <definedName name="_114" localSheetId="16" hidden="1">{#N/A,#N/A,FALSE,"OTHERINPUTS";#N/A,#N/A,FALSE,"DITRATEINPUTS";#N/A,#N/A,FALSE,"SUPPLIEDADJINPUT";#N/A,#N/A,FALSE,"TIMINGDIFFINPUTS";#N/A,#N/A,FALSE,"BR&amp;SUPADJ."}</definedName>
    <definedName name="_114" localSheetId="17" hidden="1">{#N/A,#N/A,FALSE,"OTHERINPUTS";#N/A,#N/A,FALSE,"DITRATEINPUTS";#N/A,#N/A,FALSE,"SUPPLIEDADJINPUT";#N/A,#N/A,FALSE,"TIMINGDIFFINPUTS";#N/A,#N/A,FALSE,"BR&amp;SUPADJ."}</definedName>
    <definedName name="_114" localSheetId="19" hidden="1">{#N/A,#N/A,FALSE,"OTHERINPUTS";#N/A,#N/A,FALSE,"DITRATEINPUTS";#N/A,#N/A,FALSE,"SUPPLIEDADJINPUT";#N/A,#N/A,FALSE,"TIMINGDIFFINPUTS";#N/A,#N/A,FALSE,"BR&amp;SUPADJ."}</definedName>
    <definedName name="_114" localSheetId="20" hidden="1">{#N/A,#N/A,FALSE,"OTHERINPUTS";#N/A,#N/A,FALSE,"DITRATEINPUTS";#N/A,#N/A,FALSE,"SUPPLIEDADJINPUT";#N/A,#N/A,FALSE,"TIMINGDIFFINPUTS";#N/A,#N/A,FALSE,"BR&amp;SUPADJ."}</definedName>
    <definedName name="_114" localSheetId="21" hidden="1">{#N/A,#N/A,FALSE,"OTHERINPUTS";#N/A,#N/A,FALSE,"DITRATEINPUTS";#N/A,#N/A,FALSE,"SUPPLIEDADJINPUT";#N/A,#N/A,FALSE,"TIMINGDIFFINPUTS";#N/A,#N/A,FALSE,"BR&amp;SUPADJ."}</definedName>
    <definedName name="_114" localSheetId="22" hidden="1">{#N/A,#N/A,FALSE,"OTHERINPUTS";#N/A,#N/A,FALSE,"DITRATEINPUTS";#N/A,#N/A,FALSE,"SUPPLIEDADJINPUT";#N/A,#N/A,FALSE,"TIMINGDIFFINPUTS";#N/A,#N/A,FALSE,"BR&amp;SUPADJ."}</definedName>
    <definedName name="_114" localSheetId="23" hidden="1">{#N/A,#N/A,FALSE,"OTHERINPUTS";#N/A,#N/A,FALSE,"DITRATEINPUTS";#N/A,#N/A,FALSE,"SUPPLIEDADJINPUT";#N/A,#N/A,FALSE,"TIMINGDIFFINPUTS";#N/A,#N/A,FALSE,"BR&amp;SUPADJ."}</definedName>
    <definedName name="_114" localSheetId="24" hidden="1">{#N/A,#N/A,FALSE,"OTHERINPUTS";#N/A,#N/A,FALSE,"DITRATEINPUTS";#N/A,#N/A,FALSE,"SUPPLIEDADJINPUT";#N/A,#N/A,FALSE,"TIMINGDIFFINPUTS";#N/A,#N/A,FALSE,"BR&amp;SUPADJ."}</definedName>
    <definedName name="_114" hidden="1">{#N/A,#N/A,FALSE,"OTHERINPUTS";#N/A,#N/A,FALSE,"DITRATEINPUTS";#N/A,#N/A,FALSE,"SUPPLIEDADJINPUT";#N/A,#N/A,FALSE,"TIMINGDIFFINPUTS";#N/A,#N/A,FALSE,"BR&amp;SUPADJ."}</definedName>
    <definedName name="_115" localSheetId="1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2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2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2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2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2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6" localSheetId="10" hidden="1">{#N/A,#N/A,FALSE,"GLDwnLoad"}</definedName>
    <definedName name="_116" localSheetId="11" hidden="1">{#N/A,#N/A,FALSE,"GLDwnLoad"}</definedName>
    <definedName name="_116" localSheetId="12" hidden="1">{#N/A,#N/A,FALSE,"GLDwnLoad"}</definedName>
    <definedName name="_116" localSheetId="16" hidden="1">{#N/A,#N/A,FALSE,"GLDwnLoad"}</definedName>
    <definedName name="_116" localSheetId="17" hidden="1">{#N/A,#N/A,FALSE,"GLDwnLoad"}</definedName>
    <definedName name="_116" localSheetId="19" hidden="1">{#N/A,#N/A,FALSE,"GLDwnLoad"}</definedName>
    <definedName name="_116" localSheetId="20" hidden="1">{#N/A,#N/A,FALSE,"GLDwnLoad"}</definedName>
    <definedName name="_116" localSheetId="21" hidden="1">{#N/A,#N/A,FALSE,"GLDwnLoad"}</definedName>
    <definedName name="_116" localSheetId="22" hidden="1">{#N/A,#N/A,FALSE,"GLDwnLoad"}</definedName>
    <definedName name="_116" localSheetId="23" hidden="1">{#N/A,#N/A,FALSE,"GLDwnLoad"}</definedName>
    <definedName name="_116" localSheetId="24" hidden="1">{#N/A,#N/A,FALSE,"GLDwnLoad"}</definedName>
    <definedName name="_116" hidden="1">{#N/A,#N/A,FALSE,"GLDwnLoad"}</definedName>
    <definedName name="_12" localSheetId="10" hidden="1">{#N/A,#N/A,TRUE,"1990";#N/A,#N/A,TRUE,"1991";#N/A,#N/A,TRUE,"1992";#N/A,#N/A,TRUE,"1993"}</definedName>
    <definedName name="_12" localSheetId="11" hidden="1">{#N/A,#N/A,TRUE,"1990";#N/A,#N/A,TRUE,"1991";#N/A,#N/A,TRUE,"1992";#N/A,#N/A,TRUE,"1993"}</definedName>
    <definedName name="_12" localSheetId="12" hidden="1">{#N/A,#N/A,TRUE,"1990";#N/A,#N/A,TRUE,"1991";#N/A,#N/A,TRUE,"1992";#N/A,#N/A,TRUE,"1993"}</definedName>
    <definedName name="_12" localSheetId="16" hidden="1">{#N/A,#N/A,TRUE,"1990";#N/A,#N/A,TRUE,"1991";#N/A,#N/A,TRUE,"1992";#N/A,#N/A,TRUE,"1993"}</definedName>
    <definedName name="_12" localSheetId="17" hidden="1">{#N/A,#N/A,TRUE,"1990";#N/A,#N/A,TRUE,"1991";#N/A,#N/A,TRUE,"1992";#N/A,#N/A,TRUE,"1993"}</definedName>
    <definedName name="_12" localSheetId="19" hidden="1">{#N/A,#N/A,TRUE,"1990";#N/A,#N/A,TRUE,"1991";#N/A,#N/A,TRUE,"1992";#N/A,#N/A,TRUE,"1993"}</definedName>
    <definedName name="_12" localSheetId="20" hidden="1">{#N/A,#N/A,TRUE,"1990";#N/A,#N/A,TRUE,"1991";#N/A,#N/A,TRUE,"1992";#N/A,#N/A,TRUE,"1993"}</definedName>
    <definedName name="_12" localSheetId="21" hidden="1">{#N/A,#N/A,TRUE,"1990";#N/A,#N/A,TRUE,"1991";#N/A,#N/A,TRUE,"1992";#N/A,#N/A,TRUE,"1993"}</definedName>
    <definedName name="_12" localSheetId="22" hidden="1">{#N/A,#N/A,TRUE,"1990";#N/A,#N/A,TRUE,"1991";#N/A,#N/A,TRUE,"1992";#N/A,#N/A,TRUE,"1993"}</definedName>
    <definedName name="_12" localSheetId="23" hidden="1">{#N/A,#N/A,TRUE,"1990";#N/A,#N/A,TRUE,"1991";#N/A,#N/A,TRUE,"1992";#N/A,#N/A,TRUE,"1993"}</definedName>
    <definedName name="_12" localSheetId="24" hidden="1">{#N/A,#N/A,TRUE,"1990";#N/A,#N/A,TRUE,"1991";#N/A,#N/A,TRUE,"1992";#N/A,#N/A,TRUE,"1993"}</definedName>
    <definedName name="_12" hidden="1">{#N/A,#N/A,TRUE,"1990";#N/A,#N/A,TRUE,"1991";#N/A,#N/A,TRUE,"1992";#N/A,#N/A,TRUE,"1993"}</definedName>
    <definedName name="_123Graph_ACHART" hidden="1">'[2]Chart Data'!$E$30:$E$229</definedName>
    <definedName name="_13" localSheetId="10" hidden="1">{"summary",#N/A,TRUE,"E93ADJ";"detail",#N/A,TRUE,"E93ADJ"}</definedName>
    <definedName name="_13" localSheetId="11" hidden="1">{"summary",#N/A,TRUE,"E93ADJ";"detail",#N/A,TRUE,"E93ADJ"}</definedName>
    <definedName name="_13" localSheetId="12" hidden="1">{"summary",#N/A,TRUE,"E93ADJ";"detail",#N/A,TRUE,"E93ADJ"}</definedName>
    <definedName name="_13" localSheetId="16" hidden="1">{"summary",#N/A,TRUE,"E93ADJ";"detail",#N/A,TRUE,"E93ADJ"}</definedName>
    <definedName name="_13" localSheetId="17" hidden="1">{"summary",#N/A,TRUE,"E93ADJ";"detail",#N/A,TRUE,"E93ADJ"}</definedName>
    <definedName name="_13" localSheetId="19" hidden="1">{"summary",#N/A,TRUE,"E93ADJ";"detail",#N/A,TRUE,"E93ADJ"}</definedName>
    <definedName name="_13" localSheetId="20" hidden="1">{"summary",#N/A,TRUE,"E93ADJ";"detail",#N/A,TRUE,"E93ADJ"}</definedName>
    <definedName name="_13" localSheetId="21" hidden="1">{"summary",#N/A,TRUE,"E93ADJ";"detail",#N/A,TRUE,"E93ADJ"}</definedName>
    <definedName name="_13" localSheetId="22" hidden="1">{"summary",#N/A,TRUE,"E93ADJ";"detail",#N/A,TRUE,"E93ADJ"}</definedName>
    <definedName name="_13" localSheetId="23" hidden="1">{"summary",#N/A,TRUE,"E93ADJ";"detail",#N/A,TRUE,"E93ADJ"}</definedName>
    <definedName name="_13" localSheetId="24" hidden="1">{"summary",#N/A,TRUE,"E93ADJ";"detail",#N/A,TRUE,"E93ADJ"}</definedName>
    <definedName name="_13" hidden="1">{"summary",#N/A,TRUE,"E93ADJ";"detail",#N/A,TRUE,"E93ADJ"}</definedName>
    <definedName name="_14" localSheetId="10" hidden="1">{"summary",#N/A,TRUE,"E93ADJ";"detail",#N/A,TRUE,"E93ADJ"}</definedName>
    <definedName name="_14" localSheetId="11" hidden="1">{"summary",#N/A,TRUE,"E93ADJ";"detail",#N/A,TRUE,"E93ADJ"}</definedName>
    <definedName name="_14" localSheetId="12" hidden="1">{"summary",#N/A,TRUE,"E93ADJ";"detail",#N/A,TRUE,"E93ADJ"}</definedName>
    <definedName name="_14" localSheetId="16" hidden="1">{"summary",#N/A,TRUE,"E93ADJ";"detail",#N/A,TRUE,"E93ADJ"}</definedName>
    <definedName name="_14" localSheetId="17" hidden="1">{"summary",#N/A,TRUE,"E93ADJ";"detail",#N/A,TRUE,"E93ADJ"}</definedName>
    <definedName name="_14" localSheetId="19" hidden="1">{"summary",#N/A,TRUE,"E93ADJ";"detail",#N/A,TRUE,"E93ADJ"}</definedName>
    <definedName name="_14" localSheetId="20" hidden="1">{"summary",#N/A,TRUE,"E93ADJ";"detail",#N/A,TRUE,"E93ADJ"}</definedName>
    <definedName name="_14" localSheetId="21" hidden="1">{"summary",#N/A,TRUE,"E93ADJ";"detail",#N/A,TRUE,"E93ADJ"}</definedName>
    <definedName name="_14" localSheetId="22" hidden="1">{"summary",#N/A,TRUE,"E93ADJ";"detail",#N/A,TRUE,"E93ADJ"}</definedName>
    <definedName name="_14" localSheetId="23" hidden="1">{"summary",#N/A,TRUE,"E93ADJ";"detail",#N/A,TRUE,"E93ADJ"}</definedName>
    <definedName name="_14" localSheetId="24" hidden="1">{"summary",#N/A,TRUE,"E93ADJ";"detail",#N/A,TRUE,"E93ADJ"}</definedName>
    <definedName name="_14" hidden="1">{"summary",#N/A,TRUE,"E93ADJ";"detail",#N/A,TRUE,"E93ADJ"}</definedName>
    <definedName name="_15" localSheetId="10" hidden="1">{#N/A,#N/A,TRUE,"1990";#N/A,#N/A,TRUE,"1991";#N/A,#N/A,TRUE,"1992";#N/A,#N/A,TRUE,"1993"}</definedName>
    <definedName name="_15" localSheetId="11" hidden="1">{#N/A,#N/A,TRUE,"1990";#N/A,#N/A,TRUE,"1991";#N/A,#N/A,TRUE,"1992";#N/A,#N/A,TRUE,"1993"}</definedName>
    <definedName name="_15" localSheetId="12" hidden="1">{#N/A,#N/A,TRUE,"1990";#N/A,#N/A,TRUE,"1991";#N/A,#N/A,TRUE,"1992";#N/A,#N/A,TRUE,"1993"}</definedName>
    <definedName name="_15" localSheetId="16" hidden="1">{#N/A,#N/A,TRUE,"1990";#N/A,#N/A,TRUE,"1991";#N/A,#N/A,TRUE,"1992";#N/A,#N/A,TRUE,"1993"}</definedName>
    <definedName name="_15" localSheetId="17" hidden="1">{#N/A,#N/A,TRUE,"1990";#N/A,#N/A,TRUE,"1991";#N/A,#N/A,TRUE,"1992";#N/A,#N/A,TRUE,"1993"}</definedName>
    <definedName name="_15" localSheetId="19" hidden="1">{#N/A,#N/A,TRUE,"1990";#N/A,#N/A,TRUE,"1991";#N/A,#N/A,TRUE,"1992";#N/A,#N/A,TRUE,"1993"}</definedName>
    <definedName name="_15" localSheetId="20" hidden="1">{#N/A,#N/A,TRUE,"1990";#N/A,#N/A,TRUE,"1991";#N/A,#N/A,TRUE,"1992";#N/A,#N/A,TRUE,"1993"}</definedName>
    <definedName name="_15" localSheetId="21" hidden="1">{#N/A,#N/A,TRUE,"1990";#N/A,#N/A,TRUE,"1991";#N/A,#N/A,TRUE,"1992";#N/A,#N/A,TRUE,"1993"}</definedName>
    <definedName name="_15" localSheetId="22" hidden="1">{#N/A,#N/A,TRUE,"1990";#N/A,#N/A,TRUE,"1991";#N/A,#N/A,TRUE,"1992";#N/A,#N/A,TRUE,"1993"}</definedName>
    <definedName name="_15" localSheetId="23" hidden="1">{#N/A,#N/A,TRUE,"1990";#N/A,#N/A,TRUE,"1991";#N/A,#N/A,TRUE,"1992";#N/A,#N/A,TRUE,"1993"}</definedName>
    <definedName name="_15" localSheetId="24" hidden="1">{#N/A,#N/A,TRUE,"1990";#N/A,#N/A,TRUE,"1991";#N/A,#N/A,TRUE,"1992";#N/A,#N/A,TRUE,"1993"}</definedName>
    <definedName name="_15" hidden="1">{#N/A,#N/A,TRUE,"1990";#N/A,#N/A,TRUE,"1991";#N/A,#N/A,TRUE,"1992";#N/A,#N/A,TRUE,"1993"}</definedName>
    <definedName name="_16" localSheetId="10" hidden="1">{"summary",#N/A,TRUE,"E93ADJ";"detail",#N/A,TRUE,"E93ADJ"}</definedName>
    <definedName name="_16" localSheetId="11" hidden="1">{"summary",#N/A,TRUE,"E93ADJ";"detail",#N/A,TRUE,"E93ADJ"}</definedName>
    <definedName name="_16" localSheetId="12" hidden="1">{"summary",#N/A,TRUE,"E93ADJ";"detail",#N/A,TRUE,"E93ADJ"}</definedName>
    <definedName name="_16" localSheetId="16" hidden="1">{"summary",#N/A,TRUE,"E93ADJ";"detail",#N/A,TRUE,"E93ADJ"}</definedName>
    <definedName name="_16" localSheetId="17" hidden="1">{"summary",#N/A,TRUE,"E93ADJ";"detail",#N/A,TRUE,"E93ADJ"}</definedName>
    <definedName name="_16" localSheetId="19" hidden="1">{"summary",#N/A,TRUE,"E93ADJ";"detail",#N/A,TRUE,"E93ADJ"}</definedName>
    <definedName name="_16" localSheetId="20" hidden="1">{"summary",#N/A,TRUE,"E93ADJ";"detail",#N/A,TRUE,"E93ADJ"}</definedName>
    <definedName name="_16" localSheetId="21" hidden="1">{"summary",#N/A,TRUE,"E93ADJ";"detail",#N/A,TRUE,"E93ADJ"}</definedName>
    <definedName name="_16" localSheetId="22" hidden="1">{"summary",#N/A,TRUE,"E93ADJ";"detail",#N/A,TRUE,"E93ADJ"}</definedName>
    <definedName name="_16" localSheetId="23" hidden="1">{"summary",#N/A,TRUE,"E93ADJ";"detail",#N/A,TRUE,"E93ADJ"}</definedName>
    <definedName name="_16" localSheetId="24" hidden="1">{"summary",#N/A,TRUE,"E93ADJ";"detail",#N/A,TRUE,"E93ADJ"}</definedName>
    <definedName name="_16" hidden="1">{"summary",#N/A,TRUE,"E93ADJ";"detail",#N/A,TRUE,"E93ADJ"}</definedName>
    <definedName name="_17" localSheetId="10" hidden="1">{"ARK_JURIS_FUEL",#N/A,FALSE,"Ark_Fuel&amp;Rev"}</definedName>
    <definedName name="_17" localSheetId="11" hidden="1">{"ARK_JURIS_FUEL",#N/A,FALSE,"Ark_Fuel&amp;Rev"}</definedName>
    <definedName name="_17" localSheetId="12" hidden="1">{"ARK_JURIS_FUEL",#N/A,FALSE,"Ark_Fuel&amp;Rev"}</definedName>
    <definedName name="_17" localSheetId="16" hidden="1">{"ARK_JURIS_FUEL",#N/A,FALSE,"Ark_Fuel&amp;Rev"}</definedName>
    <definedName name="_17" localSheetId="17" hidden="1">{"ARK_JURIS_FUEL",#N/A,FALSE,"Ark_Fuel&amp;Rev"}</definedName>
    <definedName name="_17" localSheetId="19" hidden="1">{"ARK_JURIS_FUEL",#N/A,FALSE,"Ark_Fuel&amp;Rev"}</definedName>
    <definedName name="_17" localSheetId="20" hidden="1">{"ARK_JURIS_FUEL",#N/A,FALSE,"Ark_Fuel&amp;Rev"}</definedName>
    <definedName name="_17" localSheetId="21" hidden="1">{"ARK_JURIS_FUEL",#N/A,FALSE,"Ark_Fuel&amp;Rev"}</definedName>
    <definedName name="_17" localSheetId="22" hidden="1">{"ARK_JURIS_FUEL",#N/A,FALSE,"Ark_Fuel&amp;Rev"}</definedName>
    <definedName name="_17" localSheetId="23" hidden="1">{"ARK_JURIS_FUEL",#N/A,FALSE,"Ark_Fuel&amp;Rev"}</definedName>
    <definedName name="_17" localSheetId="24" hidden="1">{"ARK_JURIS_FUEL",#N/A,FALSE,"Ark_Fuel&amp;Rev"}</definedName>
    <definedName name="_17" hidden="1">{"ARK_JURIS_FUEL",#N/A,FALSE,"Ark_Fuel&amp;Rev"}</definedName>
    <definedName name="_18" localSheetId="10" hidden="1">{#N/A,#N/A,FALSE,"SCA";#N/A,#N/A,FALSE,"NCA";#N/A,#N/A,FALSE,"SAZ";#N/A,#N/A,FALSE,"CAZ";#N/A,#N/A,FALSE,"SNV";#N/A,#N/A,FALSE,"NNV";#N/A,#N/A,FALSE,"PP";#N/A,#N/A,FALSE,"SA"}</definedName>
    <definedName name="_18" localSheetId="11" hidden="1">{#N/A,#N/A,FALSE,"SCA";#N/A,#N/A,FALSE,"NCA";#N/A,#N/A,FALSE,"SAZ";#N/A,#N/A,FALSE,"CAZ";#N/A,#N/A,FALSE,"SNV";#N/A,#N/A,FALSE,"NNV";#N/A,#N/A,FALSE,"PP";#N/A,#N/A,FALSE,"SA"}</definedName>
    <definedName name="_18" localSheetId="12" hidden="1">{#N/A,#N/A,FALSE,"SCA";#N/A,#N/A,FALSE,"NCA";#N/A,#N/A,FALSE,"SAZ";#N/A,#N/A,FALSE,"CAZ";#N/A,#N/A,FALSE,"SNV";#N/A,#N/A,FALSE,"NNV";#N/A,#N/A,FALSE,"PP";#N/A,#N/A,FALSE,"SA"}</definedName>
    <definedName name="_18" localSheetId="16" hidden="1">{#N/A,#N/A,FALSE,"SCA";#N/A,#N/A,FALSE,"NCA";#N/A,#N/A,FALSE,"SAZ";#N/A,#N/A,FALSE,"CAZ";#N/A,#N/A,FALSE,"SNV";#N/A,#N/A,FALSE,"NNV";#N/A,#N/A,FALSE,"PP";#N/A,#N/A,FALSE,"SA"}</definedName>
    <definedName name="_18" localSheetId="17" hidden="1">{#N/A,#N/A,FALSE,"SCA";#N/A,#N/A,FALSE,"NCA";#N/A,#N/A,FALSE,"SAZ";#N/A,#N/A,FALSE,"CAZ";#N/A,#N/A,FALSE,"SNV";#N/A,#N/A,FALSE,"NNV";#N/A,#N/A,FALSE,"PP";#N/A,#N/A,FALSE,"SA"}</definedName>
    <definedName name="_18" localSheetId="19" hidden="1">{#N/A,#N/A,FALSE,"SCA";#N/A,#N/A,FALSE,"NCA";#N/A,#N/A,FALSE,"SAZ";#N/A,#N/A,FALSE,"CAZ";#N/A,#N/A,FALSE,"SNV";#N/A,#N/A,FALSE,"NNV";#N/A,#N/A,FALSE,"PP";#N/A,#N/A,FALSE,"SA"}</definedName>
    <definedName name="_18" localSheetId="20" hidden="1">{#N/A,#N/A,FALSE,"SCA";#N/A,#N/A,FALSE,"NCA";#N/A,#N/A,FALSE,"SAZ";#N/A,#N/A,FALSE,"CAZ";#N/A,#N/A,FALSE,"SNV";#N/A,#N/A,FALSE,"NNV";#N/A,#N/A,FALSE,"PP";#N/A,#N/A,FALSE,"SA"}</definedName>
    <definedName name="_18" localSheetId="21" hidden="1">{#N/A,#N/A,FALSE,"SCA";#N/A,#N/A,FALSE,"NCA";#N/A,#N/A,FALSE,"SAZ";#N/A,#N/A,FALSE,"CAZ";#N/A,#N/A,FALSE,"SNV";#N/A,#N/A,FALSE,"NNV";#N/A,#N/A,FALSE,"PP";#N/A,#N/A,FALSE,"SA"}</definedName>
    <definedName name="_18" localSheetId="22" hidden="1">{#N/A,#N/A,FALSE,"SCA";#N/A,#N/A,FALSE,"NCA";#N/A,#N/A,FALSE,"SAZ";#N/A,#N/A,FALSE,"CAZ";#N/A,#N/A,FALSE,"SNV";#N/A,#N/A,FALSE,"NNV";#N/A,#N/A,FALSE,"PP";#N/A,#N/A,FALSE,"SA"}</definedName>
    <definedName name="_18" localSheetId="23" hidden="1">{#N/A,#N/A,FALSE,"SCA";#N/A,#N/A,FALSE,"NCA";#N/A,#N/A,FALSE,"SAZ";#N/A,#N/A,FALSE,"CAZ";#N/A,#N/A,FALSE,"SNV";#N/A,#N/A,FALSE,"NNV";#N/A,#N/A,FALSE,"PP";#N/A,#N/A,FALSE,"SA"}</definedName>
    <definedName name="_18" localSheetId="24" hidden="1">{#N/A,#N/A,FALSE,"SCA";#N/A,#N/A,FALSE,"NCA";#N/A,#N/A,FALSE,"SAZ";#N/A,#N/A,FALSE,"CAZ";#N/A,#N/A,FALSE,"SNV";#N/A,#N/A,FALSE,"NNV";#N/A,#N/A,FALSE,"PP";#N/A,#N/A,FALSE,"SA"}</definedName>
    <definedName name="_18" hidden="1">{#N/A,#N/A,FALSE,"SCA";#N/A,#N/A,FALSE,"NCA";#N/A,#N/A,FALSE,"SAZ";#N/A,#N/A,FALSE,"CAZ";#N/A,#N/A,FALSE,"SNV";#N/A,#N/A,FALSE,"NNV";#N/A,#N/A,FALSE,"PP";#N/A,#N/A,FALSE,"SA"}</definedName>
    <definedName name="_19"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2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2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2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2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2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Q_0_Regressio" localSheetId="10" hidden="1">#REF!</definedName>
    <definedName name="_1Q_0_Regressio" localSheetId="11" hidden="1">#REF!</definedName>
    <definedName name="_1Q_0_Regressio" localSheetId="12" hidden="1">#REF!</definedName>
    <definedName name="_1Q_0_Regressio" localSheetId="16" hidden="1">#REF!</definedName>
    <definedName name="_1Q_0_Regressio" localSheetId="17" hidden="1">#REF!</definedName>
    <definedName name="_1Q_0_Regressio" localSheetId="21" hidden="1">#REF!</definedName>
    <definedName name="_1Q_0_Regressio" localSheetId="22" hidden="1">#REF!</definedName>
    <definedName name="_1Q_0_Regressio" localSheetId="23" hidden="1">#REF!</definedName>
    <definedName name="_1Q_0_Regressio" localSheetId="24" hidden="1">#REF!</definedName>
    <definedName name="_1Q_0_Regressio" hidden="1">#REF!</definedName>
    <definedName name="_2" localSheetId="10" hidden="1">{#N/A,#N/A,FALSE,"SCA";#N/A,#N/A,FALSE,"NCA";#N/A,#N/A,FALSE,"SAZ";#N/A,#N/A,FALSE,"CAZ";#N/A,#N/A,FALSE,"SNV";#N/A,#N/A,FALSE,"NNV";#N/A,#N/A,FALSE,"PP";#N/A,#N/A,FALSE,"SA"}</definedName>
    <definedName name="_2" localSheetId="11" hidden="1">{#N/A,#N/A,FALSE,"SCA";#N/A,#N/A,FALSE,"NCA";#N/A,#N/A,FALSE,"SAZ";#N/A,#N/A,FALSE,"CAZ";#N/A,#N/A,FALSE,"SNV";#N/A,#N/A,FALSE,"NNV";#N/A,#N/A,FALSE,"PP";#N/A,#N/A,FALSE,"SA"}</definedName>
    <definedName name="_2" localSheetId="12" hidden="1">{#N/A,#N/A,FALSE,"SCA";#N/A,#N/A,FALSE,"NCA";#N/A,#N/A,FALSE,"SAZ";#N/A,#N/A,FALSE,"CAZ";#N/A,#N/A,FALSE,"SNV";#N/A,#N/A,FALSE,"NNV";#N/A,#N/A,FALSE,"PP";#N/A,#N/A,FALSE,"SA"}</definedName>
    <definedName name="_2" localSheetId="16" hidden="1">{#N/A,#N/A,FALSE,"SCA";#N/A,#N/A,FALSE,"NCA";#N/A,#N/A,FALSE,"SAZ";#N/A,#N/A,FALSE,"CAZ";#N/A,#N/A,FALSE,"SNV";#N/A,#N/A,FALSE,"NNV";#N/A,#N/A,FALSE,"PP";#N/A,#N/A,FALSE,"SA"}</definedName>
    <definedName name="_2" localSheetId="17" hidden="1">{#N/A,#N/A,FALSE,"SCA";#N/A,#N/A,FALSE,"NCA";#N/A,#N/A,FALSE,"SAZ";#N/A,#N/A,FALSE,"CAZ";#N/A,#N/A,FALSE,"SNV";#N/A,#N/A,FALSE,"NNV";#N/A,#N/A,FALSE,"PP";#N/A,#N/A,FALSE,"SA"}</definedName>
    <definedName name="_2" localSheetId="19" hidden="1">{#N/A,#N/A,FALSE,"SCA";#N/A,#N/A,FALSE,"NCA";#N/A,#N/A,FALSE,"SAZ";#N/A,#N/A,FALSE,"CAZ";#N/A,#N/A,FALSE,"SNV";#N/A,#N/A,FALSE,"NNV";#N/A,#N/A,FALSE,"PP";#N/A,#N/A,FALSE,"SA"}</definedName>
    <definedName name="_2" localSheetId="20" hidden="1">{#N/A,#N/A,FALSE,"SCA";#N/A,#N/A,FALSE,"NCA";#N/A,#N/A,FALSE,"SAZ";#N/A,#N/A,FALSE,"CAZ";#N/A,#N/A,FALSE,"SNV";#N/A,#N/A,FALSE,"NNV";#N/A,#N/A,FALSE,"PP";#N/A,#N/A,FALSE,"SA"}</definedName>
    <definedName name="_2" localSheetId="21" hidden="1">{#N/A,#N/A,FALSE,"SCA";#N/A,#N/A,FALSE,"NCA";#N/A,#N/A,FALSE,"SAZ";#N/A,#N/A,FALSE,"CAZ";#N/A,#N/A,FALSE,"SNV";#N/A,#N/A,FALSE,"NNV";#N/A,#N/A,FALSE,"PP";#N/A,#N/A,FALSE,"SA"}</definedName>
    <definedName name="_2" localSheetId="22" hidden="1">{#N/A,#N/A,FALSE,"SCA";#N/A,#N/A,FALSE,"NCA";#N/A,#N/A,FALSE,"SAZ";#N/A,#N/A,FALSE,"CAZ";#N/A,#N/A,FALSE,"SNV";#N/A,#N/A,FALSE,"NNV";#N/A,#N/A,FALSE,"PP";#N/A,#N/A,FALSE,"SA"}</definedName>
    <definedName name="_2" localSheetId="23" hidden="1">{#N/A,#N/A,FALSE,"SCA";#N/A,#N/A,FALSE,"NCA";#N/A,#N/A,FALSE,"SAZ";#N/A,#N/A,FALSE,"CAZ";#N/A,#N/A,FALSE,"SNV";#N/A,#N/A,FALSE,"NNV";#N/A,#N/A,FALSE,"PP";#N/A,#N/A,FALSE,"SA"}</definedName>
    <definedName name="_2" localSheetId="24" hidden="1">{#N/A,#N/A,FALSE,"SCA";#N/A,#N/A,FALSE,"NCA";#N/A,#N/A,FALSE,"SAZ";#N/A,#N/A,FALSE,"CAZ";#N/A,#N/A,FALSE,"SNV";#N/A,#N/A,FALSE,"NNV";#N/A,#N/A,FALSE,"PP";#N/A,#N/A,FALSE,"SA"}</definedName>
    <definedName name="_2" hidden="1">{#N/A,#N/A,FALSE,"SCA";#N/A,#N/A,FALSE,"NCA";#N/A,#N/A,FALSE,"SAZ";#N/A,#N/A,FALSE,"CAZ";#N/A,#N/A,FALSE,"SNV";#N/A,#N/A,FALSE,"NNV";#N/A,#N/A,FALSE,"PP";#N/A,#N/A,FALSE,"SA"}</definedName>
    <definedName name="_2__123Graph_BYIELD_CURVES" localSheetId="12" hidden="1">[10]Yield_curve!#REF!</definedName>
    <definedName name="_2__123Graph_BYIELD_CURVES" hidden="1">[10]Yield_curve!#REF!</definedName>
    <definedName name="_20"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1" localSheetId="10" hidden="1">{"wp_h4.2",#N/A,FALSE,"WP_H4.2";"wp_h4.3",#N/A,FALSE,"WP_H4.3"}</definedName>
    <definedName name="_21" localSheetId="11" hidden="1">{"wp_h4.2",#N/A,FALSE,"WP_H4.2";"wp_h4.3",#N/A,FALSE,"WP_H4.3"}</definedName>
    <definedName name="_21" localSheetId="12" hidden="1">{"wp_h4.2",#N/A,FALSE,"WP_H4.2";"wp_h4.3",#N/A,FALSE,"WP_H4.3"}</definedName>
    <definedName name="_21" localSheetId="16" hidden="1">{"wp_h4.2",#N/A,FALSE,"WP_H4.2";"wp_h4.3",#N/A,FALSE,"WP_H4.3"}</definedName>
    <definedName name="_21" localSheetId="17" hidden="1">{"wp_h4.2",#N/A,FALSE,"WP_H4.2";"wp_h4.3",#N/A,FALSE,"WP_H4.3"}</definedName>
    <definedName name="_21" localSheetId="19" hidden="1">{"wp_h4.2",#N/A,FALSE,"WP_H4.2";"wp_h4.3",#N/A,FALSE,"WP_H4.3"}</definedName>
    <definedName name="_21" localSheetId="20" hidden="1">{"wp_h4.2",#N/A,FALSE,"WP_H4.2";"wp_h4.3",#N/A,FALSE,"WP_H4.3"}</definedName>
    <definedName name="_21" localSheetId="21" hidden="1">{"wp_h4.2",#N/A,FALSE,"WP_H4.2";"wp_h4.3",#N/A,FALSE,"WP_H4.3"}</definedName>
    <definedName name="_21" localSheetId="22" hidden="1">{"wp_h4.2",#N/A,FALSE,"WP_H4.2";"wp_h4.3",#N/A,FALSE,"WP_H4.3"}</definedName>
    <definedName name="_21" localSheetId="23" hidden="1">{"wp_h4.2",#N/A,FALSE,"WP_H4.2";"wp_h4.3",#N/A,FALSE,"WP_H4.3"}</definedName>
    <definedName name="_21" localSheetId="24" hidden="1">{"wp_h4.2",#N/A,FALSE,"WP_H4.2";"wp_h4.3",#N/A,FALSE,"WP_H4.3"}</definedName>
    <definedName name="_21" hidden="1">{"wp_h4.2",#N/A,FALSE,"WP_H4.2";"wp_h4.3",#N/A,FALSE,"WP_H4.3"}</definedName>
    <definedName name="_22" localSheetId="10" hidden="1">{#N/A,#N/A,TRUE,"1990";#N/A,#N/A,TRUE,"1991";#N/A,#N/A,TRUE,"1992";#N/A,#N/A,TRUE,"1993"}</definedName>
    <definedName name="_22" localSheetId="11" hidden="1">{#N/A,#N/A,TRUE,"1990";#N/A,#N/A,TRUE,"1991";#N/A,#N/A,TRUE,"1992";#N/A,#N/A,TRUE,"1993"}</definedName>
    <definedName name="_22" localSheetId="12" hidden="1">{#N/A,#N/A,TRUE,"1990";#N/A,#N/A,TRUE,"1991";#N/A,#N/A,TRUE,"1992";#N/A,#N/A,TRUE,"1993"}</definedName>
    <definedName name="_22" localSheetId="16" hidden="1">{#N/A,#N/A,TRUE,"1990";#N/A,#N/A,TRUE,"1991";#N/A,#N/A,TRUE,"1992";#N/A,#N/A,TRUE,"1993"}</definedName>
    <definedName name="_22" localSheetId="17" hidden="1">{#N/A,#N/A,TRUE,"1990";#N/A,#N/A,TRUE,"1991";#N/A,#N/A,TRUE,"1992";#N/A,#N/A,TRUE,"1993"}</definedName>
    <definedName name="_22" localSheetId="19" hidden="1">{#N/A,#N/A,TRUE,"1990";#N/A,#N/A,TRUE,"1991";#N/A,#N/A,TRUE,"1992";#N/A,#N/A,TRUE,"1993"}</definedName>
    <definedName name="_22" localSheetId="20" hidden="1">{#N/A,#N/A,TRUE,"1990";#N/A,#N/A,TRUE,"1991";#N/A,#N/A,TRUE,"1992";#N/A,#N/A,TRUE,"1993"}</definedName>
    <definedName name="_22" localSheetId="21" hidden="1">{#N/A,#N/A,TRUE,"1990";#N/A,#N/A,TRUE,"1991";#N/A,#N/A,TRUE,"1992";#N/A,#N/A,TRUE,"1993"}</definedName>
    <definedName name="_22" localSheetId="22" hidden="1">{#N/A,#N/A,TRUE,"1990";#N/A,#N/A,TRUE,"1991";#N/A,#N/A,TRUE,"1992";#N/A,#N/A,TRUE,"1993"}</definedName>
    <definedName name="_22" localSheetId="23" hidden="1">{#N/A,#N/A,TRUE,"1990";#N/A,#N/A,TRUE,"1991";#N/A,#N/A,TRUE,"1992";#N/A,#N/A,TRUE,"1993"}</definedName>
    <definedName name="_22" localSheetId="24" hidden="1">{#N/A,#N/A,TRUE,"1990";#N/A,#N/A,TRUE,"1991";#N/A,#N/A,TRUE,"1992";#N/A,#N/A,TRUE,"1993"}</definedName>
    <definedName name="_22" hidden="1">{#N/A,#N/A,TRUE,"1990";#N/A,#N/A,TRUE,"1991";#N/A,#N/A,TRUE,"1992";#N/A,#N/A,TRUE,"1993"}</definedName>
    <definedName name="_23"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4"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2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2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2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2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5" localSheetId="10" hidden="1">{"ARK_JURIS_FAC",#N/A,FALSE,"Ark_Fuel&amp;Rev"}</definedName>
    <definedName name="_25" localSheetId="11" hidden="1">{"ARK_JURIS_FAC",#N/A,FALSE,"Ark_Fuel&amp;Rev"}</definedName>
    <definedName name="_25" localSheetId="12" hidden="1">{"ARK_JURIS_FAC",#N/A,FALSE,"Ark_Fuel&amp;Rev"}</definedName>
    <definedName name="_25" localSheetId="16" hidden="1">{"ARK_JURIS_FAC",#N/A,FALSE,"Ark_Fuel&amp;Rev"}</definedName>
    <definedName name="_25" localSheetId="17" hidden="1">{"ARK_JURIS_FAC",#N/A,FALSE,"Ark_Fuel&amp;Rev"}</definedName>
    <definedName name="_25" localSheetId="19" hidden="1">{"ARK_JURIS_FAC",#N/A,FALSE,"Ark_Fuel&amp;Rev"}</definedName>
    <definedName name="_25" localSheetId="20" hidden="1">{"ARK_JURIS_FAC",#N/A,FALSE,"Ark_Fuel&amp;Rev"}</definedName>
    <definedName name="_25" localSheetId="21" hidden="1">{"ARK_JURIS_FAC",#N/A,FALSE,"Ark_Fuel&amp;Rev"}</definedName>
    <definedName name="_25" localSheetId="22" hidden="1">{"ARK_JURIS_FAC",#N/A,FALSE,"Ark_Fuel&amp;Rev"}</definedName>
    <definedName name="_25" localSheetId="23" hidden="1">{"ARK_JURIS_FAC",#N/A,FALSE,"Ark_Fuel&amp;Rev"}</definedName>
    <definedName name="_25" localSheetId="24" hidden="1">{"ARK_JURIS_FAC",#N/A,FALSE,"Ark_Fuel&amp;Rev"}</definedName>
    <definedName name="_25" hidden="1">{"ARK_JURIS_FAC",#N/A,FALSE,"Ark_Fuel&amp;Rev"}</definedName>
    <definedName name="_26" localSheetId="10" hidden="1">{"OMPA_FAC",#N/A,FALSE,"OMPA FAC"}</definedName>
    <definedName name="_26" localSheetId="11" hidden="1">{"OMPA_FAC",#N/A,FALSE,"OMPA FAC"}</definedName>
    <definedName name="_26" localSheetId="12" hidden="1">{"OMPA_FAC",#N/A,FALSE,"OMPA FAC"}</definedName>
    <definedName name="_26" localSheetId="16" hidden="1">{"OMPA_FAC",#N/A,FALSE,"OMPA FAC"}</definedName>
    <definedName name="_26" localSheetId="17" hidden="1">{"OMPA_FAC",#N/A,FALSE,"OMPA FAC"}</definedName>
    <definedName name="_26" localSheetId="19" hidden="1">{"OMPA_FAC",#N/A,FALSE,"OMPA FAC"}</definedName>
    <definedName name="_26" localSheetId="20" hidden="1">{"OMPA_FAC",#N/A,FALSE,"OMPA FAC"}</definedName>
    <definedName name="_26" localSheetId="21" hidden="1">{"OMPA_FAC",#N/A,FALSE,"OMPA FAC"}</definedName>
    <definedName name="_26" localSheetId="22" hidden="1">{"OMPA_FAC",#N/A,FALSE,"OMPA FAC"}</definedName>
    <definedName name="_26" localSheetId="23" hidden="1">{"OMPA_FAC",#N/A,FALSE,"OMPA FAC"}</definedName>
    <definedName name="_26" localSheetId="24" hidden="1">{"OMPA_FAC",#N/A,FALSE,"OMPA FAC"}</definedName>
    <definedName name="_26" hidden="1">{"OMPA_FAC",#N/A,FALSE,"OMPA FAC"}</definedName>
    <definedName name="_27"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2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2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2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2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2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8" localSheetId="10" hidden="1">{#N/A,#N/A,FALSE,"SCA";#N/A,#N/A,FALSE,"NCA";#N/A,#N/A,FALSE,"SAZ";#N/A,#N/A,FALSE,"CAZ";#N/A,#N/A,FALSE,"SNV";#N/A,#N/A,FALSE,"NNV";#N/A,#N/A,FALSE,"PP";#N/A,#N/A,FALSE,"SA"}</definedName>
    <definedName name="_28" localSheetId="11" hidden="1">{#N/A,#N/A,FALSE,"SCA";#N/A,#N/A,FALSE,"NCA";#N/A,#N/A,FALSE,"SAZ";#N/A,#N/A,FALSE,"CAZ";#N/A,#N/A,FALSE,"SNV";#N/A,#N/A,FALSE,"NNV";#N/A,#N/A,FALSE,"PP";#N/A,#N/A,FALSE,"SA"}</definedName>
    <definedName name="_28" localSheetId="12" hidden="1">{#N/A,#N/A,FALSE,"SCA";#N/A,#N/A,FALSE,"NCA";#N/A,#N/A,FALSE,"SAZ";#N/A,#N/A,FALSE,"CAZ";#N/A,#N/A,FALSE,"SNV";#N/A,#N/A,FALSE,"NNV";#N/A,#N/A,FALSE,"PP";#N/A,#N/A,FALSE,"SA"}</definedName>
    <definedName name="_28" localSheetId="16" hidden="1">{#N/A,#N/A,FALSE,"SCA";#N/A,#N/A,FALSE,"NCA";#N/A,#N/A,FALSE,"SAZ";#N/A,#N/A,FALSE,"CAZ";#N/A,#N/A,FALSE,"SNV";#N/A,#N/A,FALSE,"NNV";#N/A,#N/A,FALSE,"PP";#N/A,#N/A,FALSE,"SA"}</definedName>
    <definedName name="_28" localSheetId="17" hidden="1">{#N/A,#N/A,FALSE,"SCA";#N/A,#N/A,FALSE,"NCA";#N/A,#N/A,FALSE,"SAZ";#N/A,#N/A,FALSE,"CAZ";#N/A,#N/A,FALSE,"SNV";#N/A,#N/A,FALSE,"NNV";#N/A,#N/A,FALSE,"PP";#N/A,#N/A,FALSE,"SA"}</definedName>
    <definedName name="_28" localSheetId="19" hidden="1">{#N/A,#N/A,FALSE,"SCA";#N/A,#N/A,FALSE,"NCA";#N/A,#N/A,FALSE,"SAZ";#N/A,#N/A,FALSE,"CAZ";#N/A,#N/A,FALSE,"SNV";#N/A,#N/A,FALSE,"NNV";#N/A,#N/A,FALSE,"PP";#N/A,#N/A,FALSE,"SA"}</definedName>
    <definedName name="_28" localSheetId="20" hidden="1">{#N/A,#N/A,FALSE,"SCA";#N/A,#N/A,FALSE,"NCA";#N/A,#N/A,FALSE,"SAZ";#N/A,#N/A,FALSE,"CAZ";#N/A,#N/A,FALSE,"SNV";#N/A,#N/A,FALSE,"NNV";#N/A,#N/A,FALSE,"PP";#N/A,#N/A,FALSE,"SA"}</definedName>
    <definedName name="_28" localSheetId="21" hidden="1">{#N/A,#N/A,FALSE,"SCA";#N/A,#N/A,FALSE,"NCA";#N/A,#N/A,FALSE,"SAZ";#N/A,#N/A,FALSE,"CAZ";#N/A,#N/A,FALSE,"SNV";#N/A,#N/A,FALSE,"NNV";#N/A,#N/A,FALSE,"PP";#N/A,#N/A,FALSE,"SA"}</definedName>
    <definedName name="_28" localSheetId="22" hidden="1">{#N/A,#N/A,FALSE,"SCA";#N/A,#N/A,FALSE,"NCA";#N/A,#N/A,FALSE,"SAZ";#N/A,#N/A,FALSE,"CAZ";#N/A,#N/A,FALSE,"SNV";#N/A,#N/A,FALSE,"NNV";#N/A,#N/A,FALSE,"PP";#N/A,#N/A,FALSE,"SA"}</definedName>
    <definedName name="_28" localSheetId="23" hidden="1">{#N/A,#N/A,FALSE,"SCA";#N/A,#N/A,FALSE,"NCA";#N/A,#N/A,FALSE,"SAZ";#N/A,#N/A,FALSE,"CAZ";#N/A,#N/A,FALSE,"SNV";#N/A,#N/A,FALSE,"NNV";#N/A,#N/A,FALSE,"PP";#N/A,#N/A,FALSE,"SA"}</definedName>
    <definedName name="_28" localSheetId="24" hidden="1">{#N/A,#N/A,FALSE,"SCA";#N/A,#N/A,FALSE,"NCA";#N/A,#N/A,FALSE,"SAZ";#N/A,#N/A,FALSE,"CAZ";#N/A,#N/A,FALSE,"SNV";#N/A,#N/A,FALSE,"NNV";#N/A,#N/A,FALSE,"PP";#N/A,#N/A,FALSE,"SA"}</definedName>
    <definedName name="_28" hidden="1">{#N/A,#N/A,FALSE,"SCA";#N/A,#N/A,FALSE,"NCA";#N/A,#N/A,FALSE,"SAZ";#N/A,#N/A,FALSE,"CAZ";#N/A,#N/A,FALSE,"SNV";#N/A,#N/A,FALSE,"NNV";#N/A,#N/A,FALSE,"PP";#N/A,#N/A,FALSE,"SA"}</definedName>
    <definedName name="_29"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S_0_Regressio" localSheetId="10" hidden="1">#REF!</definedName>
    <definedName name="_2S_0_Regressio" localSheetId="11" hidden="1">#REF!</definedName>
    <definedName name="_2S_0_Regressio" localSheetId="12" hidden="1">#REF!</definedName>
    <definedName name="_2S_0_Regressio" localSheetId="16" hidden="1">#REF!</definedName>
    <definedName name="_2S_0_Regressio" localSheetId="17" hidden="1">#REF!</definedName>
    <definedName name="_2S_0_Regressio" localSheetId="21" hidden="1">#REF!</definedName>
    <definedName name="_2S_0_Regressio" localSheetId="22" hidden="1">#REF!</definedName>
    <definedName name="_2S_0_Regressio" localSheetId="23" hidden="1">#REF!</definedName>
    <definedName name="_2S_0_Regressio" localSheetId="24" hidden="1">#REF!</definedName>
    <definedName name="_2S_0_Regressio" hidden="1">#REF!</definedName>
    <definedName name="_3" localSheetId="10" hidden="1">{#N/A,#N/A,FALSE,"SCA";#N/A,#N/A,FALSE,"NCA";#N/A,#N/A,FALSE,"SAZ";#N/A,#N/A,FALSE,"CAZ";#N/A,#N/A,FALSE,"SNV";#N/A,#N/A,FALSE,"NNV";#N/A,#N/A,FALSE,"PP";#N/A,#N/A,FALSE,"SA"}</definedName>
    <definedName name="_3" localSheetId="11" hidden="1">{#N/A,#N/A,FALSE,"SCA";#N/A,#N/A,FALSE,"NCA";#N/A,#N/A,FALSE,"SAZ";#N/A,#N/A,FALSE,"CAZ";#N/A,#N/A,FALSE,"SNV";#N/A,#N/A,FALSE,"NNV";#N/A,#N/A,FALSE,"PP";#N/A,#N/A,FALSE,"SA"}</definedName>
    <definedName name="_3" localSheetId="12" hidden="1">{#N/A,#N/A,FALSE,"SCA";#N/A,#N/A,FALSE,"NCA";#N/A,#N/A,FALSE,"SAZ";#N/A,#N/A,FALSE,"CAZ";#N/A,#N/A,FALSE,"SNV";#N/A,#N/A,FALSE,"NNV";#N/A,#N/A,FALSE,"PP";#N/A,#N/A,FALSE,"SA"}</definedName>
    <definedName name="_3" localSheetId="16" hidden="1">{#N/A,#N/A,FALSE,"SCA";#N/A,#N/A,FALSE,"NCA";#N/A,#N/A,FALSE,"SAZ";#N/A,#N/A,FALSE,"CAZ";#N/A,#N/A,FALSE,"SNV";#N/A,#N/A,FALSE,"NNV";#N/A,#N/A,FALSE,"PP";#N/A,#N/A,FALSE,"SA"}</definedName>
    <definedName name="_3" localSheetId="17" hidden="1">{#N/A,#N/A,FALSE,"SCA";#N/A,#N/A,FALSE,"NCA";#N/A,#N/A,FALSE,"SAZ";#N/A,#N/A,FALSE,"CAZ";#N/A,#N/A,FALSE,"SNV";#N/A,#N/A,FALSE,"NNV";#N/A,#N/A,FALSE,"PP";#N/A,#N/A,FALSE,"SA"}</definedName>
    <definedName name="_3" localSheetId="19" hidden="1">{#N/A,#N/A,FALSE,"SCA";#N/A,#N/A,FALSE,"NCA";#N/A,#N/A,FALSE,"SAZ";#N/A,#N/A,FALSE,"CAZ";#N/A,#N/A,FALSE,"SNV";#N/A,#N/A,FALSE,"NNV";#N/A,#N/A,FALSE,"PP";#N/A,#N/A,FALSE,"SA"}</definedName>
    <definedName name="_3" localSheetId="20" hidden="1">{#N/A,#N/A,FALSE,"SCA";#N/A,#N/A,FALSE,"NCA";#N/A,#N/A,FALSE,"SAZ";#N/A,#N/A,FALSE,"CAZ";#N/A,#N/A,FALSE,"SNV";#N/A,#N/A,FALSE,"NNV";#N/A,#N/A,FALSE,"PP";#N/A,#N/A,FALSE,"SA"}</definedName>
    <definedName name="_3" localSheetId="21" hidden="1">{#N/A,#N/A,FALSE,"SCA";#N/A,#N/A,FALSE,"NCA";#N/A,#N/A,FALSE,"SAZ";#N/A,#N/A,FALSE,"CAZ";#N/A,#N/A,FALSE,"SNV";#N/A,#N/A,FALSE,"NNV";#N/A,#N/A,FALSE,"PP";#N/A,#N/A,FALSE,"SA"}</definedName>
    <definedName name="_3" localSheetId="22" hidden="1">{#N/A,#N/A,FALSE,"SCA";#N/A,#N/A,FALSE,"NCA";#N/A,#N/A,FALSE,"SAZ";#N/A,#N/A,FALSE,"CAZ";#N/A,#N/A,FALSE,"SNV";#N/A,#N/A,FALSE,"NNV";#N/A,#N/A,FALSE,"PP";#N/A,#N/A,FALSE,"SA"}</definedName>
    <definedName name="_3" localSheetId="23" hidden="1">{#N/A,#N/A,FALSE,"SCA";#N/A,#N/A,FALSE,"NCA";#N/A,#N/A,FALSE,"SAZ";#N/A,#N/A,FALSE,"CAZ";#N/A,#N/A,FALSE,"SNV";#N/A,#N/A,FALSE,"NNV";#N/A,#N/A,FALSE,"PP";#N/A,#N/A,FALSE,"SA"}</definedName>
    <definedName name="_3" localSheetId="24" hidden="1">{#N/A,#N/A,FALSE,"SCA";#N/A,#N/A,FALSE,"NCA";#N/A,#N/A,FALSE,"SAZ";#N/A,#N/A,FALSE,"CAZ";#N/A,#N/A,FALSE,"SNV";#N/A,#N/A,FALSE,"NNV";#N/A,#N/A,FALSE,"PP";#N/A,#N/A,FALSE,"SA"}</definedName>
    <definedName name="_3" hidden="1">{#N/A,#N/A,FALSE,"SCA";#N/A,#N/A,FALSE,"NCA";#N/A,#N/A,FALSE,"SAZ";#N/A,#N/A,FALSE,"CAZ";#N/A,#N/A,FALSE,"SNV";#N/A,#N/A,FALSE,"NNV";#N/A,#N/A,FALSE,"PP";#N/A,#N/A,FALSE,"SA"}</definedName>
    <definedName name="_3__123Graph_CYIELD_CURVES" localSheetId="12" hidden="1">[10]Yield_curve!#REF!</definedName>
    <definedName name="_3__123Graph_CYIELD_CURVES" hidden="1">[10]Yield_curve!#REF!</definedName>
    <definedName name="_30" localSheetId="10" hidden="1">{"caz2",#N/A,FALSE,"Central Arizona 2";"saz2",#N/A,FALSE,"Southern Arizona 2";"snv2",#N/A,FALSE,"Southern Nevada 2";"nnv2",#N/A,FALSE,"Northern Nevada 2";"sca2",#N/A,FALSE,"Southern California 2";"nca2",#N/A,FALSE,"Northern California 2";"pai2",#N/A,FALSE,"Paiute 2"}</definedName>
    <definedName name="_30" localSheetId="11" hidden="1">{"caz2",#N/A,FALSE,"Central Arizona 2";"saz2",#N/A,FALSE,"Southern Arizona 2";"snv2",#N/A,FALSE,"Southern Nevada 2";"nnv2",#N/A,FALSE,"Northern Nevada 2";"sca2",#N/A,FALSE,"Southern California 2";"nca2",#N/A,FALSE,"Northern California 2";"pai2",#N/A,FALSE,"Paiute 2"}</definedName>
    <definedName name="_30" localSheetId="12" hidden="1">{"caz2",#N/A,FALSE,"Central Arizona 2";"saz2",#N/A,FALSE,"Southern Arizona 2";"snv2",#N/A,FALSE,"Southern Nevada 2";"nnv2",#N/A,FALSE,"Northern Nevada 2";"sca2",#N/A,FALSE,"Southern California 2";"nca2",#N/A,FALSE,"Northern California 2";"pai2",#N/A,FALSE,"Paiute 2"}</definedName>
    <definedName name="_30" localSheetId="16" hidden="1">{"caz2",#N/A,FALSE,"Central Arizona 2";"saz2",#N/A,FALSE,"Southern Arizona 2";"snv2",#N/A,FALSE,"Southern Nevada 2";"nnv2",#N/A,FALSE,"Northern Nevada 2";"sca2",#N/A,FALSE,"Southern California 2";"nca2",#N/A,FALSE,"Northern California 2";"pai2",#N/A,FALSE,"Paiute 2"}</definedName>
    <definedName name="_30" localSheetId="17" hidden="1">{"caz2",#N/A,FALSE,"Central Arizona 2";"saz2",#N/A,FALSE,"Southern Arizona 2";"snv2",#N/A,FALSE,"Southern Nevada 2";"nnv2",#N/A,FALSE,"Northern Nevada 2";"sca2",#N/A,FALSE,"Southern California 2";"nca2",#N/A,FALSE,"Northern California 2";"pai2",#N/A,FALSE,"Paiute 2"}</definedName>
    <definedName name="_30" localSheetId="19" hidden="1">{"caz2",#N/A,FALSE,"Central Arizona 2";"saz2",#N/A,FALSE,"Southern Arizona 2";"snv2",#N/A,FALSE,"Southern Nevada 2";"nnv2",#N/A,FALSE,"Northern Nevada 2";"sca2",#N/A,FALSE,"Southern California 2";"nca2",#N/A,FALSE,"Northern California 2";"pai2",#N/A,FALSE,"Paiute 2"}</definedName>
    <definedName name="_30" localSheetId="20" hidden="1">{"caz2",#N/A,FALSE,"Central Arizona 2";"saz2",#N/A,FALSE,"Southern Arizona 2";"snv2",#N/A,FALSE,"Southern Nevada 2";"nnv2",#N/A,FALSE,"Northern Nevada 2";"sca2",#N/A,FALSE,"Southern California 2";"nca2",#N/A,FALSE,"Northern California 2";"pai2",#N/A,FALSE,"Paiute 2"}</definedName>
    <definedName name="_30" localSheetId="21" hidden="1">{"caz2",#N/A,FALSE,"Central Arizona 2";"saz2",#N/A,FALSE,"Southern Arizona 2";"snv2",#N/A,FALSE,"Southern Nevada 2";"nnv2",#N/A,FALSE,"Northern Nevada 2";"sca2",#N/A,FALSE,"Southern California 2";"nca2",#N/A,FALSE,"Northern California 2";"pai2",#N/A,FALSE,"Paiute 2"}</definedName>
    <definedName name="_30" localSheetId="22" hidden="1">{"caz2",#N/A,FALSE,"Central Arizona 2";"saz2",#N/A,FALSE,"Southern Arizona 2";"snv2",#N/A,FALSE,"Southern Nevada 2";"nnv2",#N/A,FALSE,"Northern Nevada 2";"sca2",#N/A,FALSE,"Southern California 2";"nca2",#N/A,FALSE,"Northern California 2";"pai2",#N/A,FALSE,"Paiute 2"}</definedName>
    <definedName name="_30" localSheetId="23" hidden="1">{"caz2",#N/A,FALSE,"Central Arizona 2";"saz2",#N/A,FALSE,"Southern Arizona 2";"snv2",#N/A,FALSE,"Southern Nevada 2";"nnv2",#N/A,FALSE,"Northern Nevada 2";"sca2",#N/A,FALSE,"Southern California 2";"nca2",#N/A,FALSE,"Northern California 2";"pai2",#N/A,FALSE,"Paiute 2"}</definedName>
    <definedName name="_30" localSheetId="24" hidden="1">{"caz2",#N/A,FALSE,"Central Arizona 2";"saz2",#N/A,FALSE,"Southern Arizona 2";"snv2",#N/A,FALSE,"Southern Nevada 2";"nnv2",#N/A,FALSE,"Northern Nevada 2";"sca2",#N/A,FALSE,"Southern California 2";"nca2",#N/A,FALSE,"Northern California 2";"pai2",#N/A,FALSE,"Paiute 2"}</definedName>
    <definedName name="_30" hidden="1">{"caz2",#N/A,FALSE,"Central Arizona 2";"saz2",#N/A,FALSE,"Southern Arizona 2";"snv2",#N/A,FALSE,"Southern Nevada 2";"nnv2",#N/A,FALSE,"Northern Nevada 2";"sca2",#N/A,FALSE,"Southern California 2";"nca2",#N/A,FALSE,"Northern California 2";"pai2",#N/A,FALSE,"Paiute 2"}</definedName>
    <definedName name="_31" localSheetId="10" hidden="1">{#N/A,#N/A,FALSE,"SCA";#N/A,#N/A,FALSE,"NCA";#N/A,#N/A,FALSE,"SAZ";#N/A,#N/A,FALSE,"CAZ";#N/A,#N/A,FALSE,"SNV";#N/A,#N/A,FALSE,"NNV";#N/A,#N/A,FALSE,"PP";#N/A,#N/A,FALSE,"SA"}</definedName>
    <definedName name="_31" localSheetId="11" hidden="1">{#N/A,#N/A,FALSE,"SCA";#N/A,#N/A,FALSE,"NCA";#N/A,#N/A,FALSE,"SAZ";#N/A,#N/A,FALSE,"CAZ";#N/A,#N/A,FALSE,"SNV";#N/A,#N/A,FALSE,"NNV";#N/A,#N/A,FALSE,"PP";#N/A,#N/A,FALSE,"SA"}</definedName>
    <definedName name="_31" localSheetId="12" hidden="1">{#N/A,#N/A,FALSE,"SCA";#N/A,#N/A,FALSE,"NCA";#N/A,#N/A,FALSE,"SAZ";#N/A,#N/A,FALSE,"CAZ";#N/A,#N/A,FALSE,"SNV";#N/A,#N/A,FALSE,"NNV";#N/A,#N/A,FALSE,"PP";#N/A,#N/A,FALSE,"SA"}</definedName>
    <definedName name="_31" localSheetId="16" hidden="1">{#N/A,#N/A,FALSE,"SCA";#N/A,#N/A,FALSE,"NCA";#N/A,#N/A,FALSE,"SAZ";#N/A,#N/A,FALSE,"CAZ";#N/A,#N/A,FALSE,"SNV";#N/A,#N/A,FALSE,"NNV";#N/A,#N/A,FALSE,"PP";#N/A,#N/A,FALSE,"SA"}</definedName>
    <definedName name="_31" localSheetId="17" hidden="1">{#N/A,#N/A,FALSE,"SCA";#N/A,#N/A,FALSE,"NCA";#N/A,#N/A,FALSE,"SAZ";#N/A,#N/A,FALSE,"CAZ";#N/A,#N/A,FALSE,"SNV";#N/A,#N/A,FALSE,"NNV";#N/A,#N/A,FALSE,"PP";#N/A,#N/A,FALSE,"SA"}</definedName>
    <definedName name="_31" localSheetId="19" hidden="1">{#N/A,#N/A,FALSE,"SCA";#N/A,#N/A,FALSE,"NCA";#N/A,#N/A,FALSE,"SAZ";#N/A,#N/A,FALSE,"CAZ";#N/A,#N/A,FALSE,"SNV";#N/A,#N/A,FALSE,"NNV";#N/A,#N/A,FALSE,"PP";#N/A,#N/A,FALSE,"SA"}</definedName>
    <definedName name="_31" localSheetId="20" hidden="1">{#N/A,#N/A,FALSE,"SCA";#N/A,#N/A,FALSE,"NCA";#N/A,#N/A,FALSE,"SAZ";#N/A,#N/A,FALSE,"CAZ";#N/A,#N/A,FALSE,"SNV";#N/A,#N/A,FALSE,"NNV";#N/A,#N/A,FALSE,"PP";#N/A,#N/A,FALSE,"SA"}</definedName>
    <definedName name="_31" localSheetId="21" hidden="1">{#N/A,#N/A,FALSE,"SCA";#N/A,#N/A,FALSE,"NCA";#N/A,#N/A,FALSE,"SAZ";#N/A,#N/A,FALSE,"CAZ";#N/A,#N/A,FALSE,"SNV";#N/A,#N/A,FALSE,"NNV";#N/A,#N/A,FALSE,"PP";#N/A,#N/A,FALSE,"SA"}</definedName>
    <definedName name="_31" localSheetId="22" hidden="1">{#N/A,#N/A,FALSE,"SCA";#N/A,#N/A,FALSE,"NCA";#N/A,#N/A,FALSE,"SAZ";#N/A,#N/A,FALSE,"CAZ";#N/A,#N/A,FALSE,"SNV";#N/A,#N/A,FALSE,"NNV";#N/A,#N/A,FALSE,"PP";#N/A,#N/A,FALSE,"SA"}</definedName>
    <definedName name="_31" localSheetId="23" hidden="1">{#N/A,#N/A,FALSE,"SCA";#N/A,#N/A,FALSE,"NCA";#N/A,#N/A,FALSE,"SAZ";#N/A,#N/A,FALSE,"CAZ";#N/A,#N/A,FALSE,"SNV";#N/A,#N/A,FALSE,"NNV";#N/A,#N/A,FALSE,"PP";#N/A,#N/A,FALSE,"SA"}</definedName>
    <definedName name="_31" localSheetId="24" hidden="1">{#N/A,#N/A,FALSE,"SCA";#N/A,#N/A,FALSE,"NCA";#N/A,#N/A,FALSE,"SAZ";#N/A,#N/A,FALSE,"CAZ";#N/A,#N/A,FALSE,"SNV";#N/A,#N/A,FALSE,"NNV";#N/A,#N/A,FALSE,"PP";#N/A,#N/A,FALSE,"SA"}</definedName>
    <definedName name="_31" hidden="1">{#N/A,#N/A,FALSE,"SCA";#N/A,#N/A,FALSE,"NCA";#N/A,#N/A,FALSE,"SAZ";#N/A,#N/A,FALSE,"CAZ";#N/A,#N/A,FALSE,"SNV";#N/A,#N/A,FALSE,"NNV";#N/A,#N/A,FALSE,"PP";#N/A,#N/A,FALSE,"SA"}</definedName>
    <definedName name="_32" localSheetId="10" hidden="1">{#N/A,#N/A,FALSE,"SCA";#N/A,#N/A,FALSE,"NCA";#N/A,#N/A,FALSE,"SAZ";#N/A,#N/A,FALSE,"CAZ";#N/A,#N/A,FALSE,"SNV";#N/A,#N/A,FALSE,"NNV";#N/A,#N/A,FALSE,"PP";#N/A,#N/A,FALSE,"SA"}</definedName>
    <definedName name="_32" localSheetId="11" hidden="1">{#N/A,#N/A,FALSE,"SCA";#N/A,#N/A,FALSE,"NCA";#N/A,#N/A,FALSE,"SAZ";#N/A,#N/A,FALSE,"CAZ";#N/A,#N/A,FALSE,"SNV";#N/A,#N/A,FALSE,"NNV";#N/A,#N/A,FALSE,"PP";#N/A,#N/A,FALSE,"SA"}</definedName>
    <definedName name="_32" localSheetId="12" hidden="1">{#N/A,#N/A,FALSE,"SCA";#N/A,#N/A,FALSE,"NCA";#N/A,#N/A,FALSE,"SAZ";#N/A,#N/A,FALSE,"CAZ";#N/A,#N/A,FALSE,"SNV";#N/A,#N/A,FALSE,"NNV";#N/A,#N/A,FALSE,"PP";#N/A,#N/A,FALSE,"SA"}</definedName>
    <definedName name="_32" localSheetId="16" hidden="1">{#N/A,#N/A,FALSE,"SCA";#N/A,#N/A,FALSE,"NCA";#N/A,#N/A,FALSE,"SAZ";#N/A,#N/A,FALSE,"CAZ";#N/A,#N/A,FALSE,"SNV";#N/A,#N/A,FALSE,"NNV";#N/A,#N/A,FALSE,"PP";#N/A,#N/A,FALSE,"SA"}</definedName>
    <definedName name="_32" localSheetId="17" hidden="1">{#N/A,#N/A,FALSE,"SCA";#N/A,#N/A,FALSE,"NCA";#N/A,#N/A,FALSE,"SAZ";#N/A,#N/A,FALSE,"CAZ";#N/A,#N/A,FALSE,"SNV";#N/A,#N/A,FALSE,"NNV";#N/A,#N/A,FALSE,"PP";#N/A,#N/A,FALSE,"SA"}</definedName>
    <definedName name="_32" localSheetId="19" hidden="1">{#N/A,#N/A,FALSE,"SCA";#N/A,#N/A,FALSE,"NCA";#N/A,#N/A,FALSE,"SAZ";#N/A,#N/A,FALSE,"CAZ";#N/A,#N/A,FALSE,"SNV";#N/A,#N/A,FALSE,"NNV";#N/A,#N/A,FALSE,"PP";#N/A,#N/A,FALSE,"SA"}</definedName>
    <definedName name="_32" localSheetId="20" hidden="1">{#N/A,#N/A,FALSE,"SCA";#N/A,#N/A,FALSE,"NCA";#N/A,#N/A,FALSE,"SAZ";#N/A,#N/A,FALSE,"CAZ";#N/A,#N/A,FALSE,"SNV";#N/A,#N/A,FALSE,"NNV";#N/A,#N/A,FALSE,"PP";#N/A,#N/A,FALSE,"SA"}</definedName>
    <definedName name="_32" localSheetId="21" hidden="1">{#N/A,#N/A,FALSE,"SCA";#N/A,#N/A,FALSE,"NCA";#N/A,#N/A,FALSE,"SAZ";#N/A,#N/A,FALSE,"CAZ";#N/A,#N/A,FALSE,"SNV";#N/A,#N/A,FALSE,"NNV";#N/A,#N/A,FALSE,"PP";#N/A,#N/A,FALSE,"SA"}</definedName>
    <definedName name="_32" localSheetId="22" hidden="1">{#N/A,#N/A,FALSE,"SCA";#N/A,#N/A,FALSE,"NCA";#N/A,#N/A,FALSE,"SAZ";#N/A,#N/A,FALSE,"CAZ";#N/A,#N/A,FALSE,"SNV";#N/A,#N/A,FALSE,"NNV";#N/A,#N/A,FALSE,"PP";#N/A,#N/A,FALSE,"SA"}</definedName>
    <definedName name="_32" localSheetId="23" hidden="1">{#N/A,#N/A,FALSE,"SCA";#N/A,#N/A,FALSE,"NCA";#N/A,#N/A,FALSE,"SAZ";#N/A,#N/A,FALSE,"CAZ";#N/A,#N/A,FALSE,"SNV";#N/A,#N/A,FALSE,"NNV";#N/A,#N/A,FALSE,"PP";#N/A,#N/A,FALSE,"SA"}</definedName>
    <definedName name="_32" localSheetId="24" hidden="1">{#N/A,#N/A,FALSE,"SCA";#N/A,#N/A,FALSE,"NCA";#N/A,#N/A,FALSE,"SAZ";#N/A,#N/A,FALSE,"CAZ";#N/A,#N/A,FALSE,"SNV";#N/A,#N/A,FALSE,"NNV";#N/A,#N/A,FALSE,"PP";#N/A,#N/A,FALSE,"SA"}</definedName>
    <definedName name="_32" hidden="1">{#N/A,#N/A,FALSE,"SCA";#N/A,#N/A,FALSE,"NCA";#N/A,#N/A,FALSE,"SAZ";#N/A,#N/A,FALSE,"CAZ";#N/A,#N/A,FALSE,"SNV";#N/A,#N/A,FALSE,"NNV";#N/A,#N/A,FALSE,"PP";#N/A,#N/A,FALSE,"SA"}</definedName>
    <definedName name="_33" localSheetId="10" hidden="1">{"ARK_JURIS_FUEL",#N/A,FALSE,"Ark_Fuel&amp;Rev"}</definedName>
    <definedName name="_33" localSheetId="11" hidden="1">{"ARK_JURIS_FUEL",#N/A,FALSE,"Ark_Fuel&amp;Rev"}</definedName>
    <definedName name="_33" localSheetId="12" hidden="1">{"ARK_JURIS_FUEL",#N/A,FALSE,"Ark_Fuel&amp;Rev"}</definedName>
    <definedName name="_33" localSheetId="16" hidden="1">{"ARK_JURIS_FUEL",#N/A,FALSE,"Ark_Fuel&amp;Rev"}</definedName>
    <definedName name="_33" localSheetId="17" hidden="1">{"ARK_JURIS_FUEL",#N/A,FALSE,"Ark_Fuel&amp;Rev"}</definedName>
    <definedName name="_33" localSheetId="19" hidden="1">{"ARK_JURIS_FUEL",#N/A,FALSE,"Ark_Fuel&amp;Rev"}</definedName>
    <definedName name="_33" localSheetId="20" hidden="1">{"ARK_JURIS_FUEL",#N/A,FALSE,"Ark_Fuel&amp;Rev"}</definedName>
    <definedName name="_33" localSheetId="21" hidden="1">{"ARK_JURIS_FUEL",#N/A,FALSE,"Ark_Fuel&amp;Rev"}</definedName>
    <definedName name="_33" localSheetId="22" hidden="1">{"ARK_JURIS_FUEL",#N/A,FALSE,"Ark_Fuel&amp;Rev"}</definedName>
    <definedName name="_33" localSheetId="23" hidden="1">{"ARK_JURIS_FUEL",#N/A,FALSE,"Ark_Fuel&amp;Rev"}</definedName>
    <definedName name="_33" localSheetId="24" hidden="1">{"ARK_JURIS_FUEL",#N/A,FALSE,"Ark_Fuel&amp;Rev"}</definedName>
    <definedName name="_33" hidden="1">{"ARK_JURIS_FUEL",#N/A,FALSE,"Ark_Fuel&amp;Rev"}</definedName>
    <definedName name="_34" localSheetId="10" hidden="1">{#N/A,#N/A,FALSE,"SCA";#N/A,#N/A,FALSE,"NCA";#N/A,#N/A,FALSE,"SAZ";#N/A,#N/A,FALSE,"CAZ";#N/A,#N/A,FALSE,"SNV";#N/A,#N/A,FALSE,"NNV";#N/A,#N/A,FALSE,"PP";#N/A,#N/A,FALSE,"SA"}</definedName>
    <definedName name="_34" localSheetId="11" hidden="1">{#N/A,#N/A,FALSE,"SCA";#N/A,#N/A,FALSE,"NCA";#N/A,#N/A,FALSE,"SAZ";#N/A,#N/A,FALSE,"CAZ";#N/A,#N/A,FALSE,"SNV";#N/A,#N/A,FALSE,"NNV";#N/A,#N/A,FALSE,"PP";#N/A,#N/A,FALSE,"SA"}</definedName>
    <definedName name="_34" localSheetId="12" hidden="1">{#N/A,#N/A,FALSE,"SCA";#N/A,#N/A,FALSE,"NCA";#N/A,#N/A,FALSE,"SAZ";#N/A,#N/A,FALSE,"CAZ";#N/A,#N/A,FALSE,"SNV";#N/A,#N/A,FALSE,"NNV";#N/A,#N/A,FALSE,"PP";#N/A,#N/A,FALSE,"SA"}</definedName>
    <definedName name="_34" localSheetId="16" hidden="1">{#N/A,#N/A,FALSE,"SCA";#N/A,#N/A,FALSE,"NCA";#N/A,#N/A,FALSE,"SAZ";#N/A,#N/A,FALSE,"CAZ";#N/A,#N/A,FALSE,"SNV";#N/A,#N/A,FALSE,"NNV";#N/A,#N/A,FALSE,"PP";#N/A,#N/A,FALSE,"SA"}</definedName>
    <definedName name="_34" localSheetId="17" hidden="1">{#N/A,#N/A,FALSE,"SCA";#N/A,#N/A,FALSE,"NCA";#N/A,#N/A,FALSE,"SAZ";#N/A,#N/A,FALSE,"CAZ";#N/A,#N/A,FALSE,"SNV";#N/A,#N/A,FALSE,"NNV";#N/A,#N/A,FALSE,"PP";#N/A,#N/A,FALSE,"SA"}</definedName>
    <definedName name="_34" localSheetId="19" hidden="1">{#N/A,#N/A,FALSE,"SCA";#N/A,#N/A,FALSE,"NCA";#N/A,#N/A,FALSE,"SAZ";#N/A,#N/A,FALSE,"CAZ";#N/A,#N/A,FALSE,"SNV";#N/A,#N/A,FALSE,"NNV";#N/A,#N/A,FALSE,"PP";#N/A,#N/A,FALSE,"SA"}</definedName>
    <definedName name="_34" localSheetId="20" hidden="1">{#N/A,#N/A,FALSE,"SCA";#N/A,#N/A,FALSE,"NCA";#N/A,#N/A,FALSE,"SAZ";#N/A,#N/A,FALSE,"CAZ";#N/A,#N/A,FALSE,"SNV";#N/A,#N/A,FALSE,"NNV";#N/A,#N/A,FALSE,"PP";#N/A,#N/A,FALSE,"SA"}</definedName>
    <definedName name="_34" localSheetId="21" hidden="1">{#N/A,#N/A,FALSE,"SCA";#N/A,#N/A,FALSE,"NCA";#N/A,#N/A,FALSE,"SAZ";#N/A,#N/A,FALSE,"CAZ";#N/A,#N/A,FALSE,"SNV";#N/A,#N/A,FALSE,"NNV";#N/A,#N/A,FALSE,"PP";#N/A,#N/A,FALSE,"SA"}</definedName>
    <definedName name="_34" localSheetId="22" hidden="1">{#N/A,#N/A,FALSE,"SCA";#N/A,#N/A,FALSE,"NCA";#N/A,#N/A,FALSE,"SAZ";#N/A,#N/A,FALSE,"CAZ";#N/A,#N/A,FALSE,"SNV";#N/A,#N/A,FALSE,"NNV";#N/A,#N/A,FALSE,"PP";#N/A,#N/A,FALSE,"SA"}</definedName>
    <definedName name="_34" localSheetId="23" hidden="1">{#N/A,#N/A,FALSE,"SCA";#N/A,#N/A,FALSE,"NCA";#N/A,#N/A,FALSE,"SAZ";#N/A,#N/A,FALSE,"CAZ";#N/A,#N/A,FALSE,"SNV";#N/A,#N/A,FALSE,"NNV";#N/A,#N/A,FALSE,"PP";#N/A,#N/A,FALSE,"SA"}</definedName>
    <definedName name="_34" localSheetId="24" hidden="1">{#N/A,#N/A,FALSE,"SCA";#N/A,#N/A,FALSE,"NCA";#N/A,#N/A,FALSE,"SAZ";#N/A,#N/A,FALSE,"CAZ";#N/A,#N/A,FALSE,"SNV";#N/A,#N/A,FALSE,"NNV";#N/A,#N/A,FALSE,"PP";#N/A,#N/A,FALSE,"SA"}</definedName>
    <definedName name="_34" hidden="1">{#N/A,#N/A,FALSE,"SCA";#N/A,#N/A,FALSE,"NCA";#N/A,#N/A,FALSE,"SAZ";#N/A,#N/A,FALSE,"CAZ";#N/A,#N/A,FALSE,"SNV";#N/A,#N/A,FALSE,"NNV";#N/A,#N/A,FALSE,"PP";#N/A,#N/A,FALSE,"SA"}</definedName>
    <definedName name="_35" localSheetId="10" hidden="1">{#N/A,#N/A,TRUE,"1990";#N/A,#N/A,TRUE,"1991";#N/A,#N/A,TRUE,"1992";#N/A,#N/A,TRUE,"1993"}</definedName>
    <definedName name="_35" localSheetId="11" hidden="1">{#N/A,#N/A,TRUE,"1990";#N/A,#N/A,TRUE,"1991";#N/A,#N/A,TRUE,"1992";#N/A,#N/A,TRUE,"1993"}</definedName>
    <definedName name="_35" localSheetId="12" hidden="1">{#N/A,#N/A,TRUE,"1990";#N/A,#N/A,TRUE,"1991";#N/A,#N/A,TRUE,"1992";#N/A,#N/A,TRUE,"1993"}</definedName>
    <definedName name="_35" localSheetId="16" hidden="1">{#N/A,#N/A,TRUE,"1990";#N/A,#N/A,TRUE,"1991";#N/A,#N/A,TRUE,"1992";#N/A,#N/A,TRUE,"1993"}</definedName>
    <definedName name="_35" localSheetId="17" hidden="1">{#N/A,#N/A,TRUE,"1990";#N/A,#N/A,TRUE,"1991";#N/A,#N/A,TRUE,"1992";#N/A,#N/A,TRUE,"1993"}</definedName>
    <definedName name="_35" localSheetId="19" hidden="1">{#N/A,#N/A,TRUE,"1990";#N/A,#N/A,TRUE,"1991";#N/A,#N/A,TRUE,"1992";#N/A,#N/A,TRUE,"1993"}</definedName>
    <definedName name="_35" localSheetId="20" hidden="1">{#N/A,#N/A,TRUE,"1990";#N/A,#N/A,TRUE,"1991";#N/A,#N/A,TRUE,"1992";#N/A,#N/A,TRUE,"1993"}</definedName>
    <definedName name="_35" localSheetId="21" hidden="1">{#N/A,#N/A,TRUE,"1990";#N/A,#N/A,TRUE,"1991";#N/A,#N/A,TRUE,"1992";#N/A,#N/A,TRUE,"1993"}</definedName>
    <definedName name="_35" localSheetId="22" hidden="1">{#N/A,#N/A,TRUE,"1990";#N/A,#N/A,TRUE,"1991";#N/A,#N/A,TRUE,"1992";#N/A,#N/A,TRUE,"1993"}</definedName>
    <definedName name="_35" localSheetId="23" hidden="1">{#N/A,#N/A,TRUE,"1990";#N/A,#N/A,TRUE,"1991";#N/A,#N/A,TRUE,"1992";#N/A,#N/A,TRUE,"1993"}</definedName>
    <definedName name="_35" localSheetId="24" hidden="1">{#N/A,#N/A,TRUE,"1990";#N/A,#N/A,TRUE,"1991";#N/A,#N/A,TRUE,"1992";#N/A,#N/A,TRUE,"1993"}</definedName>
    <definedName name="_35" hidden="1">{#N/A,#N/A,TRUE,"1990";#N/A,#N/A,TRUE,"1991";#N/A,#N/A,TRUE,"1992";#N/A,#N/A,TRUE,"1993"}</definedName>
    <definedName name="_36" localSheetId="10" hidden="1">{"summary",#N/A,TRUE,"E93ADJ";"detail",#N/A,TRUE,"E93ADJ"}</definedName>
    <definedName name="_36" localSheetId="11" hidden="1">{"summary",#N/A,TRUE,"E93ADJ";"detail",#N/A,TRUE,"E93ADJ"}</definedName>
    <definedName name="_36" localSheetId="12" hidden="1">{"summary",#N/A,TRUE,"E93ADJ";"detail",#N/A,TRUE,"E93ADJ"}</definedName>
    <definedName name="_36" localSheetId="16" hidden="1">{"summary",#N/A,TRUE,"E93ADJ";"detail",#N/A,TRUE,"E93ADJ"}</definedName>
    <definedName name="_36" localSheetId="17" hidden="1">{"summary",#N/A,TRUE,"E93ADJ";"detail",#N/A,TRUE,"E93ADJ"}</definedName>
    <definedName name="_36" localSheetId="19" hidden="1">{"summary",#N/A,TRUE,"E93ADJ";"detail",#N/A,TRUE,"E93ADJ"}</definedName>
    <definedName name="_36" localSheetId="20" hidden="1">{"summary",#N/A,TRUE,"E93ADJ";"detail",#N/A,TRUE,"E93ADJ"}</definedName>
    <definedName name="_36" localSheetId="21" hidden="1">{"summary",#N/A,TRUE,"E93ADJ";"detail",#N/A,TRUE,"E93ADJ"}</definedName>
    <definedName name="_36" localSheetId="22" hidden="1">{"summary",#N/A,TRUE,"E93ADJ";"detail",#N/A,TRUE,"E93ADJ"}</definedName>
    <definedName name="_36" localSheetId="23" hidden="1">{"summary",#N/A,TRUE,"E93ADJ";"detail",#N/A,TRUE,"E93ADJ"}</definedName>
    <definedName name="_36" localSheetId="24" hidden="1">{"summary",#N/A,TRUE,"E93ADJ";"detail",#N/A,TRUE,"E93ADJ"}</definedName>
    <definedName name="_36" hidden="1">{"summary",#N/A,TRUE,"E93ADJ";"detail",#N/A,TRUE,"E93ADJ"}</definedName>
    <definedName name="_37"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8"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2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2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2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2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2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9" localSheetId="10" hidden="1">{"summary",#N/A,TRUE,"E93ADJ";"detail",#N/A,TRUE,"E93ADJ"}</definedName>
    <definedName name="_39" localSheetId="11" hidden="1">{"summary",#N/A,TRUE,"E93ADJ";"detail",#N/A,TRUE,"E93ADJ"}</definedName>
    <definedName name="_39" localSheetId="12" hidden="1">{"summary",#N/A,TRUE,"E93ADJ";"detail",#N/A,TRUE,"E93ADJ"}</definedName>
    <definedName name="_39" localSheetId="16" hidden="1">{"summary",#N/A,TRUE,"E93ADJ";"detail",#N/A,TRUE,"E93ADJ"}</definedName>
    <definedName name="_39" localSheetId="17" hidden="1">{"summary",#N/A,TRUE,"E93ADJ";"detail",#N/A,TRUE,"E93ADJ"}</definedName>
    <definedName name="_39" localSheetId="19" hidden="1">{"summary",#N/A,TRUE,"E93ADJ";"detail",#N/A,TRUE,"E93ADJ"}</definedName>
    <definedName name="_39" localSheetId="20" hidden="1">{"summary",#N/A,TRUE,"E93ADJ";"detail",#N/A,TRUE,"E93ADJ"}</definedName>
    <definedName name="_39" localSheetId="21" hidden="1">{"summary",#N/A,TRUE,"E93ADJ";"detail",#N/A,TRUE,"E93ADJ"}</definedName>
    <definedName name="_39" localSheetId="22" hidden="1">{"summary",#N/A,TRUE,"E93ADJ";"detail",#N/A,TRUE,"E93ADJ"}</definedName>
    <definedName name="_39" localSheetId="23" hidden="1">{"summary",#N/A,TRUE,"E93ADJ";"detail",#N/A,TRUE,"E93ADJ"}</definedName>
    <definedName name="_39" localSheetId="24" hidden="1">{"summary",#N/A,TRUE,"E93ADJ";"detail",#N/A,TRUE,"E93ADJ"}</definedName>
    <definedName name="_39" hidden="1">{"summary",#N/A,TRUE,"E93ADJ";"detail",#N/A,TRUE,"E93ADJ"}</definedName>
    <definedName name="_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__123Graph_DYIELD_CURVES" localSheetId="12" hidden="1">[10]Yield_curve!#REF!</definedName>
    <definedName name="_4__123Graph_DYIELD_CURVES" hidden="1">[10]Yield_curve!#REF!</definedName>
    <definedName name="_4_0__123Grap" localSheetId="10" hidden="1">'[11]Plant in Ser'!#REF!</definedName>
    <definedName name="_4_0__123Grap" localSheetId="11" hidden="1">'[1]Plant in Ser'!#REF!</definedName>
    <definedName name="_4_0__123Grap" localSheetId="12" hidden="1">'[11]Plant in Ser'!#REF!</definedName>
    <definedName name="_4_0__123Grap" localSheetId="21" hidden="1">'[11]Plant in Ser'!#REF!</definedName>
    <definedName name="_4_0__123Grap" localSheetId="23" hidden="1">'[11]Plant in Ser'!#REF!</definedName>
    <definedName name="_4_0__123Grap" hidden="1">'[1]Plant in Ser'!#REF!</definedName>
    <definedName name="_40" localSheetId="10" hidden="1">{"ARK_JURIS_FUEL",#N/A,FALSE,"Ark_Fuel&amp;Rev"}</definedName>
    <definedName name="_40" localSheetId="11" hidden="1">{"ARK_JURIS_FUEL",#N/A,FALSE,"Ark_Fuel&amp;Rev"}</definedName>
    <definedName name="_40" localSheetId="12" hidden="1">{"ARK_JURIS_FUEL",#N/A,FALSE,"Ark_Fuel&amp;Rev"}</definedName>
    <definedName name="_40" localSheetId="16" hidden="1">{"ARK_JURIS_FUEL",#N/A,FALSE,"Ark_Fuel&amp;Rev"}</definedName>
    <definedName name="_40" localSheetId="17" hidden="1">{"ARK_JURIS_FUEL",#N/A,FALSE,"Ark_Fuel&amp;Rev"}</definedName>
    <definedName name="_40" localSheetId="19" hidden="1">{"ARK_JURIS_FUEL",#N/A,FALSE,"Ark_Fuel&amp;Rev"}</definedName>
    <definedName name="_40" localSheetId="20" hidden="1">{"ARK_JURIS_FUEL",#N/A,FALSE,"Ark_Fuel&amp;Rev"}</definedName>
    <definedName name="_40" localSheetId="21" hidden="1">{"ARK_JURIS_FUEL",#N/A,FALSE,"Ark_Fuel&amp;Rev"}</definedName>
    <definedName name="_40" localSheetId="22" hidden="1">{"ARK_JURIS_FUEL",#N/A,FALSE,"Ark_Fuel&amp;Rev"}</definedName>
    <definedName name="_40" localSheetId="23" hidden="1">{"ARK_JURIS_FUEL",#N/A,FALSE,"Ark_Fuel&amp;Rev"}</definedName>
    <definedName name="_40" localSheetId="24" hidden="1">{"ARK_JURIS_FUEL",#N/A,FALSE,"Ark_Fuel&amp;Rev"}</definedName>
    <definedName name="_40" hidden="1">{"ARK_JURIS_FUEL",#N/A,FALSE,"Ark_Fuel&amp;Rev"}</definedName>
    <definedName name="_41"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2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2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2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2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2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2" localSheetId="10" hidden="1">{#N/A,#N/A,TRUE,"1990";#N/A,#N/A,TRUE,"1991";#N/A,#N/A,TRUE,"1992";#N/A,#N/A,TRUE,"1993"}</definedName>
    <definedName name="_42" localSheetId="11" hidden="1">{#N/A,#N/A,TRUE,"1990";#N/A,#N/A,TRUE,"1991";#N/A,#N/A,TRUE,"1992";#N/A,#N/A,TRUE,"1993"}</definedName>
    <definedName name="_42" localSheetId="12" hidden="1">{#N/A,#N/A,TRUE,"1990";#N/A,#N/A,TRUE,"1991";#N/A,#N/A,TRUE,"1992";#N/A,#N/A,TRUE,"1993"}</definedName>
    <definedName name="_42" localSheetId="16" hidden="1">{#N/A,#N/A,TRUE,"1990";#N/A,#N/A,TRUE,"1991";#N/A,#N/A,TRUE,"1992";#N/A,#N/A,TRUE,"1993"}</definedName>
    <definedName name="_42" localSheetId="17" hidden="1">{#N/A,#N/A,TRUE,"1990";#N/A,#N/A,TRUE,"1991";#N/A,#N/A,TRUE,"1992";#N/A,#N/A,TRUE,"1993"}</definedName>
    <definedName name="_42" localSheetId="19" hidden="1">{#N/A,#N/A,TRUE,"1990";#N/A,#N/A,TRUE,"1991";#N/A,#N/A,TRUE,"1992";#N/A,#N/A,TRUE,"1993"}</definedName>
    <definedName name="_42" localSheetId="20" hidden="1">{#N/A,#N/A,TRUE,"1990";#N/A,#N/A,TRUE,"1991";#N/A,#N/A,TRUE,"1992";#N/A,#N/A,TRUE,"1993"}</definedName>
    <definedName name="_42" localSheetId="21" hidden="1">{#N/A,#N/A,TRUE,"1990";#N/A,#N/A,TRUE,"1991";#N/A,#N/A,TRUE,"1992";#N/A,#N/A,TRUE,"1993"}</definedName>
    <definedName name="_42" localSheetId="22" hidden="1">{#N/A,#N/A,TRUE,"1990";#N/A,#N/A,TRUE,"1991";#N/A,#N/A,TRUE,"1992";#N/A,#N/A,TRUE,"1993"}</definedName>
    <definedName name="_42" localSheetId="23" hidden="1">{#N/A,#N/A,TRUE,"1990";#N/A,#N/A,TRUE,"1991";#N/A,#N/A,TRUE,"1992";#N/A,#N/A,TRUE,"1993"}</definedName>
    <definedName name="_42" localSheetId="24" hidden="1">{#N/A,#N/A,TRUE,"1990";#N/A,#N/A,TRUE,"1991";#N/A,#N/A,TRUE,"1992";#N/A,#N/A,TRUE,"1993"}</definedName>
    <definedName name="_42" hidden="1">{#N/A,#N/A,TRUE,"1990";#N/A,#N/A,TRUE,"1991";#N/A,#N/A,TRUE,"1992";#N/A,#N/A,TRUE,"1993"}</definedName>
    <definedName name="_43" localSheetId="10" hidden="1">{#N/A,#N/A,TRUE,"1990";#N/A,#N/A,TRUE,"1991";#N/A,#N/A,TRUE,"1992";#N/A,#N/A,TRUE,"1993"}</definedName>
    <definedName name="_43" localSheetId="11" hidden="1">{#N/A,#N/A,TRUE,"1990";#N/A,#N/A,TRUE,"1991";#N/A,#N/A,TRUE,"1992";#N/A,#N/A,TRUE,"1993"}</definedName>
    <definedName name="_43" localSheetId="12" hidden="1">{#N/A,#N/A,TRUE,"1990";#N/A,#N/A,TRUE,"1991";#N/A,#N/A,TRUE,"1992";#N/A,#N/A,TRUE,"1993"}</definedName>
    <definedName name="_43" localSheetId="16" hidden="1">{#N/A,#N/A,TRUE,"1990";#N/A,#N/A,TRUE,"1991";#N/A,#N/A,TRUE,"1992";#N/A,#N/A,TRUE,"1993"}</definedName>
    <definedName name="_43" localSheetId="17" hidden="1">{#N/A,#N/A,TRUE,"1990";#N/A,#N/A,TRUE,"1991";#N/A,#N/A,TRUE,"1992";#N/A,#N/A,TRUE,"1993"}</definedName>
    <definedName name="_43" localSheetId="19" hidden="1">{#N/A,#N/A,TRUE,"1990";#N/A,#N/A,TRUE,"1991";#N/A,#N/A,TRUE,"1992";#N/A,#N/A,TRUE,"1993"}</definedName>
    <definedName name="_43" localSheetId="20" hidden="1">{#N/A,#N/A,TRUE,"1990";#N/A,#N/A,TRUE,"1991";#N/A,#N/A,TRUE,"1992";#N/A,#N/A,TRUE,"1993"}</definedName>
    <definedName name="_43" localSheetId="21" hidden="1">{#N/A,#N/A,TRUE,"1990";#N/A,#N/A,TRUE,"1991";#N/A,#N/A,TRUE,"1992";#N/A,#N/A,TRUE,"1993"}</definedName>
    <definedName name="_43" localSheetId="22" hidden="1">{#N/A,#N/A,TRUE,"1990";#N/A,#N/A,TRUE,"1991";#N/A,#N/A,TRUE,"1992";#N/A,#N/A,TRUE,"1993"}</definedName>
    <definedName name="_43" localSheetId="23" hidden="1">{#N/A,#N/A,TRUE,"1990";#N/A,#N/A,TRUE,"1991";#N/A,#N/A,TRUE,"1992";#N/A,#N/A,TRUE,"1993"}</definedName>
    <definedName name="_43" localSheetId="24" hidden="1">{#N/A,#N/A,TRUE,"1990";#N/A,#N/A,TRUE,"1991";#N/A,#N/A,TRUE,"1992";#N/A,#N/A,TRUE,"1993"}</definedName>
    <definedName name="_43" hidden="1">{#N/A,#N/A,TRUE,"1990";#N/A,#N/A,TRUE,"1991";#N/A,#N/A,TRUE,"1992";#N/A,#N/A,TRUE,"1993"}</definedName>
    <definedName name="_44" localSheetId="10" hidden="1">{"summary",#N/A,TRUE,"E93ADJ";"detail",#N/A,TRUE,"E93ADJ"}</definedName>
    <definedName name="_44" localSheetId="11" hidden="1">{"summary",#N/A,TRUE,"E93ADJ";"detail",#N/A,TRUE,"E93ADJ"}</definedName>
    <definedName name="_44" localSheetId="12" hidden="1">{"summary",#N/A,TRUE,"E93ADJ";"detail",#N/A,TRUE,"E93ADJ"}</definedName>
    <definedName name="_44" localSheetId="16" hidden="1">{"summary",#N/A,TRUE,"E93ADJ";"detail",#N/A,TRUE,"E93ADJ"}</definedName>
    <definedName name="_44" localSheetId="17" hidden="1">{"summary",#N/A,TRUE,"E93ADJ";"detail",#N/A,TRUE,"E93ADJ"}</definedName>
    <definedName name="_44" localSheetId="19" hidden="1">{"summary",#N/A,TRUE,"E93ADJ";"detail",#N/A,TRUE,"E93ADJ"}</definedName>
    <definedName name="_44" localSheetId="20" hidden="1">{"summary",#N/A,TRUE,"E93ADJ";"detail",#N/A,TRUE,"E93ADJ"}</definedName>
    <definedName name="_44" localSheetId="21" hidden="1">{"summary",#N/A,TRUE,"E93ADJ";"detail",#N/A,TRUE,"E93ADJ"}</definedName>
    <definedName name="_44" localSheetId="22" hidden="1">{"summary",#N/A,TRUE,"E93ADJ";"detail",#N/A,TRUE,"E93ADJ"}</definedName>
    <definedName name="_44" localSheetId="23" hidden="1">{"summary",#N/A,TRUE,"E93ADJ";"detail",#N/A,TRUE,"E93ADJ"}</definedName>
    <definedName name="_44" localSheetId="24" hidden="1">{"summary",#N/A,TRUE,"E93ADJ";"detail",#N/A,TRUE,"E93ADJ"}</definedName>
    <definedName name="_44" hidden="1">{"summary",#N/A,TRUE,"E93ADJ";"detail",#N/A,TRUE,"E93ADJ"}</definedName>
    <definedName name="_45" localSheetId="10" hidden="1">{"summary",#N/A,TRUE,"E93ADJ";"detail",#N/A,TRUE,"E93ADJ"}</definedName>
    <definedName name="_45" localSheetId="11" hidden="1">{"summary",#N/A,TRUE,"E93ADJ";"detail",#N/A,TRUE,"E93ADJ"}</definedName>
    <definedName name="_45" localSheetId="12" hidden="1">{"summary",#N/A,TRUE,"E93ADJ";"detail",#N/A,TRUE,"E93ADJ"}</definedName>
    <definedName name="_45" localSheetId="16" hidden="1">{"summary",#N/A,TRUE,"E93ADJ";"detail",#N/A,TRUE,"E93ADJ"}</definedName>
    <definedName name="_45" localSheetId="17" hidden="1">{"summary",#N/A,TRUE,"E93ADJ";"detail",#N/A,TRUE,"E93ADJ"}</definedName>
    <definedName name="_45" localSheetId="19" hidden="1">{"summary",#N/A,TRUE,"E93ADJ";"detail",#N/A,TRUE,"E93ADJ"}</definedName>
    <definedName name="_45" localSheetId="20" hidden="1">{"summary",#N/A,TRUE,"E93ADJ";"detail",#N/A,TRUE,"E93ADJ"}</definedName>
    <definedName name="_45" localSheetId="21" hidden="1">{"summary",#N/A,TRUE,"E93ADJ";"detail",#N/A,TRUE,"E93ADJ"}</definedName>
    <definedName name="_45" localSheetId="22" hidden="1">{"summary",#N/A,TRUE,"E93ADJ";"detail",#N/A,TRUE,"E93ADJ"}</definedName>
    <definedName name="_45" localSheetId="23" hidden="1">{"summary",#N/A,TRUE,"E93ADJ";"detail",#N/A,TRUE,"E93ADJ"}</definedName>
    <definedName name="_45" localSheetId="24" hidden="1">{"summary",#N/A,TRUE,"E93ADJ";"detail",#N/A,TRUE,"E93ADJ"}</definedName>
    <definedName name="_45" hidden="1">{"summary",#N/A,TRUE,"E93ADJ";"detail",#N/A,TRUE,"E93ADJ"}</definedName>
    <definedName name="_46" localSheetId="10" hidden="1">{#N/A,#N/A,TRUE,"1990";#N/A,#N/A,TRUE,"1991";#N/A,#N/A,TRUE,"1992";#N/A,#N/A,TRUE,"1993"}</definedName>
    <definedName name="_46" localSheetId="11" hidden="1">{#N/A,#N/A,TRUE,"1990";#N/A,#N/A,TRUE,"1991";#N/A,#N/A,TRUE,"1992";#N/A,#N/A,TRUE,"1993"}</definedName>
    <definedName name="_46" localSheetId="12" hidden="1">{#N/A,#N/A,TRUE,"1990";#N/A,#N/A,TRUE,"1991";#N/A,#N/A,TRUE,"1992";#N/A,#N/A,TRUE,"1993"}</definedName>
    <definedName name="_46" localSheetId="16" hidden="1">{#N/A,#N/A,TRUE,"1990";#N/A,#N/A,TRUE,"1991";#N/A,#N/A,TRUE,"1992";#N/A,#N/A,TRUE,"1993"}</definedName>
    <definedName name="_46" localSheetId="17" hidden="1">{#N/A,#N/A,TRUE,"1990";#N/A,#N/A,TRUE,"1991";#N/A,#N/A,TRUE,"1992";#N/A,#N/A,TRUE,"1993"}</definedName>
    <definedName name="_46" localSheetId="19" hidden="1">{#N/A,#N/A,TRUE,"1990";#N/A,#N/A,TRUE,"1991";#N/A,#N/A,TRUE,"1992";#N/A,#N/A,TRUE,"1993"}</definedName>
    <definedName name="_46" localSheetId="20" hidden="1">{#N/A,#N/A,TRUE,"1990";#N/A,#N/A,TRUE,"1991";#N/A,#N/A,TRUE,"1992";#N/A,#N/A,TRUE,"1993"}</definedName>
    <definedName name="_46" localSheetId="21" hidden="1">{#N/A,#N/A,TRUE,"1990";#N/A,#N/A,TRUE,"1991";#N/A,#N/A,TRUE,"1992";#N/A,#N/A,TRUE,"1993"}</definedName>
    <definedName name="_46" localSheetId="22" hidden="1">{#N/A,#N/A,TRUE,"1990";#N/A,#N/A,TRUE,"1991";#N/A,#N/A,TRUE,"1992";#N/A,#N/A,TRUE,"1993"}</definedName>
    <definedName name="_46" localSheetId="23" hidden="1">{#N/A,#N/A,TRUE,"1990";#N/A,#N/A,TRUE,"1991";#N/A,#N/A,TRUE,"1992";#N/A,#N/A,TRUE,"1993"}</definedName>
    <definedName name="_46" localSheetId="24" hidden="1">{#N/A,#N/A,TRUE,"1990";#N/A,#N/A,TRUE,"1991";#N/A,#N/A,TRUE,"1992";#N/A,#N/A,TRUE,"1993"}</definedName>
    <definedName name="_46" hidden="1">{#N/A,#N/A,TRUE,"1990";#N/A,#N/A,TRUE,"1991";#N/A,#N/A,TRUE,"1992";#N/A,#N/A,TRUE,"1993"}</definedName>
    <definedName name="_47" localSheetId="10" hidden="1">{"summary",#N/A,TRUE,"E93ADJ";"detail",#N/A,TRUE,"E93ADJ"}</definedName>
    <definedName name="_47" localSheetId="11" hidden="1">{"summary",#N/A,TRUE,"E93ADJ";"detail",#N/A,TRUE,"E93ADJ"}</definedName>
    <definedName name="_47" localSheetId="12" hidden="1">{"summary",#N/A,TRUE,"E93ADJ";"detail",#N/A,TRUE,"E93ADJ"}</definedName>
    <definedName name="_47" localSheetId="16" hidden="1">{"summary",#N/A,TRUE,"E93ADJ";"detail",#N/A,TRUE,"E93ADJ"}</definedName>
    <definedName name="_47" localSheetId="17" hidden="1">{"summary",#N/A,TRUE,"E93ADJ";"detail",#N/A,TRUE,"E93ADJ"}</definedName>
    <definedName name="_47" localSheetId="19" hidden="1">{"summary",#N/A,TRUE,"E93ADJ";"detail",#N/A,TRUE,"E93ADJ"}</definedName>
    <definedName name="_47" localSheetId="20" hidden="1">{"summary",#N/A,TRUE,"E93ADJ";"detail",#N/A,TRUE,"E93ADJ"}</definedName>
    <definedName name="_47" localSheetId="21" hidden="1">{"summary",#N/A,TRUE,"E93ADJ";"detail",#N/A,TRUE,"E93ADJ"}</definedName>
    <definedName name="_47" localSheetId="22" hidden="1">{"summary",#N/A,TRUE,"E93ADJ";"detail",#N/A,TRUE,"E93ADJ"}</definedName>
    <definedName name="_47" localSheetId="23" hidden="1">{"summary",#N/A,TRUE,"E93ADJ";"detail",#N/A,TRUE,"E93ADJ"}</definedName>
    <definedName name="_47" localSheetId="24" hidden="1">{"summary",#N/A,TRUE,"E93ADJ";"detail",#N/A,TRUE,"E93ADJ"}</definedName>
    <definedName name="_47" hidden="1">{"summary",#N/A,TRUE,"E93ADJ";"detail",#N/A,TRUE,"E93ADJ"}</definedName>
    <definedName name="_48" localSheetId="10" hidden="1">{#N/A,#N/A,TRUE,"1990";#N/A,#N/A,TRUE,"1991";#N/A,#N/A,TRUE,"1992";#N/A,#N/A,TRUE,"1993"}</definedName>
    <definedName name="_48" localSheetId="11" hidden="1">{#N/A,#N/A,TRUE,"1990";#N/A,#N/A,TRUE,"1991";#N/A,#N/A,TRUE,"1992";#N/A,#N/A,TRUE,"1993"}</definedName>
    <definedName name="_48" localSheetId="12" hidden="1">{#N/A,#N/A,TRUE,"1990";#N/A,#N/A,TRUE,"1991";#N/A,#N/A,TRUE,"1992";#N/A,#N/A,TRUE,"1993"}</definedName>
    <definedName name="_48" localSheetId="16" hidden="1">{#N/A,#N/A,TRUE,"1990";#N/A,#N/A,TRUE,"1991";#N/A,#N/A,TRUE,"1992";#N/A,#N/A,TRUE,"1993"}</definedName>
    <definedName name="_48" localSheetId="17" hidden="1">{#N/A,#N/A,TRUE,"1990";#N/A,#N/A,TRUE,"1991";#N/A,#N/A,TRUE,"1992";#N/A,#N/A,TRUE,"1993"}</definedName>
    <definedName name="_48" localSheetId="19" hidden="1">{#N/A,#N/A,TRUE,"1990";#N/A,#N/A,TRUE,"1991";#N/A,#N/A,TRUE,"1992";#N/A,#N/A,TRUE,"1993"}</definedName>
    <definedName name="_48" localSheetId="20" hidden="1">{#N/A,#N/A,TRUE,"1990";#N/A,#N/A,TRUE,"1991";#N/A,#N/A,TRUE,"1992";#N/A,#N/A,TRUE,"1993"}</definedName>
    <definedName name="_48" localSheetId="21" hidden="1">{#N/A,#N/A,TRUE,"1990";#N/A,#N/A,TRUE,"1991";#N/A,#N/A,TRUE,"1992";#N/A,#N/A,TRUE,"1993"}</definedName>
    <definedName name="_48" localSheetId="22" hidden="1">{#N/A,#N/A,TRUE,"1990";#N/A,#N/A,TRUE,"1991";#N/A,#N/A,TRUE,"1992";#N/A,#N/A,TRUE,"1993"}</definedName>
    <definedName name="_48" localSheetId="23" hidden="1">{#N/A,#N/A,TRUE,"1990";#N/A,#N/A,TRUE,"1991";#N/A,#N/A,TRUE,"1992";#N/A,#N/A,TRUE,"1993"}</definedName>
    <definedName name="_48" localSheetId="24" hidden="1">{#N/A,#N/A,TRUE,"1990";#N/A,#N/A,TRUE,"1991";#N/A,#N/A,TRUE,"1992";#N/A,#N/A,TRUE,"1993"}</definedName>
    <definedName name="_48" hidden="1">{#N/A,#N/A,TRUE,"1990";#N/A,#N/A,TRUE,"1991";#N/A,#N/A,TRUE,"1992";#N/A,#N/A,TRUE,"1993"}</definedName>
    <definedName name="_49" localSheetId="10" hidden="1">{#N/A,#N/A,TRUE,"1990";#N/A,#N/A,TRUE,"1991";#N/A,#N/A,TRUE,"1992";#N/A,#N/A,TRUE,"1993"}</definedName>
    <definedName name="_49" localSheetId="11" hidden="1">{#N/A,#N/A,TRUE,"1990";#N/A,#N/A,TRUE,"1991";#N/A,#N/A,TRUE,"1992";#N/A,#N/A,TRUE,"1993"}</definedName>
    <definedName name="_49" localSheetId="12" hidden="1">{#N/A,#N/A,TRUE,"1990";#N/A,#N/A,TRUE,"1991";#N/A,#N/A,TRUE,"1992";#N/A,#N/A,TRUE,"1993"}</definedName>
    <definedName name="_49" localSheetId="16" hidden="1">{#N/A,#N/A,TRUE,"1990";#N/A,#N/A,TRUE,"1991";#N/A,#N/A,TRUE,"1992";#N/A,#N/A,TRUE,"1993"}</definedName>
    <definedName name="_49" localSheetId="17" hidden="1">{#N/A,#N/A,TRUE,"1990";#N/A,#N/A,TRUE,"1991";#N/A,#N/A,TRUE,"1992";#N/A,#N/A,TRUE,"1993"}</definedName>
    <definedName name="_49" localSheetId="19" hidden="1">{#N/A,#N/A,TRUE,"1990";#N/A,#N/A,TRUE,"1991";#N/A,#N/A,TRUE,"1992";#N/A,#N/A,TRUE,"1993"}</definedName>
    <definedName name="_49" localSheetId="20" hidden="1">{#N/A,#N/A,TRUE,"1990";#N/A,#N/A,TRUE,"1991";#N/A,#N/A,TRUE,"1992";#N/A,#N/A,TRUE,"1993"}</definedName>
    <definedName name="_49" localSheetId="21" hidden="1">{#N/A,#N/A,TRUE,"1990";#N/A,#N/A,TRUE,"1991";#N/A,#N/A,TRUE,"1992";#N/A,#N/A,TRUE,"1993"}</definedName>
    <definedName name="_49" localSheetId="22" hidden="1">{#N/A,#N/A,TRUE,"1990";#N/A,#N/A,TRUE,"1991";#N/A,#N/A,TRUE,"1992";#N/A,#N/A,TRUE,"1993"}</definedName>
    <definedName name="_49" localSheetId="23" hidden="1">{#N/A,#N/A,TRUE,"1990";#N/A,#N/A,TRUE,"1991";#N/A,#N/A,TRUE,"1992";#N/A,#N/A,TRUE,"1993"}</definedName>
    <definedName name="_49" localSheetId="24" hidden="1">{#N/A,#N/A,TRUE,"1990";#N/A,#N/A,TRUE,"1991";#N/A,#N/A,TRUE,"1992";#N/A,#N/A,TRUE,"1993"}</definedName>
    <definedName name="_49" hidden="1">{#N/A,#N/A,TRUE,"1990";#N/A,#N/A,TRUE,"1991";#N/A,#N/A,TRUE,"1992";#N/A,#N/A,TRUE,"1993"}</definedName>
    <definedName name="_5" localSheetId="10" hidden="1">{#N/A,#N/A,FALSE,"SCA";#N/A,#N/A,FALSE,"NCA";#N/A,#N/A,FALSE,"SAZ";#N/A,#N/A,FALSE,"CAZ";#N/A,#N/A,FALSE,"SNV";#N/A,#N/A,FALSE,"NNV";#N/A,#N/A,FALSE,"PP";#N/A,#N/A,FALSE,"SA"}</definedName>
    <definedName name="_5" localSheetId="11" hidden="1">{#N/A,#N/A,FALSE,"SCA";#N/A,#N/A,FALSE,"NCA";#N/A,#N/A,FALSE,"SAZ";#N/A,#N/A,FALSE,"CAZ";#N/A,#N/A,FALSE,"SNV";#N/A,#N/A,FALSE,"NNV";#N/A,#N/A,FALSE,"PP";#N/A,#N/A,FALSE,"SA"}</definedName>
    <definedName name="_5" localSheetId="12" hidden="1">{#N/A,#N/A,FALSE,"SCA";#N/A,#N/A,FALSE,"NCA";#N/A,#N/A,FALSE,"SAZ";#N/A,#N/A,FALSE,"CAZ";#N/A,#N/A,FALSE,"SNV";#N/A,#N/A,FALSE,"NNV";#N/A,#N/A,FALSE,"PP";#N/A,#N/A,FALSE,"SA"}</definedName>
    <definedName name="_5" localSheetId="16" hidden="1">{#N/A,#N/A,FALSE,"SCA";#N/A,#N/A,FALSE,"NCA";#N/A,#N/A,FALSE,"SAZ";#N/A,#N/A,FALSE,"CAZ";#N/A,#N/A,FALSE,"SNV";#N/A,#N/A,FALSE,"NNV";#N/A,#N/A,FALSE,"PP";#N/A,#N/A,FALSE,"SA"}</definedName>
    <definedName name="_5" localSheetId="17" hidden="1">{#N/A,#N/A,FALSE,"SCA";#N/A,#N/A,FALSE,"NCA";#N/A,#N/A,FALSE,"SAZ";#N/A,#N/A,FALSE,"CAZ";#N/A,#N/A,FALSE,"SNV";#N/A,#N/A,FALSE,"NNV";#N/A,#N/A,FALSE,"PP";#N/A,#N/A,FALSE,"SA"}</definedName>
    <definedName name="_5" localSheetId="19" hidden="1">{#N/A,#N/A,FALSE,"SCA";#N/A,#N/A,FALSE,"NCA";#N/A,#N/A,FALSE,"SAZ";#N/A,#N/A,FALSE,"CAZ";#N/A,#N/A,FALSE,"SNV";#N/A,#N/A,FALSE,"NNV";#N/A,#N/A,FALSE,"PP";#N/A,#N/A,FALSE,"SA"}</definedName>
    <definedName name="_5" localSheetId="20" hidden="1">{#N/A,#N/A,FALSE,"SCA";#N/A,#N/A,FALSE,"NCA";#N/A,#N/A,FALSE,"SAZ";#N/A,#N/A,FALSE,"CAZ";#N/A,#N/A,FALSE,"SNV";#N/A,#N/A,FALSE,"NNV";#N/A,#N/A,FALSE,"PP";#N/A,#N/A,FALSE,"SA"}</definedName>
    <definedName name="_5" localSheetId="21" hidden="1">{#N/A,#N/A,FALSE,"SCA";#N/A,#N/A,FALSE,"NCA";#N/A,#N/A,FALSE,"SAZ";#N/A,#N/A,FALSE,"CAZ";#N/A,#N/A,FALSE,"SNV";#N/A,#N/A,FALSE,"NNV";#N/A,#N/A,FALSE,"PP";#N/A,#N/A,FALSE,"SA"}</definedName>
    <definedName name="_5" localSheetId="22" hidden="1">{#N/A,#N/A,FALSE,"SCA";#N/A,#N/A,FALSE,"NCA";#N/A,#N/A,FALSE,"SAZ";#N/A,#N/A,FALSE,"CAZ";#N/A,#N/A,FALSE,"SNV";#N/A,#N/A,FALSE,"NNV";#N/A,#N/A,FALSE,"PP";#N/A,#N/A,FALSE,"SA"}</definedName>
    <definedName name="_5" localSheetId="23" hidden="1">{#N/A,#N/A,FALSE,"SCA";#N/A,#N/A,FALSE,"NCA";#N/A,#N/A,FALSE,"SAZ";#N/A,#N/A,FALSE,"CAZ";#N/A,#N/A,FALSE,"SNV";#N/A,#N/A,FALSE,"NNV";#N/A,#N/A,FALSE,"PP";#N/A,#N/A,FALSE,"SA"}</definedName>
    <definedName name="_5" localSheetId="24" hidden="1">{#N/A,#N/A,FALSE,"SCA";#N/A,#N/A,FALSE,"NCA";#N/A,#N/A,FALSE,"SAZ";#N/A,#N/A,FALSE,"CAZ";#N/A,#N/A,FALSE,"SNV";#N/A,#N/A,FALSE,"NNV";#N/A,#N/A,FALSE,"PP";#N/A,#N/A,FALSE,"SA"}</definedName>
    <definedName name="_5" hidden="1">{#N/A,#N/A,FALSE,"SCA";#N/A,#N/A,FALSE,"NCA";#N/A,#N/A,FALSE,"SAZ";#N/A,#N/A,FALSE,"CAZ";#N/A,#N/A,FALSE,"SNV";#N/A,#N/A,FALSE,"NNV";#N/A,#N/A,FALSE,"PP";#N/A,#N/A,FALSE,"SA"}</definedName>
    <definedName name="_50" localSheetId="10" hidden="1">{"summary",#N/A,TRUE,"E93ADJ";"detail",#N/A,TRUE,"E93ADJ"}</definedName>
    <definedName name="_50" localSheetId="11" hidden="1">{"summary",#N/A,TRUE,"E93ADJ";"detail",#N/A,TRUE,"E93ADJ"}</definedName>
    <definedName name="_50" localSheetId="12" hidden="1">{"summary",#N/A,TRUE,"E93ADJ";"detail",#N/A,TRUE,"E93ADJ"}</definedName>
    <definedName name="_50" localSheetId="16" hidden="1">{"summary",#N/A,TRUE,"E93ADJ";"detail",#N/A,TRUE,"E93ADJ"}</definedName>
    <definedName name="_50" localSheetId="17" hidden="1">{"summary",#N/A,TRUE,"E93ADJ";"detail",#N/A,TRUE,"E93ADJ"}</definedName>
    <definedName name="_50" localSheetId="19" hidden="1">{"summary",#N/A,TRUE,"E93ADJ";"detail",#N/A,TRUE,"E93ADJ"}</definedName>
    <definedName name="_50" localSheetId="20" hidden="1">{"summary",#N/A,TRUE,"E93ADJ";"detail",#N/A,TRUE,"E93ADJ"}</definedName>
    <definedName name="_50" localSheetId="21" hidden="1">{"summary",#N/A,TRUE,"E93ADJ";"detail",#N/A,TRUE,"E93ADJ"}</definedName>
    <definedName name="_50" localSheetId="22" hidden="1">{"summary",#N/A,TRUE,"E93ADJ";"detail",#N/A,TRUE,"E93ADJ"}</definedName>
    <definedName name="_50" localSheetId="23" hidden="1">{"summary",#N/A,TRUE,"E93ADJ";"detail",#N/A,TRUE,"E93ADJ"}</definedName>
    <definedName name="_50" localSheetId="24" hidden="1">{"summary",#N/A,TRUE,"E93ADJ";"detail",#N/A,TRUE,"E93ADJ"}</definedName>
    <definedName name="_50" hidden="1">{"summary",#N/A,TRUE,"E93ADJ";"detail",#N/A,TRUE,"E93ADJ"}</definedName>
    <definedName name="_51" localSheetId="10" hidden="1">{"summary",#N/A,TRUE,"E93ADJ";"detail",#N/A,TRUE,"E93ADJ"}</definedName>
    <definedName name="_51" localSheetId="11" hidden="1">{"summary",#N/A,TRUE,"E93ADJ";"detail",#N/A,TRUE,"E93ADJ"}</definedName>
    <definedName name="_51" localSheetId="12" hidden="1">{"summary",#N/A,TRUE,"E93ADJ";"detail",#N/A,TRUE,"E93ADJ"}</definedName>
    <definedName name="_51" localSheetId="16" hidden="1">{"summary",#N/A,TRUE,"E93ADJ";"detail",#N/A,TRUE,"E93ADJ"}</definedName>
    <definedName name="_51" localSheetId="17" hidden="1">{"summary",#N/A,TRUE,"E93ADJ";"detail",#N/A,TRUE,"E93ADJ"}</definedName>
    <definedName name="_51" localSheetId="19" hidden="1">{"summary",#N/A,TRUE,"E93ADJ";"detail",#N/A,TRUE,"E93ADJ"}</definedName>
    <definedName name="_51" localSheetId="20" hidden="1">{"summary",#N/A,TRUE,"E93ADJ";"detail",#N/A,TRUE,"E93ADJ"}</definedName>
    <definedName name="_51" localSheetId="21" hidden="1">{"summary",#N/A,TRUE,"E93ADJ";"detail",#N/A,TRUE,"E93ADJ"}</definedName>
    <definedName name="_51" localSheetId="22" hidden="1">{"summary",#N/A,TRUE,"E93ADJ";"detail",#N/A,TRUE,"E93ADJ"}</definedName>
    <definedName name="_51" localSheetId="23" hidden="1">{"summary",#N/A,TRUE,"E93ADJ";"detail",#N/A,TRUE,"E93ADJ"}</definedName>
    <definedName name="_51" localSheetId="24" hidden="1">{"summary",#N/A,TRUE,"E93ADJ";"detail",#N/A,TRUE,"E93ADJ"}</definedName>
    <definedName name="_51" hidden="1">{"summary",#N/A,TRUE,"E93ADJ";"detail",#N/A,TRUE,"E93ADJ"}</definedName>
    <definedName name="_52" localSheetId="10" hidden="1">{#N/A,#N/A,TRUE,"1990";#N/A,#N/A,TRUE,"1991";#N/A,#N/A,TRUE,"1992";#N/A,#N/A,TRUE,"1993"}</definedName>
    <definedName name="_52" localSheetId="11" hidden="1">{#N/A,#N/A,TRUE,"1990";#N/A,#N/A,TRUE,"1991";#N/A,#N/A,TRUE,"1992";#N/A,#N/A,TRUE,"1993"}</definedName>
    <definedName name="_52" localSheetId="12" hidden="1">{#N/A,#N/A,TRUE,"1990";#N/A,#N/A,TRUE,"1991";#N/A,#N/A,TRUE,"1992";#N/A,#N/A,TRUE,"1993"}</definedName>
    <definedName name="_52" localSheetId="16" hidden="1">{#N/A,#N/A,TRUE,"1990";#N/A,#N/A,TRUE,"1991";#N/A,#N/A,TRUE,"1992";#N/A,#N/A,TRUE,"1993"}</definedName>
    <definedName name="_52" localSheetId="17" hidden="1">{#N/A,#N/A,TRUE,"1990";#N/A,#N/A,TRUE,"1991";#N/A,#N/A,TRUE,"1992";#N/A,#N/A,TRUE,"1993"}</definedName>
    <definedName name="_52" localSheetId="19" hidden="1">{#N/A,#N/A,TRUE,"1990";#N/A,#N/A,TRUE,"1991";#N/A,#N/A,TRUE,"1992";#N/A,#N/A,TRUE,"1993"}</definedName>
    <definedName name="_52" localSheetId="20" hidden="1">{#N/A,#N/A,TRUE,"1990";#N/A,#N/A,TRUE,"1991";#N/A,#N/A,TRUE,"1992";#N/A,#N/A,TRUE,"1993"}</definedName>
    <definedName name="_52" localSheetId="21" hidden="1">{#N/A,#N/A,TRUE,"1990";#N/A,#N/A,TRUE,"1991";#N/A,#N/A,TRUE,"1992";#N/A,#N/A,TRUE,"1993"}</definedName>
    <definedName name="_52" localSheetId="22" hidden="1">{#N/A,#N/A,TRUE,"1990";#N/A,#N/A,TRUE,"1991";#N/A,#N/A,TRUE,"1992";#N/A,#N/A,TRUE,"1993"}</definedName>
    <definedName name="_52" localSheetId="23" hidden="1">{#N/A,#N/A,TRUE,"1990";#N/A,#N/A,TRUE,"1991";#N/A,#N/A,TRUE,"1992";#N/A,#N/A,TRUE,"1993"}</definedName>
    <definedName name="_52" localSheetId="24" hidden="1">{#N/A,#N/A,TRUE,"1990";#N/A,#N/A,TRUE,"1991";#N/A,#N/A,TRUE,"1992";#N/A,#N/A,TRUE,"1993"}</definedName>
    <definedName name="_52" hidden="1">{#N/A,#N/A,TRUE,"1990";#N/A,#N/A,TRUE,"1991";#N/A,#N/A,TRUE,"1992";#N/A,#N/A,TRUE,"1993"}</definedName>
    <definedName name="_53" localSheetId="10" hidden="1">{"summary",#N/A,TRUE,"E93ADJ";"detail",#N/A,TRUE,"E93ADJ"}</definedName>
    <definedName name="_53" localSheetId="11" hidden="1">{"summary",#N/A,TRUE,"E93ADJ";"detail",#N/A,TRUE,"E93ADJ"}</definedName>
    <definedName name="_53" localSheetId="12" hidden="1">{"summary",#N/A,TRUE,"E93ADJ";"detail",#N/A,TRUE,"E93ADJ"}</definedName>
    <definedName name="_53" localSheetId="16" hidden="1">{"summary",#N/A,TRUE,"E93ADJ";"detail",#N/A,TRUE,"E93ADJ"}</definedName>
    <definedName name="_53" localSheetId="17" hidden="1">{"summary",#N/A,TRUE,"E93ADJ";"detail",#N/A,TRUE,"E93ADJ"}</definedName>
    <definedName name="_53" localSheetId="19" hidden="1">{"summary",#N/A,TRUE,"E93ADJ";"detail",#N/A,TRUE,"E93ADJ"}</definedName>
    <definedName name="_53" localSheetId="20" hidden="1">{"summary",#N/A,TRUE,"E93ADJ";"detail",#N/A,TRUE,"E93ADJ"}</definedName>
    <definedName name="_53" localSheetId="21" hidden="1">{"summary",#N/A,TRUE,"E93ADJ";"detail",#N/A,TRUE,"E93ADJ"}</definedName>
    <definedName name="_53" localSheetId="22" hidden="1">{"summary",#N/A,TRUE,"E93ADJ";"detail",#N/A,TRUE,"E93ADJ"}</definedName>
    <definedName name="_53" localSheetId="23" hidden="1">{"summary",#N/A,TRUE,"E93ADJ";"detail",#N/A,TRUE,"E93ADJ"}</definedName>
    <definedName name="_53" localSheetId="24" hidden="1">{"summary",#N/A,TRUE,"E93ADJ";"detail",#N/A,TRUE,"E93ADJ"}</definedName>
    <definedName name="_53" hidden="1">{"summary",#N/A,TRUE,"E93ADJ";"detail",#N/A,TRUE,"E93ADJ"}</definedName>
    <definedName name="_54" localSheetId="10" hidden="1">{#N/A,#N/A,FALSE,"COMPAPER";#N/A,#N/A,FALSE,"AFUDC";#N/A,#N/A,FALSE,"JE"}</definedName>
    <definedName name="_54" localSheetId="11" hidden="1">{#N/A,#N/A,FALSE,"COMPAPER";#N/A,#N/A,FALSE,"AFUDC";#N/A,#N/A,FALSE,"JE"}</definedName>
    <definedName name="_54" localSheetId="12" hidden="1">{#N/A,#N/A,FALSE,"COMPAPER";#N/A,#N/A,FALSE,"AFUDC";#N/A,#N/A,FALSE,"JE"}</definedName>
    <definedName name="_54" localSheetId="16" hidden="1">{#N/A,#N/A,FALSE,"COMPAPER";#N/A,#N/A,FALSE,"AFUDC";#N/A,#N/A,FALSE,"JE"}</definedName>
    <definedName name="_54" localSheetId="17" hidden="1">{#N/A,#N/A,FALSE,"COMPAPER";#N/A,#N/A,FALSE,"AFUDC";#N/A,#N/A,FALSE,"JE"}</definedName>
    <definedName name="_54" localSheetId="19" hidden="1">{#N/A,#N/A,FALSE,"COMPAPER";#N/A,#N/A,FALSE,"AFUDC";#N/A,#N/A,FALSE,"JE"}</definedName>
    <definedName name="_54" localSheetId="20" hidden="1">{#N/A,#N/A,FALSE,"COMPAPER";#N/A,#N/A,FALSE,"AFUDC";#N/A,#N/A,FALSE,"JE"}</definedName>
    <definedName name="_54" localSheetId="21" hidden="1">{#N/A,#N/A,FALSE,"COMPAPER";#N/A,#N/A,FALSE,"AFUDC";#N/A,#N/A,FALSE,"JE"}</definedName>
    <definedName name="_54" localSheetId="22" hidden="1">{#N/A,#N/A,FALSE,"COMPAPER";#N/A,#N/A,FALSE,"AFUDC";#N/A,#N/A,FALSE,"JE"}</definedName>
    <definedName name="_54" localSheetId="23" hidden="1">{#N/A,#N/A,FALSE,"COMPAPER";#N/A,#N/A,FALSE,"AFUDC";#N/A,#N/A,FALSE,"JE"}</definedName>
    <definedName name="_54" localSheetId="24" hidden="1">{#N/A,#N/A,FALSE,"COMPAPER";#N/A,#N/A,FALSE,"AFUDC";#N/A,#N/A,FALSE,"JE"}</definedName>
    <definedName name="_54" hidden="1">{#N/A,#N/A,FALSE,"COMPAPER";#N/A,#N/A,FALSE,"AFUDC";#N/A,#N/A,FALSE,"JE"}</definedName>
    <definedName name="_55" localSheetId="10" hidden="1">{"pb",#N/A,FALSE,"Sheet3";"pd",#N/A,FALSE,"Sheet3";"pe",#N/A,FALSE,"Sheet3"}</definedName>
    <definedName name="_55" localSheetId="11" hidden="1">{"pb",#N/A,FALSE,"Sheet3";"pd",#N/A,FALSE,"Sheet3";"pe",#N/A,FALSE,"Sheet3"}</definedName>
    <definedName name="_55" localSheetId="12" hidden="1">{"pb",#N/A,FALSE,"Sheet3";"pd",#N/A,FALSE,"Sheet3";"pe",#N/A,FALSE,"Sheet3"}</definedName>
    <definedName name="_55" localSheetId="16" hidden="1">{"pb",#N/A,FALSE,"Sheet3";"pd",#N/A,FALSE,"Sheet3";"pe",#N/A,FALSE,"Sheet3"}</definedName>
    <definedName name="_55" localSheetId="17" hidden="1">{"pb",#N/A,FALSE,"Sheet3";"pd",#N/A,FALSE,"Sheet3";"pe",#N/A,FALSE,"Sheet3"}</definedName>
    <definedName name="_55" localSheetId="19" hidden="1">{"pb",#N/A,FALSE,"Sheet3";"pd",#N/A,FALSE,"Sheet3";"pe",#N/A,FALSE,"Sheet3"}</definedName>
    <definedName name="_55" localSheetId="20" hidden="1">{"pb",#N/A,FALSE,"Sheet3";"pd",#N/A,FALSE,"Sheet3";"pe",#N/A,FALSE,"Sheet3"}</definedName>
    <definedName name="_55" localSheetId="21" hidden="1">{"pb",#N/A,FALSE,"Sheet3";"pd",#N/A,FALSE,"Sheet3";"pe",#N/A,FALSE,"Sheet3"}</definedName>
    <definedName name="_55" localSheetId="22" hidden="1">{"pb",#N/A,FALSE,"Sheet3";"pd",#N/A,FALSE,"Sheet3";"pe",#N/A,FALSE,"Sheet3"}</definedName>
    <definedName name="_55" localSheetId="23" hidden="1">{"pb",#N/A,FALSE,"Sheet3";"pd",#N/A,FALSE,"Sheet3";"pe",#N/A,FALSE,"Sheet3"}</definedName>
    <definedName name="_55" localSheetId="24" hidden="1">{"pb",#N/A,FALSE,"Sheet3";"pd",#N/A,FALSE,"Sheet3";"pe",#N/A,FALSE,"Sheet3"}</definedName>
    <definedName name="_55" hidden="1">{"pb",#N/A,FALSE,"Sheet3";"pd",#N/A,FALSE,"Sheet3";"pe",#N/A,FALSE,"Sheet3"}</definedName>
    <definedName name="_56" localSheetId="10" hidden="1">{#N/A,#N/A,TRUE,"1990";#N/A,#N/A,TRUE,"1991";#N/A,#N/A,TRUE,"1992";#N/A,#N/A,TRUE,"1993"}</definedName>
    <definedName name="_56" localSheetId="11" hidden="1">{#N/A,#N/A,TRUE,"1990";#N/A,#N/A,TRUE,"1991";#N/A,#N/A,TRUE,"1992";#N/A,#N/A,TRUE,"1993"}</definedName>
    <definedName name="_56" localSheetId="12" hidden="1">{#N/A,#N/A,TRUE,"1990";#N/A,#N/A,TRUE,"1991";#N/A,#N/A,TRUE,"1992";#N/A,#N/A,TRUE,"1993"}</definedName>
    <definedName name="_56" localSheetId="16" hidden="1">{#N/A,#N/A,TRUE,"1990";#N/A,#N/A,TRUE,"1991";#N/A,#N/A,TRUE,"1992";#N/A,#N/A,TRUE,"1993"}</definedName>
    <definedName name="_56" localSheetId="17" hidden="1">{#N/A,#N/A,TRUE,"1990";#N/A,#N/A,TRUE,"1991";#N/A,#N/A,TRUE,"1992";#N/A,#N/A,TRUE,"1993"}</definedName>
    <definedName name="_56" localSheetId="19" hidden="1">{#N/A,#N/A,TRUE,"1990";#N/A,#N/A,TRUE,"1991";#N/A,#N/A,TRUE,"1992";#N/A,#N/A,TRUE,"1993"}</definedName>
    <definedName name="_56" localSheetId="20" hidden="1">{#N/A,#N/A,TRUE,"1990";#N/A,#N/A,TRUE,"1991";#N/A,#N/A,TRUE,"1992";#N/A,#N/A,TRUE,"1993"}</definedName>
    <definedName name="_56" localSheetId="21" hidden="1">{#N/A,#N/A,TRUE,"1990";#N/A,#N/A,TRUE,"1991";#N/A,#N/A,TRUE,"1992";#N/A,#N/A,TRUE,"1993"}</definedName>
    <definedName name="_56" localSheetId="22" hidden="1">{#N/A,#N/A,TRUE,"1990";#N/A,#N/A,TRUE,"1991";#N/A,#N/A,TRUE,"1992";#N/A,#N/A,TRUE,"1993"}</definedName>
    <definedName name="_56" localSheetId="23" hidden="1">{#N/A,#N/A,TRUE,"1990";#N/A,#N/A,TRUE,"1991";#N/A,#N/A,TRUE,"1992";#N/A,#N/A,TRUE,"1993"}</definedName>
    <definedName name="_56" localSheetId="24" hidden="1">{#N/A,#N/A,TRUE,"1990";#N/A,#N/A,TRUE,"1991";#N/A,#N/A,TRUE,"1992";#N/A,#N/A,TRUE,"1993"}</definedName>
    <definedName name="_56" hidden="1">{#N/A,#N/A,TRUE,"1990";#N/A,#N/A,TRUE,"1991";#N/A,#N/A,TRUE,"1992";#N/A,#N/A,TRUE,"1993"}</definedName>
    <definedName name="_57" localSheetId="10" hidden="1">{#N/A,#N/A,FALSE,"SCA";#N/A,#N/A,FALSE,"NCA";#N/A,#N/A,FALSE,"SAZ";#N/A,#N/A,FALSE,"CAZ";#N/A,#N/A,FALSE,"SNV";#N/A,#N/A,FALSE,"NNV";#N/A,#N/A,FALSE,"PP";#N/A,#N/A,FALSE,"SA"}</definedName>
    <definedName name="_57" localSheetId="11" hidden="1">{#N/A,#N/A,FALSE,"SCA";#N/A,#N/A,FALSE,"NCA";#N/A,#N/A,FALSE,"SAZ";#N/A,#N/A,FALSE,"CAZ";#N/A,#N/A,FALSE,"SNV";#N/A,#N/A,FALSE,"NNV";#N/A,#N/A,FALSE,"PP";#N/A,#N/A,FALSE,"SA"}</definedName>
    <definedName name="_57" localSheetId="12" hidden="1">{#N/A,#N/A,FALSE,"SCA";#N/A,#N/A,FALSE,"NCA";#N/A,#N/A,FALSE,"SAZ";#N/A,#N/A,FALSE,"CAZ";#N/A,#N/A,FALSE,"SNV";#N/A,#N/A,FALSE,"NNV";#N/A,#N/A,FALSE,"PP";#N/A,#N/A,FALSE,"SA"}</definedName>
    <definedName name="_57" localSheetId="16" hidden="1">{#N/A,#N/A,FALSE,"SCA";#N/A,#N/A,FALSE,"NCA";#N/A,#N/A,FALSE,"SAZ";#N/A,#N/A,FALSE,"CAZ";#N/A,#N/A,FALSE,"SNV";#N/A,#N/A,FALSE,"NNV";#N/A,#N/A,FALSE,"PP";#N/A,#N/A,FALSE,"SA"}</definedName>
    <definedName name="_57" localSheetId="17" hidden="1">{#N/A,#N/A,FALSE,"SCA";#N/A,#N/A,FALSE,"NCA";#N/A,#N/A,FALSE,"SAZ";#N/A,#N/A,FALSE,"CAZ";#N/A,#N/A,FALSE,"SNV";#N/A,#N/A,FALSE,"NNV";#N/A,#N/A,FALSE,"PP";#N/A,#N/A,FALSE,"SA"}</definedName>
    <definedName name="_57" localSheetId="19" hidden="1">{#N/A,#N/A,FALSE,"SCA";#N/A,#N/A,FALSE,"NCA";#N/A,#N/A,FALSE,"SAZ";#N/A,#N/A,FALSE,"CAZ";#N/A,#N/A,FALSE,"SNV";#N/A,#N/A,FALSE,"NNV";#N/A,#N/A,FALSE,"PP";#N/A,#N/A,FALSE,"SA"}</definedName>
    <definedName name="_57" localSheetId="20" hidden="1">{#N/A,#N/A,FALSE,"SCA";#N/A,#N/A,FALSE,"NCA";#N/A,#N/A,FALSE,"SAZ";#N/A,#N/A,FALSE,"CAZ";#N/A,#N/A,FALSE,"SNV";#N/A,#N/A,FALSE,"NNV";#N/A,#N/A,FALSE,"PP";#N/A,#N/A,FALSE,"SA"}</definedName>
    <definedName name="_57" localSheetId="21" hidden="1">{#N/A,#N/A,FALSE,"SCA";#N/A,#N/A,FALSE,"NCA";#N/A,#N/A,FALSE,"SAZ";#N/A,#N/A,FALSE,"CAZ";#N/A,#N/A,FALSE,"SNV";#N/A,#N/A,FALSE,"NNV";#N/A,#N/A,FALSE,"PP";#N/A,#N/A,FALSE,"SA"}</definedName>
    <definedName name="_57" localSheetId="22" hidden="1">{#N/A,#N/A,FALSE,"SCA";#N/A,#N/A,FALSE,"NCA";#N/A,#N/A,FALSE,"SAZ";#N/A,#N/A,FALSE,"CAZ";#N/A,#N/A,FALSE,"SNV";#N/A,#N/A,FALSE,"NNV";#N/A,#N/A,FALSE,"PP";#N/A,#N/A,FALSE,"SA"}</definedName>
    <definedName name="_57" localSheetId="23" hidden="1">{#N/A,#N/A,FALSE,"SCA";#N/A,#N/A,FALSE,"NCA";#N/A,#N/A,FALSE,"SAZ";#N/A,#N/A,FALSE,"CAZ";#N/A,#N/A,FALSE,"SNV";#N/A,#N/A,FALSE,"NNV";#N/A,#N/A,FALSE,"PP";#N/A,#N/A,FALSE,"SA"}</definedName>
    <definedName name="_57" localSheetId="24" hidden="1">{#N/A,#N/A,FALSE,"SCA";#N/A,#N/A,FALSE,"NCA";#N/A,#N/A,FALSE,"SAZ";#N/A,#N/A,FALSE,"CAZ";#N/A,#N/A,FALSE,"SNV";#N/A,#N/A,FALSE,"NNV";#N/A,#N/A,FALSE,"PP";#N/A,#N/A,FALSE,"SA"}</definedName>
    <definedName name="_57" hidden="1">{#N/A,#N/A,FALSE,"SCA";#N/A,#N/A,FALSE,"NCA";#N/A,#N/A,FALSE,"SAZ";#N/A,#N/A,FALSE,"CAZ";#N/A,#N/A,FALSE,"SNV";#N/A,#N/A,FALSE,"NNV";#N/A,#N/A,FALSE,"PP";#N/A,#N/A,FALSE,"SA"}</definedName>
    <definedName name="_58" localSheetId="10" hidden="1">{#N/A,#N/A,FALSE,"SCA";#N/A,#N/A,FALSE,"NCA";#N/A,#N/A,FALSE,"SAZ";#N/A,#N/A,FALSE,"CAZ";#N/A,#N/A,FALSE,"SNV";#N/A,#N/A,FALSE,"NNV";#N/A,#N/A,FALSE,"PP";#N/A,#N/A,FALSE,"SA"}</definedName>
    <definedName name="_58" localSheetId="11" hidden="1">{#N/A,#N/A,FALSE,"SCA";#N/A,#N/A,FALSE,"NCA";#N/A,#N/A,FALSE,"SAZ";#N/A,#N/A,FALSE,"CAZ";#N/A,#N/A,FALSE,"SNV";#N/A,#N/A,FALSE,"NNV";#N/A,#N/A,FALSE,"PP";#N/A,#N/A,FALSE,"SA"}</definedName>
    <definedName name="_58" localSheetId="12" hidden="1">{#N/A,#N/A,FALSE,"SCA";#N/A,#N/A,FALSE,"NCA";#N/A,#N/A,FALSE,"SAZ";#N/A,#N/A,FALSE,"CAZ";#N/A,#N/A,FALSE,"SNV";#N/A,#N/A,FALSE,"NNV";#N/A,#N/A,FALSE,"PP";#N/A,#N/A,FALSE,"SA"}</definedName>
    <definedName name="_58" localSheetId="16" hidden="1">{#N/A,#N/A,FALSE,"SCA";#N/A,#N/A,FALSE,"NCA";#N/A,#N/A,FALSE,"SAZ";#N/A,#N/A,FALSE,"CAZ";#N/A,#N/A,FALSE,"SNV";#N/A,#N/A,FALSE,"NNV";#N/A,#N/A,FALSE,"PP";#N/A,#N/A,FALSE,"SA"}</definedName>
    <definedName name="_58" localSheetId="17" hidden="1">{#N/A,#N/A,FALSE,"SCA";#N/A,#N/A,FALSE,"NCA";#N/A,#N/A,FALSE,"SAZ";#N/A,#N/A,FALSE,"CAZ";#N/A,#N/A,FALSE,"SNV";#N/A,#N/A,FALSE,"NNV";#N/A,#N/A,FALSE,"PP";#N/A,#N/A,FALSE,"SA"}</definedName>
    <definedName name="_58" localSheetId="19" hidden="1">{#N/A,#N/A,FALSE,"SCA";#N/A,#N/A,FALSE,"NCA";#N/A,#N/A,FALSE,"SAZ";#N/A,#N/A,FALSE,"CAZ";#N/A,#N/A,FALSE,"SNV";#N/A,#N/A,FALSE,"NNV";#N/A,#N/A,FALSE,"PP";#N/A,#N/A,FALSE,"SA"}</definedName>
    <definedName name="_58" localSheetId="20" hidden="1">{#N/A,#N/A,FALSE,"SCA";#N/A,#N/A,FALSE,"NCA";#N/A,#N/A,FALSE,"SAZ";#N/A,#N/A,FALSE,"CAZ";#N/A,#N/A,FALSE,"SNV";#N/A,#N/A,FALSE,"NNV";#N/A,#N/A,FALSE,"PP";#N/A,#N/A,FALSE,"SA"}</definedName>
    <definedName name="_58" localSheetId="21" hidden="1">{#N/A,#N/A,FALSE,"SCA";#N/A,#N/A,FALSE,"NCA";#N/A,#N/A,FALSE,"SAZ";#N/A,#N/A,FALSE,"CAZ";#N/A,#N/A,FALSE,"SNV";#N/A,#N/A,FALSE,"NNV";#N/A,#N/A,FALSE,"PP";#N/A,#N/A,FALSE,"SA"}</definedName>
    <definedName name="_58" localSheetId="22" hidden="1">{#N/A,#N/A,FALSE,"SCA";#N/A,#N/A,FALSE,"NCA";#N/A,#N/A,FALSE,"SAZ";#N/A,#N/A,FALSE,"CAZ";#N/A,#N/A,FALSE,"SNV";#N/A,#N/A,FALSE,"NNV";#N/A,#N/A,FALSE,"PP";#N/A,#N/A,FALSE,"SA"}</definedName>
    <definedName name="_58" localSheetId="23" hidden="1">{#N/A,#N/A,FALSE,"SCA";#N/A,#N/A,FALSE,"NCA";#N/A,#N/A,FALSE,"SAZ";#N/A,#N/A,FALSE,"CAZ";#N/A,#N/A,FALSE,"SNV";#N/A,#N/A,FALSE,"NNV";#N/A,#N/A,FALSE,"PP";#N/A,#N/A,FALSE,"SA"}</definedName>
    <definedName name="_58" localSheetId="24" hidden="1">{#N/A,#N/A,FALSE,"SCA";#N/A,#N/A,FALSE,"NCA";#N/A,#N/A,FALSE,"SAZ";#N/A,#N/A,FALSE,"CAZ";#N/A,#N/A,FALSE,"SNV";#N/A,#N/A,FALSE,"NNV";#N/A,#N/A,FALSE,"PP";#N/A,#N/A,FALSE,"SA"}</definedName>
    <definedName name="_58" hidden="1">{#N/A,#N/A,FALSE,"SCA";#N/A,#N/A,FALSE,"NCA";#N/A,#N/A,FALSE,"SAZ";#N/A,#N/A,FALSE,"CAZ";#N/A,#N/A,FALSE,"SNV";#N/A,#N/A,FALSE,"NNV";#N/A,#N/A,FALSE,"PP";#N/A,#N/A,FALSE,"SA"}</definedName>
    <definedName name="_59" localSheetId="10" hidden="1">{"ARK_JURIS_FAC",#N/A,FALSE,"Ark_Fuel&amp;Rev"}</definedName>
    <definedName name="_59" localSheetId="11" hidden="1">{"ARK_JURIS_FAC",#N/A,FALSE,"Ark_Fuel&amp;Rev"}</definedName>
    <definedName name="_59" localSheetId="12" hidden="1">{"ARK_JURIS_FAC",#N/A,FALSE,"Ark_Fuel&amp;Rev"}</definedName>
    <definedName name="_59" localSheetId="16" hidden="1">{"ARK_JURIS_FAC",#N/A,FALSE,"Ark_Fuel&amp;Rev"}</definedName>
    <definedName name="_59" localSheetId="17" hidden="1">{"ARK_JURIS_FAC",#N/A,FALSE,"Ark_Fuel&amp;Rev"}</definedName>
    <definedName name="_59" localSheetId="19" hidden="1">{"ARK_JURIS_FAC",#N/A,FALSE,"Ark_Fuel&amp;Rev"}</definedName>
    <definedName name="_59" localSheetId="20" hidden="1">{"ARK_JURIS_FAC",#N/A,FALSE,"Ark_Fuel&amp;Rev"}</definedName>
    <definedName name="_59" localSheetId="21" hidden="1">{"ARK_JURIS_FAC",#N/A,FALSE,"Ark_Fuel&amp;Rev"}</definedName>
    <definedName name="_59" localSheetId="22" hidden="1">{"ARK_JURIS_FAC",#N/A,FALSE,"Ark_Fuel&amp;Rev"}</definedName>
    <definedName name="_59" localSheetId="23" hidden="1">{"ARK_JURIS_FAC",#N/A,FALSE,"Ark_Fuel&amp;Rev"}</definedName>
    <definedName name="_59" localSheetId="24" hidden="1">{"ARK_JURIS_FAC",#N/A,FALSE,"Ark_Fuel&amp;Rev"}</definedName>
    <definedName name="_59" hidden="1">{"ARK_JURIS_FAC",#N/A,FALSE,"Ark_Fuel&amp;Rev"}</definedName>
    <definedName name="_6" localSheetId="10" hidden="1">{#N/A,#N/A,FALSE,"SCA";#N/A,#N/A,FALSE,"NCA";#N/A,#N/A,FALSE,"SAZ";#N/A,#N/A,FALSE,"CAZ";#N/A,#N/A,FALSE,"SNV";#N/A,#N/A,FALSE,"NNV";#N/A,#N/A,FALSE,"PP";#N/A,#N/A,FALSE,"SA"}</definedName>
    <definedName name="_6" localSheetId="11" hidden="1">{#N/A,#N/A,FALSE,"SCA";#N/A,#N/A,FALSE,"NCA";#N/A,#N/A,FALSE,"SAZ";#N/A,#N/A,FALSE,"CAZ";#N/A,#N/A,FALSE,"SNV";#N/A,#N/A,FALSE,"NNV";#N/A,#N/A,FALSE,"PP";#N/A,#N/A,FALSE,"SA"}</definedName>
    <definedName name="_6" localSheetId="12" hidden="1">{#N/A,#N/A,FALSE,"SCA";#N/A,#N/A,FALSE,"NCA";#N/A,#N/A,FALSE,"SAZ";#N/A,#N/A,FALSE,"CAZ";#N/A,#N/A,FALSE,"SNV";#N/A,#N/A,FALSE,"NNV";#N/A,#N/A,FALSE,"PP";#N/A,#N/A,FALSE,"SA"}</definedName>
    <definedName name="_6" localSheetId="16" hidden="1">{#N/A,#N/A,FALSE,"SCA";#N/A,#N/A,FALSE,"NCA";#N/A,#N/A,FALSE,"SAZ";#N/A,#N/A,FALSE,"CAZ";#N/A,#N/A,FALSE,"SNV";#N/A,#N/A,FALSE,"NNV";#N/A,#N/A,FALSE,"PP";#N/A,#N/A,FALSE,"SA"}</definedName>
    <definedName name="_6" localSheetId="17" hidden="1">{#N/A,#N/A,FALSE,"SCA";#N/A,#N/A,FALSE,"NCA";#N/A,#N/A,FALSE,"SAZ";#N/A,#N/A,FALSE,"CAZ";#N/A,#N/A,FALSE,"SNV";#N/A,#N/A,FALSE,"NNV";#N/A,#N/A,FALSE,"PP";#N/A,#N/A,FALSE,"SA"}</definedName>
    <definedName name="_6" localSheetId="19" hidden="1">{#N/A,#N/A,FALSE,"SCA";#N/A,#N/A,FALSE,"NCA";#N/A,#N/A,FALSE,"SAZ";#N/A,#N/A,FALSE,"CAZ";#N/A,#N/A,FALSE,"SNV";#N/A,#N/A,FALSE,"NNV";#N/A,#N/A,FALSE,"PP";#N/A,#N/A,FALSE,"SA"}</definedName>
    <definedName name="_6" localSheetId="20" hidden="1">{#N/A,#N/A,FALSE,"SCA";#N/A,#N/A,FALSE,"NCA";#N/A,#N/A,FALSE,"SAZ";#N/A,#N/A,FALSE,"CAZ";#N/A,#N/A,FALSE,"SNV";#N/A,#N/A,FALSE,"NNV";#N/A,#N/A,FALSE,"PP";#N/A,#N/A,FALSE,"SA"}</definedName>
    <definedName name="_6" localSheetId="21" hidden="1">{#N/A,#N/A,FALSE,"SCA";#N/A,#N/A,FALSE,"NCA";#N/A,#N/A,FALSE,"SAZ";#N/A,#N/A,FALSE,"CAZ";#N/A,#N/A,FALSE,"SNV";#N/A,#N/A,FALSE,"NNV";#N/A,#N/A,FALSE,"PP";#N/A,#N/A,FALSE,"SA"}</definedName>
    <definedName name="_6" localSheetId="22" hidden="1">{#N/A,#N/A,FALSE,"SCA";#N/A,#N/A,FALSE,"NCA";#N/A,#N/A,FALSE,"SAZ";#N/A,#N/A,FALSE,"CAZ";#N/A,#N/A,FALSE,"SNV";#N/A,#N/A,FALSE,"NNV";#N/A,#N/A,FALSE,"PP";#N/A,#N/A,FALSE,"SA"}</definedName>
    <definedName name="_6" localSheetId="23" hidden="1">{#N/A,#N/A,FALSE,"SCA";#N/A,#N/A,FALSE,"NCA";#N/A,#N/A,FALSE,"SAZ";#N/A,#N/A,FALSE,"CAZ";#N/A,#N/A,FALSE,"SNV";#N/A,#N/A,FALSE,"NNV";#N/A,#N/A,FALSE,"PP";#N/A,#N/A,FALSE,"SA"}</definedName>
    <definedName name="_6" localSheetId="24" hidden="1">{#N/A,#N/A,FALSE,"SCA";#N/A,#N/A,FALSE,"NCA";#N/A,#N/A,FALSE,"SAZ";#N/A,#N/A,FALSE,"CAZ";#N/A,#N/A,FALSE,"SNV";#N/A,#N/A,FALSE,"NNV";#N/A,#N/A,FALSE,"PP";#N/A,#N/A,FALSE,"SA"}</definedName>
    <definedName name="_6" hidden="1">{#N/A,#N/A,FALSE,"SCA";#N/A,#N/A,FALSE,"NCA";#N/A,#N/A,FALSE,"SAZ";#N/A,#N/A,FALSE,"CAZ";#N/A,#N/A,FALSE,"SNV";#N/A,#N/A,FALSE,"NNV";#N/A,#N/A,FALSE,"PP";#N/A,#N/A,FALSE,"SA"}</definedName>
    <definedName name="_60" localSheetId="10" hidden="1">{"ARK_JURIS_FUEL",#N/A,FALSE,"Ark_Fuel&amp;Rev"}</definedName>
    <definedName name="_60" localSheetId="11" hidden="1">{"ARK_JURIS_FUEL",#N/A,FALSE,"Ark_Fuel&amp;Rev"}</definedName>
    <definedName name="_60" localSheetId="12" hidden="1">{"ARK_JURIS_FUEL",#N/A,FALSE,"Ark_Fuel&amp;Rev"}</definedName>
    <definedName name="_60" localSheetId="16" hidden="1">{"ARK_JURIS_FUEL",#N/A,FALSE,"Ark_Fuel&amp;Rev"}</definedName>
    <definedName name="_60" localSheetId="17" hidden="1">{"ARK_JURIS_FUEL",#N/A,FALSE,"Ark_Fuel&amp;Rev"}</definedName>
    <definedName name="_60" localSheetId="19" hidden="1">{"ARK_JURIS_FUEL",#N/A,FALSE,"Ark_Fuel&amp;Rev"}</definedName>
    <definedName name="_60" localSheetId="20" hidden="1">{"ARK_JURIS_FUEL",#N/A,FALSE,"Ark_Fuel&amp;Rev"}</definedName>
    <definedName name="_60" localSheetId="21" hidden="1">{"ARK_JURIS_FUEL",#N/A,FALSE,"Ark_Fuel&amp;Rev"}</definedName>
    <definedName name="_60" localSheetId="22" hidden="1">{"ARK_JURIS_FUEL",#N/A,FALSE,"Ark_Fuel&amp;Rev"}</definedName>
    <definedName name="_60" localSheetId="23" hidden="1">{"ARK_JURIS_FUEL",#N/A,FALSE,"Ark_Fuel&amp;Rev"}</definedName>
    <definedName name="_60" localSheetId="24" hidden="1">{"ARK_JURIS_FUEL",#N/A,FALSE,"Ark_Fuel&amp;Rev"}</definedName>
    <definedName name="_60" hidden="1">{"ARK_JURIS_FUEL",#N/A,FALSE,"Ark_Fuel&amp;Rev"}</definedName>
    <definedName name="_61" localSheetId="10" hidden="1">{"ATOKA_FAC",#N/A,FALSE,"Atoka"}</definedName>
    <definedName name="_61" localSheetId="11" hidden="1">{"ATOKA_FAC",#N/A,FALSE,"Atoka"}</definedName>
    <definedName name="_61" localSheetId="12" hidden="1">{"ATOKA_FAC",#N/A,FALSE,"Atoka"}</definedName>
    <definedName name="_61" localSheetId="16" hidden="1">{"ATOKA_FAC",#N/A,FALSE,"Atoka"}</definedName>
    <definedName name="_61" localSheetId="17" hidden="1">{"ATOKA_FAC",#N/A,FALSE,"Atoka"}</definedName>
    <definedName name="_61" localSheetId="19" hidden="1">{"ATOKA_FAC",#N/A,FALSE,"Atoka"}</definedName>
    <definedName name="_61" localSheetId="20" hidden="1">{"ATOKA_FAC",#N/A,FALSE,"Atoka"}</definedName>
    <definedName name="_61" localSheetId="21" hidden="1">{"ATOKA_FAC",#N/A,FALSE,"Atoka"}</definedName>
    <definedName name="_61" localSheetId="22" hidden="1">{"ATOKA_FAC",#N/A,FALSE,"Atoka"}</definedName>
    <definedName name="_61" localSheetId="23" hidden="1">{"ATOKA_FAC",#N/A,FALSE,"Atoka"}</definedName>
    <definedName name="_61" localSheetId="24" hidden="1">{"ATOKA_FAC",#N/A,FALSE,"Atoka"}</definedName>
    <definedName name="_61" hidden="1">{"ATOKA_FAC",#N/A,FALSE,"Atoka"}</definedName>
    <definedName name="_62" localSheetId="10" hidden="1">{"Benefits Summary",#N/A,FALSE,"Benefits Info without WC Amount";"Medical and Dental Costs",#N/A,FALSE,"Benefits Info without WC Amount";"Workers' Compensation",#N/A,FALSE,"Benefits Info without WC Amount"}</definedName>
    <definedName name="_62" localSheetId="11" hidden="1">{"Benefits Summary",#N/A,FALSE,"Benefits Info without WC Amount";"Medical and Dental Costs",#N/A,FALSE,"Benefits Info without WC Amount";"Workers' Compensation",#N/A,FALSE,"Benefits Info without WC Amount"}</definedName>
    <definedName name="_62" localSheetId="12" hidden="1">{"Benefits Summary",#N/A,FALSE,"Benefits Info without WC Amount";"Medical and Dental Costs",#N/A,FALSE,"Benefits Info without WC Amount";"Workers' Compensation",#N/A,FALSE,"Benefits Info without WC Amount"}</definedName>
    <definedName name="_62" localSheetId="16" hidden="1">{"Benefits Summary",#N/A,FALSE,"Benefits Info without WC Amount";"Medical and Dental Costs",#N/A,FALSE,"Benefits Info without WC Amount";"Workers' Compensation",#N/A,FALSE,"Benefits Info without WC Amount"}</definedName>
    <definedName name="_62" localSheetId="17" hidden="1">{"Benefits Summary",#N/A,FALSE,"Benefits Info without WC Amount";"Medical and Dental Costs",#N/A,FALSE,"Benefits Info without WC Amount";"Workers' Compensation",#N/A,FALSE,"Benefits Info without WC Amount"}</definedName>
    <definedName name="_62" localSheetId="19" hidden="1">{"Benefits Summary",#N/A,FALSE,"Benefits Info without WC Amount";"Medical and Dental Costs",#N/A,FALSE,"Benefits Info without WC Amount";"Workers' Compensation",#N/A,FALSE,"Benefits Info without WC Amount"}</definedName>
    <definedName name="_62" localSheetId="20" hidden="1">{"Benefits Summary",#N/A,FALSE,"Benefits Info without WC Amount";"Medical and Dental Costs",#N/A,FALSE,"Benefits Info without WC Amount";"Workers' Compensation",#N/A,FALSE,"Benefits Info without WC Amount"}</definedName>
    <definedName name="_62" localSheetId="21" hidden="1">{"Benefits Summary",#N/A,FALSE,"Benefits Info without WC Amount";"Medical and Dental Costs",#N/A,FALSE,"Benefits Info without WC Amount";"Workers' Compensation",#N/A,FALSE,"Benefits Info without WC Amount"}</definedName>
    <definedName name="_62" localSheetId="22" hidden="1">{"Benefits Summary",#N/A,FALSE,"Benefits Info without WC Amount";"Medical and Dental Costs",#N/A,FALSE,"Benefits Info without WC Amount";"Workers' Compensation",#N/A,FALSE,"Benefits Info without WC Amount"}</definedName>
    <definedName name="_62" localSheetId="23" hidden="1">{"Benefits Summary",#N/A,FALSE,"Benefits Info without WC Amount";"Medical and Dental Costs",#N/A,FALSE,"Benefits Info without WC Amount";"Workers' Compensation",#N/A,FALSE,"Benefits Info without WC Amount"}</definedName>
    <definedName name="_62" localSheetId="24" hidden="1">{"Benefits Summary",#N/A,FALSE,"Benefits Info without WC Amount";"Medical and Dental Costs",#N/A,FALSE,"Benefits Info without WC Amount";"Workers' Compensation",#N/A,FALSE,"Benefits Info without WC Amount"}</definedName>
    <definedName name="_62" hidden="1">{"Benefits Summary",#N/A,FALSE,"Benefits Info without WC Amount";"Medical and Dental Costs",#N/A,FALSE,"Benefits Info without WC Amount";"Workers' Compensation",#N/A,FALSE,"Benefits Info without WC Amount"}</definedName>
    <definedName name="_63" localSheetId="10" hidden="1">{#N/A,#N/A,FALSE,"Rev Seg Taxes";#N/A,#N/A,FALSE,"BookRev Seg";#N/A,#N/A,FALSE,"Supp Adj Seg";#N/A,#N/A,FALSE,"outside prov seg taxes"}</definedName>
    <definedName name="_63" localSheetId="11" hidden="1">{#N/A,#N/A,FALSE,"Rev Seg Taxes";#N/A,#N/A,FALSE,"BookRev Seg";#N/A,#N/A,FALSE,"Supp Adj Seg";#N/A,#N/A,FALSE,"outside prov seg taxes"}</definedName>
    <definedName name="_63" localSheetId="12" hidden="1">{#N/A,#N/A,FALSE,"Rev Seg Taxes";#N/A,#N/A,FALSE,"BookRev Seg";#N/A,#N/A,FALSE,"Supp Adj Seg";#N/A,#N/A,FALSE,"outside prov seg taxes"}</definedName>
    <definedName name="_63" localSheetId="16" hidden="1">{#N/A,#N/A,FALSE,"Rev Seg Taxes";#N/A,#N/A,FALSE,"BookRev Seg";#N/A,#N/A,FALSE,"Supp Adj Seg";#N/A,#N/A,FALSE,"outside prov seg taxes"}</definedName>
    <definedName name="_63" localSheetId="17" hidden="1">{#N/A,#N/A,FALSE,"Rev Seg Taxes";#N/A,#N/A,FALSE,"BookRev Seg";#N/A,#N/A,FALSE,"Supp Adj Seg";#N/A,#N/A,FALSE,"outside prov seg taxes"}</definedName>
    <definedName name="_63" localSheetId="19" hidden="1">{#N/A,#N/A,FALSE,"Rev Seg Taxes";#N/A,#N/A,FALSE,"BookRev Seg";#N/A,#N/A,FALSE,"Supp Adj Seg";#N/A,#N/A,FALSE,"outside prov seg taxes"}</definedName>
    <definedName name="_63" localSheetId="20" hidden="1">{#N/A,#N/A,FALSE,"Rev Seg Taxes";#N/A,#N/A,FALSE,"BookRev Seg";#N/A,#N/A,FALSE,"Supp Adj Seg";#N/A,#N/A,FALSE,"outside prov seg taxes"}</definedName>
    <definedName name="_63" localSheetId="21" hidden="1">{#N/A,#N/A,FALSE,"Rev Seg Taxes";#N/A,#N/A,FALSE,"BookRev Seg";#N/A,#N/A,FALSE,"Supp Adj Seg";#N/A,#N/A,FALSE,"outside prov seg taxes"}</definedName>
    <definedName name="_63" localSheetId="22" hidden="1">{#N/A,#N/A,FALSE,"Rev Seg Taxes";#N/A,#N/A,FALSE,"BookRev Seg";#N/A,#N/A,FALSE,"Supp Adj Seg";#N/A,#N/A,FALSE,"outside prov seg taxes"}</definedName>
    <definedName name="_63" localSheetId="23" hidden="1">{#N/A,#N/A,FALSE,"Rev Seg Taxes";#N/A,#N/A,FALSE,"BookRev Seg";#N/A,#N/A,FALSE,"Supp Adj Seg";#N/A,#N/A,FALSE,"outside prov seg taxes"}</definedName>
    <definedName name="_63" localSheetId="24" hidden="1">{#N/A,#N/A,FALSE,"Rev Seg Taxes";#N/A,#N/A,FALSE,"BookRev Seg";#N/A,#N/A,FALSE,"Supp Adj Seg";#N/A,#N/A,FALSE,"outside prov seg taxes"}</definedName>
    <definedName name="_63" hidden="1">{#N/A,#N/A,FALSE,"Rev Seg Taxes";#N/A,#N/A,FALSE,"BookRev Seg";#N/A,#N/A,FALSE,"Supp Adj Seg";#N/A,#N/A,FALSE,"outside prov seg taxes"}</definedName>
    <definedName name="_64" localSheetId="1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2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2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2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2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2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5" localSheetId="10" hidden="1">{#N/A,#N/A,FALSE,"GLDwnLoad"}</definedName>
    <definedName name="_65" localSheetId="11" hidden="1">{#N/A,#N/A,FALSE,"GLDwnLoad"}</definedName>
    <definedName name="_65" localSheetId="12" hidden="1">{#N/A,#N/A,FALSE,"GLDwnLoad"}</definedName>
    <definedName name="_65" localSheetId="16" hidden="1">{#N/A,#N/A,FALSE,"GLDwnLoad"}</definedName>
    <definedName name="_65" localSheetId="17" hidden="1">{#N/A,#N/A,FALSE,"GLDwnLoad"}</definedName>
    <definedName name="_65" localSheetId="19" hidden="1">{#N/A,#N/A,FALSE,"GLDwnLoad"}</definedName>
    <definedName name="_65" localSheetId="20" hidden="1">{#N/A,#N/A,FALSE,"GLDwnLoad"}</definedName>
    <definedName name="_65" localSheetId="21" hidden="1">{#N/A,#N/A,FALSE,"GLDwnLoad"}</definedName>
    <definedName name="_65" localSheetId="22" hidden="1">{#N/A,#N/A,FALSE,"GLDwnLoad"}</definedName>
    <definedName name="_65" localSheetId="23" hidden="1">{#N/A,#N/A,FALSE,"GLDwnLoad"}</definedName>
    <definedName name="_65" localSheetId="24" hidden="1">{#N/A,#N/A,FALSE,"GLDwnLoad"}</definedName>
    <definedName name="_65" hidden="1">{#N/A,#N/A,FALSE,"GLDwnLoad"}</definedName>
    <definedName name="_66" localSheetId="10" hidden="1">{#N/A,#N/A,FALSE,"OTHERINPUTS";#N/A,#N/A,FALSE,"DITRATEINPUTS";#N/A,#N/A,FALSE,"SUPPLIEDADJINPUT";#N/A,#N/A,FALSE,"BR&amp;SUPADJ."}</definedName>
    <definedName name="_66" localSheetId="11" hidden="1">{#N/A,#N/A,FALSE,"OTHERINPUTS";#N/A,#N/A,FALSE,"DITRATEINPUTS";#N/A,#N/A,FALSE,"SUPPLIEDADJINPUT";#N/A,#N/A,FALSE,"BR&amp;SUPADJ."}</definedName>
    <definedName name="_66" localSheetId="12" hidden="1">{#N/A,#N/A,FALSE,"OTHERINPUTS";#N/A,#N/A,FALSE,"DITRATEINPUTS";#N/A,#N/A,FALSE,"SUPPLIEDADJINPUT";#N/A,#N/A,FALSE,"BR&amp;SUPADJ."}</definedName>
    <definedName name="_66" localSheetId="16" hidden="1">{#N/A,#N/A,FALSE,"OTHERINPUTS";#N/A,#N/A,FALSE,"DITRATEINPUTS";#N/A,#N/A,FALSE,"SUPPLIEDADJINPUT";#N/A,#N/A,FALSE,"BR&amp;SUPADJ."}</definedName>
    <definedName name="_66" localSheetId="17" hidden="1">{#N/A,#N/A,FALSE,"OTHERINPUTS";#N/A,#N/A,FALSE,"DITRATEINPUTS";#N/A,#N/A,FALSE,"SUPPLIEDADJINPUT";#N/A,#N/A,FALSE,"BR&amp;SUPADJ."}</definedName>
    <definedName name="_66" localSheetId="19" hidden="1">{#N/A,#N/A,FALSE,"OTHERINPUTS";#N/A,#N/A,FALSE,"DITRATEINPUTS";#N/A,#N/A,FALSE,"SUPPLIEDADJINPUT";#N/A,#N/A,FALSE,"BR&amp;SUPADJ."}</definedName>
    <definedName name="_66" localSheetId="20" hidden="1">{#N/A,#N/A,FALSE,"OTHERINPUTS";#N/A,#N/A,FALSE,"DITRATEINPUTS";#N/A,#N/A,FALSE,"SUPPLIEDADJINPUT";#N/A,#N/A,FALSE,"BR&amp;SUPADJ."}</definedName>
    <definedName name="_66" localSheetId="21" hidden="1">{#N/A,#N/A,FALSE,"OTHERINPUTS";#N/A,#N/A,FALSE,"DITRATEINPUTS";#N/A,#N/A,FALSE,"SUPPLIEDADJINPUT";#N/A,#N/A,FALSE,"BR&amp;SUPADJ."}</definedName>
    <definedName name="_66" localSheetId="22" hidden="1">{#N/A,#N/A,FALSE,"OTHERINPUTS";#N/A,#N/A,FALSE,"DITRATEINPUTS";#N/A,#N/A,FALSE,"SUPPLIEDADJINPUT";#N/A,#N/A,FALSE,"BR&amp;SUPADJ."}</definedName>
    <definedName name="_66" localSheetId="23" hidden="1">{#N/A,#N/A,FALSE,"OTHERINPUTS";#N/A,#N/A,FALSE,"DITRATEINPUTS";#N/A,#N/A,FALSE,"SUPPLIEDADJINPUT";#N/A,#N/A,FALSE,"BR&amp;SUPADJ."}</definedName>
    <definedName name="_66" localSheetId="24" hidden="1">{#N/A,#N/A,FALSE,"OTHERINPUTS";#N/A,#N/A,FALSE,"DITRATEINPUTS";#N/A,#N/A,FALSE,"SUPPLIEDADJINPUT";#N/A,#N/A,FALSE,"BR&amp;SUPADJ."}</definedName>
    <definedName name="_66" hidden="1">{#N/A,#N/A,FALSE,"OTHERINPUTS";#N/A,#N/A,FALSE,"DITRATEINPUTS";#N/A,#N/A,FALSE,"SUPPLIEDADJINPUT";#N/A,#N/A,FALSE,"BR&amp;SUPADJ."}</definedName>
    <definedName name="_67" localSheetId="1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2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2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2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2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2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8" localSheetId="10" hidden="1">{"CONOCO_FAC",#N/A,FALSE,"Conoco FAC"}</definedName>
    <definedName name="_68" localSheetId="11" hidden="1">{"CONOCO_FAC",#N/A,FALSE,"Conoco FAC"}</definedName>
    <definedName name="_68" localSheetId="12" hidden="1">{"CONOCO_FAC",#N/A,FALSE,"Conoco FAC"}</definedName>
    <definedName name="_68" localSheetId="16" hidden="1">{"CONOCO_FAC",#N/A,FALSE,"Conoco FAC"}</definedName>
    <definedName name="_68" localSheetId="17" hidden="1">{"CONOCO_FAC",#N/A,FALSE,"Conoco FAC"}</definedName>
    <definedName name="_68" localSheetId="19" hidden="1">{"CONOCO_FAC",#N/A,FALSE,"Conoco FAC"}</definedName>
    <definedName name="_68" localSheetId="20" hidden="1">{"CONOCO_FAC",#N/A,FALSE,"Conoco FAC"}</definedName>
    <definedName name="_68" localSheetId="21" hidden="1">{"CONOCO_FAC",#N/A,FALSE,"Conoco FAC"}</definedName>
    <definedName name="_68" localSheetId="22" hidden="1">{"CONOCO_FAC",#N/A,FALSE,"Conoco FAC"}</definedName>
    <definedName name="_68" localSheetId="23" hidden="1">{"CONOCO_FAC",#N/A,FALSE,"Conoco FAC"}</definedName>
    <definedName name="_68" localSheetId="24" hidden="1">{"CONOCO_FAC",#N/A,FALSE,"Conoco FAC"}</definedName>
    <definedName name="_68" hidden="1">{"CONOCO_FAC",#N/A,FALSE,"Conoco FAC"}</definedName>
    <definedName name="_69" localSheetId="10" hidden="1">{#N/A,#N/A,FALSE,"GLDwnLoad"}</definedName>
    <definedName name="_69" localSheetId="11" hidden="1">{#N/A,#N/A,FALSE,"GLDwnLoad"}</definedName>
    <definedName name="_69" localSheetId="12" hidden="1">{#N/A,#N/A,FALSE,"GLDwnLoad"}</definedName>
    <definedName name="_69" localSheetId="16" hidden="1">{#N/A,#N/A,FALSE,"GLDwnLoad"}</definedName>
    <definedName name="_69" localSheetId="17" hidden="1">{#N/A,#N/A,FALSE,"GLDwnLoad"}</definedName>
    <definedName name="_69" localSheetId="19" hidden="1">{#N/A,#N/A,FALSE,"GLDwnLoad"}</definedName>
    <definedName name="_69" localSheetId="20" hidden="1">{#N/A,#N/A,FALSE,"GLDwnLoad"}</definedName>
    <definedName name="_69" localSheetId="21" hidden="1">{#N/A,#N/A,FALSE,"GLDwnLoad"}</definedName>
    <definedName name="_69" localSheetId="22" hidden="1">{#N/A,#N/A,FALSE,"GLDwnLoad"}</definedName>
    <definedName name="_69" localSheetId="23" hidden="1">{#N/A,#N/A,FALSE,"GLDwnLoad"}</definedName>
    <definedName name="_69" localSheetId="24" hidden="1">{#N/A,#N/A,FALSE,"GLDwnLoad"}</definedName>
    <definedName name="_69" hidden="1">{#N/A,#N/A,FALSE,"GLDwnLoad"}</definedName>
    <definedName name="_7" localSheetId="10" hidden="1">{#N/A,#N/A,FALSE,"Page 1";#N/A,#N/A,FALSE,"Page 2";#N/A,#N/A,FALSE,"Page 3";#N/A,#N/A,FALSE,"Page 4";#N/A,#N/A,FALSE,"Page 5";#N/A,#N/A,FALSE,"Page 6";#N/A,#N/A,FALSE,"Page 7";#N/A,#N/A,FALSE,"Page 8";#N/A,#N/A,FALSE,"Page 9";#N/A,#N/A,FALSE,"PG8WP";#N/A,#N/A,FALSE,"PG9WP"}</definedName>
    <definedName name="_7" localSheetId="11" hidden="1">{#N/A,#N/A,FALSE,"Page 1";#N/A,#N/A,FALSE,"Page 2";#N/A,#N/A,FALSE,"Page 3";#N/A,#N/A,FALSE,"Page 4";#N/A,#N/A,FALSE,"Page 5";#N/A,#N/A,FALSE,"Page 6";#N/A,#N/A,FALSE,"Page 7";#N/A,#N/A,FALSE,"Page 8";#N/A,#N/A,FALSE,"Page 9";#N/A,#N/A,FALSE,"PG8WP";#N/A,#N/A,FALSE,"PG9WP"}</definedName>
    <definedName name="_7" localSheetId="12" hidden="1">{#N/A,#N/A,FALSE,"Page 1";#N/A,#N/A,FALSE,"Page 2";#N/A,#N/A,FALSE,"Page 3";#N/A,#N/A,FALSE,"Page 4";#N/A,#N/A,FALSE,"Page 5";#N/A,#N/A,FALSE,"Page 6";#N/A,#N/A,FALSE,"Page 7";#N/A,#N/A,FALSE,"Page 8";#N/A,#N/A,FALSE,"Page 9";#N/A,#N/A,FALSE,"PG8WP";#N/A,#N/A,FALSE,"PG9WP"}</definedName>
    <definedName name="_7" localSheetId="16" hidden="1">{#N/A,#N/A,FALSE,"Page 1";#N/A,#N/A,FALSE,"Page 2";#N/A,#N/A,FALSE,"Page 3";#N/A,#N/A,FALSE,"Page 4";#N/A,#N/A,FALSE,"Page 5";#N/A,#N/A,FALSE,"Page 6";#N/A,#N/A,FALSE,"Page 7";#N/A,#N/A,FALSE,"Page 8";#N/A,#N/A,FALSE,"Page 9";#N/A,#N/A,FALSE,"PG8WP";#N/A,#N/A,FALSE,"PG9WP"}</definedName>
    <definedName name="_7" localSheetId="17" hidden="1">{#N/A,#N/A,FALSE,"Page 1";#N/A,#N/A,FALSE,"Page 2";#N/A,#N/A,FALSE,"Page 3";#N/A,#N/A,FALSE,"Page 4";#N/A,#N/A,FALSE,"Page 5";#N/A,#N/A,FALSE,"Page 6";#N/A,#N/A,FALSE,"Page 7";#N/A,#N/A,FALSE,"Page 8";#N/A,#N/A,FALSE,"Page 9";#N/A,#N/A,FALSE,"PG8WP";#N/A,#N/A,FALSE,"PG9WP"}</definedName>
    <definedName name="_7" localSheetId="19" hidden="1">{#N/A,#N/A,FALSE,"Page 1";#N/A,#N/A,FALSE,"Page 2";#N/A,#N/A,FALSE,"Page 3";#N/A,#N/A,FALSE,"Page 4";#N/A,#N/A,FALSE,"Page 5";#N/A,#N/A,FALSE,"Page 6";#N/A,#N/A,FALSE,"Page 7";#N/A,#N/A,FALSE,"Page 8";#N/A,#N/A,FALSE,"Page 9";#N/A,#N/A,FALSE,"PG8WP";#N/A,#N/A,FALSE,"PG9WP"}</definedName>
    <definedName name="_7" localSheetId="20" hidden="1">{#N/A,#N/A,FALSE,"Page 1";#N/A,#N/A,FALSE,"Page 2";#N/A,#N/A,FALSE,"Page 3";#N/A,#N/A,FALSE,"Page 4";#N/A,#N/A,FALSE,"Page 5";#N/A,#N/A,FALSE,"Page 6";#N/A,#N/A,FALSE,"Page 7";#N/A,#N/A,FALSE,"Page 8";#N/A,#N/A,FALSE,"Page 9";#N/A,#N/A,FALSE,"PG8WP";#N/A,#N/A,FALSE,"PG9WP"}</definedName>
    <definedName name="_7" localSheetId="21" hidden="1">{#N/A,#N/A,FALSE,"Page 1";#N/A,#N/A,FALSE,"Page 2";#N/A,#N/A,FALSE,"Page 3";#N/A,#N/A,FALSE,"Page 4";#N/A,#N/A,FALSE,"Page 5";#N/A,#N/A,FALSE,"Page 6";#N/A,#N/A,FALSE,"Page 7";#N/A,#N/A,FALSE,"Page 8";#N/A,#N/A,FALSE,"Page 9";#N/A,#N/A,FALSE,"PG8WP";#N/A,#N/A,FALSE,"PG9WP"}</definedName>
    <definedName name="_7" localSheetId="22" hidden="1">{#N/A,#N/A,FALSE,"Page 1";#N/A,#N/A,FALSE,"Page 2";#N/A,#N/A,FALSE,"Page 3";#N/A,#N/A,FALSE,"Page 4";#N/A,#N/A,FALSE,"Page 5";#N/A,#N/A,FALSE,"Page 6";#N/A,#N/A,FALSE,"Page 7";#N/A,#N/A,FALSE,"Page 8";#N/A,#N/A,FALSE,"Page 9";#N/A,#N/A,FALSE,"PG8WP";#N/A,#N/A,FALSE,"PG9WP"}</definedName>
    <definedName name="_7" localSheetId="23" hidden="1">{#N/A,#N/A,FALSE,"Page 1";#N/A,#N/A,FALSE,"Page 2";#N/A,#N/A,FALSE,"Page 3";#N/A,#N/A,FALSE,"Page 4";#N/A,#N/A,FALSE,"Page 5";#N/A,#N/A,FALSE,"Page 6";#N/A,#N/A,FALSE,"Page 7";#N/A,#N/A,FALSE,"Page 8";#N/A,#N/A,FALSE,"Page 9";#N/A,#N/A,FALSE,"PG8WP";#N/A,#N/A,FALSE,"PG9WP"}</definedName>
    <definedName name="_7" localSheetId="24" hidden="1">{#N/A,#N/A,FALSE,"Page 1";#N/A,#N/A,FALSE,"Page 2";#N/A,#N/A,FALSE,"Page 3";#N/A,#N/A,FALSE,"Page 4";#N/A,#N/A,FALSE,"Page 5";#N/A,#N/A,FALSE,"Page 6";#N/A,#N/A,FALSE,"Page 7";#N/A,#N/A,FALSE,"Page 8";#N/A,#N/A,FALSE,"Page 9";#N/A,#N/A,FALSE,"PG8WP";#N/A,#N/A,FALSE,"PG9WP"}</definedName>
    <definedName name="_7" hidden="1">{#N/A,#N/A,FALSE,"Page 1";#N/A,#N/A,FALSE,"Page 2";#N/A,#N/A,FALSE,"Page 3";#N/A,#N/A,FALSE,"Page 4";#N/A,#N/A,FALSE,"Page 5";#N/A,#N/A,FALSE,"Page 6";#N/A,#N/A,FALSE,"Page 7";#N/A,#N/A,FALSE,"Page 8";#N/A,#N/A,FALSE,"Page 9";#N/A,#N/A,FALSE,"PG8WP";#N/A,#N/A,FALSE,"PG9WP"}</definedName>
    <definedName name="_70" localSheetId="10" hidden="1">{#N/A,#N/A,FALSE,"OTHERINPUTS";#N/A,#N/A,FALSE,"DITRATEINPUTS";#N/A,#N/A,FALSE,"SUPPLIEDADJINPUT";#N/A,#N/A,FALSE,"TIMINGDIFFINPUTS";#N/A,#N/A,FALSE,"COSSINPUT";#N/A,#N/A,FALSE,"BR&amp;SUPADJ."}</definedName>
    <definedName name="_70" localSheetId="11" hidden="1">{#N/A,#N/A,FALSE,"OTHERINPUTS";#N/A,#N/A,FALSE,"DITRATEINPUTS";#N/A,#N/A,FALSE,"SUPPLIEDADJINPUT";#N/A,#N/A,FALSE,"TIMINGDIFFINPUTS";#N/A,#N/A,FALSE,"COSSINPUT";#N/A,#N/A,FALSE,"BR&amp;SUPADJ."}</definedName>
    <definedName name="_70" localSheetId="12" hidden="1">{#N/A,#N/A,FALSE,"OTHERINPUTS";#N/A,#N/A,FALSE,"DITRATEINPUTS";#N/A,#N/A,FALSE,"SUPPLIEDADJINPUT";#N/A,#N/A,FALSE,"TIMINGDIFFINPUTS";#N/A,#N/A,FALSE,"COSSINPUT";#N/A,#N/A,FALSE,"BR&amp;SUPADJ."}</definedName>
    <definedName name="_70" localSheetId="16" hidden="1">{#N/A,#N/A,FALSE,"OTHERINPUTS";#N/A,#N/A,FALSE,"DITRATEINPUTS";#N/A,#N/A,FALSE,"SUPPLIEDADJINPUT";#N/A,#N/A,FALSE,"TIMINGDIFFINPUTS";#N/A,#N/A,FALSE,"COSSINPUT";#N/A,#N/A,FALSE,"BR&amp;SUPADJ."}</definedName>
    <definedName name="_70" localSheetId="17" hidden="1">{#N/A,#N/A,FALSE,"OTHERINPUTS";#N/A,#N/A,FALSE,"DITRATEINPUTS";#N/A,#N/A,FALSE,"SUPPLIEDADJINPUT";#N/A,#N/A,FALSE,"TIMINGDIFFINPUTS";#N/A,#N/A,FALSE,"COSSINPUT";#N/A,#N/A,FALSE,"BR&amp;SUPADJ."}</definedName>
    <definedName name="_70" localSheetId="19" hidden="1">{#N/A,#N/A,FALSE,"OTHERINPUTS";#N/A,#N/A,FALSE,"DITRATEINPUTS";#N/A,#N/A,FALSE,"SUPPLIEDADJINPUT";#N/A,#N/A,FALSE,"TIMINGDIFFINPUTS";#N/A,#N/A,FALSE,"COSSINPUT";#N/A,#N/A,FALSE,"BR&amp;SUPADJ."}</definedName>
    <definedName name="_70" localSheetId="20" hidden="1">{#N/A,#N/A,FALSE,"OTHERINPUTS";#N/A,#N/A,FALSE,"DITRATEINPUTS";#N/A,#N/A,FALSE,"SUPPLIEDADJINPUT";#N/A,#N/A,FALSE,"TIMINGDIFFINPUTS";#N/A,#N/A,FALSE,"COSSINPUT";#N/A,#N/A,FALSE,"BR&amp;SUPADJ."}</definedName>
    <definedName name="_70" localSheetId="21" hidden="1">{#N/A,#N/A,FALSE,"OTHERINPUTS";#N/A,#N/A,FALSE,"DITRATEINPUTS";#N/A,#N/A,FALSE,"SUPPLIEDADJINPUT";#N/A,#N/A,FALSE,"TIMINGDIFFINPUTS";#N/A,#N/A,FALSE,"COSSINPUT";#N/A,#N/A,FALSE,"BR&amp;SUPADJ."}</definedName>
    <definedName name="_70" localSheetId="22" hidden="1">{#N/A,#N/A,FALSE,"OTHERINPUTS";#N/A,#N/A,FALSE,"DITRATEINPUTS";#N/A,#N/A,FALSE,"SUPPLIEDADJINPUT";#N/A,#N/A,FALSE,"TIMINGDIFFINPUTS";#N/A,#N/A,FALSE,"COSSINPUT";#N/A,#N/A,FALSE,"BR&amp;SUPADJ."}</definedName>
    <definedName name="_70" localSheetId="23" hidden="1">{#N/A,#N/A,FALSE,"OTHERINPUTS";#N/A,#N/A,FALSE,"DITRATEINPUTS";#N/A,#N/A,FALSE,"SUPPLIEDADJINPUT";#N/A,#N/A,FALSE,"TIMINGDIFFINPUTS";#N/A,#N/A,FALSE,"COSSINPUT";#N/A,#N/A,FALSE,"BR&amp;SUPADJ."}</definedName>
    <definedName name="_70" localSheetId="24" hidden="1">{#N/A,#N/A,FALSE,"OTHERINPUTS";#N/A,#N/A,FALSE,"DITRATEINPUTS";#N/A,#N/A,FALSE,"SUPPLIEDADJINPUT";#N/A,#N/A,FALSE,"TIMINGDIFFINPUTS";#N/A,#N/A,FALSE,"COSSINPUT";#N/A,#N/A,FALSE,"BR&amp;SUPADJ."}</definedName>
    <definedName name="_70" hidden="1">{#N/A,#N/A,FALSE,"OTHERINPUTS";#N/A,#N/A,FALSE,"DITRATEINPUTS";#N/A,#N/A,FALSE,"SUPPLIEDADJINPUT";#N/A,#N/A,FALSE,"TIMINGDIFFINPUTS";#N/A,#N/A,FALSE,"COSSINPUT";#N/A,#N/A,FALSE,"BR&amp;SUPADJ."}</definedName>
    <definedName name="_71"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2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2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2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2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2" localSheetId="10" hidden="1">{#N/A,#N/A,FALSE,"FAS109 Summary";#N/A,#N/A,FALSE,"FAS109 OPER 190 ITC";#N/A,#N/A,FALSE,"FAS109 OPER 190 Other";#N/A,#N/A,FALSE,"FAS109 OPER 282";#N/A,#N/A,FALSE,"FAS109 OPER 283";#N/A,#N/A,FALSE,"FAS109 Non OPER 283 ";#N/A,#N/A,FALSE,"J.E.UPLOAD DATA"}</definedName>
    <definedName name="_72" localSheetId="11" hidden="1">{#N/A,#N/A,FALSE,"FAS109 Summary";#N/A,#N/A,FALSE,"FAS109 OPER 190 ITC";#N/A,#N/A,FALSE,"FAS109 OPER 190 Other";#N/A,#N/A,FALSE,"FAS109 OPER 282";#N/A,#N/A,FALSE,"FAS109 OPER 283";#N/A,#N/A,FALSE,"FAS109 Non OPER 283 ";#N/A,#N/A,FALSE,"J.E.UPLOAD DATA"}</definedName>
    <definedName name="_72" localSheetId="12" hidden="1">{#N/A,#N/A,FALSE,"FAS109 Summary";#N/A,#N/A,FALSE,"FAS109 OPER 190 ITC";#N/A,#N/A,FALSE,"FAS109 OPER 190 Other";#N/A,#N/A,FALSE,"FAS109 OPER 282";#N/A,#N/A,FALSE,"FAS109 OPER 283";#N/A,#N/A,FALSE,"FAS109 Non OPER 283 ";#N/A,#N/A,FALSE,"J.E.UPLOAD DATA"}</definedName>
    <definedName name="_72" localSheetId="16" hidden="1">{#N/A,#N/A,FALSE,"FAS109 Summary";#N/A,#N/A,FALSE,"FAS109 OPER 190 ITC";#N/A,#N/A,FALSE,"FAS109 OPER 190 Other";#N/A,#N/A,FALSE,"FAS109 OPER 282";#N/A,#N/A,FALSE,"FAS109 OPER 283";#N/A,#N/A,FALSE,"FAS109 Non OPER 283 ";#N/A,#N/A,FALSE,"J.E.UPLOAD DATA"}</definedName>
    <definedName name="_72" localSheetId="17" hidden="1">{#N/A,#N/A,FALSE,"FAS109 Summary";#N/A,#N/A,FALSE,"FAS109 OPER 190 ITC";#N/A,#N/A,FALSE,"FAS109 OPER 190 Other";#N/A,#N/A,FALSE,"FAS109 OPER 282";#N/A,#N/A,FALSE,"FAS109 OPER 283";#N/A,#N/A,FALSE,"FAS109 Non OPER 283 ";#N/A,#N/A,FALSE,"J.E.UPLOAD DATA"}</definedName>
    <definedName name="_72" localSheetId="19" hidden="1">{#N/A,#N/A,FALSE,"FAS109 Summary";#N/A,#N/A,FALSE,"FAS109 OPER 190 ITC";#N/A,#N/A,FALSE,"FAS109 OPER 190 Other";#N/A,#N/A,FALSE,"FAS109 OPER 282";#N/A,#N/A,FALSE,"FAS109 OPER 283";#N/A,#N/A,FALSE,"FAS109 Non OPER 283 ";#N/A,#N/A,FALSE,"J.E.UPLOAD DATA"}</definedName>
    <definedName name="_72" localSheetId="20" hidden="1">{#N/A,#N/A,FALSE,"FAS109 Summary";#N/A,#N/A,FALSE,"FAS109 OPER 190 ITC";#N/A,#N/A,FALSE,"FAS109 OPER 190 Other";#N/A,#N/A,FALSE,"FAS109 OPER 282";#N/A,#N/A,FALSE,"FAS109 OPER 283";#N/A,#N/A,FALSE,"FAS109 Non OPER 283 ";#N/A,#N/A,FALSE,"J.E.UPLOAD DATA"}</definedName>
    <definedName name="_72" localSheetId="21" hidden="1">{#N/A,#N/A,FALSE,"FAS109 Summary";#N/A,#N/A,FALSE,"FAS109 OPER 190 ITC";#N/A,#N/A,FALSE,"FAS109 OPER 190 Other";#N/A,#N/A,FALSE,"FAS109 OPER 282";#N/A,#N/A,FALSE,"FAS109 OPER 283";#N/A,#N/A,FALSE,"FAS109 Non OPER 283 ";#N/A,#N/A,FALSE,"J.E.UPLOAD DATA"}</definedName>
    <definedName name="_72" localSheetId="22" hidden="1">{#N/A,#N/A,FALSE,"FAS109 Summary";#N/A,#N/A,FALSE,"FAS109 OPER 190 ITC";#N/A,#N/A,FALSE,"FAS109 OPER 190 Other";#N/A,#N/A,FALSE,"FAS109 OPER 282";#N/A,#N/A,FALSE,"FAS109 OPER 283";#N/A,#N/A,FALSE,"FAS109 Non OPER 283 ";#N/A,#N/A,FALSE,"J.E.UPLOAD DATA"}</definedName>
    <definedName name="_72" localSheetId="23" hidden="1">{#N/A,#N/A,FALSE,"FAS109 Summary";#N/A,#N/A,FALSE,"FAS109 OPER 190 ITC";#N/A,#N/A,FALSE,"FAS109 OPER 190 Other";#N/A,#N/A,FALSE,"FAS109 OPER 282";#N/A,#N/A,FALSE,"FAS109 OPER 283";#N/A,#N/A,FALSE,"FAS109 Non OPER 283 ";#N/A,#N/A,FALSE,"J.E.UPLOAD DATA"}</definedName>
    <definedName name="_72" localSheetId="24" hidden="1">{#N/A,#N/A,FALSE,"FAS109 Summary";#N/A,#N/A,FALSE,"FAS109 OPER 190 ITC";#N/A,#N/A,FALSE,"FAS109 OPER 190 Other";#N/A,#N/A,FALSE,"FAS109 OPER 282";#N/A,#N/A,FALSE,"FAS109 OPER 283";#N/A,#N/A,FALSE,"FAS109 Non OPER 283 ";#N/A,#N/A,FALSE,"J.E.UPLOAD DATA"}</definedName>
    <definedName name="_72" hidden="1">{#N/A,#N/A,FALSE,"FAS109 Summary";#N/A,#N/A,FALSE,"FAS109 OPER 190 ITC";#N/A,#N/A,FALSE,"FAS109 OPER 190 Other";#N/A,#N/A,FALSE,"FAS109 OPER 282";#N/A,#N/A,FALSE,"FAS109 OPER 283";#N/A,#N/A,FALSE,"FAS109 Non OPER 283 ";#N/A,#N/A,FALSE,"J.E.UPLOAD DATA"}</definedName>
    <definedName name="_73" localSheetId="10" hidden="1">{"FAC_SUMMARY",#N/A,FALSE,"Summaries"}</definedName>
    <definedName name="_73" localSheetId="11" hidden="1">{"FAC_SUMMARY",#N/A,FALSE,"Summaries"}</definedName>
    <definedName name="_73" localSheetId="12" hidden="1">{"FAC_SUMMARY",#N/A,FALSE,"Summaries"}</definedName>
    <definedName name="_73" localSheetId="16" hidden="1">{"FAC_SUMMARY",#N/A,FALSE,"Summaries"}</definedName>
    <definedName name="_73" localSheetId="17" hidden="1">{"FAC_SUMMARY",#N/A,FALSE,"Summaries"}</definedName>
    <definedName name="_73" localSheetId="19" hidden="1">{"FAC_SUMMARY",#N/A,FALSE,"Summaries"}</definedName>
    <definedName name="_73" localSheetId="20" hidden="1">{"FAC_SUMMARY",#N/A,FALSE,"Summaries"}</definedName>
    <definedName name="_73" localSheetId="21" hidden="1">{"FAC_SUMMARY",#N/A,FALSE,"Summaries"}</definedName>
    <definedName name="_73" localSheetId="22" hidden="1">{"FAC_SUMMARY",#N/A,FALSE,"Summaries"}</definedName>
    <definedName name="_73" localSheetId="23" hidden="1">{"FAC_SUMMARY",#N/A,FALSE,"Summaries"}</definedName>
    <definedName name="_73" localSheetId="24" hidden="1">{"FAC_SUMMARY",#N/A,FALSE,"Summaries"}</definedName>
    <definedName name="_73" hidden="1">{"FAC_SUMMARY",#N/A,FALSE,"Summaries"}</definedName>
    <definedName name="_74" localSheetId="10" hidden="1">{"FERC_FAC",#N/A,FALSE,"FERC_Fuel&amp;Rev"}</definedName>
    <definedName name="_74" localSheetId="11" hidden="1">{"FERC_FAC",#N/A,FALSE,"FERC_Fuel&amp;Rev"}</definedName>
    <definedName name="_74" localSheetId="12" hidden="1">{"FERC_FAC",#N/A,FALSE,"FERC_Fuel&amp;Rev"}</definedName>
    <definedName name="_74" localSheetId="16" hidden="1">{"FERC_FAC",#N/A,FALSE,"FERC_Fuel&amp;Rev"}</definedName>
    <definedName name="_74" localSheetId="17" hidden="1">{"FERC_FAC",#N/A,FALSE,"FERC_Fuel&amp;Rev"}</definedName>
    <definedName name="_74" localSheetId="19" hidden="1">{"FERC_FAC",#N/A,FALSE,"FERC_Fuel&amp;Rev"}</definedName>
    <definedName name="_74" localSheetId="20" hidden="1">{"FERC_FAC",#N/A,FALSE,"FERC_Fuel&amp;Rev"}</definedName>
    <definedName name="_74" localSheetId="21" hidden="1">{"FERC_FAC",#N/A,FALSE,"FERC_Fuel&amp;Rev"}</definedName>
    <definedName name="_74" localSheetId="22" hidden="1">{"FERC_FAC",#N/A,FALSE,"FERC_Fuel&amp;Rev"}</definedName>
    <definedName name="_74" localSheetId="23" hidden="1">{"FERC_FAC",#N/A,FALSE,"FERC_Fuel&amp;Rev"}</definedName>
    <definedName name="_74" localSheetId="24" hidden="1">{"FERC_FAC",#N/A,FALSE,"FERC_Fuel&amp;Rev"}</definedName>
    <definedName name="_74" hidden="1">{"FERC_FAC",#N/A,FALSE,"FERC_Fuel&amp;Rev"}</definedName>
    <definedName name="_75" localSheetId="10" hidden="1">{"FERC_WEATHER_AND_FUEL",#N/A,FALSE,"FERC_Fuel&amp;Rev"}</definedName>
    <definedName name="_75" localSheetId="11" hidden="1">{"FERC_WEATHER_AND_FUEL",#N/A,FALSE,"FERC_Fuel&amp;Rev"}</definedName>
    <definedName name="_75" localSheetId="12" hidden="1">{"FERC_WEATHER_AND_FUEL",#N/A,FALSE,"FERC_Fuel&amp;Rev"}</definedName>
    <definedName name="_75" localSheetId="16" hidden="1">{"FERC_WEATHER_AND_FUEL",#N/A,FALSE,"FERC_Fuel&amp;Rev"}</definedName>
    <definedName name="_75" localSheetId="17" hidden="1">{"FERC_WEATHER_AND_FUEL",#N/A,FALSE,"FERC_Fuel&amp;Rev"}</definedName>
    <definedName name="_75" localSheetId="19" hidden="1">{"FERC_WEATHER_AND_FUEL",#N/A,FALSE,"FERC_Fuel&amp;Rev"}</definedName>
    <definedName name="_75" localSheetId="20" hidden="1">{"FERC_WEATHER_AND_FUEL",#N/A,FALSE,"FERC_Fuel&amp;Rev"}</definedName>
    <definedName name="_75" localSheetId="21" hidden="1">{"FERC_WEATHER_AND_FUEL",#N/A,FALSE,"FERC_Fuel&amp;Rev"}</definedName>
    <definedName name="_75" localSheetId="22" hidden="1">{"FERC_WEATHER_AND_FUEL",#N/A,FALSE,"FERC_Fuel&amp;Rev"}</definedName>
    <definedName name="_75" localSheetId="23" hidden="1">{"FERC_WEATHER_AND_FUEL",#N/A,FALSE,"FERC_Fuel&amp;Rev"}</definedName>
    <definedName name="_75" localSheetId="24" hidden="1">{"FERC_WEATHER_AND_FUEL",#N/A,FALSE,"FERC_Fuel&amp;Rev"}</definedName>
    <definedName name="_75" hidden="1">{"FERC_WEATHER_AND_FUEL",#N/A,FALSE,"FERC_Fuel&amp;Rev"}</definedName>
    <definedName name="_76" localSheetId="10" hidden="1">{"wp_h4.2",#N/A,FALSE,"WP_H4.2";"wp_h4.3",#N/A,FALSE,"WP_H4.3"}</definedName>
    <definedName name="_76" localSheetId="11" hidden="1">{"wp_h4.2",#N/A,FALSE,"WP_H4.2";"wp_h4.3",#N/A,FALSE,"WP_H4.3"}</definedName>
    <definedName name="_76" localSheetId="12" hidden="1">{"wp_h4.2",#N/A,FALSE,"WP_H4.2";"wp_h4.3",#N/A,FALSE,"WP_H4.3"}</definedName>
    <definedName name="_76" localSheetId="16" hidden="1">{"wp_h4.2",#N/A,FALSE,"WP_H4.2";"wp_h4.3",#N/A,FALSE,"WP_H4.3"}</definedName>
    <definedName name="_76" localSheetId="17" hidden="1">{"wp_h4.2",#N/A,FALSE,"WP_H4.2";"wp_h4.3",#N/A,FALSE,"WP_H4.3"}</definedName>
    <definedName name="_76" localSheetId="19" hidden="1">{"wp_h4.2",#N/A,FALSE,"WP_H4.2";"wp_h4.3",#N/A,FALSE,"WP_H4.3"}</definedName>
    <definedName name="_76" localSheetId="20" hidden="1">{"wp_h4.2",#N/A,FALSE,"WP_H4.2";"wp_h4.3",#N/A,FALSE,"WP_H4.3"}</definedName>
    <definedName name="_76" localSheetId="21" hidden="1">{"wp_h4.2",#N/A,FALSE,"WP_H4.2";"wp_h4.3",#N/A,FALSE,"WP_H4.3"}</definedName>
    <definedName name="_76" localSheetId="22" hidden="1">{"wp_h4.2",#N/A,FALSE,"WP_H4.2";"wp_h4.3",#N/A,FALSE,"WP_H4.3"}</definedName>
    <definedName name="_76" localSheetId="23" hidden="1">{"wp_h4.2",#N/A,FALSE,"WP_H4.2";"wp_h4.3",#N/A,FALSE,"WP_H4.3"}</definedName>
    <definedName name="_76" localSheetId="24" hidden="1">{"wp_h4.2",#N/A,FALSE,"WP_H4.2";"wp_h4.3",#N/A,FALSE,"WP_H4.3"}</definedName>
    <definedName name="_76" hidden="1">{"wp_h4.2",#N/A,FALSE,"WP_H4.2";"wp_h4.3",#N/A,FALSE,"WP_H4.3"}</definedName>
    <definedName name="_77" localSheetId="10" hidden="1">{#N/A,#N/A,FALSE,"GLDwnLoad"}</definedName>
    <definedName name="_77" localSheetId="11" hidden="1">{#N/A,#N/A,FALSE,"GLDwnLoad"}</definedName>
    <definedName name="_77" localSheetId="12" hidden="1">{#N/A,#N/A,FALSE,"GLDwnLoad"}</definedName>
    <definedName name="_77" localSheetId="16" hidden="1">{#N/A,#N/A,FALSE,"GLDwnLoad"}</definedName>
    <definedName name="_77" localSheetId="17" hidden="1">{#N/A,#N/A,FALSE,"GLDwnLoad"}</definedName>
    <definedName name="_77" localSheetId="19" hidden="1">{#N/A,#N/A,FALSE,"GLDwnLoad"}</definedName>
    <definedName name="_77" localSheetId="20" hidden="1">{#N/A,#N/A,FALSE,"GLDwnLoad"}</definedName>
    <definedName name="_77" localSheetId="21" hidden="1">{#N/A,#N/A,FALSE,"GLDwnLoad"}</definedName>
    <definedName name="_77" localSheetId="22" hidden="1">{#N/A,#N/A,FALSE,"GLDwnLoad"}</definedName>
    <definedName name="_77" localSheetId="23" hidden="1">{#N/A,#N/A,FALSE,"GLDwnLoad"}</definedName>
    <definedName name="_77" localSheetId="24" hidden="1">{#N/A,#N/A,FALSE,"GLDwnLoad"}</definedName>
    <definedName name="_77" hidden="1">{#N/A,#N/A,FALSE,"GLDwnLoad"}</definedName>
    <definedName name="_78" localSheetId="10" hidden="1">{#N/A,#N/A,FALSE,"OTHERINPUTS";#N/A,#N/A,FALSE,"SUPPLIEDADJINPUT";#N/A,#N/A,FALSE,"BR&amp;SUPADJ."}</definedName>
    <definedName name="_78" localSheetId="11" hidden="1">{#N/A,#N/A,FALSE,"OTHERINPUTS";#N/A,#N/A,FALSE,"SUPPLIEDADJINPUT";#N/A,#N/A,FALSE,"BR&amp;SUPADJ."}</definedName>
    <definedName name="_78" localSheetId="12" hidden="1">{#N/A,#N/A,FALSE,"OTHERINPUTS";#N/A,#N/A,FALSE,"SUPPLIEDADJINPUT";#N/A,#N/A,FALSE,"BR&amp;SUPADJ."}</definedName>
    <definedName name="_78" localSheetId="16" hidden="1">{#N/A,#N/A,FALSE,"OTHERINPUTS";#N/A,#N/A,FALSE,"SUPPLIEDADJINPUT";#N/A,#N/A,FALSE,"BR&amp;SUPADJ."}</definedName>
    <definedName name="_78" localSheetId="17" hidden="1">{#N/A,#N/A,FALSE,"OTHERINPUTS";#N/A,#N/A,FALSE,"SUPPLIEDADJINPUT";#N/A,#N/A,FALSE,"BR&amp;SUPADJ."}</definedName>
    <definedName name="_78" localSheetId="19" hidden="1">{#N/A,#N/A,FALSE,"OTHERINPUTS";#N/A,#N/A,FALSE,"SUPPLIEDADJINPUT";#N/A,#N/A,FALSE,"BR&amp;SUPADJ."}</definedName>
    <definedName name="_78" localSheetId="20" hidden="1">{#N/A,#N/A,FALSE,"OTHERINPUTS";#N/A,#N/A,FALSE,"SUPPLIEDADJINPUT";#N/A,#N/A,FALSE,"BR&amp;SUPADJ."}</definedName>
    <definedName name="_78" localSheetId="21" hidden="1">{#N/A,#N/A,FALSE,"OTHERINPUTS";#N/A,#N/A,FALSE,"SUPPLIEDADJINPUT";#N/A,#N/A,FALSE,"BR&amp;SUPADJ."}</definedName>
    <definedName name="_78" localSheetId="22" hidden="1">{#N/A,#N/A,FALSE,"OTHERINPUTS";#N/A,#N/A,FALSE,"SUPPLIEDADJINPUT";#N/A,#N/A,FALSE,"BR&amp;SUPADJ."}</definedName>
    <definedName name="_78" localSheetId="23" hidden="1">{#N/A,#N/A,FALSE,"OTHERINPUTS";#N/A,#N/A,FALSE,"SUPPLIEDADJINPUT";#N/A,#N/A,FALSE,"BR&amp;SUPADJ."}</definedName>
    <definedName name="_78" localSheetId="24" hidden="1">{#N/A,#N/A,FALSE,"OTHERINPUTS";#N/A,#N/A,FALSE,"SUPPLIEDADJINPUT";#N/A,#N/A,FALSE,"BR&amp;SUPADJ."}</definedName>
    <definedName name="_78" hidden="1">{#N/A,#N/A,FALSE,"OTHERINPUTS";#N/A,#N/A,FALSE,"SUPPLIEDADJINPUT";#N/A,#N/A,FALSE,"BR&amp;SUPADJ."}</definedName>
    <definedName name="_79" localSheetId="1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2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2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2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2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2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8"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0"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2" localSheetId="10" hidden="1">{#N/A,#N/A,FALSE,"Page 1";#N/A,#N/A,FALSE,"Page 2";#N/A,#N/A,FALSE,"Page 3";#N/A,#N/A,FALSE,"Page 4";#N/A,#N/A,FALSE,"Page 5";#N/A,#N/A,FALSE,"Page 6";#N/A,#N/A,FALSE,"Page 7";#N/A,#N/A,FALSE,"Page 8";#N/A,#N/A,FALSE,"Page 9";#N/A,#N/A,FALSE,"PG8WP";#N/A,#N/A,FALSE,"PG9WP"}</definedName>
    <definedName name="_82" localSheetId="11" hidden="1">{#N/A,#N/A,FALSE,"Page 1";#N/A,#N/A,FALSE,"Page 2";#N/A,#N/A,FALSE,"Page 3";#N/A,#N/A,FALSE,"Page 4";#N/A,#N/A,FALSE,"Page 5";#N/A,#N/A,FALSE,"Page 6";#N/A,#N/A,FALSE,"Page 7";#N/A,#N/A,FALSE,"Page 8";#N/A,#N/A,FALSE,"Page 9";#N/A,#N/A,FALSE,"PG8WP";#N/A,#N/A,FALSE,"PG9WP"}</definedName>
    <definedName name="_82" localSheetId="12" hidden="1">{#N/A,#N/A,FALSE,"Page 1";#N/A,#N/A,FALSE,"Page 2";#N/A,#N/A,FALSE,"Page 3";#N/A,#N/A,FALSE,"Page 4";#N/A,#N/A,FALSE,"Page 5";#N/A,#N/A,FALSE,"Page 6";#N/A,#N/A,FALSE,"Page 7";#N/A,#N/A,FALSE,"Page 8";#N/A,#N/A,FALSE,"Page 9";#N/A,#N/A,FALSE,"PG8WP";#N/A,#N/A,FALSE,"PG9WP"}</definedName>
    <definedName name="_82" localSheetId="16" hidden="1">{#N/A,#N/A,FALSE,"Page 1";#N/A,#N/A,FALSE,"Page 2";#N/A,#N/A,FALSE,"Page 3";#N/A,#N/A,FALSE,"Page 4";#N/A,#N/A,FALSE,"Page 5";#N/A,#N/A,FALSE,"Page 6";#N/A,#N/A,FALSE,"Page 7";#N/A,#N/A,FALSE,"Page 8";#N/A,#N/A,FALSE,"Page 9";#N/A,#N/A,FALSE,"PG8WP";#N/A,#N/A,FALSE,"PG9WP"}</definedName>
    <definedName name="_82" localSheetId="17" hidden="1">{#N/A,#N/A,FALSE,"Page 1";#N/A,#N/A,FALSE,"Page 2";#N/A,#N/A,FALSE,"Page 3";#N/A,#N/A,FALSE,"Page 4";#N/A,#N/A,FALSE,"Page 5";#N/A,#N/A,FALSE,"Page 6";#N/A,#N/A,FALSE,"Page 7";#N/A,#N/A,FALSE,"Page 8";#N/A,#N/A,FALSE,"Page 9";#N/A,#N/A,FALSE,"PG8WP";#N/A,#N/A,FALSE,"PG9WP"}</definedName>
    <definedName name="_82" localSheetId="19" hidden="1">{#N/A,#N/A,FALSE,"Page 1";#N/A,#N/A,FALSE,"Page 2";#N/A,#N/A,FALSE,"Page 3";#N/A,#N/A,FALSE,"Page 4";#N/A,#N/A,FALSE,"Page 5";#N/A,#N/A,FALSE,"Page 6";#N/A,#N/A,FALSE,"Page 7";#N/A,#N/A,FALSE,"Page 8";#N/A,#N/A,FALSE,"Page 9";#N/A,#N/A,FALSE,"PG8WP";#N/A,#N/A,FALSE,"PG9WP"}</definedName>
    <definedName name="_82" localSheetId="20" hidden="1">{#N/A,#N/A,FALSE,"Page 1";#N/A,#N/A,FALSE,"Page 2";#N/A,#N/A,FALSE,"Page 3";#N/A,#N/A,FALSE,"Page 4";#N/A,#N/A,FALSE,"Page 5";#N/A,#N/A,FALSE,"Page 6";#N/A,#N/A,FALSE,"Page 7";#N/A,#N/A,FALSE,"Page 8";#N/A,#N/A,FALSE,"Page 9";#N/A,#N/A,FALSE,"PG8WP";#N/A,#N/A,FALSE,"PG9WP"}</definedName>
    <definedName name="_82" localSheetId="21" hidden="1">{#N/A,#N/A,FALSE,"Page 1";#N/A,#N/A,FALSE,"Page 2";#N/A,#N/A,FALSE,"Page 3";#N/A,#N/A,FALSE,"Page 4";#N/A,#N/A,FALSE,"Page 5";#N/A,#N/A,FALSE,"Page 6";#N/A,#N/A,FALSE,"Page 7";#N/A,#N/A,FALSE,"Page 8";#N/A,#N/A,FALSE,"Page 9";#N/A,#N/A,FALSE,"PG8WP";#N/A,#N/A,FALSE,"PG9WP"}</definedName>
    <definedName name="_82" localSheetId="22" hidden="1">{#N/A,#N/A,FALSE,"Page 1";#N/A,#N/A,FALSE,"Page 2";#N/A,#N/A,FALSE,"Page 3";#N/A,#N/A,FALSE,"Page 4";#N/A,#N/A,FALSE,"Page 5";#N/A,#N/A,FALSE,"Page 6";#N/A,#N/A,FALSE,"Page 7";#N/A,#N/A,FALSE,"Page 8";#N/A,#N/A,FALSE,"Page 9";#N/A,#N/A,FALSE,"PG8WP";#N/A,#N/A,FALSE,"PG9WP"}</definedName>
    <definedName name="_82" localSheetId="23" hidden="1">{#N/A,#N/A,FALSE,"Page 1";#N/A,#N/A,FALSE,"Page 2";#N/A,#N/A,FALSE,"Page 3";#N/A,#N/A,FALSE,"Page 4";#N/A,#N/A,FALSE,"Page 5";#N/A,#N/A,FALSE,"Page 6";#N/A,#N/A,FALSE,"Page 7";#N/A,#N/A,FALSE,"Page 8";#N/A,#N/A,FALSE,"Page 9";#N/A,#N/A,FALSE,"PG8WP";#N/A,#N/A,FALSE,"PG9WP"}</definedName>
    <definedName name="_82" localSheetId="24" hidden="1">{#N/A,#N/A,FALSE,"Page 1";#N/A,#N/A,FALSE,"Page 2";#N/A,#N/A,FALSE,"Page 3";#N/A,#N/A,FALSE,"Page 4";#N/A,#N/A,FALSE,"Page 5";#N/A,#N/A,FALSE,"Page 6";#N/A,#N/A,FALSE,"Page 7";#N/A,#N/A,FALSE,"Page 8";#N/A,#N/A,FALSE,"Page 9";#N/A,#N/A,FALSE,"PG8WP";#N/A,#N/A,FALSE,"PG9WP"}</definedName>
    <definedName name="_82" hidden="1">{#N/A,#N/A,FALSE,"Page 1";#N/A,#N/A,FALSE,"Page 2";#N/A,#N/A,FALSE,"Page 3";#N/A,#N/A,FALSE,"Page 4";#N/A,#N/A,FALSE,"Page 5";#N/A,#N/A,FALSE,"Page 6";#N/A,#N/A,FALSE,"Page 7";#N/A,#N/A,FALSE,"Page 8";#N/A,#N/A,FALSE,"Page 9";#N/A,#N/A,FALSE,"PG8WP";#N/A,#N/A,FALSE,"PG9WP"}</definedName>
    <definedName name="_83" localSheetId="10" hidden="1">{#N/A,#N/A,FALSE,"Page 1";#N/A,#N/A,FALSE,"Page 2";#N/A,#N/A,FALSE,"Page 3";#N/A,#N/A,FALSE,"Page 4";#N/A,#N/A,FALSE,"Page 5";#N/A,#N/A,FALSE,"Page 6";#N/A,#N/A,FALSE,"Page 7";#N/A,#N/A,FALSE,"Page 8";#N/A,#N/A,FALSE,"Page 9";#N/A,#N/A,FALSE,"PG8WP";#N/A,#N/A,FALSE,"PG9WP"}</definedName>
    <definedName name="_83" localSheetId="11" hidden="1">{#N/A,#N/A,FALSE,"Page 1";#N/A,#N/A,FALSE,"Page 2";#N/A,#N/A,FALSE,"Page 3";#N/A,#N/A,FALSE,"Page 4";#N/A,#N/A,FALSE,"Page 5";#N/A,#N/A,FALSE,"Page 6";#N/A,#N/A,FALSE,"Page 7";#N/A,#N/A,FALSE,"Page 8";#N/A,#N/A,FALSE,"Page 9";#N/A,#N/A,FALSE,"PG8WP";#N/A,#N/A,FALSE,"PG9WP"}</definedName>
    <definedName name="_83" localSheetId="12" hidden="1">{#N/A,#N/A,FALSE,"Page 1";#N/A,#N/A,FALSE,"Page 2";#N/A,#N/A,FALSE,"Page 3";#N/A,#N/A,FALSE,"Page 4";#N/A,#N/A,FALSE,"Page 5";#N/A,#N/A,FALSE,"Page 6";#N/A,#N/A,FALSE,"Page 7";#N/A,#N/A,FALSE,"Page 8";#N/A,#N/A,FALSE,"Page 9";#N/A,#N/A,FALSE,"PG8WP";#N/A,#N/A,FALSE,"PG9WP"}</definedName>
    <definedName name="_83" localSheetId="16" hidden="1">{#N/A,#N/A,FALSE,"Page 1";#N/A,#N/A,FALSE,"Page 2";#N/A,#N/A,FALSE,"Page 3";#N/A,#N/A,FALSE,"Page 4";#N/A,#N/A,FALSE,"Page 5";#N/A,#N/A,FALSE,"Page 6";#N/A,#N/A,FALSE,"Page 7";#N/A,#N/A,FALSE,"Page 8";#N/A,#N/A,FALSE,"Page 9";#N/A,#N/A,FALSE,"PG8WP";#N/A,#N/A,FALSE,"PG9WP"}</definedName>
    <definedName name="_83" localSheetId="17" hidden="1">{#N/A,#N/A,FALSE,"Page 1";#N/A,#N/A,FALSE,"Page 2";#N/A,#N/A,FALSE,"Page 3";#N/A,#N/A,FALSE,"Page 4";#N/A,#N/A,FALSE,"Page 5";#N/A,#N/A,FALSE,"Page 6";#N/A,#N/A,FALSE,"Page 7";#N/A,#N/A,FALSE,"Page 8";#N/A,#N/A,FALSE,"Page 9";#N/A,#N/A,FALSE,"PG8WP";#N/A,#N/A,FALSE,"PG9WP"}</definedName>
    <definedName name="_83" localSheetId="19" hidden="1">{#N/A,#N/A,FALSE,"Page 1";#N/A,#N/A,FALSE,"Page 2";#N/A,#N/A,FALSE,"Page 3";#N/A,#N/A,FALSE,"Page 4";#N/A,#N/A,FALSE,"Page 5";#N/A,#N/A,FALSE,"Page 6";#N/A,#N/A,FALSE,"Page 7";#N/A,#N/A,FALSE,"Page 8";#N/A,#N/A,FALSE,"Page 9";#N/A,#N/A,FALSE,"PG8WP";#N/A,#N/A,FALSE,"PG9WP"}</definedName>
    <definedName name="_83" localSheetId="20" hidden="1">{#N/A,#N/A,FALSE,"Page 1";#N/A,#N/A,FALSE,"Page 2";#N/A,#N/A,FALSE,"Page 3";#N/A,#N/A,FALSE,"Page 4";#N/A,#N/A,FALSE,"Page 5";#N/A,#N/A,FALSE,"Page 6";#N/A,#N/A,FALSE,"Page 7";#N/A,#N/A,FALSE,"Page 8";#N/A,#N/A,FALSE,"Page 9";#N/A,#N/A,FALSE,"PG8WP";#N/A,#N/A,FALSE,"PG9WP"}</definedName>
    <definedName name="_83" localSheetId="21" hidden="1">{#N/A,#N/A,FALSE,"Page 1";#N/A,#N/A,FALSE,"Page 2";#N/A,#N/A,FALSE,"Page 3";#N/A,#N/A,FALSE,"Page 4";#N/A,#N/A,FALSE,"Page 5";#N/A,#N/A,FALSE,"Page 6";#N/A,#N/A,FALSE,"Page 7";#N/A,#N/A,FALSE,"Page 8";#N/A,#N/A,FALSE,"Page 9";#N/A,#N/A,FALSE,"PG8WP";#N/A,#N/A,FALSE,"PG9WP"}</definedName>
    <definedName name="_83" localSheetId="22" hidden="1">{#N/A,#N/A,FALSE,"Page 1";#N/A,#N/A,FALSE,"Page 2";#N/A,#N/A,FALSE,"Page 3";#N/A,#N/A,FALSE,"Page 4";#N/A,#N/A,FALSE,"Page 5";#N/A,#N/A,FALSE,"Page 6";#N/A,#N/A,FALSE,"Page 7";#N/A,#N/A,FALSE,"Page 8";#N/A,#N/A,FALSE,"Page 9";#N/A,#N/A,FALSE,"PG8WP";#N/A,#N/A,FALSE,"PG9WP"}</definedName>
    <definedName name="_83" localSheetId="23" hidden="1">{#N/A,#N/A,FALSE,"Page 1";#N/A,#N/A,FALSE,"Page 2";#N/A,#N/A,FALSE,"Page 3";#N/A,#N/A,FALSE,"Page 4";#N/A,#N/A,FALSE,"Page 5";#N/A,#N/A,FALSE,"Page 6";#N/A,#N/A,FALSE,"Page 7";#N/A,#N/A,FALSE,"Page 8";#N/A,#N/A,FALSE,"Page 9";#N/A,#N/A,FALSE,"PG8WP";#N/A,#N/A,FALSE,"PG9WP"}</definedName>
    <definedName name="_83" localSheetId="24" hidden="1">{#N/A,#N/A,FALSE,"Page 1";#N/A,#N/A,FALSE,"Page 2";#N/A,#N/A,FALSE,"Page 3";#N/A,#N/A,FALSE,"Page 4";#N/A,#N/A,FALSE,"Page 5";#N/A,#N/A,FALSE,"Page 6";#N/A,#N/A,FALSE,"Page 7";#N/A,#N/A,FALSE,"Page 8";#N/A,#N/A,FALSE,"Page 9";#N/A,#N/A,FALSE,"PG8WP";#N/A,#N/A,FALSE,"PG9WP"}</definedName>
    <definedName name="_83" hidden="1">{#N/A,#N/A,FALSE,"Page 1";#N/A,#N/A,FALSE,"Page 2";#N/A,#N/A,FALSE,"Page 3";#N/A,#N/A,FALSE,"Page 4";#N/A,#N/A,FALSE,"Page 5";#N/A,#N/A,FALSE,"Page 6";#N/A,#N/A,FALSE,"Page 7";#N/A,#N/A,FALSE,"Page 8";#N/A,#N/A,FALSE,"Page 9";#N/A,#N/A,FALSE,"PG8WP";#N/A,#N/A,FALSE,"PG9WP"}</definedName>
    <definedName name="_84" localSheetId="10" hidden="1">{"OK_FUEL_COMPARISON",#N/A,FALSE,"Ok_Fuel&amp;Rev"}</definedName>
    <definedName name="_84" localSheetId="11" hidden="1">{"OK_FUEL_COMPARISON",#N/A,FALSE,"Ok_Fuel&amp;Rev"}</definedName>
    <definedName name="_84" localSheetId="12" hidden="1">{"OK_FUEL_COMPARISON",#N/A,FALSE,"Ok_Fuel&amp;Rev"}</definedName>
    <definedName name="_84" localSheetId="16" hidden="1">{"OK_FUEL_COMPARISON",#N/A,FALSE,"Ok_Fuel&amp;Rev"}</definedName>
    <definedName name="_84" localSheetId="17" hidden="1">{"OK_FUEL_COMPARISON",#N/A,FALSE,"Ok_Fuel&amp;Rev"}</definedName>
    <definedName name="_84" localSheetId="19" hidden="1">{"OK_FUEL_COMPARISON",#N/A,FALSE,"Ok_Fuel&amp;Rev"}</definedName>
    <definedName name="_84" localSheetId="20" hidden="1">{"OK_FUEL_COMPARISON",#N/A,FALSE,"Ok_Fuel&amp;Rev"}</definedName>
    <definedName name="_84" localSheetId="21" hidden="1">{"OK_FUEL_COMPARISON",#N/A,FALSE,"Ok_Fuel&amp;Rev"}</definedName>
    <definedName name="_84" localSheetId="22" hidden="1">{"OK_FUEL_COMPARISON",#N/A,FALSE,"Ok_Fuel&amp;Rev"}</definedName>
    <definedName name="_84" localSheetId="23" hidden="1">{"OK_FUEL_COMPARISON",#N/A,FALSE,"Ok_Fuel&amp;Rev"}</definedName>
    <definedName name="_84" localSheetId="24" hidden="1">{"OK_FUEL_COMPARISON",#N/A,FALSE,"Ok_Fuel&amp;Rev"}</definedName>
    <definedName name="_84" hidden="1">{"OK_FUEL_COMPARISON",#N/A,FALSE,"Ok_Fuel&amp;Rev"}</definedName>
    <definedName name="_85" localSheetId="10" hidden="1">{"OK_JURIS_FAC",#N/A,FALSE,"Ok_Fuel&amp;Rev"}</definedName>
    <definedName name="_85" localSheetId="11" hidden="1">{"OK_JURIS_FAC",#N/A,FALSE,"Ok_Fuel&amp;Rev"}</definedName>
    <definedName name="_85" localSheetId="12" hidden="1">{"OK_JURIS_FAC",#N/A,FALSE,"Ok_Fuel&amp;Rev"}</definedName>
    <definedName name="_85" localSheetId="16" hidden="1">{"OK_JURIS_FAC",#N/A,FALSE,"Ok_Fuel&amp;Rev"}</definedName>
    <definedName name="_85" localSheetId="17" hidden="1">{"OK_JURIS_FAC",#N/A,FALSE,"Ok_Fuel&amp;Rev"}</definedName>
    <definedName name="_85" localSheetId="19" hidden="1">{"OK_JURIS_FAC",#N/A,FALSE,"Ok_Fuel&amp;Rev"}</definedName>
    <definedName name="_85" localSheetId="20" hidden="1">{"OK_JURIS_FAC",#N/A,FALSE,"Ok_Fuel&amp;Rev"}</definedName>
    <definedName name="_85" localSheetId="21" hidden="1">{"OK_JURIS_FAC",#N/A,FALSE,"Ok_Fuel&amp;Rev"}</definedName>
    <definedName name="_85" localSheetId="22" hidden="1">{"OK_JURIS_FAC",#N/A,FALSE,"Ok_Fuel&amp;Rev"}</definedName>
    <definedName name="_85" localSheetId="23" hidden="1">{"OK_JURIS_FAC",#N/A,FALSE,"Ok_Fuel&amp;Rev"}</definedName>
    <definedName name="_85" localSheetId="24" hidden="1">{"OK_JURIS_FAC",#N/A,FALSE,"Ok_Fuel&amp;Rev"}</definedName>
    <definedName name="_85" hidden="1">{"OK_JURIS_FAC",#N/A,FALSE,"Ok_Fuel&amp;Rev"}</definedName>
    <definedName name="_86" localSheetId="10" hidden="1">{"OK_JURIS_FUEL",#N/A,FALSE,"Ok_Fuel&amp;Rev"}</definedName>
    <definedName name="_86" localSheetId="11" hidden="1">{"OK_JURIS_FUEL",#N/A,FALSE,"Ok_Fuel&amp;Rev"}</definedName>
    <definedName name="_86" localSheetId="12" hidden="1">{"OK_JURIS_FUEL",#N/A,FALSE,"Ok_Fuel&amp;Rev"}</definedName>
    <definedName name="_86" localSheetId="16" hidden="1">{"OK_JURIS_FUEL",#N/A,FALSE,"Ok_Fuel&amp;Rev"}</definedName>
    <definedName name="_86" localSheetId="17" hidden="1">{"OK_JURIS_FUEL",#N/A,FALSE,"Ok_Fuel&amp;Rev"}</definedName>
    <definedName name="_86" localSheetId="19" hidden="1">{"OK_JURIS_FUEL",#N/A,FALSE,"Ok_Fuel&amp;Rev"}</definedName>
    <definedName name="_86" localSheetId="20" hidden="1">{"OK_JURIS_FUEL",#N/A,FALSE,"Ok_Fuel&amp;Rev"}</definedName>
    <definedName name="_86" localSheetId="21" hidden="1">{"OK_JURIS_FUEL",#N/A,FALSE,"Ok_Fuel&amp;Rev"}</definedName>
    <definedName name="_86" localSheetId="22" hidden="1">{"OK_JURIS_FUEL",#N/A,FALSE,"Ok_Fuel&amp;Rev"}</definedName>
    <definedName name="_86" localSheetId="23" hidden="1">{"OK_JURIS_FUEL",#N/A,FALSE,"Ok_Fuel&amp;Rev"}</definedName>
    <definedName name="_86" localSheetId="24" hidden="1">{"OK_JURIS_FUEL",#N/A,FALSE,"Ok_Fuel&amp;Rev"}</definedName>
    <definedName name="_86" hidden="1">{"OK_JURIS_FUEL",#N/A,FALSE,"Ok_Fuel&amp;Rev"}</definedName>
    <definedName name="_87" localSheetId="10" hidden="1">{"OK_PRO_FORMA_FUEL",#N/A,FALSE,"Ok_Fuel&amp;Rev"}</definedName>
    <definedName name="_87" localSheetId="11" hidden="1">{"OK_PRO_FORMA_FUEL",#N/A,FALSE,"Ok_Fuel&amp;Rev"}</definedName>
    <definedName name="_87" localSheetId="12" hidden="1">{"OK_PRO_FORMA_FUEL",#N/A,FALSE,"Ok_Fuel&amp;Rev"}</definedName>
    <definedName name="_87" localSheetId="16" hidden="1">{"OK_PRO_FORMA_FUEL",#N/A,FALSE,"Ok_Fuel&amp;Rev"}</definedName>
    <definedName name="_87" localSheetId="17" hidden="1">{"OK_PRO_FORMA_FUEL",#N/A,FALSE,"Ok_Fuel&amp;Rev"}</definedName>
    <definedName name="_87" localSheetId="19" hidden="1">{"OK_PRO_FORMA_FUEL",#N/A,FALSE,"Ok_Fuel&amp;Rev"}</definedName>
    <definedName name="_87" localSheetId="20" hidden="1">{"OK_PRO_FORMA_FUEL",#N/A,FALSE,"Ok_Fuel&amp;Rev"}</definedName>
    <definedName name="_87" localSheetId="21" hidden="1">{"OK_PRO_FORMA_FUEL",#N/A,FALSE,"Ok_Fuel&amp;Rev"}</definedName>
    <definedName name="_87" localSheetId="22" hidden="1">{"OK_PRO_FORMA_FUEL",#N/A,FALSE,"Ok_Fuel&amp;Rev"}</definedName>
    <definedName name="_87" localSheetId="23" hidden="1">{"OK_PRO_FORMA_FUEL",#N/A,FALSE,"Ok_Fuel&amp;Rev"}</definedName>
    <definedName name="_87" localSheetId="24" hidden="1">{"OK_PRO_FORMA_FUEL",#N/A,FALSE,"Ok_Fuel&amp;Rev"}</definedName>
    <definedName name="_87" hidden="1">{"OK_PRO_FORMA_FUEL",#N/A,FALSE,"Ok_Fuel&amp;Rev"}</definedName>
    <definedName name="_88" localSheetId="10" hidden="1">{"PF",#N/A,FALSE,"Sheet4";"PG",#N/A,FALSE,"Sheet4";"PH",#N/A,FALSE,"Sheet4";"PI",#N/A,FALSE,"Sheet4";"PJ",#N/A,FALSE,"Sheet4"}</definedName>
    <definedName name="_88" localSheetId="11" hidden="1">{"PF",#N/A,FALSE,"Sheet4";"PG",#N/A,FALSE,"Sheet4";"PH",#N/A,FALSE,"Sheet4";"PI",#N/A,FALSE,"Sheet4";"PJ",#N/A,FALSE,"Sheet4"}</definedName>
    <definedName name="_88" localSheetId="12" hidden="1">{"PF",#N/A,FALSE,"Sheet4";"PG",#N/A,FALSE,"Sheet4";"PH",#N/A,FALSE,"Sheet4";"PI",#N/A,FALSE,"Sheet4";"PJ",#N/A,FALSE,"Sheet4"}</definedName>
    <definedName name="_88" localSheetId="16" hidden="1">{"PF",#N/A,FALSE,"Sheet4";"PG",#N/A,FALSE,"Sheet4";"PH",#N/A,FALSE,"Sheet4";"PI",#N/A,FALSE,"Sheet4";"PJ",#N/A,FALSE,"Sheet4"}</definedName>
    <definedName name="_88" localSheetId="17" hidden="1">{"PF",#N/A,FALSE,"Sheet4";"PG",#N/A,FALSE,"Sheet4";"PH",#N/A,FALSE,"Sheet4";"PI",#N/A,FALSE,"Sheet4";"PJ",#N/A,FALSE,"Sheet4"}</definedName>
    <definedName name="_88" localSheetId="19" hidden="1">{"PF",#N/A,FALSE,"Sheet4";"PG",#N/A,FALSE,"Sheet4";"PH",#N/A,FALSE,"Sheet4";"PI",#N/A,FALSE,"Sheet4";"PJ",#N/A,FALSE,"Sheet4"}</definedName>
    <definedName name="_88" localSheetId="20" hidden="1">{"PF",#N/A,FALSE,"Sheet4";"PG",#N/A,FALSE,"Sheet4";"PH",#N/A,FALSE,"Sheet4";"PI",#N/A,FALSE,"Sheet4";"PJ",#N/A,FALSE,"Sheet4"}</definedName>
    <definedName name="_88" localSheetId="21" hidden="1">{"PF",#N/A,FALSE,"Sheet4";"PG",#N/A,FALSE,"Sheet4";"PH",#N/A,FALSE,"Sheet4";"PI",#N/A,FALSE,"Sheet4";"PJ",#N/A,FALSE,"Sheet4"}</definedName>
    <definedName name="_88" localSheetId="22" hidden="1">{"PF",#N/A,FALSE,"Sheet4";"PG",#N/A,FALSE,"Sheet4";"PH",#N/A,FALSE,"Sheet4";"PI",#N/A,FALSE,"Sheet4";"PJ",#N/A,FALSE,"Sheet4"}</definedName>
    <definedName name="_88" localSheetId="23" hidden="1">{"PF",#N/A,FALSE,"Sheet4";"PG",#N/A,FALSE,"Sheet4";"PH",#N/A,FALSE,"Sheet4";"PI",#N/A,FALSE,"Sheet4";"PJ",#N/A,FALSE,"Sheet4"}</definedName>
    <definedName name="_88" localSheetId="24" hidden="1">{"PF",#N/A,FALSE,"Sheet4";"PG",#N/A,FALSE,"Sheet4";"PH",#N/A,FALSE,"Sheet4";"PI",#N/A,FALSE,"Sheet4";"PJ",#N/A,FALSE,"Sheet4"}</definedName>
    <definedName name="_88" hidden="1">{"PF",#N/A,FALSE,"Sheet4";"PG",#N/A,FALSE,"Sheet4";"PH",#N/A,FALSE,"Sheet4";"PI",#N/A,FALSE,"Sheet4";"PJ",#N/A,FALSE,"Sheet4"}</definedName>
    <definedName name="_89" localSheetId="10" hidden="1">{"OMPA_FAC",#N/A,FALSE,"OMPA FAC"}</definedName>
    <definedName name="_89" localSheetId="11" hidden="1">{"OMPA_FAC",#N/A,FALSE,"OMPA FAC"}</definedName>
    <definedName name="_89" localSheetId="12" hidden="1">{"OMPA_FAC",#N/A,FALSE,"OMPA FAC"}</definedName>
    <definedName name="_89" localSheetId="16" hidden="1">{"OMPA_FAC",#N/A,FALSE,"OMPA FAC"}</definedName>
    <definedName name="_89" localSheetId="17" hidden="1">{"OMPA_FAC",#N/A,FALSE,"OMPA FAC"}</definedName>
    <definedName name="_89" localSheetId="19" hidden="1">{"OMPA_FAC",#N/A,FALSE,"OMPA FAC"}</definedName>
    <definedName name="_89" localSheetId="20" hidden="1">{"OMPA_FAC",#N/A,FALSE,"OMPA FAC"}</definedName>
    <definedName name="_89" localSheetId="21" hidden="1">{"OMPA_FAC",#N/A,FALSE,"OMPA FAC"}</definedName>
    <definedName name="_89" localSheetId="22" hidden="1">{"OMPA_FAC",#N/A,FALSE,"OMPA FAC"}</definedName>
    <definedName name="_89" localSheetId="23" hidden="1">{"OMPA_FAC",#N/A,FALSE,"OMPA FAC"}</definedName>
    <definedName name="_89" localSheetId="24" hidden="1">{"OMPA_FAC",#N/A,FALSE,"OMPA FAC"}</definedName>
    <definedName name="_89" hidden="1">{"OMPA_FAC",#N/A,FALSE,"OMPA FAC"}</definedName>
    <definedName name="_9" localSheetId="10" hidden="1">{"caz2",#N/A,FALSE,"Central Arizona 2";"saz2",#N/A,FALSE,"Southern Arizona 2";"snv2",#N/A,FALSE,"Southern Nevada 2";"nnv2",#N/A,FALSE,"Northern Nevada 2";"sca2",#N/A,FALSE,"Southern California 2";"nca2",#N/A,FALSE,"Northern California 2";"pai2",#N/A,FALSE,"Paiute 2"}</definedName>
    <definedName name="_9" localSheetId="11" hidden="1">{"caz2",#N/A,FALSE,"Central Arizona 2";"saz2",#N/A,FALSE,"Southern Arizona 2";"snv2",#N/A,FALSE,"Southern Nevada 2";"nnv2",#N/A,FALSE,"Northern Nevada 2";"sca2",#N/A,FALSE,"Southern California 2";"nca2",#N/A,FALSE,"Northern California 2";"pai2",#N/A,FALSE,"Paiute 2"}</definedName>
    <definedName name="_9" localSheetId="12" hidden="1">{"caz2",#N/A,FALSE,"Central Arizona 2";"saz2",#N/A,FALSE,"Southern Arizona 2";"snv2",#N/A,FALSE,"Southern Nevada 2";"nnv2",#N/A,FALSE,"Northern Nevada 2";"sca2",#N/A,FALSE,"Southern California 2";"nca2",#N/A,FALSE,"Northern California 2";"pai2",#N/A,FALSE,"Paiute 2"}</definedName>
    <definedName name="_9" localSheetId="16" hidden="1">{"caz2",#N/A,FALSE,"Central Arizona 2";"saz2",#N/A,FALSE,"Southern Arizona 2";"snv2",#N/A,FALSE,"Southern Nevada 2";"nnv2",#N/A,FALSE,"Northern Nevada 2";"sca2",#N/A,FALSE,"Southern California 2";"nca2",#N/A,FALSE,"Northern California 2";"pai2",#N/A,FALSE,"Paiute 2"}</definedName>
    <definedName name="_9" localSheetId="17" hidden="1">{"caz2",#N/A,FALSE,"Central Arizona 2";"saz2",#N/A,FALSE,"Southern Arizona 2";"snv2",#N/A,FALSE,"Southern Nevada 2";"nnv2",#N/A,FALSE,"Northern Nevada 2";"sca2",#N/A,FALSE,"Southern California 2";"nca2",#N/A,FALSE,"Northern California 2";"pai2",#N/A,FALSE,"Paiute 2"}</definedName>
    <definedName name="_9" localSheetId="19" hidden="1">{"caz2",#N/A,FALSE,"Central Arizona 2";"saz2",#N/A,FALSE,"Southern Arizona 2";"snv2",#N/A,FALSE,"Southern Nevada 2";"nnv2",#N/A,FALSE,"Northern Nevada 2";"sca2",#N/A,FALSE,"Southern California 2";"nca2",#N/A,FALSE,"Northern California 2";"pai2",#N/A,FALSE,"Paiute 2"}</definedName>
    <definedName name="_9" localSheetId="20" hidden="1">{"caz2",#N/A,FALSE,"Central Arizona 2";"saz2",#N/A,FALSE,"Southern Arizona 2";"snv2",#N/A,FALSE,"Southern Nevada 2";"nnv2",#N/A,FALSE,"Northern Nevada 2";"sca2",#N/A,FALSE,"Southern California 2";"nca2",#N/A,FALSE,"Northern California 2";"pai2",#N/A,FALSE,"Paiute 2"}</definedName>
    <definedName name="_9" localSheetId="21" hidden="1">{"caz2",#N/A,FALSE,"Central Arizona 2";"saz2",#N/A,FALSE,"Southern Arizona 2";"snv2",#N/A,FALSE,"Southern Nevada 2";"nnv2",#N/A,FALSE,"Northern Nevada 2";"sca2",#N/A,FALSE,"Southern California 2";"nca2",#N/A,FALSE,"Northern California 2";"pai2",#N/A,FALSE,"Paiute 2"}</definedName>
    <definedName name="_9" localSheetId="22" hidden="1">{"caz2",#N/A,FALSE,"Central Arizona 2";"saz2",#N/A,FALSE,"Southern Arizona 2";"snv2",#N/A,FALSE,"Southern Nevada 2";"nnv2",#N/A,FALSE,"Northern Nevada 2";"sca2",#N/A,FALSE,"Southern California 2";"nca2",#N/A,FALSE,"Northern California 2";"pai2",#N/A,FALSE,"Paiute 2"}</definedName>
    <definedName name="_9" localSheetId="23" hidden="1">{"caz2",#N/A,FALSE,"Central Arizona 2";"saz2",#N/A,FALSE,"Southern Arizona 2";"snv2",#N/A,FALSE,"Southern Nevada 2";"nnv2",#N/A,FALSE,"Northern Nevada 2";"sca2",#N/A,FALSE,"Southern California 2";"nca2",#N/A,FALSE,"Northern California 2";"pai2",#N/A,FALSE,"Paiute 2"}</definedName>
    <definedName name="_9" localSheetId="24" hidden="1">{"caz2",#N/A,FALSE,"Central Arizona 2";"saz2",#N/A,FALSE,"Southern Arizona 2";"snv2",#N/A,FALSE,"Southern Nevada 2";"nnv2",#N/A,FALSE,"Northern Nevada 2";"sca2",#N/A,FALSE,"Southern California 2";"nca2",#N/A,FALSE,"Northern California 2";"pai2",#N/A,FALSE,"Paiute 2"}</definedName>
    <definedName name="_9" hidden="1">{"caz2",#N/A,FALSE,"Central Arizona 2";"saz2",#N/A,FALSE,"Southern Arizona 2";"snv2",#N/A,FALSE,"Southern Nevada 2";"nnv2",#N/A,FALSE,"Northern Nevada 2";"sca2",#N/A,FALSE,"Southern California 2";"nca2",#N/A,FALSE,"Northern California 2";"pai2",#N/A,FALSE,"Paiute 2"}</definedName>
    <definedName name="_90" localSheetId="10" hidden="1">{"OTHER_DATA",#N/A,FALSE,"Ok_Fuel&amp;Rev"}</definedName>
    <definedName name="_90" localSheetId="11" hidden="1">{"OTHER_DATA",#N/A,FALSE,"Ok_Fuel&amp;Rev"}</definedName>
    <definedName name="_90" localSheetId="12" hidden="1">{"OTHER_DATA",#N/A,FALSE,"Ok_Fuel&amp;Rev"}</definedName>
    <definedName name="_90" localSheetId="16" hidden="1">{"OTHER_DATA",#N/A,FALSE,"Ok_Fuel&amp;Rev"}</definedName>
    <definedName name="_90" localSheetId="17" hidden="1">{"OTHER_DATA",#N/A,FALSE,"Ok_Fuel&amp;Rev"}</definedName>
    <definedName name="_90" localSheetId="19" hidden="1">{"OTHER_DATA",#N/A,FALSE,"Ok_Fuel&amp;Rev"}</definedName>
    <definedName name="_90" localSheetId="20" hidden="1">{"OTHER_DATA",#N/A,FALSE,"Ok_Fuel&amp;Rev"}</definedName>
    <definedName name="_90" localSheetId="21" hidden="1">{"OTHER_DATA",#N/A,FALSE,"Ok_Fuel&amp;Rev"}</definedName>
    <definedName name="_90" localSheetId="22" hidden="1">{"OTHER_DATA",#N/A,FALSE,"Ok_Fuel&amp;Rev"}</definedName>
    <definedName name="_90" localSheetId="23" hidden="1">{"OTHER_DATA",#N/A,FALSE,"Ok_Fuel&amp;Rev"}</definedName>
    <definedName name="_90" localSheetId="24" hidden="1">{"OTHER_DATA",#N/A,FALSE,"Ok_Fuel&amp;Rev"}</definedName>
    <definedName name="_90" hidden="1">{"OTHER_DATA",#N/A,FALSE,"Ok_Fuel&amp;Rev"}</definedName>
    <definedName name="_91"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2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2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2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2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2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2" localSheetId="10" hidden="1">{"summary",#N/A,TRUE,"E93ADJ";"detail",#N/A,TRUE,"E93ADJ"}</definedName>
    <definedName name="_92" localSheetId="11" hidden="1">{"summary",#N/A,TRUE,"E93ADJ";"detail",#N/A,TRUE,"E93ADJ"}</definedName>
    <definedName name="_92" localSheetId="12" hidden="1">{"summary",#N/A,TRUE,"E93ADJ";"detail",#N/A,TRUE,"E93ADJ"}</definedName>
    <definedName name="_92" localSheetId="16" hidden="1">{"summary",#N/A,TRUE,"E93ADJ";"detail",#N/A,TRUE,"E93ADJ"}</definedName>
    <definedName name="_92" localSheetId="17" hidden="1">{"summary",#N/A,TRUE,"E93ADJ";"detail",#N/A,TRUE,"E93ADJ"}</definedName>
    <definedName name="_92" localSheetId="19" hidden="1">{"summary",#N/A,TRUE,"E93ADJ";"detail",#N/A,TRUE,"E93ADJ"}</definedName>
    <definedName name="_92" localSheetId="20" hidden="1">{"summary",#N/A,TRUE,"E93ADJ";"detail",#N/A,TRUE,"E93ADJ"}</definedName>
    <definedName name="_92" localSheetId="21" hidden="1">{"summary",#N/A,TRUE,"E93ADJ";"detail",#N/A,TRUE,"E93ADJ"}</definedName>
    <definedName name="_92" localSheetId="22" hidden="1">{"summary",#N/A,TRUE,"E93ADJ";"detail",#N/A,TRUE,"E93ADJ"}</definedName>
    <definedName name="_92" localSheetId="23" hidden="1">{"summary",#N/A,TRUE,"E93ADJ";"detail",#N/A,TRUE,"E93ADJ"}</definedName>
    <definedName name="_92" localSheetId="24" hidden="1">{"summary",#N/A,TRUE,"E93ADJ";"detail",#N/A,TRUE,"E93ADJ"}</definedName>
    <definedName name="_92" hidden="1">{"summary",#N/A,TRUE,"E93ADJ";"detail",#N/A,TRUE,"E93ADJ"}</definedName>
    <definedName name="_93" localSheetId="10" hidden="1">{"print1",#N/A,FALSE,"D21CUSTS"}</definedName>
    <definedName name="_93" localSheetId="11" hidden="1">{"print1",#N/A,FALSE,"D21CUSTS"}</definedName>
    <definedName name="_93" localSheetId="12" hidden="1">{"print1",#N/A,FALSE,"D21CUSTS"}</definedName>
    <definedName name="_93" localSheetId="16" hidden="1">{"print1",#N/A,FALSE,"D21CUSTS"}</definedName>
    <definedName name="_93" localSheetId="17" hidden="1">{"print1",#N/A,FALSE,"D21CUSTS"}</definedName>
    <definedName name="_93" localSheetId="19" hidden="1">{"print1",#N/A,FALSE,"D21CUSTS"}</definedName>
    <definedName name="_93" localSheetId="20" hidden="1">{"print1",#N/A,FALSE,"D21CUSTS"}</definedName>
    <definedName name="_93" localSheetId="21" hidden="1">{"print1",#N/A,FALSE,"D21CUSTS"}</definedName>
    <definedName name="_93" localSheetId="22" hidden="1">{"print1",#N/A,FALSE,"D21CUSTS"}</definedName>
    <definedName name="_93" localSheetId="23" hidden="1">{"print1",#N/A,FALSE,"D21CUSTS"}</definedName>
    <definedName name="_93" localSheetId="24" hidden="1">{"print1",#N/A,FALSE,"D21CUSTS"}</definedName>
    <definedName name="_93" hidden="1">{"print1",#N/A,FALSE,"D21CUSTS"}</definedName>
    <definedName name="_94" localSheetId="10" hidden="1">{"print2",#N/A,FALSE,"D21CUSTS"}</definedName>
    <definedName name="_94" localSheetId="11" hidden="1">{"print2",#N/A,FALSE,"D21CUSTS"}</definedName>
    <definedName name="_94" localSheetId="12" hidden="1">{"print2",#N/A,FALSE,"D21CUSTS"}</definedName>
    <definedName name="_94" localSheetId="16" hidden="1">{"print2",#N/A,FALSE,"D21CUSTS"}</definedName>
    <definedName name="_94" localSheetId="17" hidden="1">{"print2",#N/A,FALSE,"D21CUSTS"}</definedName>
    <definedName name="_94" localSheetId="19" hidden="1">{"print2",#N/A,FALSE,"D21CUSTS"}</definedName>
    <definedName name="_94" localSheetId="20" hidden="1">{"print2",#N/A,FALSE,"D21CUSTS"}</definedName>
    <definedName name="_94" localSheetId="21" hidden="1">{"print2",#N/A,FALSE,"D21CUSTS"}</definedName>
    <definedName name="_94" localSheetId="22" hidden="1">{"print2",#N/A,FALSE,"D21CUSTS"}</definedName>
    <definedName name="_94" localSheetId="23" hidden="1">{"print2",#N/A,FALSE,"D21CUSTS"}</definedName>
    <definedName name="_94" localSheetId="24" hidden="1">{"print2",#N/A,FALSE,"D21CUSTS"}</definedName>
    <definedName name="_94" hidden="1">{"print2",#N/A,FALSE,"D21CUSTS"}</definedName>
    <definedName name="_95" localSheetId="10" hidden="1">{"print3",#N/A,FALSE,"D21CUSTS"}</definedName>
    <definedName name="_95" localSheetId="11" hidden="1">{"print3",#N/A,FALSE,"D21CUSTS"}</definedName>
    <definedName name="_95" localSheetId="12" hidden="1">{"print3",#N/A,FALSE,"D21CUSTS"}</definedName>
    <definedName name="_95" localSheetId="16" hidden="1">{"print3",#N/A,FALSE,"D21CUSTS"}</definedName>
    <definedName name="_95" localSheetId="17" hidden="1">{"print3",#N/A,FALSE,"D21CUSTS"}</definedName>
    <definedName name="_95" localSheetId="19" hidden="1">{"print3",#N/A,FALSE,"D21CUSTS"}</definedName>
    <definedName name="_95" localSheetId="20" hidden="1">{"print3",#N/A,FALSE,"D21CUSTS"}</definedName>
    <definedName name="_95" localSheetId="21" hidden="1">{"print3",#N/A,FALSE,"D21CUSTS"}</definedName>
    <definedName name="_95" localSheetId="22" hidden="1">{"print3",#N/A,FALSE,"D21CUSTS"}</definedName>
    <definedName name="_95" localSheetId="23" hidden="1">{"print3",#N/A,FALSE,"D21CUSTS"}</definedName>
    <definedName name="_95" localSheetId="24" hidden="1">{"print3",#N/A,FALSE,"D21CUSTS"}</definedName>
    <definedName name="_95" hidden="1">{"print3",#N/A,FALSE,"D21CUSTS"}</definedName>
    <definedName name="_96" localSheetId="10" hidden="1">{"print4",#N/A,FALSE,"D21CUSTS"}</definedName>
    <definedName name="_96" localSheetId="11" hidden="1">{"print4",#N/A,FALSE,"D21CUSTS"}</definedName>
    <definedName name="_96" localSheetId="12" hidden="1">{"print4",#N/A,FALSE,"D21CUSTS"}</definedName>
    <definedName name="_96" localSheetId="16" hidden="1">{"print4",#N/A,FALSE,"D21CUSTS"}</definedName>
    <definedName name="_96" localSheetId="17" hidden="1">{"print4",#N/A,FALSE,"D21CUSTS"}</definedName>
    <definedName name="_96" localSheetId="19" hidden="1">{"print4",#N/A,FALSE,"D21CUSTS"}</definedName>
    <definedName name="_96" localSheetId="20" hidden="1">{"print4",#N/A,FALSE,"D21CUSTS"}</definedName>
    <definedName name="_96" localSheetId="21" hidden="1">{"print4",#N/A,FALSE,"D21CUSTS"}</definedName>
    <definedName name="_96" localSheetId="22" hidden="1">{"print4",#N/A,FALSE,"D21CUSTS"}</definedName>
    <definedName name="_96" localSheetId="23" hidden="1">{"print4",#N/A,FALSE,"D21CUSTS"}</definedName>
    <definedName name="_96" localSheetId="24" hidden="1">{"print4",#N/A,FALSE,"D21CUSTS"}</definedName>
    <definedName name="_96" hidden="1">{"print4",#N/A,FALSE,"D21CUSTS"}</definedName>
    <definedName name="_97"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8" localSheetId="10" hidden="1">{"caz2",#N/A,FALSE,"Central Arizona 2";"saz2",#N/A,FALSE,"Southern Arizona 2";"snv2",#N/A,FALSE,"Southern Nevada 2";"nnv2",#N/A,FALSE,"Northern Nevada 2";"sca2",#N/A,FALSE,"Southern California 2";"nca2",#N/A,FALSE,"Northern California 2";"pai2",#N/A,FALSE,"Paiute 2"}</definedName>
    <definedName name="_98" localSheetId="11" hidden="1">{"caz2",#N/A,FALSE,"Central Arizona 2";"saz2",#N/A,FALSE,"Southern Arizona 2";"snv2",#N/A,FALSE,"Southern Nevada 2";"nnv2",#N/A,FALSE,"Northern Nevada 2";"sca2",#N/A,FALSE,"Southern California 2";"nca2",#N/A,FALSE,"Northern California 2";"pai2",#N/A,FALSE,"Paiute 2"}</definedName>
    <definedName name="_98" localSheetId="12" hidden="1">{"caz2",#N/A,FALSE,"Central Arizona 2";"saz2",#N/A,FALSE,"Southern Arizona 2";"snv2",#N/A,FALSE,"Southern Nevada 2";"nnv2",#N/A,FALSE,"Northern Nevada 2";"sca2",#N/A,FALSE,"Southern California 2";"nca2",#N/A,FALSE,"Northern California 2";"pai2",#N/A,FALSE,"Paiute 2"}</definedName>
    <definedName name="_98" localSheetId="16" hidden="1">{"caz2",#N/A,FALSE,"Central Arizona 2";"saz2",#N/A,FALSE,"Southern Arizona 2";"snv2",#N/A,FALSE,"Southern Nevada 2";"nnv2",#N/A,FALSE,"Northern Nevada 2";"sca2",#N/A,FALSE,"Southern California 2";"nca2",#N/A,FALSE,"Northern California 2";"pai2",#N/A,FALSE,"Paiute 2"}</definedName>
    <definedName name="_98" localSheetId="17" hidden="1">{"caz2",#N/A,FALSE,"Central Arizona 2";"saz2",#N/A,FALSE,"Southern Arizona 2";"snv2",#N/A,FALSE,"Southern Nevada 2";"nnv2",#N/A,FALSE,"Northern Nevada 2";"sca2",#N/A,FALSE,"Southern California 2";"nca2",#N/A,FALSE,"Northern California 2";"pai2",#N/A,FALSE,"Paiute 2"}</definedName>
    <definedName name="_98" localSheetId="19" hidden="1">{"caz2",#N/A,FALSE,"Central Arizona 2";"saz2",#N/A,FALSE,"Southern Arizona 2";"snv2",#N/A,FALSE,"Southern Nevada 2";"nnv2",#N/A,FALSE,"Northern Nevada 2";"sca2",#N/A,FALSE,"Southern California 2";"nca2",#N/A,FALSE,"Northern California 2";"pai2",#N/A,FALSE,"Paiute 2"}</definedName>
    <definedName name="_98" localSheetId="20" hidden="1">{"caz2",#N/A,FALSE,"Central Arizona 2";"saz2",#N/A,FALSE,"Southern Arizona 2";"snv2",#N/A,FALSE,"Southern Nevada 2";"nnv2",#N/A,FALSE,"Northern Nevada 2";"sca2",#N/A,FALSE,"Southern California 2";"nca2",#N/A,FALSE,"Northern California 2";"pai2",#N/A,FALSE,"Paiute 2"}</definedName>
    <definedName name="_98" localSheetId="21" hidden="1">{"caz2",#N/A,FALSE,"Central Arizona 2";"saz2",#N/A,FALSE,"Southern Arizona 2";"snv2",#N/A,FALSE,"Southern Nevada 2";"nnv2",#N/A,FALSE,"Northern Nevada 2";"sca2",#N/A,FALSE,"Southern California 2";"nca2",#N/A,FALSE,"Northern California 2";"pai2",#N/A,FALSE,"Paiute 2"}</definedName>
    <definedName name="_98" localSheetId="22" hidden="1">{"caz2",#N/A,FALSE,"Central Arizona 2";"saz2",#N/A,FALSE,"Southern Arizona 2";"snv2",#N/A,FALSE,"Southern Nevada 2";"nnv2",#N/A,FALSE,"Northern Nevada 2";"sca2",#N/A,FALSE,"Southern California 2";"nca2",#N/A,FALSE,"Northern California 2";"pai2",#N/A,FALSE,"Paiute 2"}</definedName>
    <definedName name="_98" localSheetId="23" hidden="1">{"caz2",#N/A,FALSE,"Central Arizona 2";"saz2",#N/A,FALSE,"Southern Arizona 2";"snv2",#N/A,FALSE,"Southern Nevada 2";"nnv2",#N/A,FALSE,"Northern Nevada 2";"sca2",#N/A,FALSE,"Southern California 2";"nca2",#N/A,FALSE,"Northern California 2";"pai2",#N/A,FALSE,"Paiute 2"}</definedName>
    <definedName name="_98" localSheetId="24" hidden="1">{"caz2",#N/A,FALSE,"Central Arizona 2";"saz2",#N/A,FALSE,"Southern Arizona 2";"snv2",#N/A,FALSE,"Southern Nevada 2";"nnv2",#N/A,FALSE,"Northern Nevada 2";"sca2",#N/A,FALSE,"Southern California 2";"nca2",#N/A,FALSE,"Northern California 2";"pai2",#N/A,FALSE,"Paiute 2"}</definedName>
    <definedName name="_98" hidden="1">{"caz2",#N/A,FALSE,"Central Arizona 2";"saz2",#N/A,FALSE,"Southern Arizona 2";"snv2",#N/A,FALSE,"Southern Nevada 2";"nnv2",#N/A,FALSE,"Northern Nevada 2";"sca2",#N/A,FALSE,"Southern California 2";"nca2",#N/A,FALSE,"Northern California 2";"pai2",#N/A,FALSE,"Paiute 2"}</definedName>
    <definedName name="_99" localSheetId="10" hidden="1">{#N/A,#N/A,FALSE,"GLDwnLoad"}</definedName>
    <definedName name="_99" localSheetId="11" hidden="1">{#N/A,#N/A,FALSE,"GLDwnLoad"}</definedName>
    <definedName name="_99" localSheetId="12" hidden="1">{#N/A,#N/A,FALSE,"GLDwnLoad"}</definedName>
    <definedName name="_99" localSheetId="16" hidden="1">{#N/A,#N/A,FALSE,"GLDwnLoad"}</definedName>
    <definedName name="_99" localSheetId="17" hidden="1">{#N/A,#N/A,FALSE,"GLDwnLoad"}</definedName>
    <definedName name="_99" localSheetId="19" hidden="1">{#N/A,#N/A,FALSE,"GLDwnLoad"}</definedName>
    <definedName name="_99" localSheetId="20" hidden="1">{#N/A,#N/A,FALSE,"GLDwnLoad"}</definedName>
    <definedName name="_99" localSheetId="21" hidden="1">{#N/A,#N/A,FALSE,"GLDwnLoad"}</definedName>
    <definedName name="_99" localSheetId="22" hidden="1">{#N/A,#N/A,FALSE,"GLDwnLoad"}</definedName>
    <definedName name="_99" localSheetId="23" hidden="1">{#N/A,#N/A,FALSE,"GLDwnLoad"}</definedName>
    <definedName name="_99" localSheetId="24" hidden="1">{#N/A,#N/A,FALSE,"GLDwnLoad"}</definedName>
    <definedName name="_99" hidden="1">{#N/A,#N/A,FALSE,"GLDwnLoad"}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localSheetId="10" hidden="1">4</definedName>
    <definedName name="_AtRisk_SimSetting_MultipleCPUManualCount" localSheetId="11" hidden="1">8</definedName>
    <definedName name="_AtRisk_SimSetting_MultipleCPUManualCount" localSheetId="21" hidden="1">4</definedName>
    <definedName name="_AtRisk_SimSetting_MultipleCPUManualCount" localSheetId="23" hidden="1">4</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localSheetId="10" hidden="1">{#N/A,#N/A,FALSE,"SCA";#N/A,#N/A,FALSE,"NCA";#N/A,#N/A,FALSE,"SAZ";#N/A,#N/A,FALSE,"CAZ";#N/A,#N/A,FALSE,"SNV";#N/A,#N/A,FALSE,"NNV";#N/A,#N/A,FALSE,"PP";#N/A,#N/A,FALSE,"SA"}</definedName>
    <definedName name="_b" localSheetId="11" hidden="1">{#N/A,#N/A,FALSE,"SCA";#N/A,#N/A,FALSE,"NCA";#N/A,#N/A,FALSE,"SAZ";#N/A,#N/A,FALSE,"CAZ";#N/A,#N/A,FALSE,"SNV";#N/A,#N/A,FALSE,"NNV";#N/A,#N/A,FALSE,"PP";#N/A,#N/A,FALSE,"SA"}</definedName>
    <definedName name="_b" localSheetId="12" hidden="1">{#N/A,#N/A,FALSE,"SCA";#N/A,#N/A,FALSE,"NCA";#N/A,#N/A,FALSE,"SAZ";#N/A,#N/A,FALSE,"CAZ";#N/A,#N/A,FALSE,"SNV";#N/A,#N/A,FALSE,"NNV";#N/A,#N/A,FALSE,"PP";#N/A,#N/A,FALSE,"SA"}</definedName>
    <definedName name="_b" localSheetId="16" hidden="1">{#N/A,#N/A,FALSE,"SCA";#N/A,#N/A,FALSE,"NCA";#N/A,#N/A,FALSE,"SAZ";#N/A,#N/A,FALSE,"CAZ";#N/A,#N/A,FALSE,"SNV";#N/A,#N/A,FALSE,"NNV";#N/A,#N/A,FALSE,"PP";#N/A,#N/A,FALSE,"SA"}</definedName>
    <definedName name="_b" localSheetId="17" hidden="1">{#N/A,#N/A,FALSE,"SCA";#N/A,#N/A,FALSE,"NCA";#N/A,#N/A,FALSE,"SAZ";#N/A,#N/A,FALSE,"CAZ";#N/A,#N/A,FALSE,"SNV";#N/A,#N/A,FALSE,"NNV";#N/A,#N/A,FALSE,"PP";#N/A,#N/A,FALSE,"SA"}</definedName>
    <definedName name="_b" localSheetId="19" hidden="1">{#N/A,#N/A,FALSE,"SCA";#N/A,#N/A,FALSE,"NCA";#N/A,#N/A,FALSE,"SAZ";#N/A,#N/A,FALSE,"CAZ";#N/A,#N/A,FALSE,"SNV";#N/A,#N/A,FALSE,"NNV";#N/A,#N/A,FALSE,"PP";#N/A,#N/A,FALSE,"SA"}</definedName>
    <definedName name="_b" localSheetId="20" hidden="1">{#N/A,#N/A,FALSE,"SCA";#N/A,#N/A,FALSE,"NCA";#N/A,#N/A,FALSE,"SAZ";#N/A,#N/A,FALSE,"CAZ";#N/A,#N/A,FALSE,"SNV";#N/A,#N/A,FALSE,"NNV";#N/A,#N/A,FALSE,"PP";#N/A,#N/A,FALSE,"SA"}</definedName>
    <definedName name="_b" localSheetId="21" hidden="1">{#N/A,#N/A,FALSE,"SCA";#N/A,#N/A,FALSE,"NCA";#N/A,#N/A,FALSE,"SAZ";#N/A,#N/A,FALSE,"CAZ";#N/A,#N/A,FALSE,"SNV";#N/A,#N/A,FALSE,"NNV";#N/A,#N/A,FALSE,"PP";#N/A,#N/A,FALSE,"SA"}</definedName>
    <definedName name="_b" localSheetId="22" hidden="1">{#N/A,#N/A,FALSE,"SCA";#N/A,#N/A,FALSE,"NCA";#N/A,#N/A,FALSE,"SAZ";#N/A,#N/A,FALSE,"CAZ";#N/A,#N/A,FALSE,"SNV";#N/A,#N/A,FALSE,"NNV";#N/A,#N/A,FALSE,"PP";#N/A,#N/A,FALSE,"SA"}</definedName>
    <definedName name="_b" localSheetId="23" hidden="1">{#N/A,#N/A,FALSE,"SCA";#N/A,#N/A,FALSE,"NCA";#N/A,#N/A,FALSE,"SAZ";#N/A,#N/A,FALSE,"CAZ";#N/A,#N/A,FALSE,"SNV";#N/A,#N/A,FALSE,"NNV";#N/A,#N/A,FALSE,"PP";#N/A,#N/A,FALSE,"SA"}</definedName>
    <definedName name="_b" localSheetId="24" hidden="1">{#N/A,#N/A,FALSE,"SCA";#N/A,#N/A,FALSE,"NCA";#N/A,#N/A,FALSE,"SAZ";#N/A,#N/A,FALSE,"CAZ";#N/A,#N/A,FALSE,"SNV";#N/A,#N/A,FALSE,"NNV";#N/A,#N/A,FALSE,"PP";#N/A,#N/A,FALSE,"SA"}</definedName>
    <definedName name="_b" hidden="1">{#N/A,#N/A,FALSE,"SCA";#N/A,#N/A,FALSE,"NCA";#N/A,#N/A,FALSE,"SAZ";#N/A,#N/A,FALSE,"CAZ";#N/A,#N/A,FALSE,"SNV";#N/A,#N/A,FALSE,"NNV";#N/A,#N/A,FALSE,"PP";#N/A,#N/A,FALSE,"SA"}</definedName>
    <definedName name="_bdm.0291A1646F1441D7AC944D0E5EFE3283.edm" localSheetId="10" hidden="1">#REF!</definedName>
    <definedName name="_bdm.0291A1646F1441D7AC944D0E5EFE3283.edm" localSheetId="11" hidden="1">#REF!</definedName>
    <definedName name="_bdm.0291A1646F1441D7AC944D0E5EFE3283.edm" localSheetId="12" hidden="1">#REF!</definedName>
    <definedName name="_bdm.0291A1646F1441D7AC944D0E5EFE3283.edm" localSheetId="16" hidden="1">#REF!</definedName>
    <definedName name="_bdm.0291A1646F1441D7AC944D0E5EFE3283.edm" localSheetId="17" hidden="1">#REF!</definedName>
    <definedName name="_bdm.0291A1646F1441D7AC944D0E5EFE3283.edm" localSheetId="21" hidden="1">#REF!</definedName>
    <definedName name="_bdm.0291A1646F1441D7AC944D0E5EFE3283.edm" localSheetId="22" hidden="1">#REF!</definedName>
    <definedName name="_bdm.0291A1646F1441D7AC944D0E5EFE3283.edm" localSheetId="23" hidden="1">#REF!</definedName>
    <definedName name="_bdm.0291A1646F1441D7AC944D0E5EFE3283.edm" localSheetId="24" hidden="1">#REF!</definedName>
    <definedName name="_bdm.0291A1646F1441D7AC944D0E5EFE3283.edm" hidden="1">#REF!</definedName>
    <definedName name="_bdm.4DE531A3AAE1459EA607D86D30555044.edm" localSheetId="10" hidden="1">#REF!</definedName>
    <definedName name="_bdm.4DE531A3AAE1459EA607D86D30555044.edm" localSheetId="11" hidden="1">#REF!</definedName>
    <definedName name="_bdm.4DE531A3AAE1459EA607D86D30555044.edm" localSheetId="21" hidden="1">#REF!</definedName>
    <definedName name="_bdm.4DE531A3AAE1459EA607D86D30555044.edm" localSheetId="22" hidden="1">#REF!</definedName>
    <definedName name="_bdm.4DE531A3AAE1459EA607D86D30555044.edm" localSheetId="23" hidden="1">#REF!</definedName>
    <definedName name="_bdm.4DE531A3AAE1459EA607D86D30555044.edm" localSheetId="24" hidden="1">#REF!</definedName>
    <definedName name="_bdm.4DE531A3AAE1459EA607D86D30555044.edm" hidden="1">#REF!</definedName>
    <definedName name="_bdm.61ECA6B5D6964E25B194F839DA09F1DE.edm" localSheetId="10" hidden="1">#REF!</definedName>
    <definedName name="_bdm.61ECA6B5D6964E25B194F839DA09F1DE.edm" localSheetId="11" hidden="1">#REF!</definedName>
    <definedName name="_bdm.61ECA6B5D6964E25B194F839DA09F1DE.edm" localSheetId="21" hidden="1">#REF!</definedName>
    <definedName name="_bdm.61ECA6B5D6964E25B194F839DA09F1DE.edm" localSheetId="22" hidden="1">#REF!</definedName>
    <definedName name="_bdm.61ECA6B5D6964E25B194F839DA09F1DE.edm" localSheetId="23" hidden="1">#REF!</definedName>
    <definedName name="_bdm.61ECA6B5D6964E25B194F839DA09F1DE.edm" localSheetId="24" hidden="1">#REF!</definedName>
    <definedName name="_bdm.61ECA6B5D6964E25B194F839DA09F1DE.edm" hidden="1">#REF!</definedName>
    <definedName name="_bdm.EF8E132A659C430387D12CF4C0897727.edm" localSheetId="10" hidden="1">#REF!</definedName>
    <definedName name="_bdm.EF8E132A659C430387D12CF4C0897727.edm" localSheetId="11" hidden="1">#REF!</definedName>
    <definedName name="_bdm.EF8E132A659C430387D12CF4C0897727.edm" localSheetId="21" hidden="1">#REF!</definedName>
    <definedName name="_bdm.EF8E132A659C430387D12CF4C0897727.edm" localSheetId="22" hidden="1">#REF!</definedName>
    <definedName name="_bdm.EF8E132A659C430387D12CF4C0897727.edm" localSheetId="23" hidden="1">#REF!</definedName>
    <definedName name="_bdm.EF8E132A659C430387D12CF4C0897727.edm" localSheetId="24" hidden="1">#REF!</definedName>
    <definedName name="_bdm.EF8E132A659C430387D12CF4C0897727.edm" hidden="1">#REF!</definedName>
    <definedName name="_d" localSheetId="10" hidden="1">{"caz2",#N/A,FALSE,"Central Arizona 2";"saz2",#N/A,FALSE,"Southern Arizona 2";"snv2",#N/A,FALSE,"Southern Nevada 2";"nnv2",#N/A,FALSE,"Northern Nevada 2";"sca2",#N/A,FALSE,"Southern California 2";"nca2",#N/A,FALSE,"Northern California 2";"pai2",#N/A,FALSE,"Paiute 2"}</definedName>
    <definedName name="_d" localSheetId="11" hidden="1">{"caz2",#N/A,FALSE,"Central Arizona 2";"saz2",#N/A,FALSE,"Southern Arizona 2";"snv2",#N/A,FALSE,"Southern Nevada 2";"nnv2",#N/A,FALSE,"Northern Nevada 2";"sca2",#N/A,FALSE,"Southern California 2";"nca2",#N/A,FALSE,"Northern California 2";"pai2",#N/A,FALSE,"Paiute 2"}</definedName>
    <definedName name="_d" localSheetId="12" hidden="1">{"caz2",#N/A,FALSE,"Central Arizona 2";"saz2",#N/A,FALSE,"Southern Arizona 2";"snv2",#N/A,FALSE,"Southern Nevada 2";"nnv2",#N/A,FALSE,"Northern Nevada 2";"sca2",#N/A,FALSE,"Southern California 2";"nca2",#N/A,FALSE,"Northern California 2";"pai2",#N/A,FALSE,"Paiute 2"}</definedName>
    <definedName name="_d" localSheetId="16" hidden="1">{"caz2",#N/A,FALSE,"Central Arizona 2";"saz2",#N/A,FALSE,"Southern Arizona 2";"snv2",#N/A,FALSE,"Southern Nevada 2";"nnv2",#N/A,FALSE,"Northern Nevada 2";"sca2",#N/A,FALSE,"Southern California 2";"nca2",#N/A,FALSE,"Northern California 2";"pai2",#N/A,FALSE,"Paiute 2"}</definedName>
    <definedName name="_d" localSheetId="17" hidden="1">{"caz2",#N/A,FALSE,"Central Arizona 2";"saz2",#N/A,FALSE,"Southern Arizona 2";"snv2",#N/A,FALSE,"Southern Nevada 2";"nnv2",#N/A,FALSE,"Northern Nevada 2";"sca2",#N/A,FALSE,"Southern California 2";"nca2",#N/A,FALSE,"Northern California 2";"pai2",#N/A,FALSE,"Paiute 2"}</definedName>
    <definedName name="_d" localSheetId="19" hidden="1">{"caz2",#N/A,FALSE,"Central Arizona 2";"saz2",#N/A,FALSE,"Southern Arizona 2";"snv2",#N/A,FALSE,"Southern Nevada 2";"nnv2",#N/A,FALSE,"Northern Nevada 2";"sca2",#N/A,FALSE,"Southern California 2";"nca2",#N/A,FALSE,"Northern California 2";"pai2",#N/A,FALSE,"Paiute 2"}</definedName>
    <definedName name="_d" localSheetId="20" hidden="1">{"caz2",#N/A,FALSE,"Central Arizona 2";"saz2",#N/A,FALSE,"Southern Arizona 2";"snv2",#N/A,FALSE,"Southern Nevada 2";"nnv2",#N/A,FALSE,"Northern Nevada 2";"sca2",#N/A,FALSE,"Southern California 2";"nca2",#N/A,FALSE,"Northern California 2";"pai2",#N/A,FALSE,"Paiute 2"}</definedName>
    <definedName name="_d" localSheetId="21" hidden="1">{"caz2",#N/A,FALSE,"Central Arizona 2";"saz2",#N/A,FALSE,"Southern Arizona 2";"snv2",#N/A,FALSE,"Southern Nevada 2";"nnv2",#N/A,FALSE,"Northern Nevada 2";"sca2",#N/A,FALSE,"Southern California 2";"nca2",#N/A,FALSE,"Northern California 2";"pai2",#N/A,FALSE,"Paiute 2"}</definedName>
    <definedName name="_d" localSheetId="22" hidden="1">{"caz2",#N/A,FALSE,"Central Arizona 2";"saz2",#N/A,FALSE,"Southern Arizona 2";"snv2",#N/A,FALSE,"Southern Nevada 2";"nnv2",#N/A,FALSE,"Northern Nevada 2";"sca2",#N/A,FALSE,"Southern California 2";"nca2",#N/A,FALSE,"Northern California 2";"pai2",#N/A,FALSE,"Paiute 2"}</definedName>
    <definedName name="_d" localSheetId="23" hidden="1">{"caz2",#N/A,FALSE,"Central Arizona 2";"saz2",#N/A,FALSE,"Southern Arizona 2";"snv2",#N/A,FALSE,"Southern Nevada 2";"nnv2",#N/A,FALSE,"Northern Nevada 2";"sca2",#N/A,FALSE,"Southern California 2";"nca2",#N/A,FALSE,"Northern California 2";"pai2",#N/A,FALSE,"Paiute 2"}</definedName>
    <definedName name="_d" localSheetId="24" hidden="1">{"caz2",#N/A,FALSE,"Central Arizona 2";"saz2",#N/A,FALSE,"Southern Arizona 2";"snv2",#N/A,FALSE,"Southern Nevada 2";"nnv2",#N/A,FALSE,"Northern Nevada 2";"sca2",#N/A,FALSE,"Southern California 2";"nca2",#N/A,FALSE,"Northern California 2";"pai2",#N/A,FALSE,"Paiute 2"}</definedName>
    <definedName name="_d" hidden="1">{"caz2",#N/A,FALSE,"Central Arizona 2";"saz2",#N/A,FALSE,"Southern Arizona 2";"snv2",#N/A,FALSE,"Southern Nevada 2";"nnv2",#N/A,FALSE,"Northern Nevada 2";"sca2",#N/A,FALSE,"Southern California 2";"nca2",#N/A,FALSE,"Northern California 2";"pai2",#N/A,FALSE,"Paiute 2"}</definedName>
    <definedName name="_Fill" localSheetId="10" hidden="1">#REF!</definedName>
    <definedName name="_Fill" localSheetId="11" hidden="1">#REF!</definedName>
    <definedName name="_Fill" localSheetId="12"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hidden="1">#REF!</definedName>
    <definedName name="_xlnm._FilterDatabase" localSheetId="22" hidden="1">'DEU 2.21R Alt. RP'!$B$58:$I$742</definedName>
    <definedName name="_Key1" localSheetId="10" hidden="1">#REF!</definedName>
    <definedName name="_Key1" localSheetId="11" hidden="1">#REF!</definedName>
    <definedName name="_Key1" localSheetId="12" hidden="1">#REF!</definedName>
    <definedName name="_Key1" localSheetId="19"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hidden="1">#REF!</definedName>
    <definedName name="_Key11" localSheetId="10" hidden="1">#REF!</definedName>
    <definedName name="_Key11" localSheetId="11" hidden="1">#REF!</definedName>
    <definedName name="_Key11" localSheetId="12" hidden="1">#REF!</definedName>
    <definedName name="_Key11" localSheetId="21" hidden="1">#REF!</definedName>
    <definedName name="_Key11" localSheetId="22" hidden="1">#REF!</definedName>
    <definedName name="_Key11" localSheetId="23" hidden="1">#REF!</definedName>
    <definedName name="_Key11" localSheetId="24" hidden="1">#REF!</definedName>
    <definedName name="_Key11" hidden="1">#REF!</definedName>
    <definedName name="_key2" localSheetId="10" hidden="1">#REF!</definedName>
    <definedName name="_key2" localSheetId="11" hidden="1">#REF!</definedName>
    <definedName name="_key2" localSheetId="12"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hidden="1">#REF!</definedName>
    <definedName name="_lslkdjf" localSheetId="10" hidden="1">#REF!</definedName>
    <definedName name="_lslkdjf" localSheetId="11" hidden="1">#REF!</definedName>
    <definedName name="_lslkdjf" localSheetId="12" hidden="1">#REF!</definedName>
    <definedName name="_lslkdjf" localSheetId="21" hidden="1">#REF!</definedName>
    <definedName name="_lslkdjf" localSheetId="22" hidden="1">#REF!</definedName>
    <definedName name="_lslkdjf" localSheetId="23" hidden="1">#REF!</definedName>
    <definedName name="_lslkdjf" localSheetId="24" hidden="1">#REF!</definedName>
    <definedName name="_lslkdjf" hidden="1">#REF!</definedName>
    <definedName name="_MatInverse_In" localSheetId="12" hidden="1">#REF!</definedName>
    <definedName name="_MatInverse_In" localSheetId="21" hidden="1">#REF!</definedName>
    <definedName name="_MatInverse_In" localSheetId="22" hidden="1">#REF!</definedName>
    <definedName name="_MatInverse_In" localSheetId="23" hidden="1">#REF!</definedName>
    <definedName name="_MatInverse_In" hidden="1">#REF!</definedName>
    <definedName name="_MatInverse_Out" localSheetId="12" hidden="1">#REF!</definedName>
    <definedName name="_MatInverse_Out" localSheetId="21" hidden="1">#REF!</definedName>
    <definedName name="_MatInverse_Out" localSheetId="22" hidden="1">#REF!</definedName>
    <definedName name="_MatInverse_Out" localSheetId="23" hidden="1">#REF!</definedName>
    <definedName name="_MatInverse_Out" hidden="1">#REF!</definedName>
    <definedName name="_new22" localSheetId="10" hidden="1">{#N/A,#N/A,FALSE,"SCA";#N/A,#N/A,FALSE,"NCA";#N/A,#N/A,FALSE,"SAZ";#N/A,#N/A,FALSE,"CAZ";#N/A,#N/A,FALSE,"SNV";#N/A,#N/A,FALSE,"NNV";#N/A,#N/A,FALSE,"PP";#N/A,#N/A,FALSE,"SA"}</definedName>
    <definedName name="_new22" localSheetId="11" hidden="1">{#N/A,#N/A,FALSE,"SCA";#N/A,#N/A,FALSE,"NCA";#N/A,#N/A,FALSE,"SAZ";#N/A,#N/A,FALSE,"CAZ";#N/A,#N/A,FALSE,"SNV";#N/A,#N/A,FALSE,"NNV";#N/A,#N/A,FALSE,"PP";#N/A,#N/A,FALSE,"SA"}</definedName>
    <definedName name="_new22" localSheetId="12" hidden="1">{#N/A,#N/A,FALSE,"SCA";#N/A,#N/A,FALSE,"NCA";#N/A,#N/A,FALSE,"SAZ";#N/A,#N/A,FALSE,"CAZ";#N/A,#N/A,FALSE,"SNV";#N/A,#N/A,FALSE,"NNV";#N/A,#N/A,FALSE,"PP";#N/A,#N/A,FALSE,"SA"}</definedName>
    <definedName name="_new22" localSheetId="16" hidden="1">{#N/A,#N/A,FALSE,"SCA";#N/A,#N/A,FALSE,"NCA";#N/A,#N/A,FALSE,"SAZ";#N/A,#N/A,FALSE,"CAZ";#N/A,#N/A,FALSE,"SNV";#N/A,#N/A,FALSE,"NNV";#N/A,#N/A,FALSE,"PP";#N/A,#N/A,FALSE,"SA"}</definedName>
    <definedName name="_new22" localSheetId="17" hidden="1">{#N/A,#N/A,FALSE,"SCA";#N/A,#N/A,FALSE,"NCA";#N/A,#N/A,FALSE,"SAZ";#N/A,#N/A,FALSE,"CAZ";#N/A,#N/A,FALSE,"SNV";#N/A,#N/A,FALSE,"NNV";#N/A,#N/A,FALSE,"PP";#N/A,#N/A,FALSE,"SA"}</definedName>
    <definedName name="_new22" localSheetId="19" hidden="1">{#N/A,#N/A,FALSE,"SCA";#N/A,#N/A,FALSE,"NCA";#N/A,#N/A,FALSE,"SAZ";#N/A,#N/A,FALSE,"CAZ";#N/A,#N/A,FALSE,"SNV";#N/A,#N/A,FALSE,"NNV";#N/A,#N/A,FALSE,"PP";#N/A,#N/A,FALSE,"SA"}</definedName>
    <definedName name="_new22" localSheetId="20" hidden="1">{#N/A,#N/A,FALSE,"SCA";#N/A,#N/A,FALSE,"NCA";#N/A,#N/A,FALSE,"SAZ";#N/A,#N/A,FALSE,"CAZ";#N/A,#N/A,FALSE,"SNV";#N/A,#N/A,FALSE,"NNV";#N/A,#N/A,FALSE,"PP";#N/A,#N/A,FALSE,"SA"}</definedName>
    <definedName name="_new22" localSheetId="21" hidden="1">{#N/A,#N/A,FALSE,"SCA";#N/A,#N/A,FALSE,"NCA";#N/A,#N/A,FALSE,"SAZ";#N/A,#N/A,FALSE,"CAZ";#N/A,#N/A,FALSE,"SNV";#N/A,#N/A,FALSE,"NNV";#N/A,#N/A,FALSE,"PP";#N/A,#N/A,FALSE,"SA"}</definedName>
    <definedName name="_new22" localSheetId="22" hidden="1">{#N/A,#N/A,FALSE,"SCA";#N/A,#N/A,FALSE,"NCA";#N/A,#N/A,FALSE,"SAZ";#N/A,#N/A,FALSE,"CAZ";#N/A,#N/A,FALSE,"SNV";#N/A,#N/A,FALSE,"NNV";#N/A,#N/A,FALSE,"PP";#N/A,#N/A,FALSE,"SA"}</definedName>
    <definedName name="_new22" localSheetId="23" hidden="1">{#N/A,#N/A,FALSE,"SCA";#N/A,#N/A,FALSE,"NCA";#N/A,#N/A,FALSE,"SAZ";#N/A,#N/A,FALSE,"CAZ";#N/A,#N/A,FALSE,"SNV";#N/A,#N/A,FALSE,"NNV";#N/A,#N/A,FALSE,"PP";#N/A,#N/A,FALSE,"SA"}</definedName>
    <definedName name="_new22" localSheetId="24" hidden="1">{#N/A,#N/A,FALSE,"SCA";#N/A,#N/A,FALSE,"NCA";#N/A,#N/A,FALSE,"SAZ";#N/A,#N/A,FALSE,"CAZ";#N/A,#N/A,FALSE,"SNV";#N/A,#N/A,FALSE,"NNV";#N/A,#N/A,FALSE,"PP";#N/A,#N/A,FALSE,"SA"}</definedName>
    <definedName name="_new22"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23" localSheetId="12" hidden="1">{#N/A,#N/A,FALSE,"SCA";#N/A,#N/A,FALSE,"NCA";#N/A,#N/A,FALSE,"SAZ";#N/A,#N/A,FALSE,"CAZ";#N/A,#N/A,FALSE,"SNV";#N/A,#N/A,FALSE,"NNV";#N/A,#N/A,FALSE,"PP";#N/A,#N/A,FALSE,"SA"}</definedName>
    <definedName name="_new23" localSheetId="16" hidden="1">{#N/A,#N/A,FALSE,"SCA";#N/A,#N/A,FALSE,"NCA";#N/A,#N/A,FALSE,"SAZ";#N/A,#N/A,FALSE,"CAZ";#N/A,#N/A,FALSE,"SNV";#N/A,#N/A,FALSE,"NNV";#N/A,#N/A,FALSE,"PP";#N/A,#N/A,FALSE,"SA"}</definedName>
    <definedName name="_new23" localSheetId="17" hidden="1">{#N/A,#N/A,FALSE,"SCA";#N/A,#N/A,FALSE,"NCA";#N/A,#N/A,FALSE,"SAZ";#N/A,#N/A,FALSE,"CAZ";#N/A,#N/A,FALSE,"SNV";#N/A,#N/A,FALSE,"NNV";#N/A,#N/A,FALSE,"PP";#N/A,#N/A,FALSE,"SA"}</definedName>
    <definedName name="_new23" localSheetId="19" hidden="1">{#N/A,#N/A,FALSE,"SCA";#N/A,#N/A,FALSE,"NCA";#N/A,#N/A,FALSE,"SAZ";#N/A,#N/A,FALSE,"CAZ";#N/A,#N/A,FALSE,"SNV";#N/A,#N/A,FALSE,"NNV";#N/A,#N/A,FALSE,"PP";#N/A,#N/A,FALSE,"SA"}</definedName>
    <definedName name="_new23" localSheetId="20" hidden="1">{#N/A,#N/A,FALSE,"SCA";#N/A,#N/A,FALSE,"NCA";#N/A,#N/A,FALSE,"SAZ";#N/A,#N/A,FALSE,"CAZ";#N/A,#N/A,FALSE,"SNV";#N/A,#N/A,FALSE,"NNV";#N/A,#N/A,FALSE,"PP";#N/A,#N/A,FALSE,"SA"}</definedName>
    <definedName name="_new23" localSheetId="21" hidden="1">{#N/A,#N/A,FALSE,"SCA";#N/A,#N/A,FALSE,"NCA";#N/A,#N/A,FALSE,"SAZ";#N/A,#N/A,FALSE,"CAZ";#N/A,#N/A,FALSE,"SNV";#N/A,#N/A,FALSE,"NNV";#N/A,#N/A,FALSE,"PP";#N/A,#N/A,FALSE,"SA"}</definedName>
    <definedName name="_new23" localSheetId="22" hidden="1">{#N/A,#N/A,FALSE,"SCA";#N/A,#N/A,FALSE,"NCA";#N/A,#N/A,FALSE,"SAZ";#N/A,#N/A,FALSE,"CAZ";#N/A,#N/A,FALSE,"SNV";#N/A,#N/A,FALSE,"NNV";#N/A,#N/A,FALSE,"PP";#N/A,#N/A,FALSE,"SA"}</definedName>
    <definedName name="_new23" localSheetId="23" hidden="1">{#N/A,#N/A,FALSE,"SCA";#N/A,#N/A,FALSE,"NCA";#N/A,#N/A,FALSE,"SAZ";#N/A,#N/A,FALSE,"CAZ";#N/A,#N/A,FALSE,"SNV";#N/A,#N/A,FALSE,"NNV";#N/A,#N/A,FALSE,"PP";#N/A,#N/A,FALSE,"SA"}</definedName>
    <definedName name="_new23" localSheetId="24" hidden="1">{#N/A,#N/A,FALSE,"SCA";#N/A,#N/A,FALSE,"NCA";#N/A,#N/A,FALSE,"SAZ";#N/A,#N/A,FALSE,"CAZ";#N/A,#N/A,FALSE,"SNV";#N/A,#N/A,FALSE,"NNV";#N/A,#N/A,FALSE,"PP";#N/A,#N/A,FALSE,"SA"}</definedName>
    <definedName name="_new23"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37" localSheetId="12" hidden="1">{#N/A,#N/A,FALSE,"SCA";#N/A,#N/A,FALSE,"NCA";#N/A,#N/A,FALSE,"SAZ";#N/A,#N/A,FALSE,"CAZ";#N/A,#N/A,FALSE,"SNV";#N/A,#N/A,FALSE,"NNV";#N/A,#N/A,FALSE,"PP";#N/A,#N/A,FALSE,"SA"}</definedName>
    <definedName name="_new37" localSheetId="16" hidden="1">{#N/A,#N/A,FALSE,"SCA";#N/A,#N/A,FALSE,"NCA";#N/A,#N/A,FALSE,"SAZ";#N/A,#N/A,FALSE,"CAZ";#N/A,#N/A,FALSE,"SNV";#N/A,#N/A,FALSE,"NNV";#N/A,#N/A,FALSE,"PP";#N/A,#N/A,FALSE,"SA"}</definedName>
    <definedName name="_new37" localSheetId="17" hidden="1">{#N/A,#N/A,FALSE,"SCA";#N/A,#N/A,FALSE,"NCA";#N/A,#N/A,FALSE,"SAZ";#N/A,#N/A,FALSE,"CAZ";#N/A,#N/A,FALSE,"SNV";#N/A,#N/A,FALSE,"NNV";#N/A,#N/A,FALSE,"PP";#N/A,#N/A,FALSE,"SA"}</definedName>
    <definedName name="_new37" localSheetId="19" hidden="1">{#N/A,#N/A,FALSE,"SCA";#N/A,#N/A,FALSE,"NCA";#N/A,#N/A,FALSE,"SAZ";#N/A,#N/A,FALSE,"CAZ";#N/A,#N/A,FALSE,"SNV";#N/A,#N/A,FALSE,"NNV";#N/A,#N/A,FALSE,"PP";#N/A,#N/A,FALSE,"SA"}</definedName>
    <definedName name="_new37" localSheetId="20" hidden="1">{#N/A,#N/A,FALSE,"SCA";#N/A,#N/A,FALSE,"NCA";#N/A,#N/A,FALSE,"SAZ";#N/A,#N/A,FALSE,"CAZ";#N/A,#N/A,FALSE,"SNV";#N/A,#N/A,FALSE,"NNV";#N/A,#N/A,FALSE,"PP";#N/A,#N/A,FALSE,"SA"}</definedName>
    <definedName name="_new37" localSheetId="21" hidden="1">{#N/A,#N/A,FALSE,"SCA";#N/A,#N/A,FALSE,"NCA";#N/A,#N/A,FALSE,"SAZ";#N/A,#N/A,FALSE,"CAZ";#N/A,#N/A,FALSE,"SNV";#N/A,#N/A,FALSE,"NNV";#N/A,#N/A,FALSE,"PP";#N/A,#N/A,FALSE,"SA"}</definedName>
    <definedName name="_new37" localSheetId="22" hidden="1">{#N/A,#N/A,FALSE,"SCA";#N/A,#N/A,FALSE,"NCA";#N/A,#N/A,FALSE,"SAZ";#N/A,#N/A,FALSE,"CAZ";#N/A,#N/A,FALSE,"SNV";#N/A,#N/A,FALSE,"NNV";#N/A,#N/A,FALSE,"PP";#N/A,#N/A,FALSE,"SA"}</definedName>
    <definedName name="_new37" localSheetId="23" hidden="1">{#N/A,#N/A,FALSE,"SCA";#N/A,#N/A,FALSE,"NCA";#N/A,#N/A,FALSE,"SAZ";#N/A,#N/A,FALSE,"CAZ";#N/A,#N/A,FALSE,"SNV";#N/A,#N/A,FALSE,"NNV";#N/A,#N/A,FALSE,"PP";#N/A,#N/A,FALSE,"SA"}</definedName>
    <definedName name="_new37" localSheetId="24" hidden="1">{#N/A,#N/A,FALSE,"SCA";#N/A,#N/A,FALSE,"NCA";#N/A,#N/A,FALSE,"SAZ";#N/A,#N/A,FALSE,"CAZ";#N/A,#N/A,FALSE,"SNV";#N/A,#N/A,FALSE,"NNV";#N/A,#N/A,FALSE,"PP";#N/A,#N/A,FALSE,"SA"}</definedName>
    <definedName name="_new37" hidden="1">{#N/A,#N/A,FALSE,"SCA";#N/A,#N/A,FALSE,"NCA";#N/A,#N/A,FALSE,"SAZ";#N/A,#N/A,FALSE,"CAZ";#N/A,#N/A,FALSE,"SNV";#N/A,#N/A,FALSE,"NNV";#N/A,#N/A,FALSE,"PP";#N/A,#N/A,FALSE,"SA"}</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1" localSheetId="12" hidden="1">{"caz2",#N/A,FALSE,"Central Arizona 2";"saz2",#N/A,FALSE,"Southern Arizona 2";"snv2",#N/A,FALSE,"Southern Nevada 2";"nnv2",#N/A,FALSE,"Northern Nevada 2";"sca2",#N/A,FALSE,"Southern California 2";"nca2",#N/A,FALSE,"Northern California 2";"pai2",#N/A,FALSE,"Paiute 2"}</definedName>
    <definedName name="_new41" localSheetId="16" hidden="1">{"caz2",#N/A,FALSE,"Central Arizona 2";"saz2",#N/A,FALSE,"Southern Arizona 2";"snv2",#N/A,FALSE,"Southern Nevada 2";"nnv2",#N/A,FALSE,"Northern Nevada 2";"sca2",#N/A,FALSE,"Southern California 2";"nca2",#N/A,FALSE,"Northern California 2";"pai2",#N/A,FALSE,"Paiute 2"}</definedName>
    <definedName name="_new41" localSheetId="17" hidden="1">{"caz2",#N/A,FALSE,"Central Arizona 2";"saz2",#N/A,FALSE,"Southern Arizona 2";"snv2",#N/A,FALSE,"Southern Nevada 2";"nnv2",#N/A,FALSE,"Northern Nevada 2";"sca2",#N/A,FALSE,"Southern California 2";"nca2",#N/A,FALSE,"Northern California 2";"pai2",#N/A,FALSE,"Paiute 2"}</definedName>
    <definedName name="_new41" localSheetId="19" hidden="1">{"caz2",#N/A,FALSE,"Central Arizona 2";"saz2",#N/A,FALSE,"Southern Arizona 2";"snv2",#N/A,FALSE,"Southern Nevada 2";"nnv2",#N/A,FALSE,"Northern Nevada 2";"sca2",#N/A,FALSE,"Southern California 2";"nca2",#N/A,FALSE,"Northern California 2";"pai2",#N/A,FALSE,"Paiute 2"}</definedName>
    <definedName name="_new41" localSheetId="20" hidden="1">{"caz2",#N/A,FALSE,"Central Arizona 2";"saz2",#N/A,FALSE,"Southern Arizona 2";"snv2",#N/A,FALSE,"Southern Nevada 2";"nnv2",#N/A,FALSE,"Northern Nevada 2";"sca2",#N/A,FALSE,"Southern California 2";"nca2",#N/A,FALSE,"Northern California 2";"pai2",#N/A,FALSE,"Paiute 2"}</definedName>
    <definedName name="_new41" localSheetId="21" hidden="1">{"caz2",#N/A,FALSE,"Central Arizona 2";"saz2",#N/A,FALSE,"Southern Arizona 2";"snv2",#N/A,FALSE,"Southern Nevada 2";"nnv2",#N/A,FALSE,"Northern Nevada 2";"sca2",#N/A,FALSE,"Southern California 2";"nca2",#N/A,FALSE,"Northern California 2";"pai2",#N/A,FALSE,"Paiute 2"}</definedName>
    <definedName name="_new41" localSheetId="22" hidden="1">{"caz2",#N/A,FALSE,"Central Arizona 2";"saz2",#N/A,FALSE,"Southern Arizona 2";"snv2",#N/A,FALSE,"Southern Nevada 2";"nnv2",#N/A,FALSE,"Northern Nevada 2";"sca2",#N/A,FALSE,"Southern California 2";"nca2",#N/A,FALSE,"Northern California 2";"pai2",#N/A,FALSE,"Paiute 2"}</definedName>
    <definedName name="_new41" localSheetId="23" hidden="1">{"caz2",#N/A,FALSE,"Central Arizona 2";"saz2",#N/A,FALSE,"Southern Arizona 2";"snv2",#N/A,FALSE,"Southern Nevada 2";"nnv2",#N/A,FALSE,"Northern Nevada 2";"sca2",#N/A,FALSE,"Southern California 2";"nca2",#N/A,FALSE,"Northern California 2";"pai2",#N/A,FALSE,"Paiute 2"}</definedName>
    <definedName name="_new41" localSheetId="24" hidden="1">{"caz2",#N/A,FALSE,"Central Arizona 2";"saz2",#N/A,FALSE,"Southern Arizona 2";"snv2",#N/A,FALSE,"Southern Nevada 2";"nnv2",#N/A,FALSE,"Northern Nevada 2";"sca2",#N/A,FALSE,"Southern California 2";"nca2",#N/A,FALSE,"Northern California 2";"pai2",#N/A,FALSE,"Paiute 2"}</definedName>
    <definedName name="_new41" hidden="1">{"caz2",#N/A,FALSE,"Central Arizona 2";"saz2",#N/A,FALSE,"Southern Arizona 2";"snv2",#N/A,FALSE,"Southern Nevada 2";"nnv2",#N/A,FALSE,"Northern Nevada 2";"sca2",#N/A,FALSE,"Southern California 2";"nca2",#N/A,FALSE,"Northern California 2";"pai2",#N/A,FALSE,"Paiute 2"}</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43" localSheetId="12" hidden="1">{#N/A,#N/A,FALSE,"SCA";#N/A,#N/A,FALSE,"NCA";#N/A,#N/A,FALSE,"SAZ";#N/A,#N/A,FALSE,"CAZ";#N/A,#N/A,FALSE,"SNV";#N/A,#N/A,FALSE,"NNV";#N/A,#N/A,FALSE,"PP";#N/A,#N/A,FALSE,"SA"}</definedName>
    <definedName name="_new43" localSheetId="16" hidden="1">{#N/A,#N/A,FALSE,"SCA";#N/A,#N/A,FALSE,"NCA";#N/A,#N/A,FALSE,"SAZ";#N/A,#N/A,FALSE,"CAZ";#N/A,#N/A,FALSE,"SNV";#N/A,#N/A,FALSE,"NNV";#N/A,#N/A,FALSE,"PP";#N/A,#N/A,FALSE,"SA"}</definedName>
    <definedName name="_new43" localSheetId="17" hidden="1">{#N/A,#N/A,FALSE,"SCA";#N/A,#N/A,FALSE,"NCA";#N/A,#N/A,FALSE,"SAZ";#N/A,#N/A,FALSE,"CAZ";#N/A,#N/A,FALSE,"SNV";#N/A,#N/A,FALSE,"NNV";#N/A,#N/A,FALSE,"PP";#N/A,#N/A,FALSE,"SA"}</definedName>
    <definedName name="_new43" localSheetId="19" hidden="1">{#N/A,#N/A,FALSE,"SCA";#N/A,#N/A,FALSE,"NCA";#N/A,#N/A,FALSE,"SAZ";#N/A,#N/A,FALSE,"CAZ";#N/A,#N/A,FALSE,"SNV";#N/A,#N/A,FALSE,"NNV";#N/A,#N/A,FALSE,"PP";#N/A,#N/A,FALSE,"SA"}</definedName>
    <definedName name="_new43" localSheetId="20" hidden="1">{#N/A,#N/A,FALSE,"SCA";#N/A,#N/A,FALSE,"NCA";#N/A,#N/A,FALSE,"SAZ";#N/A,#N/A,FALSE,"CAZ";#N/A,#N/A,FALSE,"SNV";#N/A,#N/A,FALSE,"NNV";#N/A,#N/A,FALSE,"PP";#N/A,#N/A,FALSE,"SA"}</definedName>
    <definedName name="_new43" localSheetId="21" hidden="1">{#N/A,#N/A,FALSE,"SCA";#N/A,#N/A,FALSE,"NCA";#N/A,#N/A,FALSE,"SAZ";#N/A,#N/A,FALSE,"CAZ";#N/A,#N/A,FALSE,"SNV";#N/A,#N/A,FALSE,"NNV";#N/A,#N/A,FALSE,"PP";#N/A,#N/A,FALSE,"SA"}</definedName>
    <definedName name="_new43" localSheetId="22" hidden="1">{#N/A,#N/A,FALSE,"SCA";#N/A,#N/A,FALSE,"NCA";#N/A,#N/A,FALSE,"SAZ";#N/A,#N/A,FALSE,"CAZ";#N/A,#N/A,FALSE,"SNV";#N/A,#N/A,FALSE,"NNV";#N/A,#N/A,FALSE,"PP";#N/A,#N/A,FALSE,"SA"}</definedName>
    <definedName name="_new43" localSheetId="23" hidden="1">{#N/A,#N/A,FALSE,"SCA";#N/A,#N/A,FALSE,"NCA";#N/A,#N/A,FALSE,"SAZ";#N/A,#N/A,FALSE,"CAZ";#N/A,#N/A,FALSE,"SNV";#N/A,#N/A,FALSE,"NNV";#N/A,#N/A,FALSE,"PP";#N/A,#N/A,FALSE,"SA"}</definedName>
    <definedName name="_new43" localSheetId="24" hidden="1">{#N/A,#N/A,FALSE,"SCA";#N/A,#N/A,FALSE,"NCA";#N/A,#N/A,FALSE,"SAZ";#N/A,#N/A,FALSE,"CAZ";#N/A,#N/A,FALSE,"SNV";#N/A,#N/A,FALSE,"NNV";#N/A,#N/A,FALSE,"PP";#N/A,#N/A,FALSE,"SA"}</definedName>
    <definedName name="_new43"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7" localSheetId="12" hidden="1">{#N/A,#N/A,FALSE,"SCA";#N/A,#N/A,FALSE,"NCA";#N/A,#N/A,FALSE,"SAZ";#N/A,#N/A,FALSE,"CAZ";#N/A,#N/A,FALSE,"SNV";#N/A,#N/A,FALSE,"NNV";#N/A,#N/A,FALSE,"PP";#N/A,#N/A,FALSE,"SA"}</definedName>
    <definedName name="_new57" localSheetId="16" hidden="1">{#N/A,#N/A,FALSE,"SCA";#N/A,#N/A,FALSE,"NCA";#N/A,#N/A,FALSE,"SAZ";#N/A,#N/A,FALSE,"CAZ";#N/A,#N/A,FALSE,"SNV";#N/A,#N/A,FALSE,"NNV";#N/A,#N/A,FALSE,"PP";#N/A,#N/A,FALSE,"SA"}</definedName>
    <definedName name="_new57" localSheetId="17" hidden="1">{#N/A,#N/A,FALSE,"SCA";#N/A,#N/A,FALSE,"NCA";#N/A,#N/A,FALSE,"SAZ";#N/A,#N/A,FALSE,"CAZ";#N/A,#N/A,FALSE,"SNV";#N/A,#N/A,FALSE,"NNV";#N/A,#N/A,FALSE,"PP";#N/A,#N/A,FALSE,"SA"}</definedName>
    <definedName name="_new57" localSheetId="19" hidden="1">{#N/A,#N/A,FALSE,"SCA";#N/A,#N/A,FALSE,"NCA";#N/A,#N/A,FALSE,"SAZ";#N/A,#N/A,FALSE,"CAZ";#N/A,#N/A,FALSE,"SNV";#N/A,#N/A,FALSE,"NNV";#N/A,#N/A,FALSE,"PP";#N/A,#N/A,FALSE,"SA"}</definedName>
    <definedName name="_new57" localSheetId="20" hidden="1">{#N/A,#N/A,FALSE,"SCA";#N/A,#N/A,FALSE,"NCA";#N/A,#N/A,FALSE,"SAZ";#N/A,#N/A,FALSE,"CAZ";#N/A,#N/A,FALSE,"SNV";#N/A,#N/A,FALSE,"NNV";#N/A,#N/A,FALSE,"PP";#N/A,#N/A,FALSE,"SA"}</definedName>
    <definedName name="_new57" localSheetId="21" hidden="1">{#N/A,#N/A,FALSE,"SCA";#N/A,#N/A,FALSE,"NCA";#N/A,#N/A,FALSE,"SAZ";#N/A,#N/A,FALSE,"CAZ";#N/A,#N/A,FALSE,"SNV";#N/A,#N/A,FALSE,"NNV";#N/A,#N/A,FALSE,"PP";#N/A,#N/A,FALSE,"SA"}</definedName>
    <definedName name="_new57" localSheetId="22" hidden="1">{#N/A,#N/A,FALSE,"SCA";#N/A,#N/A,FALSE,"NCA";#N/A,#N/A,FALSE,"SAZ";#N/A,#N/A,FALSE,"CAZ";#N/A,#N/A,FALSE,"SNV";#N/A,#N/A,FALSE,"NNV";#N/A,#N/A,FALSE,"PP";#N/A,#N/A,FALSE,"SA"}</definedName>
    <definedName name="_new57" localSheetId="23" hidden="1">{#N/A,#N/A,FALSE,"SCA";#N/A,#N/A,FALSE,"NCA";#N/A,#N/A,FALSE,"SAZ";#N/A,#N/A,FALSE,"CAZ";#N/A,#N/A,FALSE,"SNV";#N/A,#N/A,FALSE,"NNV";#N/A,#N/A,FALSE,"PP";#N/A,#N/A,FALSE,"SA"}</definedName>
    <definedName name="_new57" localSheetId="24" hidden="1">{#N/A,#N/A,FALSE,"SCA";#N/A,#N/A,FALSE,"NCA";#N/A,#N/A,FALSE,"SAZ";#N/A,#N/A,FALSE,"CAZ";#N/A,#N/A,FALSE,"SNV";#N/A,#N/A,FALSE,"NNV";#N/A,#N/A,FALSE,"PP";#N/A,#N/A,FALSE,"SA"}</definedName>
    <definedName name="_new57"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58" localSheetId="12" hidden="1">{#N/A,#N/A,FALSE,"SCA";#N/A,#N/A,FALSE,"NCA";#N/A,#N/A,FALSE,"SAZ";#N/A,#N/A,FALSE,"CAZ";#N/A,#N/A,FALSE,"SNV";#N/A,#N/A,FALSE,"NNV";#N/A,#N/A,FALSE,"PP";#N/A,#N/A,FALSE,"SA"}</definedName>
    <definedName name="_new58" localSheetId="16" hidden="1">{#N/A,#N/A,FALSE,"SCA";#N/A,#N/A,FALSE,"NCA";#N/A,#N/A,FALSE,"SAZ";#N/A,#N/A,FALSE,"CAZ";#N/A,#N/A,FALSE,"SNV";#N/A,#N/A,FALSE,"NNV";#N/A,#N/A,FALSE,"PP";#N/A,#N/A,FALSE,"SA"}</definedName>
    <definedName name="_new58" localSheetId="17" hidden="1">{#N/A,#N/A,FALSE,"SCA";#N/A,#N/A,FALSE,"NCA";#N/A,#N/A,FALSE,"SAZ";#N/A,#N/A,FALSE,"CAZ";#N/A,#N/A,FALSE,"SNV";#N/A,#N/A,FALSE,"NNV";#N/A,#N/A,FALSE,"PP";#N/A,#N/A,FALSE,"SA"}</definedName>
    <definedName name="_new58" localSheetId="19" hidden="1">{#N/A,#N/A,FALSE,"SCA";#N/A,#N/A,FALSE,"NCA";#N/A,#N/A,FALSE,"SAZ";#N/A,#N/A,FALSE,"CAZ";#N/A,#N/A,FALSE,"SNV";#N/A,#N/A,FALSE,"NNV";#N/A,#N/A,FALSE,"PP";#N/A,#N/A,FALSE,"SA"}</definedName>
    <definedName name="_new58" localSheetId="20" hidden="1">{#N/A,#N/A,FALSE,"SCA";#N/A,#N/A,FALSE,"NCA";#N/A,#N/A,FALSE,"SAZ";#N/A,#N/A,FALSE,"CAZ";#N/A,#N/A,FALSE,"SNV";#N/A,#N/A,FALSE,"NNV";#N/A,#N/A,FALSE,"PP";#N/A,#N/A,FALSE,"SA"}</definedName>
    <definedName name="_new58" localSheetId="21" hidden="1">{#N/A,#N/A,FALSE,"SCA";#N/A,#N/A,FALSE,"NCA";#N/A,#N/A,FALSE,"SAZ";#N/A,#N/A,FALSE,"CAZ";#N/A,#N/A,FALSE,"SNV";#N/A,#N/A,FALSE,"NNV";#N/A,#N/A,FALSE,"PP";#N/A,#N/A,FALSE,"SA"}</definedName>
    <definedName name="_new58" localSheetId="22" hidden="1">{#N/A,#N/A,FALSE,"SCA";#N/A,#N/A,FALSE,"NCA";#N/A,#N/A,FALSE,"SAZ";#N/A,#N/A,FALSE,"CAZ";#N/A,#N/A,FALSE,"SNV";#N/A,#N/A,FALSE,"NNV";#N/A,#N/A,FALSE,"PP";#N/A,#N/A,FALSE,"SA"}</definedName>
    <definedName name="_new58" localSheetId="23" hidden="1">{#N/A,#N/A,FALSE,"SCA";#N/A,#N/A,FALSE,"NCA";#N/A,#N/A,FALSE,"SAZ";#N/A,#N/A,FALSE,"CAZ";#N/A,#N/A,FALSE,"SNV";#N/A,#N/A,FALSE,"NNV";#N/A,#N/A,FALSE,"PP";#N/A,#N/A,FALSE,"SA"}</definedName>
    <definedName name="_new58" localSheetId="24" hidden="1">{#N/A,#N/A,FALSE,"SCA";#N/A,#N/A,FALSE,"NCA";#N/A,#N/A,FALSE,"SAZ";#N/A,#N/A,FALSE,"CAZ";#N/A,#N/A,FALSE,"SNV";#N/A,#N/A,FALSE,"NNV";#N/A,#N/A,FALSE,"PP";#N/A,#N/A,FALSE,"SA"}</definedName>
    <definedName name="_new58" hidden="1">{#N/A,#N/A,FALSE,"SCA";#N/A,#N/A,FALSE,"NCA";#N/A,#N/A,FALSE,"SAZ";#N/A,#N/A,FALSE,"CAZ";#N/A,#N/A,FALSE,"SNV";#N/A,#N/A,FALSE,"NNV";#N/A,#N/A,FALSE,"PP";#N/A,#N/A,FALSE,"SA"}</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1" localSheetId="12" hidden="1">{#N/A,#N/A,FALSE,"SCA";#N/A,#N/A,FALSE,"NCA";#N/A,#N/A,FALSE,"SAZ";#N/A,#N/A,FALSE,"CAZ";#N/A,#N/A,FALSE,"SNV";#N/A,#N/A,FALSE,"NNV";#N/A,#N/A,FALSE,"PP";#N/A,#N/A,FALSE,"SA"}</definedName>
    <definedName name="_new71" localSheetId="16" hidden="1">{#N/A,#N/A,FALSE,"SCA";#N/A,#N/A,FALSE,"NCA";#N/A,#N/A,FALSE,"SAZ";#N/A,#N/A,FALSE,"CAZ";#N/A,#N/A,FALSE,"SNV";#N/A,#N/A,FALSE,"NNV";#N/A,#N/A,FALSE,"PP";#N/A,#N/A,FALSE,"SA"}</definedName>
    <definedName name="_new71" localSheetId="17" hidden="1">{#N/A,#N/A,FALSE,"SCA";#N/A,#N/A,FALSE,"NCA";#N/A,#N/A,FALSE,"SAZ";#N/A,#N/A,FALSE,"CAZ";#N/A,#N/A,FALSE,"SNV";#N/A,#N/A,FALSE,"NNV";#N/A,#N/A,FALSE,"PP";#N/A,#N/A,FALSE,"SA"}</definedName>
    <definedName name="_new71" localSheetId="19" hidden="1">{#N/A,#N/A,FALSE,"SCA";#N/A,#N/A,FALSE,"NCA";#N/A,#N/A,FALSE,"SAZ";#N/A,#N/A,FALSE,"CAZ";#N/A,#N/A,FALSE,"SNV";#N/A,#N/A,FALSE,"NNV";#N/A,#N/A,FALSE,"PP";#N/A,#N/A,FALSE,"SA"}</definedName>
    <definedName name="_new71" localSheetId="20" hidden="1">{#N/A,#N/A,FALSE,"SCA";#N/A,#N/A,FALSE,"NCA";#N/A,#N/A,FALSE,"SAZ";#N/A,#N/A,FALSE,"CAZ";#N/A,#N/A,FALSE,"SNV";#N/A,#N/A,FALSE,"NNV";#N/A,#N/A,FALSE,"PP";#N/A,#N/A,FALSE,"SA"}</definedName>
    <definedName name="_new71" localSheetId="21" hidden="1">{#N/A,#N/A,FALSE,"SCA";#N/A,#N/A,FALSE,"NCA";#N/A,#N/A,FALSE,"SAZ";#N/A,#N/A,FALSE,"CAZ";#N/A,#N/A,FALSE,"SNV";#N/A,#N/A,FALSE,"NNV";#N/A,#N/A,FALSE,"PP";#N/A,#N/A,FALSE,"SA"}</definedName>
    <definedName name="_new71" localSheetId="22" hidden="1">{#N/A,#N/A,FALSE,"SCA";#N/A,#N/A,FALSE,"NCA";#N/A,#N/A,FALSE,"SAZ";#N/A,#N/A,FALSE,"CAZ";#N/A,#N/A,FALSE,"SNV";#N/A,#N/A,FALSE,"NNV";#N/A,#N/A,FALSE,"PP";#N/A,#N/A,FALSE,"SA"}</definedName>
    <definedName name="_new71" localSheetId="23" hidden="1">{#N/A,#N/A,FALSE,"SCA";#N/A,#N/A,FALSE,"NCA";#N/A,#N/A,FALSE,"SAZ";#N/A,#N/A,FALSE,"CAZ";#N/A,#N/A,FALSE,"SNV";#N/A,#N/A,FALSE,"NNV";#N/A,#N/A,FALSE,"PP";#N/A,#N/A,FALSE,"SA"}</definedName>
    <definedName name="_new71" localSheetId="24" hidden="1">{#N/A,#N/A,FALSE,"SCA";#N/A,#N/A,FALSE,"NCA";#N/A,#N/A,FALSE,"SAZ";#N/A,#N/A,FALSE,"CAZ";#N/A,#N/A,FALSE,"SNV";#N/A,#N/A,FALSE,"NNV";#N/A,#N/A,FALSE,"PP";#N/A,#N/A,FALSE,"SA"}</definedName>
    <definedName name="_new71"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2" localSheetId="12" hidden="1">{#N/A,#N/A,FALSE,"SCA";#N/A,#N/A,FALSE,"NCA";#N/A,#N/A,FALSE,"SAZ";#N/A,#N/A,FALSE,"CAZ";#N/A,#N/A,FALSE,"SNV";#N/A,#N/A,FALSE,"NNV";#N/A,#N/A,FALSE,"PP";#N/A,#N/A,FALSE,"SA"}</definedName>
    <definedName name="_new72" localSheetId="16" hidden="1">{#N/A,#N/A,FALSE,"SCA";#N/A,#N/A,FALSE,"NCA";#N/A,#N/A,FALSE,"SAZ";#N/A,#N/A,FALSE,"CAZ";#N/A,#N/A,FALSE,"SNV";#N/A,#N/A,FALSE,"NNV";#N/A,#N/A,FALSE,"PP";#N/A,#N/A,FALSE,"SA"}</definedName>
    <definedName name="_new72" localSheetId="17" hidden="1">{#N/A,#N/A,FALSE,"SCA";#N/A,#N/A,FALSE,"NCA";#N/A,#N/A,FALSE,"SAZ";#N/A,#N/A,FALSE,"CAZ";#N/A,#N/A,FALSE,"SNV";#N/A,#N/A,FALSE,"NNV";#N/A,#N/A,FALSE,"PP";#N/A,#N/A,FALSE,"SA"}</definedName>
    <definedName name="_new72" localSheetId="19" hidden="1">{#N/A,#N/A,FALSE,"SCA";#N/A,#N/A,FALSE,"NCA";#N/A,#N/A,FALSE,"SAZ";#N/A,#N/A,FALSE,"CAZ";#N/A,#N/A,FALSE,"SNV";#N/A,#N/A,FALSE,"NNV";#N/A,#N/A,FALSE,"PP";#N/A,#N/A,FALSE,"SA"}</definedName>
    <definedName name="_new72" localSheetId="20" hidden="1">{#N/A,#N/A,FALSE,"SCA";#N/A,#N/A,FALSE,"NCA";#N/A,#N/A,FALSE,"SAZ";#N/A,#N/A,FALSE,"CAZ";#N/A,#N/A,FALSE,"SNV";#N/A,#N/A,FALSE,"NNV";#N/A,#N/A,FALSE,"PP";#N/A,#N/A,FALSE,"SA"}</definedName>
    <definedName name="_new72" localSheetId="21" hidden="1">{#N/A,#N/A,FALSE,"SCA";#N/A,#N/A,FALSE,"NCA";#N/A,#N/A,FALSE,"SAZ";#N/A,#N/A,FALSE,"CAZ";#N/A,#N/A,FALSE,"SNV";#N/A,#N/A,FALSE,"NNV";#N/A,#N/A,FALSE,"PP";#N/A,#N/A,FALSE,"SA"}</definedName>
    <definedName name="_new72" localSheetId="22" hidden="1">{#N/A,#N/A,FALSE,"SCA";#N/A,#N/A,FALSE,"NCA";#N/A,#N/A,FALSE,"SAZ";#N/A,#N/A,FALSE,"CAZ";#N/A,#N/A,FALSE,"SNV";#N/A,#N/A,FALSE,"NNV";#N/A,#N/A,FALSE,"PP";#N/A,#N/A,FALSE,"SA"}</definedName>
    <definedName name="_new72" localSheetId="23" hidden="1">{#N/A,#N/A,FALSE,"SCA";#N/A,#N/A,FALSE,"NCA";#N/A,#N/A,FALSE,"SAZ";#N/A,#N/A,FALSE,"CAZ";#N/A,#N/A,FALSE,"SNV";#N/A,#N/A,FALSE,"NNV";#N/A,#N/A,FALSE,"PP";#N/A,#N/A,FALSE,"SA"}</definedName>
    <definedName name="_new72" localSheetId="24" hidden="1">{#N/A,#N/A,FALSE,"SCA";#N/A,#N/A,FALSE,"NCA";#N/A,#N/A,FALSE,"SAZ";#N/A,#N/A,FALSE,"CAZ";#N/A,#N/A,FALSE,"SNV";#N/A,#N/A,FALSE,"NNV";#N/A,#N/A,FALSE,"PP";#N/A,#N/A,FALSE,"SA"}</definedName>
    <definedName name="_new72" hidden="1">{#N/A,#N/A,FALSE,"SCA";#N/A,#N/A,FALSE,"NCA";#N/A,#N/A,FALSE,"SAZ";#N/A,#N/A,FALSE,"CAZ";#N/A,#N/A,FALSE,"SNV";#N/A,#N/A,FALSE,"NNV";#N/A,#N/A,FALSE,"PP";#N/A,#N/A,FALSE,"SA"}</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3" localSheetId="12" hidden="1">{#N/A,#N/A,FALSE,"Page 1";#N/A,#N/A,FALSE,"Page 2";#N/A,#N/A,FALSE,"Page 3";#N/A,#N/A,FALSE,"Page 4";#N/A,#N/A,FALSE,"Page 5";#N/A,#N/A,FALSE,"Page 6";#N/A,#N/A,FALSE,"Page 7";#N/A,#N/A,FALSE,"Page 8";#N/A,#N/A,FALSE,"Page 9";#N/A,#N/A,FALSE,"PG8WP";#N/A,#N/A,FALSE,"PG9WP"}</definedName>
    <definedName name="_new73" localSheetId="16" hidden="1">{#N/A,#N/A,FALSE,"Page 1";#N/A,#N/A,FALSE,"Page 2";#N/A,#N/A,FALSE,"Page 3";#N/A,#N/A,FALSE,"Page 4";#N/A,#N/A,FALSE,"Page 5";#N/A,#N/A,FALSE,"Page 6";#N/A,#N/A,FALSE,"Page 7";#N/A,#N/A,FALSE,"Page 8";#N/A,#N/A,FALSE,"Page 9";#N/A,#N/A,FALSE,"PG8WP";#N/A,#N/A,FALSE,"PG9WP"}</definedName>
    <definedName name="_new73" localSheetId="17" hidden="1">{#N/A,#N/A,FALSE,"Page 1";#N/A,#N/A,FALSE,"Page 2";#N/A,#N/A,FALSE,"Page 3";#N/A,#N/A,FALSE,"Page 4";#N/A,#N/A,FALSE,"Page 5";#N/A,#N/A,FALSE,"Page 6";#N/A,#N/A,FALSE,"Page 7";#N/A,#N/A,FALSE,"Page 8";#N/A,#N/A,FALSE,"Page 9";#N/A,#N/A,FALSE,"PG8WP";#N/A,#N/A,FALSE,"PG9WP"}</definedName>
    <definedName name="_new73" localSheetId="19" hidden="1">{#N/A,#N/A,FALSE,"Page 1";#N/A,#N/A,FALSE,"Page 2";#N/A,#N/A,FALSE,"Page 3";#N/A,#N/A,FALSE,"Page 4";#N/A,#N/A,FALSE,"Page 5";#N/A,#N/A,FALSE,"Page 6";#N/A,#N/A,FALSE,"Page 7";#N/A,#N/A,FALSE,"Page 8";#N/A,#N/A,FALSE,"Page 9";#N/A,#N/A,FALSE,"PG8WP";#N/A,#N/A,FALSE,"PG9WP"}</definedName>
    <definedName name="_new73" localSheetId="20" hidden="1">{#N/A,#N/A,FALSE,"Page 1";#N/A,#N/A,FALSE,"Page 2";#N/A,#N/A,FALSE,"Page 3";#N/A,#N/A,FALSE,"Page 4";#N/A,#N/A,FALSE,"Page 5";#N/A,#N/A,FALSE,"Page 6";#N/A,#N/A,FALSE,"Page 7";#N/A,#N/A,FALSE,"Page 8";#N/A,#N/A,FALSE,"Page 9";#N/A,#N/A,FALSE,"PG8WP";#N/A,#N/A,FALSE,"PG9WP"}</definedName>
    <definedName name="_new73" localSheetId="21" hidden="1">{#N/A,#N/A,FALSE,"Page 1";#N/A,#N/A,FALSE,"Page 2";#N/A,#N/A,FALSE,"Page 3";#N/A,#N/A,FALSE,"Page 4";#N/A,#N/A,FALSE,"Page 5";#N/A,#N/A,FALSE,"Page 6";#N/A,#N/A,FALSE,"Page 7";#N/A,#N/A,FALSE,"Page 8";#N/A,#N/A,FALSE,"Page 9";#N/A,#N/A,FALSE,"PG8WP";#N/A,#N/A,FALSE,"PG9WP"}</definedName>
    <definedName name="_new73" localSheetId="22" hidden="1">{#N/A,#N/A,FALSE,"Page 1";#N/A,#N/A,FALSE,"Page 2";#N/A,#N/A,FALSE,"Page 3";#N/A,#N/A,FALSE,"Page 4";#N/A,#N/A,FALSE,"Page 5";#N/A,#N/A,FALSE,"Page 6";#N/A,#N/A,FALSE,"Page 7";#N/A,#N/A,FALSE,"Page 8";#N/A,#N/A,FALSE,"Page 9";#N/A,#N/A,FALSE,"PG8WP";#N/A,#N/A,FALSE,"PG9WP"}</definedName>
    <definedName name="_new73" localSheetId="23" hidden="1">{#N/A,#N/A,FALSE,"Page 1";#N/A,#N/A,FALSE,"Page 2";#N/A,#N/A,FALSE,"Page 3";#N/A,#N/A,FALSE,"Page 4";#N/A,#N/A,FALSE,"Page 5";#N/A,#N/A,FALSE,"Page 6";#N/A,#N/A,FALSE,"Page 7";#N/A,#N/A,FALSE,"Page 8";#N/A,#N/A,FALSE,"Page 9";#N/A,#N/A,FALSE,"PG8WP";#N/A,#N/A,FALSE,"PG9WP"}</definedName>
    <definedName name="_new73" localSheetId="24" hidden="1">{#N/A,#N/A,FALSE,"Page 1";#N/A,#N/A,FALSE,"Page 2";#N/A,#N/A,FALSE,"Page 3";#N/A,#N/A,FALSE,"Page 4";#N/A,#N/A,FALSE,"Page 5";#N/A,#N/A,FALSE,"Page 6";#N/A,#N/A,FALSE,"Page 7";#N/A,#N/A,FALSE,"Page 8";#N/A,#N/A,FALSE,"Page 9";#N/A,#N/A,FALSE,"PG8WP";#N/A,#N/A,FALSE,"PG9WP"}</definedName>
    <definedName name="_new73" hidden="1">{#N/A,#N/A,FALSE,"Page 1";#N/A,#N/A,FALSE,"Page 2";#N/A,#N/A,FALSE,"Page 3";#N/A,#N/A,FALSE,"Page 4";#N/A,#N/A,FALSE,"Page 5";#N/A,#N/A,FALSE,"Page 6";#N/A,#N/A,FALSE,"Page 7";#N/A,#N/A,FALSE,"Page 8";#N/A,#N/A,FALSE,"Page 9";#N/A,#N/A,FALSE,"PG8WP";#N/A,#N/A,FALSE,"PG9WP"}</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new75" localSheetId="12" hidden="1">{"caz2",#N/A,FALSE,"Central Arizona 2";"saz2",#N/A,FALSE,"Southern Arizona 2";"snv2",#N/A,FALSE,"Southern Nevada 2";"nnv2",#N/A,FALSE,"Northern Nevada 2";"sca2",#N/A,FALSE,"Southern California 2";"nca2",#N/A,FALSE,"Northern California 2";"pai2",#N/A,FALSE,"Paiute 2"}</definedName>
    <definedName name="_new75" localSheetId="16" hidden="1">{"caz2",#N/A,FALSE,"Central Arizona 2";"saz2",#N/A,FALSE,"Southern Arizona 2";"snv2",#N/A,FALSE,"Southern Nevada 2";"nnv2",#N/A,FALSE,"Northern Nevada 2";"sca2",#N/A,FALSE,"Southern California 2";"nca2",#N/A,FALSE,"Northern California 2";"pai2",#N/A,FALSE,"Paiute 2"}</definedName>
    <definedName name="_new75" localSheetId="17" hidden="1">{"caz2",#N/A,FALSE,"Central Arizona 2";"saz2",#N/A,FALSE,"Southern Arizona 2";"snv2",#N/A,FALSE,"Southern Nevada 2";"nnv2",#N/A,FALSE,"Northern Nevada 2";"sca2",#N/A,FALSE,"Southern California 2";"nca2",#N/A,FALSE,"Northern California 2";"pai2",#N/A,FALSE,"Paiute 2"}</definedName>
    <definedName name="_new75" localSheetId="19" hidden="1">{"caz2",#N/A,FALSE,"Central Arizona 2";"saz2",#N/A,FALSE,"Southern Arizona 2";"snv2",#N/A,FALSE,"Southern Nevada 2";"nnv2",#N/A,FALSE,"Northern Nevada 2";"sca2",#N/A,FALSE,"Southern California 2";"nca2",#N/A,FALSE,"Northern California 2";"pai2",#N/A,FALSE,"Paiute 2"}</definedName>
    <definedName name="_new75" localSheetId="20" hidden="1">{"caz2",#N/A,FALSE,"Central Arizona 2";"saz2",#N/A,FALSE,"Southern Arizona 2";"snv2",#N/A,FALSE,"Southern Nevada 2";"nnv2",#N/A,FALSE,"Northern Nevada 2";"sca2",#N/A,FALSE,"Southern California 2";"nca2",#N/A,FALSE,"Northern California 2";"pai2",#N/A,FALSE,"Paiute 2"}</definedName>
    <definedName name="_new75" localSheetId="21" hidden="1">{"caz2",#N/A,FALSE,"Central Arizona 2";"saz2",#N/A,FALSE,"Southern Arizona 2";"snv2",#N/A,FALSE,"Southern Nevada 2";"nnv2",#N/A,FALSE,"Northern Nevada 2";"sca2",#N/A,FALSE,"Southern California 2";"nca2",#N/A,FALSE,"Northern California 2";"pai2",#N/A,FALSE,"Paiute 2"}</definedName>
    <definedName name="_new75" localSheetId="22" hidden="1">{"caz2",#N/A,FALSE,"Central Arizona 2";"saz2",#N/A,FALSE,"Southern Arizona 2";"snv2",#N/A,FALSE,"Southern Nevada 2";"nnv2",#N/A,FALSE,"Northern Nevada 2";"sca2",#N/A,FALSE,"Southern California 2";"nca2",#N/A,FALSE,"Northern California 2";"pai2",#N/A,FALSE,"Paiute 2"}</definedName>
    <definedName name="_new75" localSheetId="23" hidden="1">{"caz2",#N/A,FALSE,"Central Arizona 2";"saz2",#N/A,FALSE,"Southern Arizona 2";"snv2",#N/A,FALSE,"Southern Nevada 2";"nnv2",#N/A,FALSE,"Northern Nevada 2";"sca2",#N/A,FALSE,"Southern California 2";"nca2",#N/A,FALSE,"Northern California 2";"pai2",#N/A,FALSE,"Paiute 2"}</definedName>
    <definedName name="_new75" localSheetId="24" hidden="1">{"caz2",#N/A,FALSE,"Central Arizona 2";"saz2",#N/A,FALSE,"Southern Arizona 2";"snv2",#N/A,FALSE,"Southern Nevada 2";"nnv2",#N/A,FALSE,"Northern Nevada 2";"sca2",#N/A,FALSE,"Southern California 2";"nca2",#N/A,FALSE,"Northern California 2";"pai2",#N/A,FALSE,"Paiute 2"}</definedName>
    <definedName name="_new75" hidden="1">{"caz2",#N/A,FALSE,"Central Arizona 2";"saz2",#N/A,FALSE,"Southern Arizona 2";"snv2",#N/A,FALSE,"Southern Nevada 2";"nnv2",#N/A,FALSE,"Northern Nevada 2";"sca2",#N/A,FALSE,"Southern California 2";"nca2",#N/A,FALSE,"Northern California 2";"pai2",#N/A,FALSE,"Paiute 2"}</definedName>
    <definedName name="_Order1" hidden="1">255</definedName>
    <definedName name="_Order2" hidden="1">255</definedName>
    <definedName name="_Regression_Int" hidden="1">1</definedName>
    <definedName name="_Regression_Out" localSheetId="10" hidden="1">#REF!</definedName>
    <definedName name="_Regression_Out" localSheetId="11" hidden="1">#REF!</definedName>
    <definedName name="_Regression_Out" localSheetId="12"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hidden="1">#REF!</definedName>
    <definedName name="_Regression_X" localSheetId="10" hidden="1">#REF!</definedName>
    <definedName name="_Regression_X" localSheetId="11" hidden="1">#REF!</definedName>
    <definedName name="_Regression_X" localSheetId="12"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hidden="1">#REF!</definedName>
    <definedName name="_Regression_Y" localSheetId="10" hidden="1">#REF!</definedName>
    <definedName name="_Regression_Y" localSheetId="11" hidden="1">#REF!</definedName>
    <definedName name="_Regression_Y" localSheetId="12"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hidden="1">#REF!</definedName>
    <definedName name="_Sort" localSheetId="10" hidden="1">#REF!</definedName>
    <definedName name="_Sort" localSheetId="11" hidden="1">#REF!</definedName>
    <definedName name="_Sort" localSheetId="12"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hidden="1">#REF!</definedName>
    <definedName name="_sort2" localSheetId="10" hidden="1">#REF!</definedName>
    <definedName name="_sort2" localSheetId="11" hidden="1">#REF!</definedName>
    <definedName name="_sort2" localSheetId="12" hidden="1">#REF!</definedName>
    <definedName name="_sort2" localSheetId="21" hidden="1">#REF!</definedName>
    <definedName name="_sort2" localSheetId="22" hidden="1">#REF!</definedName>
    <definedName name="_sort2" localSheetId="23" hidden="1">#REF!</definedName>
    <definedName name="_sort2" localSheetId="24" hidden="1">#REF!</definedName>
    <definedName name="_sort2" hidden="1">#REF!</definedName>
    <definedName name="_x" localSheetId="10" hidden="1">#REF!</definedName>
    <definedName name="_x" localSheetId="11" hidden="1">#REF!</definedName>
    <definedName name="_x" localSheetId="21" hidden="1">#REF!</definedName>
    <definedName name="_x" localSheetId="22" hidden="1">#REF!</definedName>
    <definedName name="_x" localSheetId="23" hidden="1">#REF!</definedName>
    <definedName name="_x" localSheetId="24" hidden="1">#REF!</definedName>
    <definedName name="_x" hidden="1">#REF!</definedName>
    <definedName name="A" localSheetId="10" hidden="1">#REF!</definedName>
    <definedName name="A" localSheetId="11" hidden="1">#REF!</definedName>
    <definedName name="A" localSheetId="12" hidden="1">#REF!</definedName>
    <definedName name="A" localSheetId="14" hidden="1">#REF!</definedName>
    <definedName name="A" localSheetId="15" hidden="1">#REF!</definedName>
    <definedName name="A" localSheetId="21" hidden="1">#REF!</definedName>
    <definedName name="A" localSheetId="22" hidden="1">#REF!</definedName>
    <definedName name="A" localSheetId="23" hidden="1">#REF!</definedName>
    <definedName name="A" localSheetId="24" hidden="1">#REF!</definedName>
    <definedName name="A" hidden="1">#REF!</definedName>
    <definedName name="aa" localSheetId="10" hidden="1">{"FAC_SUMMARY",#N/A,FALSE,"Summaries"}</definedName>
    <definedName name="aa" localSheetId="11" hidden="1">{"FAC_SUMMARY",#N/A,FALSE,"Summaries"}</definedName>
    <definedName name="aa" localSheetId="12" hidden="1">{"FAC_SUMMARY",#N/A,FALSE,"Summaries"}</definedName>
    <definedName name="aa" localSheetId="13" hidden="1">{"FAC_SUMMARY",#N/A,FALSE,"Summaries"}</definedName>
    <definedName name="aa" localSheetId="14" hidden="1">{"FAC_SUMMARY",#N/A,FALSE,"Summaries"}</definedName>
    <definedName name="aa" localSheetId="15" hidden="1">{"FAC_SUMMARY",#N/A,FALSE,"Summaries"}</definedName>
    <definedName name="aa" localSheetId="16" hidden="1">{"FAC_SUMMARY",#N/A,FALSE,"Summaries"}</definedName>
    <definedName name="aa" localSheetId="17" hidden="1">{"FAC_SUMMARY",#N/A,FALSE,"Summaries"}</definedName>
    <definedName name="aa" localSheetId="19" hidden="1">{"FAC_SUMMARY",#N/A,FALSE,"Summaries"}</definedName>
    <definedName name="aa" localSheetId="20" hidden="1">{"FAC_SUMMARY",#N/A,FALSE,"Summaries"}</definedName>
    <definedName name="aa" localSheetId="21" hidden="1">{"FAC_SUMMARY",#N/A,FALSE,"Summaries"}</definedName>
    <definedName name="aa" localSheetId="22" hidden="1">{"FAC_SUMMARY",#N/A,FALSE,"Summaries"}</definedName>
    <definedName name="aa" localSheetId="23" hidden="1">{"FAC_SUMMARY",#N/A,FALSE,"Summaries"}</definedName>
    <definedName name="aa" localSheetId="24" hidden="1">{"FAC_SUMMARY",#N/A,FALSE,"Summaries"}</definedName>
    <definedName name="aa" hidden="1">{"FAC_SUMMARY",#N/A,FALSE,"Summaries"}</definedName>
    <definedName name="abc" localSheetId="10" hidden="1">{#N/A,#N/A,TRUE,"1990";#N/A,#N/A,TRUE,"1991";#N/A,#N/A,TRUE,"1992";#N/A,#N/A,TRUE,"1993"}</definedName>
    <definedName name="abc" localSheetId="11" hidden="1">{#N/A,#N/A,TRUE,"1990";#N/A,#N/A,TRUE,"1991";#N/A,#N/A,TRUE,"1992";#N/A,#N/A,TRUE,"1993"}</definedName>
    <definedName name="abc" localSheetId="12" hidden="1">{#N/A,#N/A,TRUE,"1990";#N/A,#N/A,TRUE,"1991";#N/A,#N/A,TRUE,"1992";#N/A,#N/A,TRUE,"1993"}</definedName>
    <definedName name="abc" localSheetId="13" hidden="1">{#N/A,#N/A,TRUE,"1990";#N/A,#N/A,TRUE,"1991";#N/A,#N/A,TRUE,"1992";#N/A,#N/A,TRUE,"1993"}</definedName>
    <definedName name="abc" localSheetId="14" hidden="1">{#N/A,#N/A,TRUE,"1990";#N/A,#N/A,TRUE,"1991";#N/A,#N/A,TRUE,"1992";#N/A,#N/A,TRUE,"1993"}</definedName>
    <definedName name="abc" localSheetId="15" hidden="1">{#N/A,#N/A,TRUE,"1990";#N/A,#N/A,TRUE,"1991";#N/A,#N/A,TRUE,"1992";#N/A,#N/A,TRUE,"1993"}</definedName>
    <definedName name="abc" localSheetId="16" hidden="1">{#N/A,#N/A,TRUE,"1990";#N/A,#N/A,TRUE,"1991";#N/A,#N/A,TRUE,"1992";#N/A,#N/A,TRUE,"1993"}</definedName>
    <definedName name="abc" localSheetId="17" hidden="1">{#N/A,#N/A,TRUE,"1990";#N/A,#N/A,TRUE,"1991";#N/A,#N/A,TRUE,"1992";#N/A,#N/A,TRUE,"1993"}</definedName>
    <definedName name="abc" localSheetId="19" hidden="1">{#N/A,#N/A,TRUE,"1990";#N/A,#N/A,TRUE,"1991";#N/A,#N/A,TRUE,"1992";#N/A,#N/A,TRUE,"1993"}</definedName>
    <definedName name="abc" localSheetId="20" hidden="1">{#N/A,#N/A,TRUE,"1990";#N/A,#N/A,TRUE,"1991";#N/A,#N/A,TRUE,"1992";#N/A,#N/A,TRUE,"1993"}</definedName>
    <definedName name="abc" localSheetId="21" hidden="1">{#N/A,#N/A,TRUE,"1990";#N/A,#N/A,TRUE,"1991";#N/A,#N/A,TRUE,"1992";#N/A,#N/A,TRUE,"1993"}</definedName>
    <definedName name="abc" localSheetId="22" hidden="1">{#N/A,#N/A,TRUE,"1990";#N/A,#N/A,TRUE,"1991";#N/A,#N/A,TRUE,"1992";#N/A,#N/A,TRUE,"1993"}</definedName>
    <definedName name="abc" localSheetId="23" hidden="1">{#N/A,#N/A,TRUE,"1990";#N/A,#N/A,TRUE,"1991";#N/A,#N/A,TRUE,"1992";#N/A,#N/A,TRUE,"1993"}</definedName>
    <definedName name="abc" localSheetId="24" hidden="1">{#N/A,#N/A,TRUE,"1990";#N/A,#N/A,TRUE,"1991";#N/A,#N/A,TRUE,"1992";#N/A,#N/A,TRUE,"1993"}</definedName>
    <definedName name="abc" hidden="1">{#N/A,#N/A,TRUE,"1990";#N/A,#N/A,TRUE,"1991";#N/A,#N/A,TRUE,"1992";#N/A,#N/A,TRUE,"1993"}</definedName>
    <definedName name="abcd" localSheetId="10" hidden="1">{#N/A,#N/A,TRUE,"1990";#N/A,#N/A,TRUE,"1991";#N/A,#N/A,TRUE,"1992";#N/A,#N/A,TRUE,"1993"}</definedName>
    <definedName name="abcd" localSheetId="11" hidden="1">{#N/A,#N/A,TRUE,"1990";#N/A,#N/A,TRUE,"1991";#N/A,#N/A,TRUE,"1992";#N/A,#N/A,TRUE,"1993"}</definedName>
    <definedName name="abcd" localSheetId="12" hidden="1">{#N/A,#N/A,TRUE,"1990";#N/A,#N/A,TRUE,"1991";#N/A,#N/A,TRUE,"1992";#N/A,#N/A,TRUE,"1993"}</definedName>
    <definedName name="abcd" localSheetId="13" hidden="1">{#N/A,#N/A,TRUE,"1990";#N/A,#N/A,TRUE,"1991";#N/A,#N/A,TRUE,"1992";#N/A,#N/A,TRUE,"1993"}</definedName>
    <definedName name="abcd" localSheetId="14" hidden="1">{#N/A,#N/A,TRUE,"1990";#N/A,#N/A,TRUE,"1991";#N/A,#N/A,TRUE,"1992";#N/A,#N/A,TRUE,"1993"}</definedName>
    <definedName name="abcd" localSheetId="15" hidden="1">{#N/A,#N/A,TRUE,"1990";#N/A,#N/A,TRUE,"1991";#N/A,#N/A,TRUE,"1992";#N/A,#N/A,TRUE,"1993"}</definedName>
    <definedName name="abcd" localSheetId="16" hidden="1">{#N/A,#N/A,TRUE,"1990";#N/A,#N/A,TRUE,"1991";#N/A,#N/A,TRUE,"1992";#N/A,#N/A,TRUE,"1993"}</definedName>
    <definedName name="abcd" localSheetId="17" hidden="1">{#N/A,#N/A,TRUE,"1990";#N/A,#N/A,TRUE,"1991";#N/A,#N/A,TRUE,"1992";#N/A,#N/A,TRUE,"1993"}</definedName>
    <definedName name="abcd" localSheetId="19" hidden="1">{#N/A,#N/A,TRUE,"1990";#N/A,#N/A,TRUE,"1991";#N/A,#N/A,TRUE,"1992";#N/A,#N/A,TRUE,"1993"}</definedName>
    <definedName name="abcd" localSheetId="20" hidden="1">{#N/A,#N/A,TRUE,"1990";#N/A,#N/A,TRUE,"1991";#N/A,#N/A,TRUE,"1992";#N/A,#N/A,TRUE,"1993"}</definedName>
    <definedName name="abcd" localSheetId="21" hidden="1">{#N/A,#N/A,TRUE,"1990";#N/A,#N/A,TRUE,"1991";#N/A,#N/A,TRUE,"1992";#N/A,#N/A,TRUE,"1993"}</definedName>
    <definedName name="abcd" localSheetId="22" hidden="1">{#N/A,#N/A,TRUE,"1990";#N/A,#N/A,TRUE,"1991";#N/A,#N/A,TRUE,"1992";#N/A,#N/A,TRUE,"1993"}</definedName>
    <definedName name="abcd" localSheetId="23" hidden="1">{#N/A,#N/A,TRUE,"1990";#N/A,#N/A,TRUE,"1991";#N/A,#N/A,TRUE,"1992";#N/A,#N/A,TRUE,"1993"}</definedName>
    <definedName name="abcd" localSheetId="24" hidden="1">{#N/A,#N/A,TRUE,"1990";#N/A,#N/A,TRUE,"1991";#N/A,#N/A,TRUE,"1992";#N/A,#N/A,TRUE,"1993"}</definedName>
    <definedName name="abcd" hidden="1">{#N/A,#N/A,TRUE,"1990";#N/A,#N/A,TRUE,"1991";#N/A,#N/A,TRUE,"1992";#N/A,#N/A,TRUE,"1993"}</definedName>
    <definedName name="abcde" localSheetId="10" hidden="1">{"summary",#N/A,TRUE,"E93ADJ";"detail",#N/A,TRUE,"E93ADJ"}</definedName>
    <definedName name="abcde" localSheetId="11" hidden="1">{"summary",#N/A,TRUE,"E93ADJ";"detail",#N/A,TRUE,"E93ADJ"}</definedName>
    <definedName name="abcde" localSheetId="12" hidden="1">{"summary",#N/A,TRUE,"E93ADJ";"detail",#N/A,TRUE,"E93ADJ"}</definedName>
    <definedName name="abcde" localSheetId="13" hidden="1">{"summary",#N/A,TRUE,"E93ADJ";"detail",#N/A,TRUE,"E93ADJ"}</definedName>
    <definedName name="abcde" localSheetId="14" hidden="1">{"summary",#N/A,TRUE,"E93ADJ";"detail",#N/A,TRUE,"E93ADJ"}</definedName>
    <definedName name="abcde" localSheetId="15" hidden="1">{"summary",#N/A,TRUE,"E93ADJ";"detail",#N/A,TRUE,"E93ADJ"}</definedName>
    <definedName name="abcde" localSheetId="16" hidden="1">{"summary",#N/A,TRUE,"E93ADJ";"detail",#N/A,TRUE,"E93ADJ"}</definedName>
    <definedName name="abcde" localSheetId="17" hidden="1">{"summary",#N/A,TRUE,"E93ADJ";"detail",#N/A,TRUE,"E93ADJ"}</definedName>
    <definedName name="abcde" localSheetId="19" hidden="1">{"summary",#N/A,TRUE,"E93ADJ";"detail",#N/A,TRUE,"E93ADJ"}</definedName>
    <definedName name="abcde" localSheetId="20" hidden="1">{"summary",#N/A,TRUE,"E93ADJ";"detail",#N/A,TRUE,"E93ADJ"}</definedName>
    <definedName name="abcde" localSheetId="21" hidden="1">{"summary",#N/A,TRUE,"E93ADJ";"detail",#N/A,TRUE,"E93ADJ"}</definedName>
    <definedName name="abcde" localSheetId="22" hidden="1">{"summary",#N/A,TRUE,"E93ADJ";"detail",#N/A,TRUE,"E93ADJ"}</definedName>
    <definedName name="abcde" localSheetId="23" hidden="1">{"summary",#N/A,TRUE,"E93ADJ";"detail",#N/A,TRUE,"E93ADJ"}</definedName>
    <definedName name="abcde" localSheetId="24" hidden="1">{"summary",#N/A,TRUE,"E93ADJ";"detail",#N/A,TRUE,"E93ADJ"}</definedName>
    <definedName name="abcde" hidden="1">{"summary",#N/A,TRUE,"E93ADJ";"detail",#N/A,TRUE,"E93ADJ"}</definedName>
    <definedName name="abcdef" localSheetId="10" hidden="1">{"summary",#N/A,TRUE,"E93ADJ";"detail",#N/A,TRUE,"E93ADJ"}</definedName>
    <definedName name="abcdef" localSheetId="11" hidden="1">{"summary",#N/A,TRUE,"E93ADJ";"detail",#N/A,TRUE,"E93ADJ"}</definedName>
    <definedName name="abcdef" localSheetId="12" hidden="1">{"summary",#N/A,TRUE,"E93ADJ";"detail",#N/A,TRUE,"E93ADJ"}</definedName>
    <definedName name="abcdef" localSheetId="13" hidden="1">{"summary",#N/A,TRUE,"E93ADJ";"detail",#N/A,TRUE,"E93ADJ"}</definedName>
    <definedName name="abcdef" localSheetId="14" hidden="1">{"summary",#N/A,TRUE,"E93ADJ";"detail",#N/A,TRUE,"E93ADJ"}</definedName>
    <definedName name="abcdef" localSheetId="15" hidden="1">{"summary",#N/A,TRUE,"E93ADJ";"detail",#N/A,TRUE,"E93ADJ"}</definedName>
    <definedName name="abcdef" localSheetId="16" hidden="1">{"summary",#N/A,TRUE,"E93ADJ";"detail",#N/A,TRUE,"E93ADJ"}</definedName>
    <definedName name="abcdef" localSheetId="17" hidden="1">{"summary",#N/A,TRUE,"E93ADJ";"detail",#N/A,TRUE,"E93ADJ"}</definedName>
    <definedName name="abcdef" localSheetId="19" hidden="1">{"summary",#N/A,TRUE,"E93ADJ";"detail",#N/A,TRUE,"E93ADJ"}</definedName>
    <definedName name="abcdef" localSheetId="20" hidden="1">{"summary",#N/A,TRUE,"E93ADJ";"detail",#N/A,TRUE,"E93ADJ"}</definedName>
    <definedName name="abcdef" localSheetId="21" hidden="1">{"summary",#N/A,TRUE,"E93ADJ";"detail",#N/A,TRUE,"E93ADJ"}</definedName>
    <definedName name="abcdef" localSheetId="22" hidden="1">{"summary",#N/A,TRUE,"E93ADJ";"detail",#N/A,TRUE,"E93ADJ"}</definedName>
    <definedName name="abcdef" localSheetId="23" hidden="1">{"summary",#N/A,TRUE,"E93ADJ";"detail",#N/A,TRUE,"E93ADJ"}</definedName>
    <definedName name="abcdef" localSheetId="24" hidden="1">{"summary",#N/A,TRUE,"E93ADJ";"detail",#N/A,TRUE,"E93ADJ"}</definedName>
    <definedName name="abcdef" hidden="1">{"summary",#N/A,TRUE,"E93ADJ";"detail",#N/A,TRUE,"E93ADJ"}</definedName>
    <definedName name="adfadfdfadsfdsa" hidden="1">'[2]Chart Data'!$K$30:$K$228</definedName>
    <definedName name="aedf" localSheetId="10" hidden="1">#REF!</definedName>
    <definedName name="aedf" localSheetId="11" hidden="1">#REF!</definedName>
    <definedName name="aedf" localSheetId="12" hidden="1">#REF!</definedName>
    <definedName name="aedf" localSheetId="14" hidden="1">#REF!</definedName>
    <definedName name="aedf" localSheetId="15" hidden="1">#REF!</definedName>
    <definedName name="aedf" localSheetId="16" hidden="1">#REF!</definedName>
    <definedName name="aedf" localSheetId="17" hidden="1">#REF!</definedName>
    <definedName name="aedf" localSheetId="21" hidden="1">#REF!</definedName>
    <definedName name="aedf" localSheetId="22" hidden="1">#REF!</definedName>
    <definedName name="aedf" localSheetId="23" hidden="1">#REF!</definedName>
    <definedName name="aedf" localSheetId="24" hidden="1">#REF!</definedName>
    <definedName name="aedf" hidden="1">#REF!</definedName>
    <definedName name="aewc12" localSheetId="10" hidden="1">#REF!</definedName>
    <definedName name="aewc12" localSheetId="11" hidden="1">#REF!</definedName>
    <definedName name="aewc12" localSheetId="12" hidden="1">#REF!</definedName>
    <definedName name="aewc12" localSheetId="14" hidden="1">#REF!</definedName>
    <definedName name="aewc12" localSheetId="15" hidden="1">#REF!</definedName>
    <definedName name="aewc12" localSheetId="21" hidden="1">#REF!</definedName>
    <definedName name="aewc12" localSheetId="22" hidden="1">#REF!</definedName>
    <definedName name="aewc12" localSheetId="23" hidden="1">#REF!</definedName>
    <definedName name="aewc12" localSheetId="24" hidden="1">#REF!</definedName>
    <definedName name="aewc12" hidden="1">#REF!</definedName>
    <definedName name="afddafadfs" hidden="1">'[2]Chart Data'!$B$30:$B$222</definedName>
    <definedName name="afddfadfdsfafdas" hidden="1">'[2]Chart Data'!$O$30:$O$226</definedName>
    <definedName name="ajw2n" localSheetId="10" hidden="1">#REF!</definedName>
    <definedName name="ajw2n" localSheetId="11" hidden="1">#REF!</definedName>
    <definedName name="ajw2n" localSheetId="12" hidden="1">#REF!</definedName>
    <definedName name="ajw2n" localSheetId="14" hidden="1">#REF!</definedName>
    <definedName name="ajw2n" localSheetId="15" hidden="1">#REF!</definedName>
    <definedName name="ajw2n" localSheetId="16" hidden="1">#REF!</definedName>
    <definedName name="ajw2n" localSheetId="17" hidden="1">#REF!</definedName>
    <definedName name="ajw2n" localSheetId="21" hidden="1">#REF!</definedName>
    <definedName name="ajw2n" localSheetId="22" hidden="1">#REF!</definedName>
    <definedName name="ajw2n" localSheetId="23" hidden="1">#REF!</definedName>
    <definedName name="ajw2n" localSheetId="24" hidden="1">#REF!</definedName>
    <definedName name="ajw2n" hidden="1">#REF!</definedName>
    <definedName name="anscount" hidden="1">1</definedName>
    <definedName name="ap" localSheetId="10" hidden="1">#REF!</definedName>
    <definedName name="ap" localSheetId="11" hidden="1">#REF!</definedName>
    <definedName name="ap" localSheetId="12" hidden="1">#REF!</definedName>
    <definedName name="ap" localSheetId="14" hidden="1">#REF!</definedName>
    <definedName name="ap" localSheetId="15" hidden="1">#REF!</definedName>
    <definedName name="ap" localSheetId="16" hidden="1">#REF!</definedName>
    <definedName name="ap" localSheetId="17" hidden="1">#REF!</definedName>
    <definedName name="ap" localSheetId="21" hidden="1">#REF!</definedName>
    <definedName name="ap" localSheetId="22" hidden="1">#REF!</definedName>
    <definedName name="ap" localSheetId="23" hidden="1">#REF!</definedName>
    <definedName name="ap" localSheetId="24" hidden="1">#REF!</definedName>
    <definedName name="ap" hidden="1">#REF!</definedName>
    <definedName name="AS2DocOpenMode" hidden="1">"AS2DocumentEdit"</definedName>
    <definedName name="asd" localSheetId="10" hidden="1">#REF!</definedName>
    <definedName name="asd" localSheetId="11" hidden="1">#REF!</definedName>
    <definedName name="asd" localSheetId="12" hidden="1">#REF!</definedName>
    <definedName name="asd" localSheetId="14" hidden="1">#REF!</definedName>
    <definedName name="asd" localSheetId="15" hidden="1">#REF!</definedName>
    <definedName name="asd" localSheetId="21" hidden="1">#REF!</definedName>
    <definedName name="asd" localSheetId="22" hidden="1">#REF!</definedName>
    <definedName name="asd" localSheetId="23" hidden="1">#REF!</definedName>
    <definedName name="asd" localSheetId="24" hidden="1">#REF!</definedName>
    <definedName name="asd" hidden="1">#REF!</definedName>
    <definedName name="asdf" localSheetId="10" hidden="1">#REF!</definedName>
    <definedName name="asdf" localSheetId="11" hidden="1">#REF!</definedName>
    <definedName name="asdf" localSheetId="12" hidden="1">#REF!</definedName>
    <definedName name="asdf" localSheetId="14" hidden="1">#REF!</definedName>
    <definedName name="asdf" localSheetId="15" hidden="1">#REF!</definedName>
    <definedName name="asdf" localSheetId="21" hidden="1">#REF!</definedName>
    <definedName name="asdf" localSheetId="22" hidden="1">#REF!</definedName>
    <definedName name="asdf" localSheetId="23" hidden="1">#REF!</definedName>
    <definedName name="asdf" localSheetId="24" hidden="1">#REF!</definedName>
    <definedName name="asdf" hidden="1">#REF!</definedName>
    <definedName name="asdij" localSheetId="10" hidden="1">#REF!</definedName>
    <definedName name="asdij" localSheetId="11" hidden="1">#REF!</definedName>
    <definedName name="asdij" localSheetId="12" hidden="1">#REF!</definedName>
    <definedName name="asdij" localSheetId="14" hidden="1">#REF!</definedName>
    <definedName name="asdij" localSheetId="15" hidden="1">#REF!</definedName>
    <definedName name="asdij" localSheetId="21" hidden="1">#REF!</definedName>
    <definedName name="asdij" localSheetId="22" hidden="1">#REF!</definedName>
    <definedName name="asdij" localSheetId="23" hidden="1">#REF!</definedName>
    <definedName name="asdij" localSheetId="24" hidden="1">#REF!</definedName>
    <definedName name="asdij" hidden="1">#REF!</definedName>
    <definedName name="asf" localSheetId="10" hidden="1">#REF!</definedName>
    <definedName name="asf" localSheetId="11" hidden="1">#REF!</definedName>
    <definedName name="asf" localSheetId="12" hidden="1">#REF!</definedName>
    <definedName name="asf" localSheetId="14" hidden="1">#REF!</definedName>
    <definedName name="asf" localSheetId="15" hidden="1">#REF!</definedName>
    <definedName name="asf" localSheetId="21" hidden="1">#REF!</definedName>
    <definedName name="asf" localSheetId="22" hidden="1">#REF!</definedName>
    <definedName name="asf" localSheetId="23" hidden="1">#REF!</definedName>
    <definedName name="asf" localSheetId="24" hidden="1">#REF!</definedName>
    <definedName name="asf" hidden="1">#REF!</definedName>
    <definedName name="aspd" localSheetId="10" hidden="1">#REF!</definedName>
    <definedName name="aspd" localSheetId="11" hidden="1">#REF!</definedName>
    <definedName name="aspd" localSheetId="12" hidden="1">#REF!</definedName>
    <definedName name="aspd" localSheetId="14" hidden="1">#REF!</definedName>
    <definedName name="aspd" localSheetId="15" hidden="1">#REF!</definedName>
    <definedName name="aspd" localSheetId="21" hidden="1">#REF!</definedName>
    <definedName name="aspd" localSheetId="22" hidden="1">#REF!</definedName>
    <definedName name="aspd" localSheetId="23" hidden="1">#REF!</definedName>
    <definedName name="aspd" localSheetId="24" hidden="1">#REF!</definedName>
    <definedName name="aspd" hidden="1">#REF!</definedName>
    <definedName name="aswac" localSheetId="10" hidden="1">#REF!</definedName>
    <definedName name="aswac" localSheetId="11" hidden="1">#REF!</definedName>
    <definedName name="aswac" localSheetId="12" hidden="1">#REF!</definedName>
    <definedName name="aswac" localSheetId="14" hidden="1">#REF!</definedName>
    <definedName name="aswac" localSheetId="15" hidden="1">#REF!</definedName>
    <definedName name="aswac" localSheetId="21" hidden="1">#REF!</definedName>
    <definedName name="aswac" localSheetId="22" hidden="1">#REF!</definedName>
    <definedName name="aswac" localSheetId="23" hidden="1">#REF!</definedName>
    <definedName name="aswac" localSheetId="24" hidden="1">#REF!</definedName>
    <definedName name="aswac" hidden="1">#REF!</definedName>
    <definedName name="aswc" localSheetId="10" hidden="1">#REF!</definedName>
    <definedName name="aswc" localSheetId="11" hidden="1">#REF!</definedName>
    <definedName name="aswc" localSheetId="12" hidden="1">#REF!</definedName>
    <definedName name="aswc" localSheetId="14" hidden="1">#REF!</definedName>
    <definedName name="aswc" localSheetId="15" hidden="1">#REF!</definedName>
    <definedName name="aswc" localSheetId="21" hidden="1">#REF!</definedName>
    <definedName name="aswc" localSheetId="22" hidden="1">#REF!</definedName>
    <definedName name="aswc" localSheetId="23" hidden="1">#REF!</definedName>
    <definedName name="aswc" localSheetId="24" hidden="1">#REF!</definedName>
    <definedName name="aswc" hidden="1">#REF!</definedName>
    <definedName name="aw3dq" localSheetId="10" hidden="1">#REF!</definedName>
    <definedName name="aw3dq" localSheetId="11" hidden="1">#REF!</definedName>
    <definedName name="aw3dq" localSheetId="12" hidden="1">#REF!</definedName>
    <definedName name="aw3dq" localSheetId="14" hidden="1">#REF!</definedName>
    <definedName name="aw3dq" localSheetId="15" hidden="1">#REF!</definedName>
    <definedName name="aw3dq" localSheetId="19" hidden="1">#REF!</definedName>
    <definedName name="aw3dq" localSheetId="21" hidden="1">#REF!</definedName>
    <definedName name="aw3dq" localSheetId="22" hidden="1">#REF!</definedName>
    <definedName name="aw3dq" localSheetId="23" hidden="1">#REF!</definedName>
    <definedName name="aw3dq" localSheetId="24" hidden="1">#REF!</definedName>
    <definedName name="aw3dq" hidden="1">#REF!</definedName>
    <definedName name="awd" localSheetId="10" hidden="1">#REF!</definedName>
    <definedName name="awd" localSheetId="11" hidden="1">#REF!</definedName>
    <definedName name="awd" localSheetId="12" hidden="1">#REF!</definedName>
    <definedName name="awd" localSheetId="14" hidden="1">#REF!</definedName>
    <definedName name="awd" localSheetId="15" hidden="1">#REF!</definedName>
    <definedName name="awd" localSheetId="21" hidden="1">#REF!</definedName>
    <definedName name="awd" localSheetId="22" hidden="1">#REF!</definedName>
    <definedName name="awd" localSheetId="23" hidden="1">#REF!</definedName>
    <definedName name="awd" localSheetId="24" hidden="1">#REF!</definedName>
    <definedName name="awd" hidden="1">#REF!</definedName>
    <definedName name="awef" localSheetId="10" hidden="1">#REF!</definedName>
    <definedName name="awef" localSheetId="11" hidden="1">#REF!</definedName>
    <definedName name="awef" localSheetId="12" hidden="1">#REF!</definedName>
    <definedName name="awef" localSheetId="14" hidden="1">#REF!</definedName>
    <definedName name="awef" localSheetId="15" hidden="1">#REF!</definedName>
    <definedName name="awef" localSheetId="21" hidden="1">#REF!</definedName>
    <definedName name="awef" localSheetId="22" hidden="1">#REF!</definedName>
    <definedName name="awef" localSheetId="23" hidden="1">#REF!</definedName>
    <definedName name="awef" localSheetId="24" hidden="1">#REF!</definedName>
    <definedName name="awef" hidden="1">#REF!</definedName>
    <definedName name="AWS" localSheetId="10" hidden="1">#REF!</definedName>
    <definedName name="AWS" localSheetId="11" hidden="1">#REF!</definedName>
    <definedName name="AWS" localSheetId="12" hidden="1">#REF!</definedName>
    <definedName name="AWS" localSheetId="14" hidden="1">#REF!</definedName>
    <definedName name="AWS" localSheetId="15" hidden="1">#REF!</definedName>
    <definedName name="AWS" localSheetId="21" hidden="1">#REF!</definedName>
    <definedName name="AWS" localSheetId="22" hidden="1">#REF!</definedName>
    <definedName name="AWS" localSheetId="23" hidden="1">#REF!</definedName>
    <definedName name="AWS" localSheetId="24" hidden="1">#REF!</definedName>
    <definedName name="AWS" hidden="1">#REF!</definedName>
    <definedName name="az" localSheetId="10" hidden="1">#REF!</definedName>
    <definedName name="az" localSheetId="11" hidden="1">#REF!</definedName>
    <definedName name="az" localSheetId="12" hidden="1">#REF!</definedName>
    <definedName name="az" localSheetId="14" hidden="1">#REF!</definedName>
    <definedName name="az" localSheetId="15" hidden="1">#REF!</definedName>
    <definedName name="az" localSheetId="21" hidden="1">#REF!</definedName>
    <definedName name="az" localSheetId="22" hidden="1">#REF!</definedName>
    <definedName name="az" localSheetId="23" hidden="1">#REF!</definedName>
    <definedName name="az" localSheetId="24" hidden="1">#REF!</definedName>
    <definedName name="az" hidden="1">#REF!</definedName>
    <definedName name="b" localSheetId="11" hidden="1">{#N/A,#N/A,TRUE,"SLDE";#N/A,#N/A,TRUE,"Concession Summary"}</definedName>
    <definedName name="b" localSheetId="12" hidden="1">{#N/A,#N/A,TRUE,"SLDE";#N/A,#N/A,TRUE,"Concession Summary"}</definedName>
    <definedName name="b" localSheetId="20" hidden="1">{#N/A,#N/A,TRUE,"SLDE";#N/A,#N/A,TRUE,"Concession Summary"}</definedName>
    <definedName name="b" localSheetId="21" hidden="1">{#N/A,#N/A,TRUE,"SLDE";#N/A,#N/A,TRUE,"Concession Summary"}</definedName>
    <definedName name="b" localSheetId="22" hidden="1">{#N/A,#N/A,TRUE,"SLDE";#N/A,#N/A,TRUE,"Concession Summary"}</definedName>
    <definedName name="b" localSheetId="23" hidden="1">{#N/A,#N/A,TRUE,"SLDE";#N/A,#N/A,TRUE,"Concession Summary"}</definedName>
    <definedName name="b" hidden="1">{#N/A,#N/A,TRUE,"SLDE";#N/A,#N/A,TRUE,"Concession Summary"}</definedName>
    <definedName name="BB" localSheetId="10" hidden="1">#REF!</definedName>
    <definedName name="BB" localSheetId="11" hidden="1">#REF!</definedName>
    <definedName name="BB" localSheetId="12" hidden="1">#REF!</definedName>
    <definedName name="BB" localSheetId="14" hidden="1">#REF!</definedName>
    <definedName name="BB" localSheetId="15" hidden="1">#REF!</definedName>
    <definedName name="BB" localSheetId="19" hidden="1">#REF!</definedName>
    <definedName name="BB" localSheetId="21" hidden="1">#REF!</definedName>
    <definedName name="BB" localSheetId="22" hidden="1">#REF!</definedName>
    <definedName name="BB" localSheetId="23" hidden="1">#REF!</definedName>
    <definedName name="BB" localSheetId="24" hidden="1">#REF!</definedName>
    <definedName name="BB" hidden="1">#REF!</definedName>
    <definedName name="bb_mdm" localSheetId="10" hidden="1">#REF!</definedName>
    <definedName name="bb_mdm" localSheetId="11" hidden="1">#REF!</definedName>
    <definedName name="bb_mdm" localSheetId="12" hidden="1">#REF!</definedName>
    <definedName name="bb_mdm" localSheetId="14" hidden="1">#REF!</definedName>
    <definedName name="bb_mdm" localSheetId="15" hidden="1">#REF!</definedName>
    <definedName name="bb_mdm" localSheetId="21" hidden="1">#REF!</definedName>
    <definedName name="bb_mdm" localSheetId="22" hidden="1">#REF!</definedName>
    <definedName name="bb_mdm" localSheetId="23" hidden="1">#REF!</definedName>
    <definedName name="bb_mdm" localSheetId="24" hidden="1">#REF!</definedName>
    <definedName name="bb_mdm" hidden="1">#REF!</definedName>
    <definedName name="bb_MDMyNTU0NDRBODY1NDVEQz" localSheetId="10" hidden="1">#REF!</definedName>
    <definedName name="bb_MDMyNTU0NDRBODY1NDVEQz" localSheetId="11" hidden="1">#REF!</definedName>
    <definedName name="bb_MDMyNTU0NDRBODY1NDVEQz" localSheetId="12" hidden="1">#REF!</definedName>
    <definedName name="bb_MDMyNTU0NDRBODY1NDVEQz" localSheetId="14" hidden="1">#REF!</definedName>
    <definedName name="bb_MDMyNTU0NDRBODY1NDVEQz" localSheetId="15" hidden="1">#REF!</definedName>
    <definedName name="bb_MDMyNTU0NDRBODY1NDVEQz" localSheetId="21" hidden="1">#REF!</definedName>
    <definedName name="bb_MDMyNTU0NDRBODY1NDVEQz" localSheetId="22" hidden="1">#REF!</definedName>
    <definedName name="bb_MDMyNTU0NDRBODY1NDVEQz" localSheetId="23" hidden="1">#REF!</definedName>
    <definedName name="bb_MDMyNTU0NDRBODY1NDVEQz" localSheetId="24" hidden="1">#REF!</definedName>
    <definedName name="bb_MDMyNTU0NDRBODY1NDVEQz" hidden="1">#REF!</definedName>
    <definedName name="bbbb" localSheetId="10" hidden="1">#REF!</definedName>
    <definedName name="bbbb" localSheetId="11" hidden="1">#REF!</definedName>
    <definedName name="bbbb" localSheetId="12" hidden="1">#REF!</definedName>
    <definedName name="bbbb" localSheetId="14" hidden="1">#REF!</definedName>
    <definedName name="bbbb" localSheetId="15" hidden="1">#REF!</definedName>
    <definedName name="bbbb" localSheetId="21" hidden="1">#REF!</definedName>
    <definedName name="bbbb" localSheetId="22" hidden="1">#REF!</definedName>
    <definedName name="bbbb" localSheetId="23" hidden="1">#REF!</definedName>
    <definedName name="bbbb" localSheetId="24" hidden="1">#REF!</definedName>
    <definedName name="bbbb" hidden="1">#REF!</definedName>
    <definedName name="bcd" localSheetId="10" hidden="1">{#N/A,#N/A,TRUE,"1990";#N/A,#N/A,TRUE,"1991";#N/A,#N/A,TRUE,"1992";#N/A,#N/A,TRUE,"1993"}</definedName>
    <definedName name="bcd" localSheetId="11" hidden="1">{#N/A,#N/A,TRUE,"1990";#N/A,#N/A,TRUE,"1991";#N/A,#N/A,TRUE,"1992";#N/A,#N/A,TRUE,"1993"}</definedName>
    <definedName name="bcd" localSheetId="12" hidden="1">{#N/A,#N/A,TRUE,"1990";#N/A,#N/A,TRUE,"1991";#N/A,#N/A,TRUE,"1992";#N/A,#N/A,TRUE,"1993"}</definedName>
    <definedName name="bcd" localSheetId="13" hidden="1">{#N/A,#N/A,TRUE,"1990";#N/A,#N/A,TRUE,"1991";#N/A,#N/A,TRUE,"1992";#N/A,#N/A,TRUE,"1993"}</definedName>
    <definedName name="bcd" localSheetId="14" hidden="1">{#N/A,#N/A,TRUE,"1990";#N/A,#N/A,TRUE,"1991";#N/A,#N/A,TRUE,"1992";#N/A,#N/A,TRUE,"1993"}</definedName>
    <definedName name="bcd" localSheetId="15" hidden="1">{#N/A,#N/A,TRUE,"1990";#N/A,#N/A,TRUE,"1991";#N/A,#N/A,TRUE,"1992";#N/A,#N/A,TRUE,"1993"}</definedName>
    <definedName name="bcd" localSheetId="16" hidden="1">{#N/A,#N/A,TRUE,"1990";#N/A,#N/A,TRUE,"1991";#N/A,#N/A,TRUE,"1992";#N/A,#N/A,TRUE,"1993"}</definedName>
    <definedName name="bcd" localSheetId="17" hidden="1">{#N/A,#N/A,TRUE,"1990";#N/A,#N/A,TRUE,"1991";#N/A,#N/A,TRUE,"1992";#N/A,#N/A,TRUE,"1993"}</definedName>
    <definedName name="bcd" localSheetId="19" hidden="1">{#N/A,#N/A,TRUE,"1990";#N/A,#N/A,TRUE,"1991";#N/A,#N/A,TRUE,"1992";#N/A,#N/A,TRUE,"1993"}</definedName>
    <definedName name="bcd" localSheetId="20" hidden="1">{#N/A,#N/A,TRUE,"1990";#N/A,#N/A,TRUE,"1991";#N/A,#N/A,TRUE,"1992";#N/A,#N/A,TRUE,"1993"}</definedName>
    <definedName name="bcd" localSheetId="21" hidden="1">{#N/A,#N/A,TRUE,"1990";#N/A,#N/A,TRUE,"1991";#N/A,#N/A,TRUE,"1992";#N/A,#N/A,TRUE,"1993"}</definedName>
    <definedName name="bcd" localSheetId="22" hidden="1">{#N/A,#N/A,TRUE,"1990";#N/A,#N/A,TRUE,"1991";#N/A,#N/A,TRUE,"1992";#N/A,#N/A,TRUE,"1993"}</definedName>
    <definedName name="bcd" localSheetId="23" hidden="1">{#N/A,#N/A,TRUE,"1990";#N/A,#N/A,TRUE,"1991";#N/A,#N/A,TRUE,"1992";#N/A,#N/A,TRUE,"1993"}</definedName>
    <definedName name="bcd" localSheetId="24" hidden="1">{#N/A,#N/A,TRUE,"1990";#N/A,#N/A,TRUE,"1991";#N/A,#N/A,TRUE,"1992";#N/A,#N/A,TRUE,"1993"}</definedName>
    <definedName name="bcd" hidden="1">{#N/A,#N/A,TRUE,"1990";#N/A,#N/A,TRUE,"1991";#N/A,#N/A,TRUE,"1992";#N/A,#N/A,TRUE,"1993"}</definedName>
    <definedName name="bcde" localSheetId="10" hidden="1">{"summary",#N/A,TRUE,"E93ADJ";"detail",#N/A,TRUE,"E93ADJ"}</definedName>
    <definedName name="bcde" localSheetId="11" hidden="1">{"summary",#N/A,TRUE,"E93ADJ";"detail",#N/A,TRUE,"E93ADJ"}</definedName>
    <definedName name="bcde" localSheetId="12" hidden="1">{"summary",#N/A,TRUE,"E93ADJ";"detail",#N/A,TRUE,"E93ADJ"}</definedName>
    <definedName name="bcde" localSheetId="13" hidden="1">{"summary",#N/A,TRUE,"E93ADJ";"detail",#N/A,TRUE,"E93ADJ"}</definedName>
    <definedName name="bcde" localSheetId="14" hidden="1">{"summary",#N/A,TRUE,"E93ADJ";"detail",#N/A,TRUE,"E93ADJ"}</definedName>
    <definedName name="bcde" localSheetId="15" hidden="1">{"summary",#N/A,TRUE,"E93ADJ";"detail",#N/A,TRUE,"E93ADJ"}</definedName>
    <definedName name="bcde" localSheetId="16" hidden="1">{"summary",#N/A,TRUE,"E93ADJ";"detail",#N/A,TRUE,"E93ADJ"}</definedName>
    <definedName name="bcde" localSheetId="17" hidden="1">{"summary",#N/A,TRUE,"E93ADJ";"detail",#N/A,TRUE,"E93ADJ"}</definedName>
    <definedName name="bcde" localSheetId="19" hidden="1">{"summary",#N/A,TRUE,"E93ADJ";"detail",#N/A,TRUE,"E93ADJ"}</definedName>
    <definedName name="bcde" localSheetId="20" hidden="1">{"summary",#N/A,TRUE,"E93ADJ";"detail",#N/A,TRUE,"E93ADJ"}</definedName>
    <definedName name="bcde" localSheetId="21" hidden="1">{"summary",#N/A,TRUE,"E93ADJ";"detail",#N/A,TRUE,"E93ADJ"}</definedName>
    <definedName name="bcde" localSheetId="22" hidden="1">{"summary",#N/A,TRUE,"E93ADJ";"detail",#N/A,TRUE,"E93ADJ"}</definedName>
    <definedName name="bcde" localSheetId="23" hidden="1">{"summary",#N/A,TRUE,"E93ADJ";"detail",#N/A,TRUE,"E93ADJ"}</definedName>
    <definedName name="bcde" localSheetId="24" hidden="1">{"summary",#N/A,TRUE,"E93ADJ";"detail",#N/A,TRUE,"E93ADJ"}</definedName>
    <definedName name="bcde" hidden="1">{"summary",#N/A,TRUE,"E93ADJ";"detail",#N/A,TRUE,"E93ADJ"}</definedName>
    <definedName name="bl" localSheetId="10" hidden="1">#REF!</definedName>
    <definedName name="bl" localSheetId="11" hidden="1">#REF!</definedName>
    <definedName name="bl" localSheetId="12" hidden="1">#REF!</definedName>
    <definedName name="bl" localSheetId="14" hidden="1">#REF!</definedName>
    <definedName name="bl" localSheetId="15" hidden="1">#REF!</definedName>
    <definedName name="bl" localSheetId="16" hidden="1">#REF!</definedName>
    <definedName name="bl" localSheetId="17" hidden="1">#REF!</definedName>
    <definedName name="bl" localSheetId="19" hidden="1">#REF!</definedName>
    <definedName name="bl" localSheetId="21" hidden="1">#REF!</definedName>
    <definedName name="bl" localSheetId="22" hidden="1">#REF!</definedName>
    <definedName name="bl" localSheetId="23" hidden="1">#REF!</definedName>
    <definedName name="bl" localSheetId="24" hidden="1">#REF!</definedName>
    <definedName name="bl" hidden="1">#REF!</definedName>
    <definedName name="Blank" localSheetId="10" hidden="1">{"ARK_JURIS_FUEL",#N/A,FALSE,"Ark_Fuel&amp;Rev"}</definedName>
    <definedName name="Blank" localSheetId="11" hidden="1">{"ARK_JURIS_FUEL",#N/A,FALSE,"Ark_Fuel&amp;Rev"}</definedName>
    <definedName name="Blank" localSheetId="12" hidden="1">{"ARK_JURIS_FUEL",#N/A,FALSE,"Ark_Fuel&amp;Rev"}</definedName>
    <definedName name="Blank" localSheetId="13" hidden="1">{"ARK_JURIS_FUEL",#N/A,FALSE,"Ark_Fuel&amp;Rev"}</definedName>
    <definedName name="Blank" localSheetId="14" hidden="1">{"ARK_JURIS_FUEL",#N/A,FALSE,"Ark_Fuel&amp;Rev"}</definedName>
    <definedName name="Blank" localSheetId="15" hidden="1">{"ARK_JURIS_FUEL",#N/A,FALSE,"Ark_Fuel&amp;Rev"}</definedName>
    <definedName name="Blank" localSheetId="16" hidden="1">{"ARK_JURIS_FUEL",#N/A,FALSE,"Ark_Fuel&amp;Rev"}</definedName>
    <definedName name="Blank" localSheetId="17" hidden="1">{"ARK_JURIS_FUEL",#N/A,FALSE,"Ark_Fuel&amp;Rev"}</definedName>
    <definedName name="Blank" localSheetId="19" hidden="1">{"ARK_JURIS_FUEL",#N/A,FALSE,"Ark_Fuel&amp;Rev"}</definedName>
    <definedName name="Blank" localSheetId="20" hidden="1">{"ARK_JURIS_FUEL",#N/A,FALSE,"Ark_Fuel&amp;Rev"}</definedName>
    <definedName name="Blank" localSheetId="21" hidden="1">{"ARK_JURIS_FUEL",#N/A,FALSE,"Ark_Fuel&amp;Rev"}</definedName>
    <definedName name="Blank" localSheetId="22" hidden="1">{"ARK_JURIS_FUEL",#N/A,FALSE,"Ark_Fuel&amp;Rev"}</definedName>
    <definedName name="Blank" localSheetId="23" hidden="1">{"ARK_JURIS_FUEL",#N/A,FALSE,"Ark_Fuel&amp;Rev"}</definedName>
    <definedName name="Blank" localSheetId="24" hidden="1">{"ARK_JURIS_FUEL",#N/A,FALSE,"Ark_Fuel&amp;Rev"}</definedName>
    <definedName name="Blank" hidden="1">{"ARK_JURIS_FUEL",#N/A,FALSE,"Ark_Fuel&amp;Rev"}</definedName>
    <definedName name="BLPH2" hidden="1">'[12]Commercial Paper'!#REF!</definedName>
    <definedName name="BLPH3" hidden="1">'[12]Commercial Paper'!#REF!</definedName>
    <definedName name="BLPH4" hidden="1">'[12]Commercial Paper'!#REF!</definedName>
    <definedName name="BLPH5" hidden="1">'[12]Commercial Paper'!#REF!</definedName>
    <definedName name="BLPH6" hidden="1">'[12]Commercial Paper'!#REF!</definedName>
    <definedName name="bnca" localSheetId="10" hidden="1">#REF!</definedName>
    <definedName name="bnca" localSheetId="11" hidden="1">#REF!</definedName>
    <definedName name="bnca" localSheetId="12" hidden="1">#REF!</definedName>
    <definedName name="bnca" localSheetId="14" hidden="1">#REF!</definedName>
    <definedName name="bnca" localSheetId="15" hidden="1">#REF!</definedName>
    <definedName name="bnca" localSheetId="16" hidden="1">#REF!</definedName>
    <definedName name="bnca" localSheetId="17" hidden="1">#REF!</definedName>
    <definedName name="bnca" localSheetId="19" hidden="1">#REF!</definedName>
    <definedName name="bnca" localSheetId="21" hidden="1">#REF!</definedName>
    <definedName name="bnca" localSheetId="22" hidden="1">#REF!</definedName>
    <definedName name="bnca" localSheetId="23" hidden="1">#REF!</definedName>
    <definedName name="bnca" localSheetId="24" hidden="1">#REF!</definedName>
    <definedName name="bnca" hidden="1">#REF!</definedName>
    <definedName name="bned" localSheetId="10" hidden="1">#REF!</definedName>
    <definedName name="bned" localSheetId="11" hidden="1">#REF!</definedName>
    <definedName name="bned" localSheetId="12" hidden="1">#REF!</definedName>
    <definedName name="bned" localSheetId="14" hidden="1">#REF!</definedName>
    <definedName name="bned" localSheetId="15" hidden="1">#REF!</definedName>
    <definedName name="bned" localSheetId="21" hidden="1">#REF!</definedName>
    <definedName name="bned" localSheetId="22" hidden="1">#REF!</definedName>
    <definedName name="bned" localSheetId="23" hidden="1">#REF!</definedName>
    <definedName name="bned" localSheetId="24" hidden="1">#REF!</definedName>
    <definedName name="bned" hidden="1">#REF!</definedName>
    <definedName name="borst" localSheetId="10" hidden="1">#REF!</definedName>
    <definedName name="borst" localSheetId="11" hidden="1">#REF!</definedName>
    <definedName name="borst" localSheetId="12" hidden="1">#REF!</definedName>
    <definedName name="borst" localSheetId="14" hidden="1">#REF!</definedName>
    <definedName name="borst" localSheetId="15" hidden="1">#REF!</definedName>
    <definedName name="borst" localSheetId="21" hidden="1">#REF!</definedName>
    <definedName name="borst" localSheetId="22" hidden="1">#REF!</definedName>
    <definedName name="borst" localSheetId="23" hidden="1">#REF!</definedName>
    <definedName name="borst" localSheetId="24" hidden="1">#REF!</definedName>
    <definedName name="borst" hidden="1">#REF!</definedName>
    <definedName name="Bruce" localSheetId="10" hidden="1">{#N/A,#N/A,FALSE,"SCA";#N/A,#N/A,FALSE,"NCA";#N/A,#N/A,FALSE,"SAZ";#N/A,#N/A,FALSE,"CAZ";#N/A,#N/A,FALSE,"SNV";#N/A,#N/A,FALSE,"NNV";#N/A,#N/A,FALSE,"PP";#N/A,#N/A,FALSE,"SA"}</definedName>
    <definedName name="Bruce" localSheetId="11" hidden="1">{#N/A,#N/A,FALSE,"SCA";#N/A,#N/A,FALSE,"NCA";#N/A,#N/A,FALSE,"SAZ";#N/A,#N/A,FALSE,"CAZ";#N/A,#N/A,FALSE,"SNV";#N/A,#N/A,FALSE,"NNV";#N/A,#N/A,FALSE,"PP";#N/A,#N/A,FALSE,"SA"}</definedName>
    <definedName name="Bruce" localSheetId="12" hidden="1">{#N/A,#N/A,FALSE,"SCA";#N/A,#N/A,FALSE,"NCA";#N/A,#N/A,FALSE,"SAZ";#N/A,#N/A,FALSE,"CAZ";#N/A,#N/A,FALSE,"SNV";#N/A,#N/A,FALSE,"NNV";#N/A,#N/A,FALSE,"PP";#N/A,#N/A,FALSE,"SA"}</definedName>
    <definedName name="Bruce" localSheetId="13" hidden="1">{#N/A,#N/A,FALSE,"SCA";#N/A,#N/A,FALSE,"NCA";#N/A,#N/A,FALSE,"SAZ";#N/A,#N/A,FALSE,"CAZ";#N/A,#N/A,FALSE,"SNV";#N/A,#N/A,FALSE,"NNV";#N/A,#N/A,FALSE,"PP";#N/A,#N/A,FALSE,"SA"}</definedName>
    <definedName name="Bruce" localSheetId="14" hidden="1">{#N/A,#N/A,FALSE,"SCA";#N/A,#N/A,FALSE,"NCA";#N/A,#N/A,FALSE,"SAZ";#N/A,#N/A,FALSE,"CAZ";#N/A,#N/A,FALSE,"SNV";#N/A,#N/A,FALSE,"NNV";#N/A,#N/A,FALSE,"PP";#N/A,#N/A,FALSE,"SA"}</definedName>
    <definedName name="Bruce" localSheetId="15" hidden="1">{#N/A,#N/A,FALSE,"SCA";#N/A,#N/A,FALSE,"NCA";#N/A,#N/A,FALSE,"SAZ";#N/A,#N/A,FALSE,"CAZ";#N/A,#N/A,FALSE,"SNV";#N/A,#N/A,FALSE,"NNV";#N/A,#N/A,FALSE,"PP";#N/A,#N/A,FALSE,"SA"}</definedName>
    <definedName name="Bruce" localSheetId="16" hidden="1">{#N/A,#N/A,FALSE,"SCA";#N/A,#N/A,FALSE,"NCA";#N/A,#N/A,FALSE,"SAZ";#N/A,#N/A,FALSE,"CAZ";#N/A,#N/A,FALSE,"SNV";#N/A,#N/A,FALSE,"NNV";#N/A,#N/A,FALSE,"PP";#N/A,#N/A,FALSE,"SA"}</definedName>
    <definedName name="Bruce" localSheetId="17" hidden="1">{#N/A,#N/A,FALSE,"SCA";#N/A,#N/A,FALSE,"NCA";#N/A,#N/A,FALSE,"SAZ";#N/A,#N/A,FALSE,"CAZ";#N/A,#N/A,FALSE,"SNV";#N/A,#N/A,FALSE,"NNV";#N/A,#N/A,FALSE,"PP";#N/A,#N/A,FALSE,"SA"}</definedName>
    <definedName name="Bruce" localSheetId="19" hidden="1">{#N/A,#N/A,FALSE,"SCA";#N/A,#N/A,FALSE,"NCA";#N/A,#N/A,FALSE,"SAZ";#N/A,#N/A,FALSE,"CAZ";#N/A,#N/A,FALSE,"SNV";#N/A,#N/A,FALSE,"NNV";#N/A,#N/A,FALSE,"PP";#N/A,#N/A,FALSE,"SA"}</definedName>
    <definedName name="Bruce" localSheetId="20" hidden="1">{#N/A,#N/A,FALSE,"SCA";#N/A,#N/A,FALSE,"NCA";#N/A,#N/A,FALSE,"SAZ";#N/A,#N/A,FALSE,"CAZ";#N/A,#N/A,FALSE,"SNV";#N/A,#N/A,FALSE,"NNV";#N/A,#N/A,FALSE,"PP";#N/A,#N/A,FALSE,"SA"}</definedName>
    <definedName name="Bruce" localSheetId="21" hidden="1">{#N/A,#N/A,FALSE,"SCA";#N/A,#N/A,FALSE,"NCA";#N/A,#N/A,FALSE,"SAZ";#N/A,#N/A,FALSE,"CAZ";#N/A,#N/A,FALSE,"SNV";#N/A,#N/A,FALSE,"NNV";#N/A,#N/A,FALSE,"PP";#N/A,#N/A,FALSE,"SA"}</definedName>
    <definedName name="Bruce" localSheetId="22" hidden="1">{#N/A,#N/A,FALSE,"SCA";#N/A,#N/A,FALSE,"NCA";#N/A,#N/A,FALSE,"SAZ";#N/A,#N/A,FALSE,"CAZ";#N/A,#N/A,FALSE,"SNV";#N/A,#N/A,FALSE,"NNV";#N/A,#N/A,FALSE,"PP";#N/A,#N/A,FALSE,"SA"}</definedName>
    <definedName name="Bruce" localSheetId="23" hidden="1">{#N/A,#N/A,FALSE,"SCA";#N/A,#N/A,FALSE,"NCA";#N/A,#N/A,FALSE,"SAZ";#N/A,#N/A,FALSE,"CAZ";#N/A,#N/A,FALSE,"SNV";#N/A,#N/A,FALSE,"NNV";#N/A,#N/A,FALSE,"PP";#N/A,#N/A,FALSE,"SA"}</definedName>
    <definedName name="Bruce" localSheetId="24" hidden="1">{#N/A,#N/A,FALSE,"SCA";#N/A,#N/A,FALSE,"NCA";#N/A,#N/A,FALSE,"SAZ";#N/A,#N/A,FALSE,"CAZ";#N/A,#N/A,FALSE,"SNV";#N/A,#N/A,FALSE,"NNV";#N/A,#N/A,FALSE,"PP";#N/A,#N/A,FALSE,"SA"}</definedName>
    <definedName name="Bruce" hidden="1">{#N/A,#N/A,FALSE,"SCA";#N/A,#N/A,FALSE,"NCA";#N/A,#N/A,FALSE,"SAZ";#N/A,#N/A,FALSE,"CAZ";#N/A,#N/A,FALSE,"SNV";#N/A,#N/A,FALSE,"NNV";#N/A,#N/A,FALSE,"PP";#N/A,#N/A,FALSE,"SA"}</definedName>
    <definedName name="Bruce1" localSheetId="10" hidden="1">{#N/A,#N/A,FALSE,"Page 1";#N/A,#N/A,FALSE,"Page 2";#N/A,#N/A,FALSE,"Page 3";#N/A,#N/A,FALSE,"Page 4";#N/A,#N/A,FALSE,"Page 5";#N/A,#N/A,FALSE,"Page 6";#N/A,#N/A,FALSE,"Page 7";#N/A,#N/A,FALSE,"Page 8";#N/A,#N/A,FALSE,"Page 9";#N/A,#N/A,FALSE,"PG8WP";#N/A,#N/A,FALSE,"PG9WP"}</definedName>
    <definedName name="Bruce1" localSheetId="11" hidden="1">{#N/A,#N/A,FALSE,"Page 1";#N/A,#N/A,FALSE,"Page 2";#N/A,#N/A,FALSE,"Page 3";#N/A,#N/A,FALSE,"Page 4";#N/A,#N/A,FALSE,"Page 5";#N/A,#N/A,FALSE,"Page 6";#N/A,#N/A,FALSE,"Page 7";#N/A,#N/A,FALSE,"Page 8";#N/A,#N/A,FALSE,"Page 9";#N/A,#N/A,FALSE,"PG8WP";#N/A,#N/A,FALSE,"PG9WP"}</definedName>
    <definedName name="Bruce1" localSheetId="12" hidden="1">{#N/A,#N/A,FALSE,"Page 1";#N/A,#N/A,FALSE,"Page 2";#N/A,#N/A,FALSE,"Page 3";#N/A,#N/A,FALSE,"Page 4";#N/A,#N/A,FALSE,"Page 5";#N/A,#N/A,FALSE,"Page 6";#N/A,#N/A,FALSE,"Page 7";#N/A,#N/A,FALSE,"Page 8";#N/A,#N/A,FALSE,"Page 9";#N/A,#N/A,FALSE,"PG8WP";#N/A,#N/A,FALSE,"PG9WP"}</definedName>
    <definedName name="Bruce1" localSheetId="13" hidden="1">{#N/A,#N/A,FALSE,"Page 1";#N/A,#N/A,FALSE,"Page 2";#N/A,#N/A,FALSE,"Page 3";#N/A,#N/A,FALSE,"Page 4";#N/A,#N/A,FALSE,"Page 5";#N/A,#N/A,FALSE,"Page 6";#N/A,#N/A,FALSE,"Page 7";#N/A,#N/A,FALSE,"Page 8";#N/A,#N/A,FALSE,"Page 9";#N/A,#N/A,FALSE,"PG8WP";#N/A,#N/A,FALSE,"PG9WP"}</definedName>
    <definedName name="Bruce1" localSheetId="14" hidden="1">{#N/A,#N/A,FALSE,"Page 1";#N/A,#N/A,FALSE,"Page 2";#N/A,#N/A,FALSE,"Page 3";#N/A,#N/A,FALSE,"Page 4";#N/A,#N/A,FALSE,"Page 5";#N/A,#N/A,FALSE,"Page 6";#N/A,#N/A,FALSE,"Page 7";#N/A,#N/A,FALSE,"Page 8";#N/A,#N/A,FALSE,"Page 9";#N/A,#N/A,FALSE,"PG8WP";#N/A,#N/A,FALSE,"PG9WP"}</definedName>
    <definedName name="Bruce1" localSheetId="15" hidden="1">{#N/A,#N/A,FALSE,"Page 1";#N/A,#N/A,FALSE,"Page 2";#N/A,#N/A,FALSE,"Page 3";#N/A,#N/A,FALSE,"Page 4";#N/A,#N/A,FALSE,"Page 5";#N/A,#N/A,FALSE,"Page 6";#N/A,#N/A,FALSE,"Page 7";#N/A,#N/A,FALSE,"Page 8";#N/A,#N/A,FALSE,"Page 9";#N/A,#N/A,FALSE,"PG8WP";#N/A,#N/A,FALSE,"PG9WP"}</definedName>
    <definedName name="Bruce1" localSheetId="16" hidden="1">{#N/A,#N/A,FALSE,"Page 1";#N/A,#N/A,FALSE,"Page 2";#N/A,#N/A,FALSE,"Page 3";#N/A,#N/A,FALSE,"Page 4";#N/A,#N/A,FALSE,"Page 5";#N/A,#N/A,FALSE,"Page 6";#N/A,#N/A,FALSE,"Page 7";#N/A,#N/A,FALSE,"Page 8";#N/A,#N/A,FALSE,"Page 9";#N/A,#N/A,FALSE,"PG8WP";#N/A,#N/A,FALSE,"PG9WP"}</definedName>
    <definedName name="Bruce1" localSheetId="17" hidden="1">{#N/A,#N/A,FALSE,"Page 1";#N/A,#N/A,FALSE,"Page 2";#N/A,#N/A,FALSE,"Page 3";#N/A,#N/A,FALSE,"Page 4";#N/A,#N/A,FALSE,"Page 5";#N/A,#N/A,FALSE,"Page 6";#N/A,#N/A,FALSE,"Page 7";#N/A,#N/A,FALSE,"Page 8";#N/A,#N/A,FALSE,"Page 9";#N/A,#N/A,FALSE,"PG8WP";#N/A,#N/A,FALSE,"PG9WP"}</definedName>
    <definedName name="Bruce1" localSheetId="19" hidden="1">{#N/A,#N/A,FALSE,"Page 1";#N/A,#N/A,FALSE,"Page 2";#N/A,#N/A,FALSE,"Page 3";#N/A,#N/A,FALSE,"Page 4";#N/A,#N/A,FALSE,"Page 5";#N/A,#N/A,FALSE,"Page 6";#N/A,#N/A,FALSE,"Page 7";#N/A,#N/A,FALSE,"Page 8";#N/A,#N/A,FALSE,"Page 9";#N/A,#N/A,FALSE,"PG8WP";#N/A,#N/A,FALSE,"PG9WP"}</definedName>
    <definedName name="Bruce1" localSheetId="20" hidden="1">{#N/A,#N/A,FALSE,"Page 1";#N/A,#N/A,FALSE,"Page 2";#N/A,#N/A,FALSE,"Page 3";#N/A,#N/A,FALSE,"Page 4";#N/A,#N/A,FALSE,"Page 5";#N/A,#N/A,FALSE,"Page 6";#N/A,#N/A,FALSE,"Page 7";#N/A,#N/A,FALSE,"Page 8";#N/A,#N/A,FALSE,"Page 9";#N/A,#N/A,FALSE,"PG8WP";#N/A,#N/A,FALSE,"PG9WP"}</definedName>
    <definedName name="Bruce1" localSheetId="21" hidden="1">{#N/A,#N/A,FALSE,"Page 1";#N/A,#N/A,FALSE,"Page 2";#N/A,#N/A,FALSE,"Page 3";#N/A,#N/A,FALSE,"Page 4";#N/A,#N/A,FALSE,"Page 5";#N/A,#N/A,FALSE,"Page 6";#N/A,#N/A,FALSE,"Page 7";#N/A,#N/A,FALSE,"Page 8";#N/A,#N/A,FALSE,"Page 9";#N/A,#N/A,FALSE,"PG8WP";#N/A,#N/A,FALSE,"PG9WP"}</definedName>
    <definedName name="Bruce1" localSheetId="22" hidden="1">{#N/A,#N/A,FALSE,"Page 1";#N/A,#N/A,FALSE,"Page 2";#N/A,#N/A,FALSE,"Page 3";#N/A,#N/A,FALSE,"Page 4";#N/A,#N/A,FALSE,"Page 5";#N/A,#N/A,FALSE,"Page 6";#N/A,#N/A,FALSE,"Page 7";#N/A,#N/A,FALSE,"Page 8";#N/A,#N/A,FALSE,"Page 9";#N/A,#N/A,FALSE,"PG8WP";#N/A,#N/A,FALSE,"PG9WP"}</definedName>
    <definedName name="Bruce1" localSheetId="23" hidden="1">{#N/A,#N/A,FALSE,"Page 1";#N/A,#N/A,FALSE,"Page 2";#N/A,#N/A,FALSE,"Page 3";#N/A,#N/A,FALSE,"Page 4";#N/A,#N/A,FALSE,"Page 5";#N/A,#N/A,FALSE,"Page 6";#N/A,#N/A,FALSE,"Page 7";#N/A,#N/A,FALSE,"Page 8";#N/A,#N/A,FALSE,"Page 9";#N/A,#N/A,FALSE,"PG8WP";#N/A,#N/A,FALSE,"PG9WP"}</definedName>
    <definedName name="Bruce1" localSheetId="24" hidden="1">{#N/A,#N/A,FALSE,"Page 1";#N/A,#N/A,FALSE,"Page 2";#N/A,#N/A,FALSE,"Page 3";#N/A,#N/A,FALSE,"Page 4";#N/A,#N/A,FALSE,"Page 5";#N/A,#N/A,FALSE,"Page 6";#N/A,#N/A,FALSE,"Page 7";#N/A,#N/A,FALSE,"Page 8";#N/A,#N/A,FALSE,"Page 9";#N/A,#N/A,FALSE,"PG8WP";#N/A,#N/A,FALSE,"PG9WP"}</definedName>
    <definedName name="Bruce1" hidden="1">{#N/A,#N/A,FALSE,"Page 1";#N/A,#N/A,FALSE,"Page 2";#N/A,#N/A,FALSE,"Page 3";#N/A,#N/A,FALSE,"Page 4";#N/A,#N/A,FALSE,"Page 5";#N/A,#N/A,FALSE,"Page 6";#N/A,#N/A,FALSE,"Page 7";#N/A,#N/A,FALSE,"Page 8";#N/A,#N/A,FALSE,"Page 9";#N/A,#N/A,FALSE,"PG8WP";#N/A,#N/A,FALSE,"PG9WP"}</definedName>
    <definedName name="ca" localSheetId="10" hidden="1">#REF!</definedName>
    <definedName name="ca" localSheetId="11" hidden="1">#REF!</definedName>
    <definedName name="ca" localSheetId="12" hidden="1">#REF!</definedName>
    <definedName name="ca" localSheetId="14" hidden="1">#REF!</definedName>
    <definedName name="ca" localSheetId="15" hidden="1">#REF!</definedName>
    <definedName name="ca" localSheetId="16" hidden="1">#REF!</definedName>
    <definedName name="ca" localSheetId="17" hidden="1">#REF!</definedName>
    <definedName name="ca" localSheetId="21" hidden="1">#REF!</definedName>
    <definedName name="ca" localSheetId="22" hidden="1">#REF!</definedName>
    <definedName name="ca" localSheetId="23" hidden="1">#REF!</definedName>
    <definedName name="ca" localSheetId="24" hidden="1">#REF!</definedName>
    <definedName name="ca" hidden="1">#REF!</definedName>
    <definedName name="cbwe" localSheetId="10" hidden="1">#REF!</definedName>
    <definedName name="cbwe" localSheetId="11" hidden="1">#REF!</definedName>
    <definedName name="cbwe" localSheetId="12" hidden="1">#REF!</definedName>
    <definedName name="cbwe" localSheetId="14" hidden="1">#REF!</definedName>
    <definedName name="cbwe" localSheetId="15" hidden="1">#REF!</definedName>
    <definedName name="cbwe" localSheetId="19" hidden="1">#REF!</definedName>
    <definedName name="cbwe" localSheetId="21" hidden="1">#REF!</definedName>
    <definedName name="cbwe" localSheetId="22" hidden="1">#REF!</definedName>
    <definedName name="cbwe" localSheetId="23" hidden="1">#REF!</definedName>
    <definedName name="cbwe" localSheetId="24" hidden="1">#REF!</definedName>
    <definedName name="cbwe" hidden="1">#REF!</definedName>
    <definedName name="chj" localSheetId="10" hidden="1">#REF!</definedName>
    <definedName name="chj" localSheetId="11" hidden="1">#REF!</definedName>
    <definedName name="chj" localSheetId="12" hidden="1">#REF!</definedName>
    <definedName name="chj" localSheetId="14" hidden="1">#REF!</definedName>
    <definedName name="chj" localSheetId="15" hidden="1">#REF!</definedName>
    <definedName name="chj" localSheetId="21" hidden="1">#REF!</definedName>
    <definedName name="chj" localSheetId="22" hidden="1">#REF!</definedName>
    <definedName name="chj" localSheetId="23" hidden="1">#REF!</definedName>
    <definedName name="chj" localSheetId="24" hidden="1">#REF!</definedName>
    <definedName name="chj" hidden="1">#REF!</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mmon" localSheetId="12" hidden="1">{#N/A,#N/A,FALSE,"SCA";#N/A,#N/A,FALSE,"NCA";#N/A,#N/A,FALSE,"SAZ";#N/A,#N/A,FALSE,"CAZ";#N/A,#N/A,FALSE,"SNV";#N/A,#N/A,FALSE,"NNV";#N/A,#N/A,FALSE,"PP";#N/A,#N/A,FALSE,"SA"}</definedName>
    <definedName name="Common" localSheetId="13" hidden="1">{#N/A,#N/A,FALSE,"SCA";#N/A,#N/A,FALSE,"NCA";#N/A,#N/A,FALSE,"SAZ";#N/A,#N/A,FALSE,"CAZ";#N/A,#N/A,FALSE,"SNV";#N/A,#N/A,FALSE,"NNV";#N/A,#N/A,FALSE,"PP";#N/A,#N/A,FALSE,"SA"}</definedName>
    <definedName name="Common" localSheetId="14" hidden="1">{#N/A,#N/A,FALSE,"SCA";#N/A,#N/A,FALSE,"NCA";#N/A,#N/A,FALSE,"SAZ";#N/A,#N/A,FALSE,"CAZ";#N/A,#N/A,FALSE,"SNV";#N/A,#N/A,FALSE,"NNV";#N/A,#N/A,FALSE,"PP";#N/A,#N/A,FALSE,"SA"}</definedName>
    <definedName name="Common" localSheetId="15" hidden="1">{#N/A,#N/A,FALSE,"SCA";#N/A,#N/A,FALSE,"NCA";#N/A,#N/A,FALSE,"SAZ";#N/A,#N/A,FALSE,"CAZ";#N/A,#N/A,FALSE,"SNV";#N/A,#N/A,FALSE,"NNV";#N/A,#N/A,FALSE,"PP";#N/A,#N/A,FALSE,"SA"}</definedName>
    <definedName name="Common" localSheetId="16" hidden="1">{#N/A,#N/A,FALSE,"SCA";#N/A,#N/A,FALSE,"NCA";#N/A,#N/A,FALSE,"SAZ";#N/A,#N/A,FALSE,"CAZ";#N/A,#N/A,FALSE,"SNV";#N/A,#N/A,FALSE,"NNV";#N/A,#N/A,FALSE,"PP";#N/A,#N/A,FALSE,"SA"}</definedName>
    <definedName name="Common" localSheetId="17" hidden="1">{#N/A,#N/A,FALSE,"SCA";#N/A,#N/A,FALSE,"NCA";#N/A,#N/A,FALSE,"SAZ";#N/A,#N/A,FALSE,"CAZ";#N/A,#N/A,FALSE,"SNV";#N/A,#N/A,FALSE,"NNV";#N/A,#N/A,FALSE,"PP";#N/A,#N/A,FALSE,"SA"}</definedName>
    <definedName name="Common" localSheetId="19" hidden="1">{#N/A,#N/A,FALSE,"SCA";#N/A,#N/A,FALSE,"NCA";#N/A,#N/A,FALSE,"SAZ";#N/A,#N/A,FALSE,"CAZ";#N/A,#N/A,FALSE,"SNV";#N/A,#N/A,FALSE,"NNV";#N/A,#N/A,FALSE,"PP";#N/A,#N/A,FALSE,"SA"}</definedName>
    <definedName name="Common" localSheetId="20" hidden="1">{#N/A,#N/A,FALSE,"SCA";#N/A,#N/A,FALSE,"NCA";#N/A,#N/A,FALSE,"SAZ";#N/A,#N/A,FALSE,"CAZ";#N/A,#N/A,FALSE,"SNV";#N/A,#N/A,FALSE,"NNV";#N/A,#N/A,FALSE,"PP";#N/A,#N/A,FALSE,"SA"}</definedName>
    <definedName name="Common" localSheetId="21" hidden="1">{#N/A,#N/A,FALSE,"SCA";#N/A,#N/A,FALSE,"NCA";#N/A,#N/A,FALSE,"SAZ";#N/A,#N/A,FALSE,"CAZ";#N/A,#N/A,FALSE,"SNV";#N/A,#N/A,FALSE,"NNV";#N/A,#N/A,FALSE,"PP";#N/A,#N/A,FALSE,"SA"}</definedName>
    <definedName name="Common" localSheetId="22" hidden="1">{#N/A,#N/A,FALSE,"SCA";#N/A,#N/A,FALSE,"NCA";#N/A,#N/A,FALSE,"SAZ";#N/A,#N/A,FALSE,"CAZ";#N/A,#N/A,FALSE,"SNV";#N/A,#N/A,FALSE,"NNV";#N/A,#N/A,FALSE,"PP";#N/A,#N/A,FALSE,"SA"}</definedName>
    <definedName name="Common" localSheetId="23" hidden="1">{#N/A,#N/A,FALSE,"SCA";#N/A,#N/A,FALSE,"NCA";#N/A,#N/A,FALSE,"SAZ";#N/A,#N/A,FALSE,"CAZ";#N/A,#N/A,FALSE,"SNV";#N/A,#N/A,FALSE,"NNV";#N/A,#N/A,FALSE,"PP";#N/A,#N/A,FALSE,"SA"}</definedName>
    <definedName name="Common" localSheetId="24" hidden="1">{#N/A,#N/A,FALSE,"SCA";#N/A,#N/A,FALSE,"NCA";#N/A,#N/A,FALSE,"SAZ";#N/A,#N/A,FALSE,"CAZ";#N/A,#N/A,FALSE,"SNV";#N/A,#N/A,FALSE,"NNV";#N/A,#N/A,FALSE,"PP";#N/A,#N/A,FALSE,"SA"}</definedName>
    <definedName name="Common" hidden="1">{#N/A,#N/A,FALSE,"SCA";#N/A,#N/A,FALSE,"NCA";#N/A,#N/A,FALSE,"SAZ";#N/A,#N/A,FALSE,"CAZ";#N/A,#N/A,FALSE,"SNV";#N/A,#N/A,FALSE,"NNV";#N/A,#N/A,FALSE,"PP";#N/A,#N/A,FALSE,"SA"}</definedName>
    <definedName name="cover" localSheetId="10" hidden="1">#REF!</definedName>
    <definedName name="cover" localSheetId="11" hidden="1">#REF!</definedName>
    <definedName name="cover" localSheetId="12" hidden="1">#REF!</definedName>
    <definedName name="cover" localSheetId="14" hidden="1">#REF!</definedName>
    <definedName name="cover" localSheetId="15" hidden="1">#REF!</definedName>
    <definedName name="cover" localSheetId="16" hidden="1">#REF!</definedName>
    <definedName name="cover" localSheetId="17" hidden="1">#REF!</definedName>
    <definedName name="cover" localSheetId="21" hidden="1">#REF!</definedName>
    <definedName name="cover" localSheetId="22" hidden="1">#REF!</definedName>
    <definedName name="cover" localSheetId="23" hidden="1">#REF!</definedName>
    <definedName name="cover" localSheetId="24" hidden="1">#REF!</definedName>
    <definedName name="cover" hidden="1">#REF!</definedName>
    <definedName name="cvdsza" localSheetId="10" hidden="1">#REF!</definedName>
    <definedName name="cvdsza" localSheetId="11" hidden="1">#REF!</definedName>
    <definedName name="cvdsza" localSheetId="12" hidden="1">#REF!</definedName>
    <definedName name="cvdsza" localSheetId="14" hidden="1">#REF!</definedName>
    <definedName name="cvdsza" localSheetId="15" hidden="1">#REF!</definedName>
    <definedName name="cvdsza" localSheetId="19" hidden="1">#REF!</definedName>
    <definedName name="cvdsza" localSheetId="21" hidden="1">#REF!</definedName>
    <definedName name="cvdsza" localSheetId="22" hidden="1">#REF!</definedName>
    <definedName name="cvdsza" localSheetId="23" hidden="1">#REF!</definedName>
    <definedName name="cvdsza" localSheetId="24" hidden="1">#REF!</definedName>
    <definedName name="cvdsza" hidden="1">#REF!</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2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2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2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2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2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10" hidden="1">#REF!</definedName>
    <definedName name="d" localSheetId="11" hidden="1">#REF!</definedName>
    <definedName name="d" localSheetId="12" hidden="1">#REF!</definedName>
    <definedName name="d" localSheetId="14" hidden="1">#REF!</definedName>
    <definedName name="d" localSheetId="15" hidden="1">#REF!</definedName>
    <definedName name="d" localSheetId="16" hidden="1">#REF!</definedName>
    <definedName name="d" localSheetId="17" hidden="1">#REF!</definedName>
    <definedName name="d" localSheetId="21" hidden="1">#REF!</definedName>
    <definedName name="d" localSheetId="22" hidden="1">#REF!</definedName>
    <definedName name="d" localSheetId="23" hidden="1">#REF!</definedName>
    <definedName name="d" localSheetId="24" hidden="1">#REF!</definedName>
    <definedName name="d" hidden="1">#REF!</definedName>
    <definedName name="da3a" localSheetId="10" hidden="1">#REF!</definedName>
    <definedName name="da3a" localSheetId="11" hidden="1">#REF!</definedName>
    <definedName name="da3a" localSheetId="12" hidden="1">#REF!</definedName>
    <definedName name="da3a" localSheetId="14" hidden="1">#REF!</definedName>
    <definedName name="da3a" localSheetId="15" hidden="1">#REF!</definedName>
    <definedName name="da3a" localSheetId="21" hidden="1">#REF!</definedName>
    <definedName name="da3a" localSheetId="22" hidden="1">#REF!</definedName>
    <definedName name="da3a" localSheetId="23" hidden="1">#REF!</definedName>
    <definedName name="da3a" localSheetId="24" hidden="1">#REF!</definedName>
    <definedName name="da3a" hidden="1">#REF!</definedName>
    <definedName name="dadffadfa" localSheetId="10" hidden="1">'[2]Chart Data'!#REF!</definedName>
    <definedName name="dadffadfa" localSheetId="11" hidden="1">'[13]Chart Data'!#REF!</definedName>
    <definedName name="dadffadfa" localSheetId="12" hidden="1">'[2]Chart Data'!#REF!</definedName>
    <definedName name="dadffadfa" localSheetId="13" hidden="1">'[2]Chart Data'!#REF!</definedName>
    <definedName name="dadffadfa" localSheetId="14" hidden="1">'[2]Chart Data'!#REF!</definedName>
    <definedName name="dadffadfa" localSheetId="15" hidden="1">#REF!</definedName>
    <definedName name="dadffadfa" localSheetId="21" hidden="1">'[2]Chart Data'!#REF!</definedName>
    <definedName name="dadffadfa" localSheetId="23" hidden="1">'[2]Chart Data'!#REF!</definedName>
    <definedName name="dadffadfa" localSheetId="24" hidden="1">'[2]Chart Data'!#REF!</definedName>
    <definedName name="dadffadfa" hidden="1">'[13]Chart Data'!#REF!</definedName>
    <definedName name="db" localSheetId="10" hidden="1">#REF!</definedName>
    <definedName name="db" localSheetId="11" hidden="1">#REF!</definedName>
    <definedName name="db" localSheetId="12" hidden="1">#REF!</definedName>
    <definedName name="db" localSheetId="14" hidden="1">#REF!</definedName>
    <definedName name="db" localSheetId="15" hidden="1">#REF!</definedName>
    <definedName name="db" localSheetId="21" hidden="1">#REF!</definedName>
    <definedName name="db" localSheetId="22" hidden="1">#REF!</definedName>
    <definedName name="db" localSheetId="23" hidden="1">#REF!</definedName>
    <definedName name="db" localSheetId="24" hidden="1">#REF!</definedName>
    <definedName name="db" hidden="1">#REF!</definedName>
    <definedName name="dd" localSheetId="10" hidden="1">{"Print_Detail",#N/A,FALSE,"Redemption_Maturity Extract"}</definedName>
    <definedName name="dd" localSheetId="11" hidden="1">{"Print_Detail",#N/A,FALSE,"Redemption_Maturity Extract"}</definedName>
    <definedName name="dd" localSheetId="12" hidden="1">{"Print_Detail",#N/A,FALSE,"Redemption_Maturity Extract"}</definedName>
    <definedName name="dd" localSheetId="13" hidden="1">{"Print_Detail",#N/A,FALSE,"Redemption_Maturity Extract"}</definedName>
    <definedName name="dd" localSheetId="14" hidden="1">{"Print_Detail",#N/A,FALSE,"Redemption_Maturity Extract"}</definedName>
    <definedName name="dd" localSheetId="15" hidden="1">{"Print_Detail",#N/A,FALSE,"Redemption_Maturity Extract"}</definedName>
    <definedName name="dd" localSheetId="16" hidden="1">{"Print_Detail",#N/A,FALSE,"Redemption_Maturity Extract"}</definedName>
    <definedName name="dd" localSheetId="17" hidden="1">{"Print_Detail",#N/A,FALSE,"Redemption_Maturity Extract"}</definedName>
    <definedName name="dd" localSheetId="19" hidden="1">{"Print_Detail",#N/A,FALSE,"Redemption_Maturity Extract"}</definedName>
    <definedName name="dd" localSheetId="20" hidden="1">{"Print_Detail",#N/A,FALSE,"Redemption_Maturity Extract"}</definedName>
    <definedName name="dd" localSheetId="21" hidden="1">{"Print_Detail",#N/A,FALSE,"Redemption_Maturity Extract"}</definedName>
    <definedName name="dd" localSheetId="22" hidden="1">{"Print_Detail",#N/A,FALSE,"Redemption_Maturity Extract"}</definedName>
    <definedName name="dd" localSheetId="23" hidden="1">{"Print_Detail",#N/A,FALSE,"Redemption_Maturity Extract"}</definedName>
    <definedName name="dd" localSheetId="24" hidden="1">{"Print_Detail",#N/A,FALSE,"Redemption_Maturity Extract"}</definedName>
    <definedName name="dd" hidden="1">{"Print_Detail",#N/A,FALSE,"Redemption_Maturity Extract"}</definedName>
    <definedName name="ddd" localSheetId="10" hidden="1">{"Full",#N/A,FALSE,"Sec MTN B Summary"}</definedName>
    <definedName name="ddd" localSheetId="11" hidden="1">{"Full",#N/A,FALSE,"Sec MTN B Summary"}</definedName>
    <definedName name="ddd" localSheetId="12" hidden="1">{"Full",#N/A,FALSE,"Sec MTN B Summary"}</definedName>
    <definedName name="ddd" localSheetId="13" hidden="1">{"Full",#N/A,FALSE,"Sec MTN B Summary"}</definedName>
    <definedName name="ddd" localSheetId="14" hidden="1">{"Full",#N/A,FALSE,"Sec MTN B Summary"}</definedName>
    <definedName name="ddd" localSheetId="15" hidden="1">{"Full",#N/A,FALSE,"Sec MTN B Summary"}</definedName>
    <definedName name="ddd" localSheetId="16" hidden="1">{"Full",#N/A,FALSE,"Sec MTN B Summary"}</definedName>
    <definedName name="ddd" localSheetId="17" hidden="1">{"Full",#N/A,FALSE,"Sec MTN B Summary"}</definedName>
    <definedName name="ddd" localSheetId="19" hidden="1">{"Full",#N/A,FALSE,"Sec MTN B Summary"}</definedName>
    <definedName name="ddd" localSheetId="20" hidden="1">{"Full",#N/A,FALSE,"Sec MTN B Summary"}</definedName>
    <definedName name="ddd" localSheetId="21" hidden="1">{"Full",#N/A,FALSE,"Sec MTN B Summary"}</definedName>
    <definedName name="ddd" localSheetId="22" hidden="1">{"Full",#N/A,FALSE,"Sec MTN B Summary"}</definedName>
    <definedName name="ddd" localSheetId="23" hidden="1">{"Full",#N/A,FALSE,"Sec MTN B Summary"}</definedName>
    <definedName name="ddd" localSheetId="24" hidden="1">{"Full",#N/A,FALSE,"Sec MTN B Summary"}</definedName>
    <definedName name="ddd" hidden="1">{"Full",#N/A,FALSE,"Sec MTN B Summary"}</definedName>
    <definedName name="dddd" localSheetId="10" hidden="1">{"RedPrem_InitRed View",#N/A,FALSE,"Sec MTN B Summary"}</definedName>
    <definedName name="dddd" localSheetId="11" hidden="1">{"RedPrem_InitRed View",#N/A,FALSE,"Sec MTN B Summary"}</definedName>
    <definedName name="dddd" localSheetId="12" hidden="1">{"RedPrem_InitRed View",#N/A,FALSE,"Sec MTN B Summary"}</definedName>
    <definedName name="dddd" localSheetId="13" hidden="1">{"RedPrem_InitRed View",#N/A,FALSE,"Sec MTN B Summary"}</definedName>
    <definedName name="dddd" localSheetId="14" hidden="1">{"RedPrem_InitRed View",#N/A,FALSE,"Sec MTN B Summary"}</definedName>
    <definedName name="dddd" localSheetId="15" hidden="1">{"RedPrem_InitRed View",#N/A,FALSE,"Sec MTN B Summary"}</definedName>
    <definedName name="dddd" localSheetId="16" hidden="1">{"RedPrem_InitRed View",#N/A,FALSE,"Sec MTN B Summary"}</definedName>
    <definedName name="dddd" localSheetId="17" hidden="1">{"RedPrem_InitRed View",#N/A,FALSE,"Sec MTN B Summary"}</definedName>
    <definedName name="dddd" localSheetId="19" hidden="1">{"RedPrem_InitRed View",#N/A,FALSE,"Sec MTN B Summary"}</definedName>
    <definedName name="dddd" localSheetId="20" hidden="1">{"RedPrem_InitRed View",#N/A,FALSE,"Sec MTN B Summary"}</definedName>
    <definedName name="dddd" localSheetId="21" hidden="1">{"RedPrem_InitRed View",#N/A,FALSE,"Sec MTN B Summary"}</definedName>
    <definedName name="dddd" localSheetId="22" hidden="1">{"RedPrem_InitRed View",#N/A,FALSE,"Sec MTN B Summary"}</definedName>
    <definedName name="dddd" localSheetId="23" hidden="1">{"RedPrem_InitRed View",#N/A,FALSE,"Sec MTN B Summary"}</definedName>
    <definedName name="dddd" localSheetId="24" hidden="1">{"RedPrem_InitRed View",#N/A,FALSE,"Sec MTN B Summary"}</definedName>
    <definedName name="dddd" hidden="1">{"RedPrem_InitRed View",#N/A,FALSE,"Sec MTN B Summary"}</definedName>
    <definedName name="dddddd" localSheetId="10" hidden="1">{"Pivot1",#N/A,FALSE,"Redemption_Maturity Extract"}</definedName>
    <definedName name="dddddd" localSheetId="11" hidden="1">{"Pivot1",#N/A,FALSE,"Redemption_Maturity Extract"}</definedName>
    <definedName name="dddddd" localSheetId="12" hidden="1">{"Pivot1",#N/A,FALSE,"Redemption_Maturity Extract"}</definedName>
    <definedName name="dddddd" localSheetId="13" hidden="1">{"Pivot1",#N/A,FALSE,"Redemption_Maturity Extract"}</definedName>
    <definedName name="dddddd" localSheetId="14" hidden="1">{"Pivot1",#N/A,FALSE,"Redemption_Maturity Extract"}</definedName>
    <definedName name="dddddd" localSheetId="15" hidden="1">{"Pivot1",#N/A,FALSE,"Redemption_Maturity Extract"}</definedName>
    <definedName name="dddddd" localSheetId="16" hidden="1">{"Pivot1",#N/A,FALSE,"Redemption_Maturity Extract"}</definedName>
    <definedName name="dddddd" localSheetId="17" hidden="1">{"Pivot1",#N/A,FALSE,"Redemption_Maturity Extract"}</definedName>
    <definedName name="dddddd" localSheetId="19" hidden="1">{"Pivot1",#N/A,FALSE,"Redemption_Maturity Extract"}</definedName>
    <definedName name="dddddd" localSheetId="20" hidden="1">{"Pivot1",#N/A,FALSE,"Redemption_Maturity Extract"}</definedName>
    <definedName name="dddddd" localSheetId="21" hidden="1">{"Pivot1",#N/A,FALSE,"Redemption_Maturity Extract"}</definedName>
    <definedName name="dddddd" localSheetId="22" hidden="1">{"Pivot1",#N/A,FALSE,"Redemption_Maturity Extract"}</definedName>
    <definedName name="dddddd" localSheetId="23" hidden="1">{"Pivot1",#N/A,FALSE,"Redemption_Maturity Extract"}</definedName>
    <definedName name="dddddd" localSheetId="24" hidden="1">{"Pivot1",#N/A,FALSE,"Redemption_Maturity Extract"}</definedName>
    <definedName name="dddddd" hidden="1">{"Pivot1",#N/A,FALSE,"Redemption_Maturity Extract"}</definedName>
    <definedName name="dddddddd" localSheetId="10" hidden="1">{"Pivot2",#N/A,FALSE,"Redemption_Maturity Extract"}</definedName>
    <definedName name="dddddddd" localSheetId="11" hidden="1">{"Pivot2",#N/A,FALSE,"Redemption_Maturity Extract"}</definedName>
    <definedName name="dddddddd" localSheetId="12" hidden="1">{"Pivot2",#N/A,FALSE,"Redemption_Maturity Extract"}</definedName>
    <definedName name="dddddddd" localSheetId="13" hidden="1">{"Pivot2",#N/A,FALSE,"Redemption_Maturity Extract"}</definedName>
    <definedName name="dddddddd" localSheetId="14" hidden="1">{"Pivot2",#N/A,FALSE,"Redemption_Maturity Extract"}</definedName>
    <definedName name="dddddddd" localSheetId="15" hidden="1">{"Pivot2",#N/A,FALSE,"Redemption_Maturity Extract"}</definedName>
    <definedName name="dddddddd" localSheetId="16" hidden="1">{"Pivot2",#N/A,FALSE,"Redemption_Maturity Extract"}</definedName>
    <definedName name="dddddddd" localSheetId="17" hidden="1">{"Pivot2",#N/A,FALSE,"Redemption_Maturity Extract"}</definedName>
    <definedName name="dddddddd" localSheetId="19" hidden="1">{"Pivot2",#N/A,FALSE,"Redemption_Maturity Extract"}</definedName>
    <definedName name="dddddddd" localSheetId="20" hidden="1">{"Pivot2",#N/A,FALSE,"Redemption_Maturity Extract"}</definedName>
    <definedName name="dddddddd" localSheetId="21" hidden="1">{"Pivot2",#N/A,FALSE,"Redemption_Maturity Extract"}</definedName>
    <definedName name="dddddddd" localSheetId="22" hidden="1">{"Pivot2",#N/A,FALSE,"Redemption_Maturity Extract"}</definedName>
    <definedName name="dddddddd" localSheetId="23" hidden="1">{"Pivot2",#N/A,FALSE,"Redemption_Maturity Extract"}</definedName>
    <definedName name="dddddddd" localSheetId="24" hidden="1">{"Pivot2",#N/A,FALSE,"Redemption_Maturity Extract"}</definedName>
    <definedName name="dddddddd" hidden="1">{"Pivot2",#N/A,FALSE,"Redemption_Maturity Extract"}</definedName>
    <definedName name="dfghj" localSheetId="10" hidden="1">#REF!</definedName>
    <definedName name="dfghj" localSheetId="11" hidden="1">#REF!</definedName>
    <definedName name="dfghj" localSheetId="12" hidden="1">#REF!</definedName>
    <definedName name="dfghj" localSheetId="14" hidden="1">#REF!</definedName>
    <definedName name="dfghj" localSheetId="15" hidden="1">#REF!</definedName>
    <definedName name="dfghj" localSheetId="21" hidden="1">#REF!</definedName>
    <definedName name="dfghj" localSheetId="22" hidden="1">#REF!</definedName>
    <definedName name="dfghj" localSheetId="23" hidden="1">#REF!</definedName>
    <definedName name="dfghj" localSheetId="24" hidden="1">#REF!</definedName>
    <definedName name="dfghj" hidden="1">#REF!</definedName>
    <definedName name="dfl" localSheetId="10" hidden="1">#REF!</definedName>
    <definedName name="dfl" localSheetId="11" hidden="1">#REF!</definedName>
    <definedName name="dfl" localSheetId="12" hidden="1">#REF!</definedName>
    <definedName name="dfl" localSheetId="14" hidden="1">#REF!</definedName>
    <definedName name="dfl" localSheetId="15" hidden="1">#REF!</definedName>
    <definedName name="dfl" localSheetId="21" hidden="1">#REF!</definedName>
    <definedName name="dfl" localSheetId="22" hidden="1">#REF!</definedName>
    <definedName name="dfl" localSheetId="23" hidden="1">#REF!</definedName>
    <definedName name="dfl" localSheetId="24" hidden="1">#REF!</definedName>
    <definedName name="dfl" hidden="1">#REF!</definedName>
    <definedName name="dfsdfsdfsdf" hidden="1">'[14]COST OF SERVICE'!#REF!</definedName>
    <definedName name="Discount" hidden="1">'[2]Chart Data'!$O$30:$O$226</definedName>
    <definedName name="discount2" hidden="1">'[2]Chart Data'!$C$30:$C$233</definedName>
    <definedName name="distr" localSheetId="10" hidden="1">{"wp_h4.2",#N/A,FALSE,"WP_H4.2";"wp_h4.3",#N/A,FALSE,"WP_H4.3"}</definedName>
    <definedName name="distr" localSheetId="11" hidden="1">{"wp_h4.2",#N/A,FALSE,"WP_H4.2";"wp_h4.3",#N/A,FALSE,"WP_H4.3"}</definedName>
    <definedName name="distr" localSheetId="12" hidden="1">{"wp_h4.2",#N/A,FALSE,"WP_H4.2";"wp_h4.3",#N/A,FALSE,"WP_H4.3"}</definedName>
    <definedName name="distr" localSheetId="13" hidden="1">{"wp_h4.2",#N/A,FALSE,"WP_H4.2";"wp_h4.3",#N/A,FALSE,"WP_H4.3"}</definedName>
    <definedName name="distr" localSheetId="14" hidden="1">{"wp_h4.2",#N/A,FALSE,"WP_H4.2";"wp_h4.3",#N/A,FALSE,"WP_H4.3"}</definedName>
    <definedName name="distr" localSheetId="15" hidden="1">{"wp_h4.2",#N/A,FALSE,"WP_H4.2";"wp_h4.3",#N/A,FALSE,"WP_H4.3"}</definedName>
    <definedName name="distr" localSheetId="16" hidden="1">{"wp_h4.2",#N/A,FALSE,"WP_H4.2";"wp_h4.3",#N/A,FALSE,"WP_H4.3"}</definedName>
    <definedName name="distr" localSheetId="17" hidden="1">{"wp_h4.2",#N/A,FALSE,"WP_H4.2";"wp_h4.3",#N/A,FALSE,"WP_H4.3"}</definedName>
    <definedName name="distr" localSheetId="19" hidden="1">{"wp_h4.2",#N/A,FALSE,"WP_H4.2";"wp_h4.3",#N/A,FALSE,"WP_H4.3"}</definedName>
    <definedName name="distr" localSheetId="20" hidden="1">{"wp_h4.2",#N/A,FALSE,"WP_H4.2";"wp_h4.3",#N/A,FALSE,"WP_H4.3"}</definedName>
    <definedName name="distr" localSheetId="21" hidden="1">{"wp_h4.2",#N/A,FALSE,"WP_H4.2";"wp_h4.3",#N/A,FALSE,"WP_H4.3"}</definedName>
    <definedName name="distr" localSheetId="22" hidden="1">{"wp_h4.2",#N/A,FALSE,"WP_H4.2";"wp_h4.3",#N/A,FALSE,"WP_H4.3"}</definedName>
    <definedName name="distr" localSheetId="23" hidden="1">{"wp_h4.2",#N/A,FALSE,"WP_H4.2";"wp_h4.3",#N/A,FALSE,"WP_H4.3"}</definedName>
    <definedName name="distr" localSheetId="24" hidden="1">{"wp_h4.2",#N/A,FALSE,"WP_H4.2";"wp_h4.3",#N/A,FALSE,"WP_H4.3"}</definedName>
    <definedName name="distr" hidden="1">{"wp_h4.2",#N/A,FALSE,"WP_H4.2";"wp_h4.3",#N/A,FALSE,"WP_H4.3"}</definedName>
    <definedName name="dle" localSheetId="10" hidden="1">#REF!</definedName>
    <definedName name="dle" localSheetId="11" hidden="1">#REF!</definedName>
    <definedName name="dle" localSheetId="12" hidden="1">#REF!</definedName>
    <definedName name="dle" localSheetId="14" hidden="1">#REF!</definedName>
    <definedName name="dle" localSheetId="15" hidden="1">#REF!</definedName>
    <definedName name="dle" localSheetId="16" hidden="1">#REF!</definedName>
    <definedName name="dle" localSheetId="17" hidden="1">#REF!</definedName>
    <definedName name="dle" localSheetId="19" hidden="1">#REF!</definedName>
    <definedName name="dle" localSheetId="21" hidden="1">#REF!</definedName>
    <definedName name="dle" localSheetId="22" hidden="1">#REF!</definedName>
    <definedName name="dle" localSheetId="23" hidden="1">#REF!</definedName>
    <definedName name="dle" localSheetId="24" hidden="1">#REF!</definedName>
    <definedName name="dle" hidden="1">#REF!</definedName>
    <definedName name="dp" localSheetId="10" hidden="1">#REF!</definedName>
    <definedName name="dp" localSheetId="11" hidden="1">#REF!</definedName>
    <definedName name="dp" localSheetId="12" hidden="1">#REF!</definedName>
    <definedName name="dp" localSheetId="14" hidden="1">#REF!</definedName>
    <definedName name="dp" localSheetId="15" hidden="1">#REF!</definedName>
    <definedName name="dp" localSheetId="21" hidden="1">#REF!</definedName>
    <definedName name="dp" localSheetId="22" hidden="1">#REF!</definedName>
    <definedName name="dp" localSheetId="23" hidden="1">#REF!</definedName>
    <definedName name="dp" localSheetId="24" hidden="1">#REF!</definedName>
    <definedName name="dp" hidden="1">#REF!</definedName>
    <definedName name="dsac" localSheetId="10" hidden="1">#REF!</definedName>
    <definedName name="dsac" localSheetId="11" hidden="1">#REF!</definedName>
    <definedName name="dsac" localSheetId="12" hidden="1">#REF!</definedName>
    <definedName name="dsac" localSheetId="14" hidden="1">#REF!</definedName>
    <definedName name="dsac" localSheetId="15" hidden="1">#REF!</definedName>
    <definedName name="dsac" localSheetId="21" hidden="1">#REF!</definedName>
    <definedName name="dsac" localSheetId="22" hidden="1">#REF!</definedName>
    <definedName name="dsac" localSheetId="23" hidden="1">#REF!</definedName>
    <definedName name="dsac" localSheetId="24" hidden="1">#REF!</definedName>
    <definedName name="dsac" hidden="1">#REF!</definedName>
    <definedName name="dslakfjk" localSheetId="10" hidden="1">#REF!</definedName>
    <definedName name="dslakfjk" localSheetId="11" hidden="1">#REF!</definedName>
    <definedName name="dslakfjk" localSheetId="12" hidden="1">#REF!</definedName>
    <definedName name="dslakfjk" localSheetId="14" hidden="1">#REF!</definedName>
    <definedName name="dslakfjk" localSheetId="15" hidden="1">#REF!</definedName>
    <definedName name="dslakfjk" localSheetId="19" hidden="1">#REF!</definedName>
    <definedName name="dslakfjk" localSheetId="21" hidden="1">#REF!</definedName>
    <definedName name="dslakfjk" localSheetId="22" hidden="1">#REF!</definedName>
    <definedName name="dslakfjk" localSheetId="23" hidden="1">#REF!</definedName>
    <definedName name="dslakfjk" localSheetId="24" hidden="1">#REF!</definedName>
    <definedName name="dslakfjk" hidden="1">#REF!</definedName>
    <definedName name="dsld" localSheetId="10" hidden="1">#REF!</definedName>
    <definedName name="dsld" localSheetId="11" hidden="1">#REF!</definedName>
    <definedName name="dsld" localSheetId="12" hidden="1">#REF!</definedName>
    <definedName name="dsld" localSheetId="14" hidden="1">#REF!</definedName>
    <definedName name="dsld" localSheetId="15" hidden="1">#REF!</definedName>
    <definedName name="dsld" localSheetId="21" hidden="1">#REF!</definedName>
    <definedName name="dsld" localSheetId="22" hidden="1">#REF!</definedName>
    <definedName name="dsld" localSheetId="23" hidden="1">#REF!</definedName>
    <definedName name="dsld" localSheetId="24" hidden="1">#REF!</definedName>
    <definedName name="dsld" hidden="1">#REF!</definedName>
    <definedName name="dud" localSheetId="10" hidden="1">{#N/A,#N/A,TRUE,"1990";#N/A,#N/A,TRUE,"1991";#N/A,#N/A,TRUE,"1992";#N/A,#N/A,TRUE,"1993"}</definedName>
    <definedName name="dud" localSheetId="11" hidden="1">{#N/A,#N/A,TRUE,"1990";#N/A,#N/A,TRUE,"1991";#N/A,#N/A,TRUE,"1992";#N/A,#N/A,TRUE,"1993"}</definedName>
    <definedName name="dud" localSheetId="12" hidden="1">{#N/A,#N/A,TRUE,"1990";#N/A,#N/A,TRUE,"1991";#N/A,#N/A,TRUE,"1992";#N/A,#N/A,TRUE,"1993"}</definedName>
    <definedName name="dud" localSheetId="13" hidden="1">{#N/A,#N/A,TRUE,"1990";#N/A,#N/A,TRUE,"1991";#N/A,#N/A,TRUE,"1992";#N/A,#N/A,TRUE,"1993"}</definedName>
    <definedName name="dud" localSheetId="14" hidden="1">{#N/A,#N/A,TRUE,"1990";#N/A,#N/A,TRUE,"1991";#N/A,#N/A,TRUE,"1992";#N/A,#N/A,TRUE,"1993"}</definedName>
    <definedName name="dud" localSheetId="15" hidden="1">{#N/A,#N/A,TRUE,"1990";#N/A,#N/A,TRUE,"1991";#N/A,#N/A,TRUE,"1992";#N/A,#N/A,TRUE,"1993"}</definedName>
    <definedName name="dud" localSheetId="16" hidden="1">{#N/A,#N/A,TRUE,"1990";#N/A,#N/A,TRUE,"1991";#N/A,#N/A,TRUE,"1992";#N/A,#N/A,TRUE,"1993"}</definedName>
    <definedName name="dud" localSheetId="17" hidden="1">{#N/A,#N/A,TRUE,"1990";#N/A,#N/A,TRUE,"1991";#N/A,#N/A,TRUE,"1992";#N/A,#N/A,TRUE,"1993"}</definedName>
    <definedName name="dud" localSheetId="19" hidden="1">{#N/A,#N/A,TRUE,"1990";#N/A,#N/A,TRUE,"1991";#N/A,#N/A,TRUE,"1992";#N/A,#N/A,TRUE,"1993"}</definedName>
    <definedName name="dud" localSheetId="20" hidden="1">{#N/A,#N/A,TRUE,"1990";#N/A,#N/A,TRUE,"1991";#N/A,#N/A,TRUE,"1992";#N/A,#N/A,TRUE,"1993"}</definedName>
    <definedName name="dud" localSheetId="21" hidden="1">{#N/A,#N/A,TRUE,"1990";#N/A,#N/A,TRUE,"1991";#N/A,#N/A,TRUE,"1992";#N/A,#N/A,TRUE,"1993"}</definedName>
    <definedName name="dud" localSheetId="22" hidden="1">{#N/A,#N/A,TRUE,"1990";#N/A,#N/A,TRUE,"1991";#N/A,#N/A,TRUE,"1992";#N/A,#N/A,TRUE,"1993"}</definedName>
    <definedName name="dud" localSheetId="23" hidden="1">{#N/A,#N/A,TRUE,"1990";#N/A,#N/A,TRUE,"1991";#N/A,#N/A,TRUE,"1992";#N/A,#N/A,TRUE,"1993"}</definedName>
    <definedName name="dud" localSheetId="24" hidden="1">{#N/A,#N/A,TRUE,"1990";#N/A,#N/A,TRUE,"1991";#N/A,#N/A,TRUE,"1992";#N/A,#N/A,TRUE,"1993"}</definedName>
    <definedName name="dud" hidden="1">{#N/A,#N/A,TRUE,"1990";#N/A,#N/A,TRUE,"1991";#N/A,#N/A,TRUE,"1992";#N/A,#N/A,TRUE,"1993"}</definedName>
    <definedName name="e" localSheetId="1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12"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0"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2"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3" hidden="1">{"PR=O&amp;M per Customer",#N/A,FALSE,"Prod-Ratios";"PR=Customer per Equivalent Employee",#N/A,FALSE,"Prod-Ratios";"PR=Operating Ratio(OI to Revenue)",#N/A,FALSE,"Prod-Ratios";"PR=Return on Net Utility Plant",#N/A,FALSE,"Prod-Ratios";"PR=Revenue per Equivalent Employee",#N/A,FALSE,"Prod-Ratios"}</definedName>
    <definedName name="e" hidden="1">{"PR=O&amp;M per Customer",#N/A,FALSE,"Prod-Ratios";"PR=Customer per Equivalent Employee",#N/A,FALSE,"Prod-Ratios";"PR=Operating Ratio(OI to Revenue)",#N/A,FALSE,"Prod-Ratios";"PR=Return on Net Utility Plant",#N/A,FALSE,"Prod-Ratios";"PR=Revenue per Equivalent Employee",#N/A,FALSE,"Prod-Ratios"}</definedName>
    <definedName name="ecao" localSheetId="10" hidden="1">#REF!</definedName>
    <definedName name="ecao" localSheetId="11" hidden="1">#REF!</definedName>
    <definedName name="ecao" localSheetId="12" hidden="1">#REF!</definedName>
    <definedName name="ecao" localSheetId="14" hidden="1">#REF!</definedName>
    <definedName name="ecao" localSheetId="15" hidden="1">#REF!</definedName>
    <definedName name="ecao" localSheetId="16" hidden="1">#REF!</definedName>
    <definedName name="ecao" localSheetId="17" hidden="1">#REF!</definedName>
    <definedName name="ecao" localSheetId="19" hidden="1">#REF!</definedName>
    <definedName name="ecao" localSheetId="21" hidden="1">#REF!</definedName>
    <definedName name="ecao" localSheetId="22" hidden="1">#REF!</definedName>
    <definedName name="ecao" localSheetId="23" hidden="1">#REF!</definedName>
    <definedName name="ecao" localSheetId="24" hidden="1">#REF!</definedName>
    <definedName name="ecao" hidden="1">#REF!</definedName>
    <definedName name="ecsaop" localSheetId="10" hidden="1">#REF!</definedName>
    <definedName name="ecsaop" localSheetId="11" hidden="1">#REF!</definedName>
    <definedName name="ecsaop" localSheetId="12" hidden="1">#REF!</definedName>
    <definedName name="ecsaop" localSheetId="14" hidden="1">#REF!</definedName>
    <definedName name="ecsaop" localSheetId="15" hidden="1">#REF!</definedName>
    <definedName name="ecsaop" localSheetId="21" hidden="1">#REF!</definedName>
    <definedName name="ecsaop" localSheetId="22" hidden="1">#REF!</definedName>
    <definedName name="ecsaop" localSheetId="23" hidden="1">#REF!</definedName>
    <definedName name="ecsaop" localSheetId="24" hidden="1">#REF!</definedName>
    <definedName name="ecsaop" hidden="1">#REF!</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q" localSheetId="10" hidden="1">#REF!</definedName>
    <definedName name="eq" localSheetId="11" hidden="1">#REF!</definedName>
    <definedName name="eq" localSheetId="12" hidden="1">#REF!</definedName>
    <definedName name="eq" localSheetId="13" hidden="1">#REF!</definedName>
    <definedName name="eq" localSheetId="14" hidden="1">#REF!</definedName>
    <definedName name="eq" localSheetId="15" hidden="1">#REF!</definedName>
    <definedName name="eq" localSheetId="16" hidden="1">#REF!</definedName>
    <definedName name="eq" localSheetId="17" hidden="1">#REF!</definedName>
    <definedName name="eq" localSheetId="21" hidden="1">#REF!</definedName>
    <definedName name="eq" localSheetId="22" hidden="1">#REF!</definedName>
    <definedName name="eq" localSheetId="23" hidden="1">#REF!</definedName>
    <definedName name="eq" localSheetId="24" hidden="1">#REF!</definedName>
    <definedName name="eq" hidden="1">#REF!</definedName>
    <definedName name="ert" localSheetId="10" hidden="1">#REF!</definedName>
    <definedName name="ert" localSheetId="11" hidden="1">#REF!</definedName>
    <definedName name="ert" localSheetId="12" hidden="1">#REF!</definedName>
    <definedName name="ert" localSheetId="14" hidden="1">#REF!</definedName>
    <definedName name="ert" localSheetId="15" hidden="1">#REF!</definedName>
    <definedName name="ert" localSheetId="21" hidden="1">#REF!</definedName>
    <definedName name="ert" localSheetId="22" hidden="1">#REF!</definedName>
    <definedName name="ert" localSheetId="23" hidden="1">#REF!</definedName>
    <definedName name="ert" localSheetId="24" hidden="1">#REF!</definedName>
    <definedName name="ert" hidden="1">#REF!</definedName>
    <definedName name="ertyu" localSheetId="10" hidden="1">#REF!</definedName>
    <definedName name="ertyu" localSheetId="11" hidden="1">#REF!</definedName>
    <definedName name="ertyu" localSheetId="12" hidden="1">#REF!</definedName>
    <definedName name="ertyu" localSheetId="14" hidden="1">#REF!</definedName>
    <definedName name="ertyu" localSheetId="15" hidden="1">#REF!</definedName>
    <definedName name="ertyu" localSheetId="21" hidden="1">#REF!</definedName>
    <definedName name="ertyu" localSheetId="22" hidden="1">#REF!</definedName>
    <definedName name="ertyu" localSheetId="23" hidden="1">#REF!</definedName>
    <definedName name="ertyu" localSheetId="24" hidden="1">#REF!</definedName>
    <definedName name="ertyu" hidden="1">#REF!</definedName>
    <definedName name="ETRorig"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2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2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2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2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V__ALLOWSTOPEXPAND__" hidden="1">1</definedName>
    <definedName name="EV__EVCOM_OPTIONS__" hidden="1">8</definedName>
    <definedName name="EV__EXPOPTIONS__" hidden="1">1</definedName>
    <definedName name="EV__LASTREFTIME__" hidden="1">39198.5712152778</definedName>
    <definedName name="EV__LOCKEDCVW__BGE_FP" hidden="1">"INCOMESTATEMENT,ACTUAL,ALL_COMPANIES,NO_ORG,TOTALADJ,2002.TOTAL,PERIODIC,"</definedName>
    <definedName name="EV__LOCKEDCVW__CAPITAL" hidden="1">"ACTUAL,3XXXXX,CAPITAL_EXP_TYPES,MAJOR_CATEGORY,FACTORS,TOTAL_PORTFOLIO,2002.TOTAL,PERIODIC,"</definedName>
    <definedName name="EV__LOCKEDCVW__CPA" hidden="1">"O_M,ALL_ACTIVITIES,ACTUAL,ALL_SPENDERS,ALL_EXPTYPES,ALL_PROCESSES,OM_MAJOR_CATEGORY,2005.TOTAL,PERIODIC,"</definedName>
    <definedName name="EV__LOCKEDCVW__SLR" hidden="1">"2005_ORIGBUDGET,ALL_EXPTYPES,IN_UNIT,ALL_COMPANIES,ALL_EMPLOYEES,ALL_SPENDERS,2006.TOTAL,PERIODIC,"</definedName>
    <definedName name="EV__LOCKEDCVW__STAFF_PLANNING" hidden="1">"ALL_STAT_ACCOUNTS,ACTUAL,BGE_CC,ALL_EXP_RESOURCES,ALL_RESOURCES,2002.TOTAL,PERIODIC,"</definedName>
    <definedName name="EV__LOCKSTATUS__" hidden="1">1</definedName>
    <definedName name="EV__MAXEXPCOLS__" hidden="1">100</definedName>
    <definedName name="EV__MAXEXPROWS__" hidden="1">20000</definedName>
    <definedName name="EV__MEMORYCVW__" hidden="1">0</definedName>
    <definedName name="EV__WBEVMODE__" hidden="1">0</definedName>
    <definedName name="EV__WBREFOPTIONS__" hidden="1">134217799</definedName>
    <definedName name="EV__WBVERSION__" hidden="1">0</definedName>
    <definedName name="ewqwe" localSheetId="10" hidden="1">#REF!</definedName>
    <definedName name="ewqwe" localSheetId="11" hidden="1">#REF!</definedName>
    <definedName name="ewqwe" localSheetId="12" hidden="1">#REF!</definedName>
    <definedName name="ewqwe" localSheetId="14" hidden="1">#REF!</definedName>
    <definedName name="ewqwe" localSheetId="15" hidden="1">#REF!</definedName>
    <definedName name="ewqwe" localSheetId="21" hidden="1">#REF!</definedName>
    <definedName name="ewqwe" localSheetId="22" hidden="1">#REF!</definedName>
    <definedName name="ewqwe" localSheetId="23" hidden="1">#REF!</definedName>
    <definedName name="ewqwe" localSheetId="24" hidden="1">#REF!</definedName>
    <definedName name="ewqwe" hidden="1">#REF!</definedName>
    <definedName name="f" localSheetId="10" hidden="1">#REF!</definedName>
    <definedName name="f" localSheetId="11" hidden="1">#REF!</definedName>
    <definedName name="f" localSheetId="12" hidden="1">#REF!</definedName>
    <definedName name="f" localSheetId="14" hidden="1">#REF!</definedName>
    <definedName name="f" localSheetId="15" hidden="1">#REF!</definedName>
    <definedName name="f" localSheetId="21" hidden="1">#REF!</definedName>
    <definedName name="f" localSheetId="22" hidden="1">#REF!</definedName>
    <definedName name="f" localSheetId="23" hidden="1">#REF!</definedName>
    <definedName name="f" localSheetId="24" hidden="1">#REF!</definedName>
    <definedName name="f" hidden="1">#REF!</definedName>
    <definedName name="fdafafdfdafdfafds" hidden="1">'[2]Chart Data'!$I$30:$I$228</definedName>
    <definedName name="fdv" localSheetId="10" hidden="1">#REF!</definedName>
    <definedName name="fdv" localSheetId="11" hidden="1">#REF!</definedName>
    <definedName name="fdv" localSheetId="12" hidden="1">#REF!</definedName>
    <definedName name="fdv" localSheetId="14" hidden="1">#REF!</definedName>
    <definedName name="fdv" localSheetId="15" hidden="1">#REF!</definedName>
    <definedName name="fdv" localSheetId="16" hidden="1">#REF!</definedName>
    <definedName name="fdv" localSheetId="17" hidden="1">#REF!</definedName>
    <definedName name="fdv" localSheetId="21" hidden="1">#REF!</definedName>
    <definedName name="fdv" localSheetId="22" hidden="1">#REF!</definedName>
    <definedName name="fdv" localSheetId="23" hidden="1">#REF!</definedName>
    <definedName name="fdv" localSheetId="24" hidden="1">#REF!</definedName>
    <definedName name="fdv" hidden="1">#REF!</definedName>
    <definedName name="fff" localSheetId="10" hidden="1">#REF!</definedName>
    <definedName name="fff" localSheetId="11" hidden="1">#REF!</definedName>
    <definedName name="fff" localSheetId="12" hidden="1">#REF!</definedName>
    <definedName name="fff" localSheetId="14" hidden="1">#REF!</definedName>
    <definedName name="fff" localSheetId="15" hidden="1">#REF!</definedName>
    <definedName name="fff" localSheetId="21" hidden="1">#REF!</definedName>
    <definedName name="fff" localSheetId="22" hidden="1">#REF!</definedName>
    <definedName name="fff" localSheetId="23" hidden="1">#REF!</definedName>
    <definedName name="fff" localSheetId="24" hidden="1">#REF!</definedName>
    <definedName name="fff" hidden="1">#REF!</definedName>
    <definedName name="ffffff" localSheetId="10" hidden="1">#REF!</definedName>
    <definedName name="ffffff" localSheetId="11" hidden="1">#REF!</definedName>
    <definedName name="ffffff" localSheetId="12" hidden="1">#REF!</definedName>
    <definedName name="ffffff" localSheetId="14" hidden="1">#REF!</definedName>
    <definedName name="ffffff" localSheetId="15" hidden="1">#REF!</definedName>
    <definedName name="ffffff" localSheetId="21" hidden="1">#REF!</definedName>
    <definedName name="ffffff" localSheetId="22" hidden="1">#REF!</definedName>
    <definedName name="ffffff" localSheetId="23" hidden="1">#REF!</definedName>
    <definedName name="ffffff" localSheetId="24" hidden="1">#REF!</definedName>
    <definedName name="ffffff" hidden="1">#REF!</definedName>
    <definedName name="ffkf" localSheetId="10" hidden="1">#REF!</definedName>
    <definedName name="ffkf" localSheetId="11" hidden="1">#REF!</definedName>
    <definedName name="ffkf" localSheetId="12" hidden="1">#REF!</definedName>
    <definedName name="ffkf" localSheetId="14" hidden="1">#REF!</definedName>
    <definedName name="ffkf" localSheetId="15" hidden="1">#REF!</definedName>
    <definedName name="ffkf" localSheetId="21" hidden="1">#REF!</definedName>
    <definedName name="ffkf" localSheetId="22" hidden="1">#REF!</definedName>
    <definedName name="ffkf" localSheetId="23" hidden="1">#REF!</definedName>
    <definedName name="ffkf" localSheetId="24" hidden="1">#REF!</definedName>
    <definedName name="ffkf" hidden="1">#REF!</definedName>
    <definedName name="First.Conflict" localSheetId="11" hidden="1">{#N/A,#N/A,TRUE,"1 (2)";#N/A,#N/A,TRUE,"2";#N/A,#N/A,TRUE,"3"}</definedName>
    <definedName name="First.Conflict" localSheetId="12" hidden="1">{#N/A,#N/A,TRUE,"1 (2)";#N/A,#N/A,TRUE,"2";#N/A,#N/A,TRUE,"3"}</definedName>
    <definedName name="First.Conflict" localSheetId="20" hidden="1">{#N/A,#N/A,TRUE,"1 (2)";#N/A,#N/A,TRUE,"2";#N/A,#N/A,TRUE,"3"}</definedName>
    <definedName name="First.Conflict" localSheetId="21" hidden="1">{#N/A,#N/A,TRUE,"1 (2)";#N/A,#N/A,TRUE,"2";#N/A,#N/A,TRUE,"3"}</definedName>
    <definedName name="First.Conflict" localSheetId="22" hidden="1">{#N/A,#N/A,TRUE,"1 (2)";#N/A,#N/A,TRUE,"2";#N/A,#N/A,TRUE,"3"}</definedName>
    <definedName name="First.Conflict" localSheetId="23" hidden="1">{#N/A,#N/A,TRUE,"1 (2)";#N/A,#N/A,TRUE,"2";#N/A,#N/A,TRUE,"3"}</definedName>
    <definedName name="First.Conflict" hidden="1">{#N/A,#N/A,TRUE,"1 (2)";#N/A,#N/A,TRUE,"2";#N/A,#N/A,TRUE,"3"}</definedName>
    <definedName name="First.conflict2" localSheetId="11" hidden="1">{#N/A,#N/A,TRUE,"1 (2)";#N/A,#N/A,TRUE,"2";#N/A,#N/A,TRUE,"3"}</definedName>
    <definedName name="First.conflict2" localSheetId="12" hidden="1">{#N/A,#N/A,TRUE,"1 (2)";#N/A,#N/A,TRUE,"2";#N/A,#N/A,TRUE,"3"}</definedName>
    <definedName name="First.conflict2" localSheetId="20" hidden="1">{#N/A,#N/A,TRUE,"1 (2)";#N/A,#N/A,TRUE,"2";#N/A,#N/A,TRUE,"3"}</definedName>
    <definedName name="First.conflict2" localSheetId="21" hidden="1">{#N/A,#N/A,TRUE,"1 (2)";#N/A,#N/A,TRUE,"2";#N/A,#N/A,TRUE,"3"}</definedName>
    <definedName name="First.conflict2" localSheetId="22" hidden="1">{#N/A,#N/A,TRUE,"1 (2)";#N/A,#N/A,TRUE,"2";#N/A,#N/A,TRUE,"3"}</definedName>
    <definedName name="First.conflict2" localSheetId="23" hidden="1">{#N/A,#N/A,TRUE,"1 (2)";#N/A,#N/A,TRUE,"2";#N/A,#N/A,TRUE,"3"}</definedName>
    <definedName name="First.conflict2" hidden="1">{#N/A,#N/A,TRUE,"1 (2)";#N/A,#N/A,TRUE,"2";#N/A,#N/A,TRUE,"3"}</definedName>
    <definedName name="First.Conflict2006" localSheetId="11" hidden="1">{#N/A,#N/A,TRUE,"1 (2)";#N/A,#N/A,TRUE,"2";#N/A,#N/A,TRUE,"3"}</definedName>
    <definedName name="First.Conflict2006" localSheetId="12" hidden="1">{#N/A,#N/A,TRUE,"1 (2)";#N/A,#N/A,TRUE,"2";#N/A,#N/A,TRUE,"3"}</definedName>
    <definedName name="First.Conflict2006" localSheetId="20" hidden="1">{#N/A,#N/A,TRUE,"1 (2)";#N/A,#N/A,TRUE,"2";#N/A,#N/A,TRUE,"3"}</definedName>
    <definedName name="First.Conflict2006" localSheetId="21" hidden="1">{#N/A,#N/A,TRUE,"1 (2)";#N/A,#N/A,TRUE,"2";#N/A,#N/A,TRUE,"3"}</definedName>
    <definedName name="First.Conflict2006" localSheetId="22" hidden="1">{#N/A,#N/A,TRUE,"1 (2)";#N/A,#N/A,TRUE,"2";#N/A,#N/A,TRUE,"3"}</definedName>
    <definedName name="First.Conflict2006" localSheetId="23" hidden="1">{#N/A,#N/A,TRUE,"1 (2)";#N/A,#N/A,TRUE,"2";#N/A,#N/A,TRUE,"3"}</definedName>
    <definedName name="First.Conflict2006" hidden="1">{#N/A,#N/A,TRUE,"1 (2)";#N/A,#N/A,TRUE,"2";#N/A,#N/A,TRUE,"3"}</definedName>
    <definedName name="fkfkf" localSheetId="10" hidden="1">#REF!</definedName>
    <definedName name="fkfkf" localSheetId="11" hidden="1">#REF!</definedName>
    <definedName name="fkfkf" localSheetId="12" hidden="1">#REF!</definedName>
    <definedName name="fkfkf" localSheetId="14" hidden="1">#REF!</definedName>
    <definedName name="fkfkf" localSheetId="15" hidden="1">#REF!</definedName>
    <definedName name="fkfkf" localSheetId="21" hidden="1">#REF!</definedName>
    <definedName name="fkfkf" localSheetId="22" hidden="1">#REF!</definedName>
    <definedName name="fkfkf" localSheetId="23" hidden="1">#REF!</definedName>
    <definedName name="fkfkf" localSheetId="24" hidden="1">#REF!</definedName>
    <definedName name="fkfkf" hidden="1">#REF!</definedName>
    <definedName name="fpfl" localSheetId="10" hidden="1">#REF!</definedName>
    <definedName name="fpfl" localSheetId="11" hidden="1">#REF!</definedName>
    <definedName name="fpfl" localSheetId="12" hidden="1">#REF!</definedName>
    <definedName name="fpfl" localSheetId="14" hidden="1">#REF!</definedName>
    <definedName name="fpfl" localSheetId="15" hidden="1">#REF!</definedName>
    <definedName name="fpfl" localSheetId="21" hidden="1">#REF!</definedName>
    <definedName name="fpfl" localSheetId="22" hidden="1">#REF!</definedName>
    <definedName name="fpfl" localSheetId="23" hidden="1">#REF!</definedName>
    <definedName name="fpfl" localSheetId="24" hidden="1">#REF!</definedName>
    <definedName name="fpfl" hidden="1">#REF!</definedName>
    <definedName name="fvgbn" localSheetId="10" hidden="1">#REF!</definedName>
    <definedName name="fvgbn" localSheetId="11" hidden="1">#REF!</definedName>
    <definedName name="fvgbn" localSheetId="12" hidden="1">#REF!</definedName>
    <definedName name="fvgbn" localSheetId="14" hidden="1">#REF!</definedName>
    <definedName name="fvgbn" localSheetId="15" hidden="1">#REF!</definedName>
    <definedName name="fvgbn" localSheetId="21" hidden="1">#REF!</definedName>
    <definedName name="fvgbn" localSheetId="22" hidden="1">#REF!</definedName>
    <definedName name="fvgbn" localSheetId="23" hidden="1">#REF!</definedName>
    <definedName name="fvgbn" localSheetId="24" hidden="1">#REF!</definedName>
    <definedName name="fvgbn" hidden="1">#REF!</definedName>
    <definedName name="Gas.calc" localSheetId="10" hidden="1">{"ARK_JURIS_FAC",#N/A,FALSE,"Ark_Fuel&amp;Rev"}</definedName>
    <definedName name="Gas.calc" localSheetId="11" hidden="1">{"ARK_JURIS_FAC",#N/A,FALSE,"Ark_Fuel&amp;Rev"}</definedName>
    <definedName name="Gas.calc" localSheetId="12" hidden="1">{"ARK_JURIS_FAC",#N/A,FALSE,"Ark_Fuel&amp;Rev"}</definedName>
    <definedName name="Gas.calc" localSheetId="13" hidden="1">{"ARK_JURIS_FAC",#N/A,FALSE,"Ark_Fuel&amp;Rev"}</definedName>
    <definedName name="Gas.calc" localSheetId="14" hidden="1">{"ARK_JURIS_FAC",#N/A,FALSE,"Ark_Fuel&amp;Rev"}</definedName>
    <definedName name="Gas.calc" localSheetId="15" hidden="1">{"ARK_JURIS_FAC",#N/A,FALSE,"Ark_Fuel&amp;Rev"}</definedName>
    <definedName name="Gas.calc" localSheetId="16" hidden="1">{"ARK_JURIS_FAC",#N/A,FALSE,"Ark_Fuel&amp;Rev"}</definedName>
    <definedName name="Gas.calc" localSheetId="17" hidden="1">{"ARK_JURIS_FAC",#N/A,FALSE,"Ark_Fuel&amp;Rev"}</definedName>
    <definedName name="Gas.calc" localSheetId="19" hidden="1">{"ARK_JURIS_FAC",#N/A,FALSE,"Ark_Fuel&amp;Rev"}</definedName>
    <definedName name="Gas.calc" localSheetId="20" hidden="1">{"ARK_JURIS_FAC",#N/A,FALSE,"Ark_Fuel&amp;Rev"}</definedName>
    <definedName name="Gas.calc" localSheetId="21" hidden="1">{"ARK_JURIS_FAC",#N/A,FALSE,"Ark_Fuel&amp;Rev"}</definedName>
    <definedName name="Gas.calc" localSheetId="22" hidden="1">{"ARK_JURIS_FAC",#N/A,FALSE,"Ark_Fuel&amp;Rev"}</definedName>
    <definedName name="Gas.calc" localSheetId="23" hidden="1">{"ARK_JURIS_FAC",#N/A,FALSE,"Ark_Fuel&amp;Rev"}</definedName>
    <definedName name="Gas.calc" localSheetId="24" hidden="1">{"ARK_JURIS_FAC",#N/A,FALSE,"Ark_Fuel&amp;Rev"}</definedName>
    <definedName name="Gas.calc" hidden="1">{"ARK_JURIS_FAC",#N/A,FALSE,"Ark_Fuel&amp;Rev"}</definedName>
    <definedName name="gfhj" localSheetId="10" hidden="1">#REF!</definedName>
    <definedName name="gfhj" localSheetId="11" hidden="1">#REF!</definedName>
    <definedName name="gfhj" localSheetId="12" hidden="1">#REF!</definedName>
    <definedName name="gfhj" localSheetId="14" hidden="1">#REF!</definedName>
    <definedName name="gfhj" localSheetId="15" hidden="1">#REF!</definedName>
    <definedName name="gfhj" localSheetId="16" hidden="1">#REF!</definedName>
    <definedName name="gfhj" localSheetId="17" hidden="1">#REF!</definedName>
    <definedName name="gfhj" localSheetId="19" hidden="1">#REF!</definedName>
    <definedName name="gfhj" localSheetId="21" hidden="1">#REF!</definedName>
    <definedName name="gfhj" localSheetId="22" hidden="1">#REF!</definedName>
    <definedName name="gfhj" localSheetId="23" hidden="1">#REF!</definedName>
    <definedName name="gfhj" localSheetId="24" hidden="1">#REF!</definedName>
    <definedName name="gfhj" hidden="1">#REF!</definedName>
    <definedName name="gggggg" localSheetId="10" hidden="1">#REF!</definedName>
    <definedName name="gggggg" localSheetId="11" hidden="1">#REF!</definedName>
    <definedName name="gggggg" localSheetId="12" hidden="1">#REF!</definedName>
    <definedName name="gggggg" localSheetId="14" hidden="1">#REF!</definedName>
    <definedName name="gggggg" localSheetId="15" hidden="1">#REF!</definedName>
    <definedName name="gggggg" localSheetId="21" hidden="1">#REF!</definedName>
    <definedName name="gggggg" localSheetId="22" hidden="1">#REF!</definedName>
    <definedName name="gggggg" localSheetId="23" hidden="1">#REF!</definedName>
    <definedName name="gggggg" localSheetId="24" hidden="1">#REF!</definedName>
    <definedName name="gggggg" hidden="1">#REF!</definedName>
    <definedName name="ghjk" localSheetId="10" hidden="1">#REF!</definedName>
    <definedName name="ghjk" localSheetId="11" hidden="1">#REF!</definedName>
    <definedName name="ghjk" localSheetId="12" hidden="1">#REF!</definedName>
    <definedName name="ghjk" localSheetId="14" hidden="1">#REF!</definedName>
    <definedName name="ghjk" localSheetId="15" hidden="1">#REF!</definedName>
    <definedName name="ghjk" localSheetId="21" hidden="1">#REF!</definedName>
    <definedName name="ghjk" localSheetId="22" hidden="1">#REF!</definedName>
    <definedName name="ghjk" localSheetId="23" hidden="1">#REF!</definedName>
    <definedName name="ghjk" localSheetId="24" hidden="1">#REF!</definedName>
    <definedName name="ghjk" hidden="1">#REF!</definedName>
    <definedName name="got" localSheetId="10" hidden="1">#REF!</definedName>
    <definedName name="got" localSheetId="11" hidden="1">#REF!</definedName>
    <definedName name="got" localSheetId="12" hidden="1">#REF!</definedName>
    <definedName name="got" localSheetId="14" hidden="1">#REF!</definedName>
    <definedName name="got" localSheetId="15" hidden="1">#REF!</definedName>
    <definedName name="got" localSheetId="21" hidden="1">#REF!</definedName>
    <definedName name="got" localSheetId="22" hidden="1">#REF!</definedName>
    <definedName name="got" localSheetId="23" hidden="1">#REF!</definedName>
    <definedName name="got" localSheetId="24" hidden="1">#REF!</definedName>
    <definedName name="got" hidden="1">#REF!</definedName>
    <definedName name="haha" localSheetId="10" hidden="1">{"OMPA_FAC",#N/A,FALSE,"OMPA FAC"}</definedName>
    <definedName name="haha" localSheetId="11" hidden="1">{"OMPA_FAC",#N/A,FALSE,"OMPA FAC"}</definedName>
    <definedName name="haha" localSheetId="12" hidden="1">{"OMPA_FAC",#N/A,FALSE,"OMPA FAC"}</definedName>
    <definedName name="haha" localSheetId="13" hidden="1">{"OMPA_FAC",#N/A,FALSE,"OMPA FAC"}</definedName>
    <definedName name="haha" localSheetId="14" hidden="1">{"OMPA_FAC",#N/A,FALSE,"OMPA FAC"}</definedName>
    <definedName name="haha" localSheetId="15" hidden="1">{"OMPA_FAC",#N/A,FALSE,"OMPA FAC"}</definedName>
    <definedName name="haha" localSheetId="16" hidden="1">{"OMPA_FAC",#N/A,FALSE,"OMPA FAC"}</definedName>
    <definedName name="haha" localSheetId="17" hidden="1">{"OMPA_FAC",#N/A,FALSE,"OMPA FAC"}</definedName>
    <definedName name="haha" localSheetId="19" hidden="1">{"OMPA_FAC",#N/A,FALSE,"OMPA FAC"}</definedName>
    <definedName name="haha" localSheetId="20" hidden="1">{"OMPA_FAC",#N/A,FALSE,"OMPA FAC"}</definedName>
    <definedName name="haha" localSheetId="21" hidden="1">{"OMPA_FAC",#N/A,FALSE,"OMPA FAC"}</definedName>
    <definedName name="haha" localSheetId="22" hidden="1">{"OMPA_FAC",#N/A,FALSE,"OMPA FAC"}</definedName>
    <definedName name="haha" localSheetId="23" hidden="1">{"OMPA_FAC",#N/A,FALSE,"OMPA FAC"}</definedName>
    <definedName name="haha" localSheetId="24" hidden="1">{"OMPA_FAC",#N/A,FALSE,"OMPA FAC"}</definedName>
    <definedName name="haha" hidden="1">{"OMPA_FAC",#N/A,FALSE,"OMPA FAC"}</definedName>
    <definedName name="hhhhh" localSheetId="10" hidden="1">#REF!</definedName>
    <definedName name="hhhhh" localSheetId="11" hidden="1">#REF!</definedName>
    <definedName name="hhhhh" localSheetId="12" hidden="1">#REF!</definedName>
    <definedName name="hhhhh" localSheetId="14" hidden="1">#REF!</definedName>
    <definedName name="hhhhh" localSheetId="15" hidden="1">#REF!</definedName>
    <definedName name="hhhhh" localSheetId="16" hidden="1">#REF!</definedName>
    <definedName name="hhhhh" localSheetId="17" hidden="1">#REF!</definedName>
    <definedName name="hhhhh" localSheetId="21" hidden="1">#REF!</definedName>
    <definedName name="hhhhh" localSheetId="22" hidden="1">#REF!</definedName>
    <definedName name="hhhhh" localSheetId="23" hidden="1">#REF!</definedName>
    <definedName name="hhhhh" localSheetId="24" hidden="1">#REF!</definedName>
    <definedName name="hhhhh" hidden="1">#REF!</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2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2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2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2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2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dePage" hidden="1">1252</definedName>
    <definedName name="HTML_Control" localSheetId="10" hidden="1">{"'Sheet1'!$A$1:$O$40"}</definedName>
    <definedName name="HTML_Control" localSheetId="11" hidden="1">{"'Sheet1'!$A$1:$O$40"}</definedName>
    <definedName name="HTML_Control" localSheetId="12" hidden="1">{"'Sheet1'!$A$1:$O$40"}</definedName>
    <definedName name="HTML_Control" localSheetId="13" hidden="1">{"'Sheet1'!$A$1:$O$40"}</definedName>
    <definedName name="HTML_Control" localSheetId="14" hidden="1">{"'Sheet1'!$A$1:$O$40"}</definedName>
    <definedName name="HTML_Control" localSheetId="15" hidden="1">{"'Sheet1'!$A$1:$O$40"}</definedName>
    <definedName name="HTML_Control" localSheetId="16" hidden="1">{"'Sheet1'!$A$1:$O$40"}</definedName>
    <definedName name="HTML_Control" localSheetId="17" hidden="1">{"'Sheet1'!$A$1:$O$40"}</definedName>
    <definedName name="HTML_Control" localSheetId="19" hidden="1">{"'Sheet1'!$A$1:$O$40"}</definedName>
    <definedName name="HTML_Control" localSheetId="20" hidden="1">{"'Sheet1'!$A$1:$O$40"}</definedName>
    <definedName name="HTML_Control" localSheetId="21" hidden="1">{"'Sheet1'!$A$1:$O$40"}</definedName>
    <definedName name="HTML_Control" localSheetId="22" hidden="1">{"'Sheet1'!$A$1:$O$40"}</definedName>
    <definedName name="HTML_Control" localSheetId="23" hidden="1">{"'Sheet1'!$A$1:$O$40"}</definedName>
    <definedName name="HTML_Control" localSheetId="24" hidden="1">{"'Sheet1'!$A$1:$O$40"}</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 name="i" localSheetId="11" hidden="1">{"Support Net Plant=Net Utility Plant",#N/A,FALSE,"Net Plant"}</definedName>
    <definedName name="i" localSheetId="12" hidden="1">{"Support Net Plant=Net Utility Plant",#N/A,FALSE,"Net Plant"}</definedName>
    <definedName name="i" localSheetId="20" hidden="1">{"Support Net Plant=Net Utility Plant",#N/A,FALSE,"Net Plant"}</definedName>
    <definedName name="i" localSheetId="21" hidden="1">{"Support Net Plant=Net Utility Plant",#N/A,FALSE,"Net Plant"}</definedName>
    <definedName name="i" localSheetId="22" hidden="1">{"Support Net Plant=Net Utility Plant",#N/A,FALSE,"Net Plant"}</definedName>
    <definedName name="i" localSheetId="23" hidden="1">{"Support Net Plant=Net Utility Plant",#N/A,FALSE,"Net Plant"}</definedName>
    <definedName name="i" hidden="1">{"Support Net Plant=Net Utility Plant",#N/A,FALSE,"Net Plant"}</definedName>
    <definedName name="ifch" localSheetId="10" hidden="1">#REF!</definedName>
    <definedName name="ifch" localSheetId="11" hidden="1">#REF!</definedName>
    <definedName name="ifch" localSheetId="12" hidden="1">#REF!</definedName>
    <definedName name="ifch" localSheetId="13" hidden="1">#REF!</definedName>
    <definedName name="ifch" localSheetId="14" hidden="1">#REF!</definedName>
    <definedName name="ifch" localSheetId="15" hidden="1">#REF!</definedName>
    <definedName name="ifch" localSheetId="16" hidden="1">#REF!</definedName>
    <definedName name="ifch" localSheetId="17" hidden="1">#REF!</definedName>
    <definedName name="ifch" localSheetId="21" hidden="1">#REF!</definedName>
    <definedName name="ifch" localSheetId="22" hidden="1">#REF!</definedName>
    <definedName name="ifch" localSheetId="23" hidden="1">#REF!</definedName>
    <definedName name="ifch" localSheetId="24" hidden="1">#REF!</definedName>
    <definedName name="ifch" hidden="1">#REF!</definedName>
    <definedName name="Inflation" localSheetId="15" hidden="1">[15]Data!$C$30:$C$233</definedName>
    <definedName name="Inflation" hidden="1">[16]Data!$C$30:$C$233</definedName>
    <definedName name="ipowAC" localSheetId="10" hidden="1">#REF!</definedName>
    <definedName name="ipowAC" localSheetId="11" hidden="1">#REF!</definedName>
    <definedName name="ipowAC" localSheetId="12" hidden="1">#REF!</definedName>
    <definedName name="ipowAC" localSheetId="14" hidden="1">#REF!</definedName>
    <definedName name="ipowAC" localSheetId="15" hidden="1">#REF!</definedName>
    <definedName name="ipowAC" localSheetId="19" hidden="1">#REF!</definedName>
    <definedName name="ipowAC" localSheetId="21" hidden="1">#REF!</definedName>
    <definedName name="ipowAC" localSheetId="22" hidden="1">#REF!</definedName>
    <definedName name="ipowAC" localSheetId="23" hidden="1">#REF!</definedName>
    <definedName name="ipowAC" localSheetId="24" hidden="1">#REF!</definedName>
    <definedName name="ipowAC"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0" hidden="1">40164.5046875</definedName>
    <definedName name="IQ_NAMES_REVISION_DATE_" localSheetId="11" hidden="1">43404.683912037</definedName>
    <definedName name="IQ_NAMES_REVISION_DATE_" localSheetId="13" hidden="1">40164.5046875</definedName>
    <definedName name="IQ_NAMES_REVISION_DATE_" localSheetId="14" hidden="1">40164.5046875</definedName>
    <definedName name="IQ_NAMES_REVISION_DATE_" localSheetId="15" hidden="1">40164.5046875</definedName>
    <definedName name="IQ_NAMES_REVISION_DATE_" localSheetId="21" hidden="1">40164.5046875</definedName>
    <definedName name="IQ_NAMES_REVISION_DATE_" localSheetId="23" hidden="1">40164.5046875</definedName>
    <definedName name="IQ_NAMES_REVISION_DATE_" hidden="1">43404.683912037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y" localSheetId="10" hidden="1">#REF!</definedName>
    <definedName name="iuy" localSheetId="11" hidden="1">#REF!</definedName>
    <definedName name="iuy" localSheetId="12" hidden="1">#REF!</definedName>
    <definedName name="iuy" localSheetId="13" hidden="1">#REF!</definedName>
    <definedName name="iuy" localSheetId="14" hidden="1">#REF!</definedName>
    <definedName name="iuy" localSheetId="15" hidden="1">#REF!</definedName>
    <definedName name="iuy" localSheetId="16" hidden="1">#REF!</definedName>
    <definedName name="iuy" localSheetId="17" hidden="1">#REF!</definedName>
    <definedName name="iuy" localSheetId="21" hidden="1">#REF!</definedName>
    <definedName name="iuy" localSheetId="22" hidden="1">#REF!</definedName>
    <definedName name="iuy" localSheetId="23" hidden="1">#REF!</definedName>
    <definedName name="iuy" localSheetId="24" hidden="1">#REF!</definedName>
    <definedName name="iuy" hidden="1">#REF!</definedName>
    <definedName name="iuyt" localSheetId="10" hidden="1">#REF!</definedName>
    <definedName name="iuyt" localSheetId="11" hidden="1">#REF!</definedName>
    <definedName name="iuyt" localSheetId="12" hidden="1">#REF!</definedName>
    <definedName name="iuyt" localSheetId="14" hidden="1">#REF!</definedName>
    <definedName name="iuyt" localSheetId="15" hidden="1">#REF!</definedName>
    <definedName name="iuyt" localSheetId="21" hidden="1">#REF!</definedName>
    <definedName name="iuyt" localSheetId="22" hidden="1">#REF!</definedName>
    <definedName name="iuyt" localSheetId="23" hidden="1">#REF!</definedName>
    <definedName name="iuyt" localSheetId="24" hidden="1">#REF!</definedName>
    <definedName name="iuyt" hidden="1">#REF!</definedName>
    <definedName name="j" localSheetId="10" hidden="1">#REF!</definedName>
    <definedName name="j" localSheetId="11" hidden="1">#REF!</definedName>
    <definedName name="j" localSheetId="12" hidden="1">#REF!</definedName>
    <definedName name="j" localSheetId="14" hidden="1">#REF!</definedName>
    <definedName name="j" localSheetId="15" hidden="1">#REF!</definedName>
    <definedName name="j" localSheetId="21" hidden="1">#REF!</definedName>
    <definedName name="j" localSheetId="22" hidden="1">#REF!</definedName>
    <definedName name="j" localSheetId="23" hidden="1">#REF!</definedName>
    <definedName name="j" localSheetId="24" hidden="1">#REF!</definedName>
    <definedName name="j" hidden="1">#REF!</definedName>
    <definedName name="jdn" localSheetId="10" hidden="1">#REF!</definedName>
    <definedName name="jdn" localSheetId="11" hidden="1">#REF!</definedName>
    <definedName name="jdn" localSheetId="12" hidden="1">#REF!</definedName>
    <definedName name="jdn" localSheetId="14" hidden="1">#REF!</definedName>
    <definedName name="jdn" localSheetId="15" hidden="1">#REF!</definedName>
    <definedName name="jdn" localSheetId="21" hidden="1">#REF!</definedName>
    <definedName name="jdn" localSheetId="22" hidden="1">#REF!</definedName>
    <definedName name="jdn" localSheetId="23" hidden="1">#REF!</definedName>
    <definedName name="jdn" localSheetId="24" hidden="1">#REF!</definedName>
    <definedName name="jdn" hidden="1">#REF!</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e" localSheetId="12" hidden="1">{#N/A,#N/A,FALSE,"SCA";#N/A,#N/A,FALSE,"NCA";#N/A,#N/A,FALSE,"SAZ";#N/A,#N/A,FALSE,"CAZ";#N/A,#N/A,FALSE,"SNV";#N/A,#N/A,FALSE,"NNV";#N/A,#N/A,FALSE,"PP";#N/A,#N/A,FALSE,"SA"}</definedName>
    <definedName name="je" localSheetId="13" hidden="1">{#N/A,#N/A,FALSE,"SCA";#N/A,#N/A,FALSE,"NCA";#N/A,#N/A,FALSE,"SAZ";#N/A,#N/A,FALSE,"CAZ";#N/A,#N/A,FALSE,"SNV";#N/A,#N/A,FALSE,"NNV";#N/A,#N/A,FALSE,"PP";#N/A,#N/A,FALSE,"SA"}</definedName>
    <definedName name="je" localSheetId="14" hidden="1">{#N/A,#N/A,FALSE,"SCA";#N/A,#N/A,FALSE,"NCA";#N/A,#N/A,FALSE,"SAZ";#N/A,#N/A,FALSE,"CAZ";#N/A,#N/A,FALSE,"SNV";#N/A,#N/A,FALSE,"NNV";#N/A,#N/A,FALSE,"PP";#N/A,#N/A,FALSE,"SA"}</definedName>
    <definedName name="je" localSheetId="15" hidden="1">{#N/A,#N/A,FALSE,"SCA";#N/A,#N/A,FALSE,"NCA";#N/A,#N/A,FALSE,"SAZ";#N/A,#N/A,FALSE,"CAZ";#N/A,#N/A,FALSE,"SNV";#N/A,#N/A,FALSE,"NNV";#N/A,#N/A,FALSE,"PP";#N/A,#N/A,FALSE,"SA"}</definedName>
    <definedName name="je" localSheetId="16" hidden="1">{#N/A,#N/A,FALSE,"SCA";#N/A,#N/A,FALSE,"NCA";#N/A,#N/A,FALSE,"SAZ";#N/A,#N/A,FALSE,"CAZ";#N/A,#N/A,FALSE,"SNV";#N/A,#N/A,FALSE,"NNV";#N/A,#N/A,FALSE,"PP";#N/A,#N/A,FALSE,"SA"}</definedName>
    <definedName name="je" localSheetId="17" hidden="1">{#N/A,#N/A,FALSE,"SCA";#N/A,#N/A,FALSE,"NCA";#N/A,#N/A,FALSE,"SAZ";#N/A,#N/A,FALSE,"CAZ";#N/A,#N/A,FALSE,"SNV";#N/A,#N/A,FALSE,"NNV";#N/A,#N/A,FALSE,"PP";#N/A,#N/A,FALSE,"SA"}</definedName>
    <definedName name="je" localSheetId="19" hidden="1">{#N/A,#N/A,FALSE,"SCA";#N/A,#N/A,FALSE,"NCA";#N/A,#N/A,FALSE,"SAZ";#N/A,#N/A,FALSE,"CAZ";#N/A,#N/A,FALSE,"SNV";#N/A,#N/A,FALSE,"NNV";#N/A,#N/A,FALSE,"PP";#N/A,#N/A,FALSE,"SA"}</definedName>
    <definedName name="je" localSheetId="20" hidden="1">{#N/A,#N/A,FALSE,"SCA";#N/A,#N/A,FALSE,"NCA";#N/A,#N/A,FALSE,"SAZ";#N/A,#N/A,FALSE,"CAZ";#N/A,#N/A,FALSE,"SNV";#N/A,#N/A,FALSE,"NNV";#N/A,#N/A,FALSE,"PP";#N/A,#N/A,FALSE,"SA"}</definedName>
    <definedName name="je" localSheetId="21" hidden="1">{#N/A,#N/A,FALSE,"SCA";#N/A,#N/A,FALSE,"NCA";#N/A,#N/A,FALSE,"SAZ";#N/A,#N/A,FALSE,"CAZ";#N/A,#N/A,FALSE,"SNV";#N/A,#N/A,FALSE,"NNV";#N/A,#N/A,FALSE,"PP";#N/A,#N/A,FALSE,"SA"}</definedName>
    <definedName name="je" localSheetId="22" hidden="1">{#N/A,#N/A,FALSE,"SCA";#N/A,#N/A,FALSE,"NCA";#N/A,#N/A,FALSE,"SAZ";#N/A,#N/A,FALSE,"CAZ";#N/A,#N/A,FALSE,"SNV";#N/A,#N/A,FALSE,"NNV";#N/A,#N/A,FALSE,"PP";#N/A,#N/A,FALSE,"SA"}</definedName>
    <definedName name="je" localSheetId="23" hidden="1">{#N/A,#N/A,FALSE,"SCA";#N/A,#N/A,FALSE,"NCA";#N/A,#N/A,FALSE,"SAZ";#N/A,#N/A,FALSE,"CAZ";#N/A,#N/A,FALSE,"SNV";#N/A,#N/A,FALSE,"NNV";#N/A,#N/A,FALSE,"PP";#N/A,#N/A,FALSE,"SA"}</definedName>
    <definedName name="je" localSheetId="24" hidden="1">{#N/A,#N/A,FALSE,"SCA";#N/A,#N/A,FALSE,"NCA";#N/A,#N/A,FALSE,"SAZ";#N/A,#N/A,FALSE,"CAZ";#N/A,#N/A,FALSE,"SNV";#N/A,#N/A,FALSE,"NNV";#N/A,#N/A,FALSE,"PP";#N/A,#N/A,FALSE,"SA"}</definedName>
    <definedName name="je" hidden="1">{#N/A,#N/A,FALSE,"SCA";#N/A,#N/A,FALSE,"NCA";#N/A,#N/A,FALSE,"SAZ";#N/A,#N/A,FALSE,"CAZ";#N/A,#N/A,FALSE,"SNV";#N/A,#N/A,FALSE,"NNV";#N/A,#N/A,FALSE,"PP";#N/A,#N/A,FALSE,"SA"}</definedName>
    <definedName name="jhlkqFL" localSheetId="10" hidden="1">{"'Sheet1'!$A$1:$O$40"}</definedName>
    <definedName name="jhlkqFL" localSheetId="11" hidden="1">{"'Sheet1'!$A$1:$O$40"}</definedName>
    <definedName name="jhlkqFL" localSheetId="12" hidden="1">{"'Sheet1'!$A$1:$O$40"}</definedName>
    <definedName name="jhlkqFL" localSheetId="13" hidden="1">{"'Sheet1'!$A$1:$O$40"}</definedName>
    <definedName name="jhlkqFL" localSheetId="14" hidden="1">{"'Sheet1'!$A$1:$O$40"}</definedName>
    <definedName name="jhlkqFL" localSheetId="15" hidden="1">{"'Sheet1'!$A$1:$O$40"}</definedName>
    <definedName name="jhlkqFL" localSheetId="16" hidden="1">{"'Sheet1'!$A$1:$O$40"}</definedName>
    <definedName name="jhlkqFL" localSheetId="17" hidden="1">{"'Sheet1'!$A$1:$O$40"}</definedName>
    <definedName name="jhlkqFL" localSheetId="19" hidden="1">{"'Sheet1'!$A$1:$O$40"}</definedName>
    <definedName name="jhlkqFL" localSheetId="20" hidden="1">{"'Sheet1'!$A$1:$O$40"}</definedName>
    <definedName name="jhlkqFL" localSheetId="21" hidden="1">{"'Sheet1'!$A$1:$O$40"}</definedName>
    <definedName name="jhlkqFL" localSheetId="22" hidden="1">{"'Sheet1'!$A$1:$O$40"}</definedName>
    <definedName name="jhlkqFL" localSheetId="23" hidden="1">{"'Sheet1'!$A$1:$O$40"}</definedName>
    <definedName name="jhlkqFL" localSheetId="24" hidden="1">{"'Sheet1'!$A$1:$O$40"}</definedName>
    <definedName name="jhlkqFL" hidden="1">{"'Sheet1'!$A$1:$O$40"}</definedName>
    <definedName name="jkdf" localSheetId="10" hidden="1">#REF!</definedName>
    <definedName name="jkdf" localSheetId="11" hidden="1">#REF!</definedName>
    <definedName name="jkdf" localSheetId="12" hidden="1">#REF!</definedName>
    <definedName name="jkdf" localSheetId="14" hidden="1">#REF!</definedName>
    <definedName name="jkdf" localSheetId="15" hidden="1">#REF!</definedName>
    <definedName name="jkdf" localSheetId="21" hidden="1">#REF!</definedName>
    <definedName name="jkdf" localSheetId="22" hidden="1">#REF!</definedName>
    <definedName name="jkdf" localSheetId="23" hidden="1">#REF!</definedName>
    <definedName name="jkdf" localSheetId="24" hidden="1">#REF!</definedName>
    <definedName name="jkdf" hidden="1">#REF!</definedName>
    <definedName name="jkdsac" localSheetId="10" hidden="1">#REF!</definedName>
    <definedName name="jkdsac" localSheetId="11" hidden="1">#REF!</definedName>
    <definedName name="jkdsac" localSheetId="12" hidden="1">#REF!</definedName>
    <definedName name="jkdsac" localSheetId="14" hidden="1">#REF!</definedName>
    <definedName name="jkdsac" localSheetId="15" hidden="1">#REF!</definedName>
    <definedName name="jkdsac" localSheetId="21" hidden="1">#REF!</definedName>
    <definedName name="jkdsac" localSheetId="22" hidden="1">#REF!</definedName>
    <definedName name="jkdsac" localSheetId="23" hidden="1">#REF!</definedName>
    <definedName name="jkdsac" localSheetId="24" hidden="1">#REF!</definedName>
    <definedName name="jkdsac" hidden="1">#REF!</definedName>
    <definedName name="jkfoo" localSheetId="10" hidden="1">#REF!</definedName>
    <definedName name="jkfoo" localSheetId="11" hidden="1">#REF!</definedName>
    <definedName name="jkfoo" localSheetId="12" hidden="1">#REF!</definedName>
    <definedName name="jkfoo" localSheetId="14" hidden="1">#REF!</definedName>
    <definedName name="jkfoo" localSheetId="15" hidden="1">#REF!</definedName>
    <definedName name="jkfoo" localSheetId="21" hidden="1">#REF!</definedName>
    <definedName name="jkfoo" localSheetId="22" hidden="1">#REF!</definedName>
    <definedName name="jkfoo" localSheetId="23" hidden="1">#REF!</definedName>
    <definedName name="jkfoo" localSheetId="24" hidden="1">#REF!</definedName>
    <definedName name="jkfoo" hidden="1">#REF!</definedName>
    <definedName name="jseqf" localSheetId="10" hidden="1">#REF!</definedName>
    <definedName name="jseqf" localSheetId="11" hidden="1">#REF!</definedName>
    <definedName name="jseqf" localSheetId="12" hidden="1">#REF!</definedName>
    <definedName name="jseqf" localSheetId="14" hidden="1">#REF!</definedName>
    <definedName name="jseqf" localSheetId="15" hidden="1">#REF!</definedName>
    <definedName name="jseqf" localSheetId="21" hidden="1">#REF!</definedName>
    <definedName name="jseqf" localSheetId="22" hidden="1">#REF!</definedName>
    <definedName name="jseqf" localSheetId="23" hidden="1">#REF!</definedName>
    <definedName name="jseqf" localSheetId="24" hidden="1">#REF!</definedName>
    <definedName name="jseqf" hidden="1">#REF!</definedName>
    <definedName name="jz" localSheetId="10" hidden="1">#REF!</definedName>
    <definedName name="jz" localSheetId="11" hidden="1">#REF!</definedName>
    <definedName name="jz" localSheetId="12" hidden="1">#REF!</definedName>
    <definedName name="jz" localSheetId="14" hidden="1">#REF!</definedName>
    <definedName name="jz" localSheetId="15" hidden="1">#REF!</definedName>
    <definedName name="jz" localSheetId="21" hidden="1">#REF!</definedName>
    <definedName name="jz" localSheetId="22" hidden="1">#REF!</definedName>
    <definedName name="jz" localSheetId="23" hidden="1">#REF!</definedName>
    <definedName name="jz" localSheetId="24" hidden="1">#REF!</definedName>
    <definedName name="jz" hidden="1">#REF!</definedName>
    <definedName name="jzs" localSheetId="10" hidden="1">#REF!</definedName>
    <definedName name="jzs" localSheetId="11" hidden="1">#REF!</definedName>
    <definedName name="jzs" localSheetId="12" hidden="1">#REF!</definedName>
    <definedName name="jzs" localSheetId="14" hidden="1">#REF!</definedName>
    <definedName name="jzs" localSheetId="15" hidden="1">#REF!</definedName>
    <definedName name="jzs" localSheetId="21" hidden="1">#REF!</definedName>
    <definedName name="jzs" localSheetId="22" hidden="1">#REF!</definedName>
    <definedName name="jzs" localSheetId="23" hidden="1">#REF!</definedName>
    <definedName name="jzs" localSheetId="24" hidden="1">#REF!</definedName>
    <definedName name="jzs" hidden="1">#REF!</definedName>
    <definedName name="k" localSheetId="10" hidden="1">#REF!</definedName>
    <definedName name="k" localSheetId="11" hidden="1">#REF!</definedName>
    <definedName name="k" localSheetId="12" hidden="1">#REF!</definedName>
    <definedName name="k" localSheetId="14" hidden="1">#REF!</definedName>
    <definedName name="k" localSheetId="15" hidden="1">#REF!</definedName>
    <definedName name="k" localSheetId="21" hidden="1">#REF!</definedName>
    <definedName name="k" localSheetId="22" hidden="1">#REF!</definedName>
    <definedName name="k" localSheetId="23" hidden="1">#REF!</definedName>
    <definedName name="k" localSheetId="24" hidden="1">#REF!</definedName>
    <definedName name="k" hidden="1">#REF!</definedName>
    <definedName name="K2_WBEVMODE" hidden="1">0</definedName>
    <definedName name="kal" localSheetId="10" hidden="1">#REF!</definedName>
    <definedName name="kal" localSheetId="11" hidden="1">#REF!</definedName>
    <definedName name="kal" localSheetId="12" hidden="1">#REF!</definedName>
    <definedName name="kal" localSheetId="14" hidden="1">#REF!</definedName>
    <definedName name="kal" localSheetId="15" hidden="1">#REF!</definedName>
    <definedName name="kal" localSheetId="21" hidden="1">#REF!</definedName>
    <definedName name="kal" localSheetId="22" hidden="1">#REF!</definedName>
    <definedName name="kal" localSheetId="23" hidden="1">#REF!</definedName>
    <definedName name="kal" localSheetId="24" hidden="1">#REF!</definedName>
    <definedName name="kal" hidden="1">#REF!</definedName>
    <definedName name="kaw" localSheetId="10" hidden="1">#REF!</definedName>
    <definedName name="kaw" localSheetId="11" hidden="1">#REF!</definedName>
    <definedName name="kaw" localSheetId="12" hidden="1">#REF!</definedName>
    <definedName name="kaw" localSheetId="14" hidden="1">#REF!</definedName>
    <definedName name="kaw" localSheetId="15" hidden="1">#REF!</definedName>
    <definedName name="kaw" localSheetId="21" hidden="1">#REF!</definedName>
    <definedName name="kaw" localSheetId="22" hidden="1">#REF!</definedName>
    <definedName name="kaw" localSheetId="23" hidden="1">#REF!</definedName>
    <definedName name="kaw" localSheetId="24" hidden="1">#REF!</definedName>
    <definedName name="kaw" hidden="1">#REF!</definedName>
    <definedName name="kdkd" localSheetId="10" hidden="1">#REF!</definedName>
    <definedName name="kdkd" localSheetId="11" hidden="1">#REF!</definedName>
    <definedName name="kdkd" localSheetId="12" hidden="1">#REF!</definedName>
    <definedName name="kdkd" localSheetId="14" hidden="1">#REF!</definedName>
    <definedName name="kdkd" localSheetId="15" hidden="1">#REF!</definedName>
    <definedName name="kdkd" localSheetId="19" hidden="1">#REF!</definedName>
    <definedName name="kdkd" localSheetId="21" hidden="1">#REF!</definedName>
    <definedName name="kdkd" localSheetId="22" hidden="1">#REF!</definedName>
    <definedName name="kdkd" localSheetId="23" hidden="1">#REF!</definedName>
    <definedName name="kdkd" localSheetId="24" hidden="1">#REF!</definedName>
    <definedName name="kdkd" hidden="1">#REF!</definedName>
    <definedName name="kdkjrt" localSheetId="10" hidden="1">#REF!</definedName>
    <definedName name="kdkjrt" localSheetId="11" hidden="1">#REF!</definedName>
    <definedName name="kdkjrt" localSheetId="12" hidden="1">#REF!</definedName>
    <definedName name="kdkjrt" localSheetId="14" hidden="1">#REF!</definedName>
    <definedName name="kdkjrt" localSheetId="15" hidden="1">#REF!</definedName>
    <definedName name="kdkjrt" localSheetId="21" hidden="1">#REF!</definedName>
    <definedName name="kdkjrt" localSheetId="22" hidden="1">#REF!</definedName>
    <definedName name="kdkjrt" localSheetId="23" hidden="1">#REF!</definedName>
    <definedName name="kdkjrt" localSheetId="24" hidden="1">#REF!</definedName>
    <definedName name="kdkjrt" hidden="1">#REF!</definedName>
    <definedName name="kdsfj" localSheetId="10" hidden="1">#REF!</definedName>
    <definedName name="kdsfj" localSheetId="11" hidden="1">#REF!</definedName>
    <definedName name="kdsfj" localSheetId="12" hidden="1">#REF!</definedName>
    <definedName name="kdsfj" localSheetId="14" hidden="1">#REF!</definedName>
    <definedName name="kdsfj" localSheetId="15" hidden="1">#REF!</definedName>
    <definedName name="kdsfj" localSheetId="21" hidden="1">#REF!</definedName>
    <definedName name="kdsfj" localSheetId="22" hidden="1">#REF!</definedName>
    <definedName name="kdsfj" localSheetId="23" hidden="1">#REF!</definedName>
    <definedName name="kdsfj" localSheetId="24" hidden="1">#REF!</definedName>
    <definedName name="kdsfj" hidden="1">#REF!</definedName>
    <definedName name="kfdlsg" localSheetId="10" hidden="1">#REF!</definedName>
    <definedName name="kfdlsg" localSheetId="11" hidden="1">#REF!</definedName>
    <definedName name="kfdlsg" localSheetId="12" hidden="1">#REF!</definedName>
    <definedName name="kfdlsg" localSheetId="14" hidden="1">#REF!</definedName>
    <definedName name="kfdlsg" localSheetId="15" hidden="1">#REF!</definedName>
    <definedName name="kfdlsg" localSheetId="21" hidden="1">#REF!</definedName>
    <definedName name="kfdlsg" localSheetId="22" hidden="1">#REF!</definedName>
    <definedName name="kfdlsg" localSheetId="23" hidden="1">#REF!</definedName>
    <definedName name="kfdlsg" localSheetId="24" hidden="1">#REF!</definedName>
    <definedName name="kfdlsg" hidden="1">#REF!</definedName>
    <definedName name="kfkf" localSheetId="10" hidden="1">#REF!</definedName>
    <definedName name="kfkf" localSheetId="11" hidden="1">#REF!</definedName>
    <definedName name="kfkf" localSheetId="12" hidden="1">#REF!</definedName>
    <definedName name="kfkf" localSheetId="14" hidden="1">#REF!</definedName>
    <definedName name="kfkf" localSheetId="15" hidden="1">#REF!</definedName>
    <definedName name="kfkf" localSheetId="21" hidden="1">#REF!</definedName>
    <definedName name="kfkf" localSheetId="22" hidden="1">#REF!</definedName>
    <definedName name="kfkf" localSheetId="23" hidden="1">#REF!</definedName>
    <definedName name="kfkf" localSheetId="24" hidden="1">#REF!</definedName>
    <definedName name="kfkf" hidden="1">#REF!</definedName>
    <definedName name="kfkfkf" localSheetId="10" hidden="1">#REF!</definedName>
    <definedName name="kfkfkf" localSheetId="11" hidden="1">#REF!</definedName>
    <definedName name="kfkfkf" localSheetId="12" hidden="1">#REF!</definedName>
    <definedName name="kfkfkf" localSheetId="14" hidden="1">#REF!</definedName>
    <definedName name="kfkfkf" localSheetId="15" hidden="1">#REF!</definedName>
    <definedName name="kfkfkf" localSheetId="21" hidden="1">#REF!</definedName>
    <definedName name="kfkfkf" localSheetId="22" hidden="1">#REF!</definedName>
    <definedName name="kfkfkf" localSheetId="23" hidden="1">#REF!</definedName>
    <definedName name="kfkfkf" localSheetId="24" hidden="1">#REF!</definedName>
    <definedName name="kfkfkf" hidden="1">#REF!</definedName>
    <definedName name="kfkfkfkf" localSheetId="10" hidden="1">#REF!</definedName>
    <definedName name="kfkfkfkf" localSheetId="11" hidden="1">#REF!</definedName>
    <definedName name="kfkfkfkf" localSheetId="12" hidden="1">#REF!</definedName>
    <definedName name="kfkfkfkf" localSheetId="14" hidden="1">#REF!</definedName>
    <definedName name="kfkfkfkf" localSheetId="15" hidden="1">#REF!</definedName>
    <definedName name="kfkfkfkf" localSheetId="21" hidden="1">#REF!</definedName>
    <definedName name="kfkfkfkf" localSheetId="22" hidden="1">#REF!</definedName>
    <definedName name="kfkfkfkf" localSheetId="23" hidden="1">#REF!</definedName>
    <definedName name="kfkfkfkf" localSheetId="24" hidden="1">#REF!</definedName>
    <definedName name="kfkfkfkf" hidden="1">#REF!</definedName>
    <definedName name="kfkfkfl" localSheetId="10" hidden="1">#REF!</definedName>
    <definedName name="kfkfkfl" localSheetId="11" hidden="1">#REF!</definedName>
    <definedName name="kfkfkfl" localSheetId="12" hidden="1">#REF!</definedName>
    <definedName name="kfkfkfl" localSheetId="14" hidden="1">#REF!</definedName>
    <definedName name="kfkfkfl" localSheetId="15" hidden="1">#REF!</definedName>
    <definedName name="kfkfkfl" localSheetId="21" hidden="1">#REF!</definedName>
    <definedName name="kfkfkfl" localSheetId="22" hidden="1">#REF!</definedName>
    <definedName name="kfkfkfl" localSheetId="23" hidden="1">#REF!</definedName>
    <definedName name="kfkfkfl" localSheetId="24" hidden="1">#REF!</definedName>
    <definedName name="kfkfkfl" hidden="1">#REF!</definedName>
    <definedName name="kfkfksm" localSheetId="10" hidden="1">#REF!</definedName>
    <definedName name="kfkfksm" localSheetId="11" hidden="1">#REF!</definedName>
    <definedName name="kfkfksm" localSheetId="12" hidden="1">#REF!</definedName>
    <definedName name="kfkfksm" localSheetId="14" hidden="1">#REF!</definedName>
    <definedName name="kfkfksm" localSheetId="15" hidden="1">#REF!</definedName>
    <definedName name="kfkfksm" localSheetId="21" hidden="1">#REF!</definedName>
    <definedName name="kfkfksm" localSheetId="22" hidden="1">#REF!</definedName>
    <definedName name="kfkfksm" localSheetId="23" hidden="1">#REF!</definedName>
    <definedName name="kfkfksm" localSheetId="24" hidden="1">#REF!</definedName>
    <definedName name="kfkfksm" hidden="1">#REF!</definedName>
    <definedName name="kiujh" localSheetId="10" hidden="1">#REF!</definedName>
    <definedName name="kiujh" localSheetId="11" hidden="1">#REF!</definedName>
    <definedName name="kiujh" localSheetId="12" hidden="1">#REF!</definedName>
    <definedName name="kiujh" localSheetId="14" hidden="1">#REF!</definedName>
    <definedName name="kiujh" localSheetId="15" hidden="1">#REF!</definedName>
    <definedName name="kiujh" localSheetId="21" hidden="1">#REF!</definedName>
    <definedName name="kiujh" localSheetId="22" hidden="1">#REF!</definedName>
    <definedName name="kiujh" localSheetId="23" hidden="1">#REF!</definedName>
    <definedName name="kiujh" localSheetId="24" hidden="1">#REF!</definedName>
    <definedName name="kiujh" hidden="1">#REF!</definedName>
    <definedName name="kjfjffnnf" localSheetId="10" hidden="1">#REF!</definedName>
    <definedName name="kjfjffnnf" localSheetId="11" hidden="1">#REF!</definedName>
    <definedName name="kjfjffnnf" localSheetId="12" hidden="1">#REF!</definedName>
    <definedName name="kjfjffnnf" localSheetId="14" hidden="1">#REF!</definedName>
    <definedName name="kjfjffnnf" localSheetId="15" hidden="1">#REF!</definedName>
    <definedName name="kjfjffnnf" localSheetId="21" hidden="1">#REF!</definedName>
    <definedName name="kjfjffnnf" localSheetId="22" hidden="1">#REF!</definedName>
    <definedName name="kjfjffnnf" localSheetId="23" hidden="1">#REF!</definedName>
    <definedName name="kjfjffnnf" localSheetId="24" hidden="1">#REF!</definedName>
    <definedName name="kjfjffnnf" hidden="1">#REF!</definedName>
    <definedName name="kjhg" localSheetId="10" hidden="1">#REF!</definedName>
    <definedName name="kjhg" localSheetId="11" hidden="1">#REF!</definedName>
    <definedName name="kjhg" localSheetId="12" hidden="1">#REF!</definedName>
    <definedName name="kjhg" localSheetId="14" hidden="1">#REF!</definedName>
    <definedName name="kjhg" localSheetId="15" hidden="1">#REF!</definedName>
    <definedName name="kjhg" localSheetId="21" hidden="1">#REF!</definedName>
    <definedName name="kjhg" localSheetId="22" hidden="1">#REF!</definedName>
    <definedName name="kjhg" localSheetId="23" hidden="1">#REF!</definedName>
    <definedName name="kjhg" localSheetId="24" hidden="1">#REF!</definedName>
    <definedName name="kjhg" hidden="1">#REF!</definedName>
    <definedName name="kjhgf" localSheetId="10" hidden="1">#REF!</definedName>
    <definedName name="kjhgf" localSheetId="11" hidden="1">#REF!</definedName>
    <definedName name="kjhgf" localSheetId="12" hidden="1">#REF!</definedName>
    <definedName name="kjhgf" localSheetId="14" hidden="1">#REF!</definedName>
    <definedName name="kjhgf" localSheetId="15" hidden="1">#REF!</definedName>
    <definedName name="kjhgf" localSheetId="21" hidden="1">#REF!</definedName>
    <definedName name="kjhgf" localSheetId="22" hidden="1">#REF!</definedName>
    <definedName name="kjhgf" localSheetId="23" hidden="1">#REF!</definedName>
    <definedName name="kjhgf" localSheetId="24" hidden="1">#REF!</definedName>
    <definedName name="kjhgf" hidden="1">#REF!</definedName>
    <definedName name="kjk" localSheetId="12" hidden="1">'[1]Plant in Ser'!#REF!</definedName>
    <definedName name="kjk" localSheetId="13" hidden="1">'[1]Plant in Ser'!#REF!</definedName>
    <definedName name="kjk" localSheetId="14" hidden="1">'[1]Plant in Ser'!#REF!</definedName>
    <definedName name="kjk" localSheetId="15" hidden="1">#REF!</definedName>
    <definedName name="kjk" hidden="1">'[1]Plant in Ser'!#REF!</definedName>
    <definedName name="kjzd" localSheetId="10" hidden="1">#REF!</definedName>
    <definedName name="kjzd" localSheetId="11" hidden="1">#REF!</definedName>
    <definedName name="kjzd" localSheetId="12" hidden="1">#REF!</definedName>
    <definedName name="kjzd" localSheetId="14" hidden="1">#REF!</definedName>
    <definedName name="kjzd" localSheetId="15" hidden="1">#REF!</definedName>
    <definedName name="kjzd" localSheetId="21" hidden="1">#REF!</definedName>
    <definedName name="kjzd" localSheetId="22" hidden="1">#REF!</definedName>
    <definedName name="kjzd" localSheetId="23" hidden="1">#REF!</definedName>
    <definedName name="kjzd" localSheetId="24" hidden="1">#REF!</definedName>
    <definedName name="kjzd" hidden="1">#REF!</definedName>
    <definedName name="kkkkk" localSheetId="10" hidden="1">#REF!</definedName>
    <definedName name="kkkkk" localSheetId="11" hidden="1">#REF!</definedName>
    <definedName name="kkkkk" localSheetId="12" hidden="1">#REF!</definedName>
    <definedName name="kkkkk" localSheetId="14" hidden="1">#REF!</definedName>
    <definedName name="kkkkk" localSheetId="15" hidden="1">#REF!</definedName>
    <definedName name="kkkkk" localSheetId="21" hidden="1">#REF!</definedName>
    <definedName name="kkkkk" localSheetId="22" hidden="1">#REF!</definedName>
    <definedName name="kkkkk" localSheetId="23" hidden="1">#REF!</definedName>
    <definedName name="kkkkk" localSheetId="24" hidden="1">#REF!</definedName>
    <definedName name="kkkkk" hidden="1">#REF!</definedName>
    <definedName name="kldk" localSheetId="10" hidden="1">#REF!</definedName>
    <definedName name="kldk" localSheetId="11" hidden="1">#REF!</definedName>
    <definedName name="kldk" localSheetId="12" hidden="1">#REF!</definedName>
    <definedName name="kldk" localSheetId="14" hidden="1">#REF!</definedName>
    <definedName name="kldk" localSheetId="15" hidden="1">#REF!</definedName>
    <definedName name="kldk" localSheetId="21" hidden="1">#REF!</definedName>
    <definedName name="kldk" localSheetId="22" hidden="1">#REF!</definedName>
    <definedName name="kldk" localSheetId="23" hidden="1">#REF!</definedName>
    <definedName name="kldk" localSheetId="24" hidden="1">#REF!</definedName>
    <definedName name="kldk" hidden="1">#REF!</definedName>
    <definedName name="klfeqw" localSheetId="10" hidden="1">#REF!</definedName>
    <definedName name="klfeqw" localSheetId="11" hidden="1">#REF!</definedName>
    <definedName name="klfeqw" localSheetId="12" hidden="1">#REF!</definedName>
    <definedName name="klfeqw" localSheetId="14" hidden="1">#REF!</definedName>
    <definedName name="klfeqw" localSheetId="15" hidden="1">#REF!</definedName>
    <definedName name="klfeqw" localSheetId="21" hidden="1">#REF!</definedName>
    <definedName name="klfeqw" localSheetId="22" hidden="1">#REF!</definedName>
    <definedName name="klfeqw" localSheetId="23" hidden="1">#REF!</definedName>
    <definedName name="klfeqw" localSheetId="24" hidden="1">#REF!</definedName>
    <definedName name="klfeqw" hidden="1">#REF!</definedName>
    <definedName name="kqwh" localSheetId="10" hidden="1">#REF!</definedName>
    <definedName name="kqwh" localSheetId="11" hidden="1">#REF!</definedName>
    <definedName name="kqwh" localSheetId="12" hidden="1">#REF!</definedName>
    <definedName name="kqwh" localSheetId="14" hidden="1">#REF!</definedName>
    <definedName name="kqwh" localSheetId="15" hidden="1">#REF!</definedName>
    <definedName name="kqwh" localSheetId="21" hidden="1">#REF!</definedName>
    <definedName name="kqwh" localSheetId="22" hidden="1">#REF!</definedName>
    <definedName name="kqwh" localSheetId="23" hidden="1">#REF!</definedName>
    <definedName name="kqwh" localSheetId="24" hidden="1">#REF!</definedName>
    <definedName name="kqwh" hidden="1">#REF!</definedName>
    <definedName name="ksadfl" localSheetId="10" hidden="1">#REF!</definedName>
    <definedName name="ksadfl" localSheetId="11" hidden="1">#REF!</definedName>
    <definedName name="ksadfl" localSheetId="12" hidden="1">#REF!</definedName>
    <definedName name="ksadfl" localSheetId="14" hidden="1">#REF!</definedName>
    <definedName name="ksadfl" localSheetId="15" hidden="1">#REF!</definedName>
    <definedName name="ksadfl" localSheetId="21" hidden="1">#REF!</definedName>
    <definedName name="ksadfl" localSheetId="22" hidden="1">#REF!</definedName>
    <definedName name="ksadfl" localSheetId="23" hidden="1">#REF!</definedName>
    <definedName name="ksadfl" localSheetId="24" hidden="1">#REF!</definedName>
    <definedName name="ksadfl" hidden="1">#REF!</definedName>
    <definedName name="kw" localSheetId="10" hidden="1">#REF!</definedName>
    <definedName name="kw" localSheetId="11" hidden="1">#REF!</definedName>
    <definedName name="kw" localSheetId="12" hidden="1">#REF!</definedName>
    <definedName name="kw" localSheetId="14" hidden="1">#REF!</definedName>
    <definedName name="kw" localSheetId="15" hidden="1">#REF!</definedName>
    <definedName name="kw" localSheetId="21" hidden="1">#REF!</definedName>
    <definedName name="kw" localSheetId="22" hidden="1">#REF!</definedName>
    <definedName name="kw" localSheetId="23" hidden="1">#REF!</definedName>
    <definedName name="kw" localSheetId="24" hidden="1">#REF!</definedName>
    <definedName name="kw" hidden="1">#REF!</definedName>
    <definedName name="kz" localSheetId="10" hidden="1">#REF!</definedName>
    <definedName name="kz" localSheetId="11" hidden="1">#REF!</definedName>
    <definedName name="kz" localSheetId="12" hidden="1">#REF!</definedName>
    <definedName name="kz" localSheetId="14" hidden="1">#REF!</definedName>
    <definedName name="kz" localSheetId="15" hidden="1">#REF!</definedName>
    <definedName name="kz" localSheetId="21" hidden="1">#REF!</definedName>
    <definedName name="kz" localSheetId="22" hidden="1">#REF!</definedName>
    <definedName name="kz" localSheetId="23" hidden="1">#REF!</definedName>
    <definedName name="kz" localSheetId="24" hidden="1">#REF!</definedName>
    <definedName name="kz" hidden="1">#REF!</definedName>
    <definedName name="l" localSheetId="10" hidden="1">#REF!</definedName>
    <definedName name="l" localSheetId="11" hidden="1">#REF!</definedName>
    <definedName name="l" localSheetId="12" hidden="1">#REF!</definedName>
    <definedName name="l" localSheetId="14" hidden="1">#REF!</definedName>
    <definedName name="l" localSheetId="15" hidden="1">#REF!</definedName>
    <definedName name="l" localSheetId="21" hidden="1">#REF!</definedName>
    <definedName name="l" localSheetId="22" hidden="1">#REF!</definedName>
    <definedName name="l" localSheetId="23" hidden="1">#REF!</definedName>
    <definedName name="l" localSheetId="24" hidden="1">#REF!</definedName>
    <definedName name="l" hidden="1">#REF!</definedName>
    <definedName name="lfkfjnn" localSheetId="10" hidden="1">#REF!</definedName>
    <definedName name="lfkfjnn" localSheetId="11" hidden="1">#REF!</definedName>
    <definedName name="lfkfjnn" localSheetId="12" hidden="1">#REF!</definedName>
    <definedName name="lfkfjnn" localSheetId="14" hidden="1">#REF!</definedName>
    <definedName name="lfkfjnn" localSheetId="15" hidden="1">#REF!</definedName>
    <definedName name="lfkfjnn" localSheetId="21" hidden="1">#REF!</definedName>
    <definedName name="lfkfjnn" localSheetId="22" hidden="1">#REF!</definedName>
    <definedName name="lfkfjnn" localSheetId="23" hidden="1">#REF!</definedName>
    <definedName name="lfkfjnn" localSheetId="24" hidden="1">#REF!</definedName>
    <definedName name="lfkfjnn" hidden="1">#REF!</definedName>
    <definedName name="limcount" hidden="1">1</definedName>
    <definedName name="ListOffset" hidden="1">1</definedName>
    <definedName name="lkajsdfg" localSheetId="10" hidden="1">#REF!</definedName>
    <definedName name="lkajsdfg" localSheetId="11" hidden="1">#REF!</definedName>
    <definedName name="lkajsdfg" localSheetId="12" hidden="1">#REF!</definedName>
    <definedName name="lkajsdfg" localSheetId="14" hidden="1">#REF!</definedName>
    <definedName name="lkajsdfg" localSheetId="15" hidden="1">#REF!</definedName>
    <definedName name="lkajsdfg" localSheetId="16" hidden="1">#REF!</definedName>
    <definedName name="lkajsdfg" localSheetId="17" hidden="1">#REF!</definedName>
    <definedName name="lkajsdfg" localSheetId="21" hidden="1">#REF!</definedName>
    <definedName name="lkajsdfg" localSheetId="22" hidden="1">#REF!</definedName>
    <definedName name="lkajsdfg" localSheetId="23" hidden="1">#REF!</definedName>
    <definedName name="lkajsdfg" localSheetId="24" hidden="1">#REF!</definedName>
    <definedName name="lkajsdfg" hidden="1">#REF!</definedName>
    <definedName name="lkjh" localSheetId="10" hidden="1">#REF!</definedName>
    <definedName name="lkjh" localSheetId="11" hidden="1">#REF!</definedName>
    <definedName name="lkjh" localSheetId="12" hidden="1">#REF!</definedName>
    <definedName name="lkjh" localSheetId="14" hidden="1">#REF!</definedName>
    <definedName name="lkjh" localSheetId="15" hidden="1">#REF!</definedName>
    <definedName name="lkjh" localSheetId="21" hidden="1">#REF!</definedName>
    <definedName name="lkjh" localSheetId="22" hidden="1">#REF!</definedName>
    <definedName name="lkjh" localSheetId="23" hidden="1">#REF!</definedName>
    <definedName name="lkjh" localSheetId="24" hidden="1">#REF!</definedName>
    <definedName name="lkjh" hidden="1">#REF!</definedName>
    <definedName name="lkohsvd" localSheetId="10" hidden="1">#REF!</definedName>
    <definedName name="lkohsvd" localSheetId="11" hidden="1">#REF!</definedName>
    <definedName name="lkohsvd" localSheetId="12" hidden="1">#REF!</definedName>
    <definedName name="lkohsvd" localSheetId="14" hidden="1">#REF!</definedName>
    <definedName name="lkohsvd" localSheetId="15" hidden="1">#REF!</definedName>
    <definedName name="lkohsvd" localSheetId="21" hidden="1">#REF!</definedName>
    <definedName name="lkohsvd" localSheetId="22" hidden="1">#REF!</definedName>
    <definedName name="lkohsvd" localSheetId="23" hidden="1">#REF!</definedName>
    <definedName name="lkohsvd" localSheetId="24" hidden="1">#REF!</definedName>
    <definedName name="lkohsvd" hidden="1">#REF!</definedName>
    <definedName name="llllllllll" localSheetId="10" hidden="1">#REF!</definedName>
    <definedName name="llllllllll" localSheetId="11" hidden="1">#REF!</definedName>
    <definedName name="llllllllll" localSheetId="12" hidden="1">#REF!</definedName>
    <definedName name="llllllllll" localSheetId="14" hidden="1">#REF!</definedName>
    <definedName name="llllllllll" localSheetId="15" hidden="1">#REF!</definedName>
    <definedName name="llllllllll" localSheetId="21" hidden="1">#REF!</definedName>
    <definedName name="llllllllll" localSheetId="22" hidden="1">#REF!</definedName>
    <definedName name="llllllllll" localSheetId="23" hidden="1">#REF!</definedName>
    <definedName name="llllllllll" localSheetId="24" hidden="1">#REF!</definedName>
    <definedName name="llllllllll" hidden="1">#REF!</definedName>
    <definedName name="loke" localSheetId="10" hidden="1">#REF!</definedName>
    <definedName name="loke" localSheetId="11" hidden="1">#REF!</definedName>
    <definedName name="loke" localSheetId="12" hidden="1">#REF!</definedName>
    <definedName name="loke" localSheetId="14" hidden="1">#REF!</definedName>
    <definedName name="loke" localSheetId="15" hidden="1">#REF!</definedName>
    <definedName name="loke" localSheetId="21" hidden="1">#REF!</definedName>
    <definedName name="loke" localSheetId="22" hidden="1">#REF!</definedName>
    <definedName name="loke" localSheetId="23" hidden="1">#REF!</definedName>
    <definedName name="loke" localSheetId="24" hidden="1">#REF!</definedName>
    <definedName name="loke" hidden="1">#REF!</definedName>
    <definedName name="lpoicea" localSheetId="10" hidden="1">#REF!</definedName>
    <definedName name="lpoicea" localSheetId="11" hidden="1">#REF!</definedName>
    <definedName name="lpoicea" localSheetId="12" hidden="1">#REF!</definedName>
    <definedName name="lpoicea" localSheetId="14" hidden="1">#REF!</definedName>
    <definedName name="lpoicea" localSheetId="15" hidden="1">#REF!</definedName>
    <definedName name="lpoicea" localSheetId="21" hidden="1">#REF!</definedName>
    <definedName name="lpoicea" localSheetId="22" hidden="1">#REF!</definedName>
    <definedName name="lpoicea" localSheetId="23" hidden="1">#REF!</definedName>
    <definedName name="lpoicea" localSheetId="24" hidden="1">#REF!</definedName>
    <definedName name="lpoicea" hidden="1">#REF!</definedName>
    <definedName name="ls"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mlaw" localSheetId="10" hidden="1">#REF!</definedName>
    <definedName name="mlaw" localSheetId="11" hidden="1">#REF!</definedName>
    <definedName name="mlaw" localSheetId="12" hidden="1">#REF!</definedName>
    <definedName name="mlaw" localSheetId="14" hidden="1">#REF!</definedName>
    <definedName name="mlaw" localSheetId="15" hidden="1">#REF!</definedName>
    <definedName name="mlaw" localSheetId="16" hidden="1">#REF!</definedName>
    <definedName name="mlaw" localSheetId="17" hidden="1">#REF!</definedName>
    <definedName name="mlaw" localSheetId="21" hidden="1">#REF!</definedName>
    <definedName name="mlaw" localSheetId="22" hidden="1">#REF!</definedName>
    <definedName name="mlaw" localSheetId="23" hidden="1">#REF!</definedName>
    <definedName name="mlaw" localSheetId="24" hidden="1">#REF!</definedName>
    <definedName name="mlaw" hidden="1">#REF!</definedName>
    <definedName name="mnbv" localSheetId="10" hidden="1">#REF!</definedName>
    <definedName name="mnbv" localSheetId="11" hidden="1">#REF!</definedName>
    <definedName name="mnbv" localSheetId="12" hidden="1">#REF!</definedName>
    <definedName name="mnbv" localSheetId="14" hidden="1">#REF!</definedName>
    <definedName name="mnbv" localSheetId="15" hidden="1">#REF!</definedName>
    <definedName name="mnbv" localSheetId="21" hidden="1">#REF!</definedName>
    <definedName name="mnbv" localSheetId="22" hidden="1">#REF!</definedName>
    <definedName name="mnbv" localSheetId="23" hidden="1">#REF!</definedName>
    <definedName name="mnbv" localSheetId="24" hidden="1">#REF!</definedName>
    <definedName name="mnbv" hidden="1">#REF!</definedName>
    <definedName name="mnkp" localSheetId="10" hidden="1">#REF!</definedName>
    <definedName name="mnkp" localSheetId="11" hidden="1">#REF!</definedName>
    <definedName name="mnkp" localSheetId="12" hidden="1">#REF!</definedName>
    <definedName name="mnkp" localSheetId="14" hidden="1">#REF!</definedName>
    <definedName name="mnkp" localSheetId="15" hidden="1">#REF!</definedName>
    <definedName name="mnkp" localSheetId="21" hidden="1">#REF!</definedName>
    <definedName name="mnkp" localSheetId="22" hidden="1">#REF!</definedName>
    <definedName name="mnkp" localSheetId="23" hidden="1">#REF!</definedName>
    <definedName name="mnkp" localSheetId="24" hidden="1">#REF!</definedName>
    <definedName name="mnkp" hidden="1">#REF!</definedName>
    <definedName name="mo" localSheetId="10" hidden="1">#REF!</definedName>
    <definedName name="mo" localSheetId="11" hidden="1">#REF!</definedName>
    <definedName name="mo" localSheetId="12" hidden="1">#REF!</definedName>
    <definedName name="mo" localSheetId="14" hidden="1">#REF!</definedName>
    <definedName name="mo" localSheetId="15" hidden="1">#REF!</definedName>
    <definedName name="mo" localSheetId="21" hidden="1">#REF!</definedName>
    <definedName name="mo" localSheetId="22" hidden="1">#REF!</definedName>
    <definedName name="mo" localSheetId="23" hidden="1">#REF!</definedName>
    <definedName name="mo" localSheetId="24" hidden="1">#REF!</definedName>
    <definedName name="mo" hidden="1">#REF!</definedName>
    <definedName name="mol" localSheetId="10" hidden="1">#REF!</definedName>
    <definedName name="mol" localSheetId="11" hidden="1">#REF!</definedName>
    <definedName name="mol" localSheetId="12" hidden="1">#REF!</definedName>
    <definedName name="mol" localSheetId="14" hidden="1">#REF!</definedName>
    <definedName name="mol" localSheetId="15" hidden="1">#REF!</definedName>
    <definedName name="mol" localSheetId="21" hidden="1">#REF!</definedName>
    <definedName name="mol" localSheetId="22" hidden="1">#REF!</definedName>
    <definedName name="mol" localSheetId="23" hidden="1">#REF!</definedName>
    <definedName name="mol" localSheetId="24" hidden="1">#REF!</definedName>
    <definedName name="mol" hidden="1">#REF!</definedName>
    <definedName name="molp" localSheetId="10" hidden="1">#REF!</definedName>
    <definedName name="molp" localSheetId="11" hidden="1">#REF!</definedName>
    <definedName name="molp" localSheetId="12" hidden="1">#REF!</definedName>
    <definedName name="molp" localSheetId="14" hidden="1">#REF!</definedName>
    <definedName name="molp" localSheetId="15" hidden="1">#REF!</definedName>
    <definedName name="molp" localSheetId="21" hidden="1">#REF!</definedName>
    <definedName name="molp" localSheetId="22" hidden="1">#REF!</definedName>
    <definedName name="molp" localSheetId="23" hidden="1">#REF!</definedName>
    <definedName name="molp" localSheetId="24" hidden="1">#REF!</definedName>
    <definedName name="molp" hidden="1">#REF!</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DA" localSheetId="12" hidden="1">{"caz2",#N/A,FALSE,"Central Arizona 2";"saz2",#N/A,FALSE,"Southern Arizona 2";"snv2",#N/A,FALSE,"Southern Nevada 2";"nnv2",#N/A,FALSE,"Northern Nevada 2";"sca2",#N/A,FALSE,"Southern California 2";"nca2",#N/A,FALSE,"Northern California 2";"pai2",#N/A,FALSE,"Paiute 2"}</definedName>
    <definedName name="NADA" localSheetId="13" hidden="1">{"caz2",#N/A,FALSE,"Central Arizona 2";"saz2",#N/A,FALSE,"Southern Arizona 2";"snv2",#N/A,FALSE,"Southern Nevada 2";"nnv2",#N/A,FALSE,"Northern Nevada 2";"sca2",#N/A,FALSE,"Southern California 2";"nca2",#N/A,FALSE,"Northern California 2";"pai2",#N/A,FALSE,"Paiute 2"}</definedName>
    <definedName name="NADA" localSheetId="14" hidden="1">{"caz2",#N/A,FALSE,"Central Arizona 2";"saz2",#N/A,FALSE,"Southern Arizona 2";"snv2",#N/A,FALSE,"Southern Nevada 2";"nnv2",#N/A,FALSE,"Northern Nevada 2";"sca2",#N/A,FALSE,"Southern California 2";"nca2",#N/A,FALSE,"Northern California 2";"pai2",#N/A,FALSE,"Paiute 2"}</definedName>
    <definedName name="NADA" localSheetId="15" hidden="1">{"caz2",#N/A,FALSE,"Central Arizona 2";"saz2",#N/A,FALSE,"Southern Arizona 2";"snv2",#N/A,FALSE,"Southern Nevada 2";"nnv2",#N/A,FALSE,"Northern Nevada 2";"sca2",#N/A,FALSE,"Southern California 2";"nca2",#N/A,FALSE,"Northern California 2";"pai2",#N/A,FALSE,"Paiute 2"}</definedName>
    <definedName name="NADA" localSheetId="16" hidden="1">{"caz2",#N/A,FALSE,"Central Arizona 2";"saz2",#N/A,FALSE,"Southern Arizona 2";"snv2",#N/A,FALSE,"Southern Nevada 2";"nnv2",#N/A,FALSE,"Northern Nevada 2";"sca2",#N/A,FALSE,"Southern California 2";"nca2",#N/A,FALSE,"Northern California 2";"pai2",#N/A,FALSE,"Paiute 2"}</definedName>
    <definedName name="NADA" localSheetId="17" hidden="1">{"caz2",#N/A,FALSE,"Central Arizona 2";"saz2",#N/A,FALSE,"Southern Arizona 2";"snv2",#N/A,FALSE,"Southern Nevada 2";"nnv2",#N/A,FALSE,"Northern Nevada 2";"sca2",#N/A,FALSE,"Southern California 2";"nca2",#N/A,FALSE,"Northern California 2";"pai2",#N/A,FALSE,"Paiute 2"}</definedName>
    <definedName name="NADA" localSheetId="19" hidden="1">{"caz2",#N/A,FALSE,"Central Arizona 2";"saz2",#N/A,FALSE,"Southern Arizona 2";"snv2",#N/A,FALSE,"Southern Nevada 2";"nnv2",#N/A,FALSE,"Northern Nevada 2";"sca2",#N/A,FALSE,"Southern California 2";"nca2",#N/A,FALSE,"Northern California 2";"pai2",#N/A,FALSE,"Paiute 2"}</definedName>
    <definedName name="NADA" localSheetId="20" hidden="1">{"caz2",#N/A,FALSE,"Central Arizona 2";"saz2",#N/A,FALSE,"Southern Arizona 2";"snv2",#N/A,FALSE,"Southern Nevada 2";"nnv2",#N/A,FALSE,"Northern Nevada 2";"sca2",#N/A,FALSE,"Southern California 2";"nca2",#N/A,FALSE,"Northern California 2";"pai2",#N/A,FALSE,"Paiute 2"}</definedName>
    <definedName name="NADA" localSheetId="21" hidden="1">{"caz2",#N/A,FALSE,"Central Arizona 2";"saz2",#N/A,FALSE,"Southern Arizona 2";"snv2",#N/A,FALSE,"Southern Nevada 2";"nnv2",#N/A,FALSE,"Northern Nevada 2";"sca2",#N/A,FALSE,"Southern California 2";"nca2",#N/A,FALSE,"Northern California 2";"pai2",#N/A,FALSE,"Paiute 2"}</definedName>
    <definedName name="NADA" localSheetId="22" hidden="1">{"caz2",#N/A,FALSE,"Central Arizona 2";"saz2",#N/A,FALSE,"Southern Arizona 2";"snv2",#N/A,FALSE,"Southern Nevada 2";"nnv2",#N/A,FALSE,"Northern Nevada 2";"sca2",#N/A,FALSE,"Southern California 2";"nca2",#N/A,FALSE,"Northern California 2";"pai2",#N/A,FALSE,"Paiute 2"}</definedName>
    <definedName name="NADA" localSheetId="23" hidden="1">{"caz2",#N/A,FALSE,"Central Arizona 2";"saz2",#N/A,FALSE,"Southern Arizona 2";"snv2",#N/A,FALSE,"Southern Nevada 2";"nnv2",#N/A,FALSE,"Northern Nevada 2";"sca2",#N/A,FALSE,"Southern California 2";"nca2",#N/A,FALSE,"Northern California 2";"pai2",#N/A,FALSE,"Paiute 2"}</definedName>
    <definedName name="NADA" localSheetId="24" hidden="1">{"caz2",#N/A,FALSE,"Central Arizona 2";"saz2",#N/A,FALSE,"Southern Arizona 2";"snv2",#N/A,FALSE,"Southern Nevada 2";"nnv2",#N/A,FALSE,"Northern Nevada 2";"sca2",#N/A,FALSE,"Southern California 2";"nca2",#N/A,FALSE,"Northern California 2";"pai2",#N/A,FALSE,"Paiute 2"}</definedName>
    <definedName name="NADA" hidden="1">{"caz2",#N/A,FALSE,"Central Arizona 2";"saz2",#N/A,FALSE,"Southern Arizona 2";"snv2",#N/A,FALSE,"Southern Nevada 2";"nnv2",#N/A,FALSE,"Northern Nevada 2";"sca2",#N/A,FALSE,"Southern California 2";"nca2",#N/A,FALSE,"Northern California 2";"pai2",#N/A,FALSE,"Paiute 2"}</definedName>
    <definedName name="namefield" localSheetId="10" hidden="1">#REF!</definedName>
    <definedName name="namefield" localSheetId="11" hidden="1">#REF!</definedName>
    <definedName name="namefield" localSheetId="12" hidden="1">#REF!</definedName>
    <definedName name="namefield" localSheetId="14" hidden="1">#REF!</definedName>
    <definedName name="namefield" localSheetId="15" hidden="1">#REF!</definedName>
    <definedName name="namefield" localSheetId="16" hidden="1">#REF!</definedName>
    <definedName name="namefield" localSheetId="17" hidden="1">#REF!</definedName>
    <definedName name="namefield" localSheetId="21" hidden="1">#REF!</definedName>
    <definedName name="namefield" localSheetId="22" hidden="1">#REF!</definedName>
    <definedName name="namefield" localSheetId="23" hidden="1">#REF!</definedName>
    <definedName name="namefield" localSheetId="24" hidden="1">#REF!</definedName>
    <definedName name="namefield" hidden="1">#REF!</definedName>
    <definedName name="naow" localSheetId="10" hidden="1">#REF!</definedName>
    <definedName name="naow" localSheetId="11" hidden="1">#REF!</definedName>
    <definedName name="naow" localSheetId="12" hidden="1">#REF!</definedName>
    <definedName name="naow" localSheetId="14" hidden="1">#REF!</definedName>
    <definedName name="naow" localSheetId="15" hidden="1">#REF!</definedName>
    <definedName name="naow" localSheetId="21" hidden="1">#REF!</definedName>
    <definedName name="naow" localSheetId="22" hidden="1">#REF!</definedName>
    <definedName name="naow" localSheetId="23" hidden="1">#REF!</definedName>
    <definedName name="naow" localSheetId="24" hidden="1">#REF!</definedName>
    <definedName name="naow" hidden="1">#REF!</definedName>
    <definedName name="nbeo" localSheetId="10" hidden="1">#REF!</definedName>
    <definedName name="nbeo" localSheetId="11" hidden="1">#REF!</definedName>
    <definedName name="nbeo" localSheetId="12" hidden="1">#REF!</definedName>
    <definedName name="nbeo" localSheetId="14" hidden="1">#REF!</definedName>
    <definedName name="nbeo" localSheetId="15" hidden="1">#REF!</definedName>
    <definedName name="nbeo" localSheetId="21" hidden="1">#REF!</definedName>
    <definedName name="nbeo" localSheetId="22" hidden="1">#REF!</definedName>
    <definedName name="nbeo" localSheetId="23" hidden="1">#REF!</definedName>
    <definedName name="nbeo" localSheetId="24" hidden="1">#REF!</definedName>
    <definedName name="nbeo" hidden="1">#REF!</definedName>
    <definedName name="nbw" localSheetId="10" hidden="1">#REF!</definedName>
    <definedName name="nbw" localSheetId="11" hidden="1">#REF!</definedName>
    <definedName name="nbw" localSheetId="12" hidden="1">#REF!</definedName>
    <definedName name="nbw" localSheetId="14" hidden="1">#REF!</definedName>
    <definedName name="nbw" localSheetId="15" hidden="1">#REF!</definedName>
    <definedName name="nbw" localSheetId="21" hidden="1">#REF!</definedName>
    <definedName name="nbw" localSheetId="22" hidden="1">#REF!</definedName>
    <definedName name="nbw" localSheetId="23" hidden="1">#REF!</definedName>
    <definedName name="nbw" localSheetId="24" hidden="1">#REF!</definedName>
    <definedName name="nbw" hidden="1">#REF!</definedName>
    <definedName name="niPO" localSheetId="10" hidden="1">#REF!</definedName>
    <definedName name="niPO" localSheetId="11" hidden="1">#REF!</definedName>
    <definedName name="niPO" localSheetId="12" hidden="1">#REF!</definedName>
    <definedName name="niPO" localSheetId="14" hidden="1">#REF!</definedName>
    <definedName name="niPO" localSheetId="15" hidden="1">#REF!</definedName>
    <definedName name="niPO" localSheetId="21" hidden="1">#REF!</definedName>
    <definedName name="niPO" localSheetId="22" hidden="1">#REF!</definedName>
    <definedName name="niPO" localSheetId="23" hidden="1">#REF!</definedName>
    <definedName name="niPO" localSheetId="24" hidden="1">#REF!</definedName>
    <definedName name="niPO" hidden="1">#REF!</definedName>
    <definedName name="nipxre" localSheetId="10" hidden="1">#REF!</definedName>
    <definedName name="nipxre" localSheetId="11" hidden="1">#REF!</definedName>
    <definedName name="nipxre" localSheetId="12" hidden="1">#REF!</definedName>
    <definedName name="nipxre" localSheetId="14" hidden="1">#REF!</definedName>
    <definedName name="nipxre" localSheetId="15" hidden="1">#REF!</definedName>
    <definedName name="nipxre" localSheetId="21" hidden="1">#REF!</definedName>
    <definedName name="nipxre" localSheetId="22" hidden="1">#REF!</definedName>
    <definedName name="nipxre" localSheetId="23" hidden="1">#REF!</definedName>
    <definedName name="nipxre" localSheetId="24" hidden="1">#REF!</definedName>
    <definedName name="nipxre" hidden="1">#REF!</definedName>
    <definedName name="nixre" localSheetId="10" hidden="1">#REF!</definedName>
    <definedName name="nixre" localSheetId="11" hidden="1">#REF!</definedName>
    <definedName name="nixre" localSheetId="12" hidden="1">#REF!</definedName>
    <definedName name="nixre" localSheetId="14" hidden="1">#REF!</definedName>
    <definedName name="nixre" localSheetId="15" hidden="1">#REF!</definedName>
    <definedName name="nixre" localSheetId="21" hidden="1">#REF!</definedName>
    <definedName name="nixre" localSheetId="22" hidden="1">#REF!</definedName>
    <definedName name="nixre" localSheetId="23" hidden="1">#REF!</definedName>
    <definedName name="nixre" localSheetId="24" hidden="1">#REF!</definedName>
    <definedName name="nixre" hidden="1">#REF!</definedName>
    <definedName name="nk" localSheetId="10" hidden="1">#REF!</definedName>
    <definedName name="nk" localSheetId="11" hidden="1">#REF!</definedName>
    <definedName name="nk" localSheetId="12" hidden="1">#REF!</definedName>
    <definedName name="nk" localSheetId="14" hidden="1">#REF!</definedName>
    <definedName name="nk" localSheetId="15" hidden="1">#REF!</definedName>
    <definedName name="nk" localSheetId="21" hidden="1">#REF!</definedName>
    <definedName name="nk" localSheetId="22" hidden="1">#REF!</definedName>
    <definedName name="nk" localSheetId="23" hidden="1">#REF!</definedName>
    <definedName name="nk" localSheetId="24" hidden="1">#REF!</definedName>
    <definedName name="nk" hidden="1">#REF!</definedName>
    <definedName name="nki" localSheetId="10" hidden="1">#REF!</definedName>
    <definedName name="nki" localSheetId="11" hidden="1">#REF!</definedName>
    <definedName name="nki" localSheetId="12" hidden="1">#REF!</definedName>
    <definedName name="nki" localSheetId="14" hidden="1">#REF!</definedName>
    <definedName name="nki" localSheetId="15" hidden="1">#REF!</definedName>
    <definedName name="nki" localSheetId="21" hidden="1">#REF!</definedName>
    <definedName name="nki" localSheetId="22" hidden="1">#REF!</definedName>
    <definedName name="nki" localSheetId="23" hidden="1">#REF!</definedName>
    <definedName name="nki" localSheetId="24" hidden="1">#REF!</definedName>
    <definedName name="nki" hidden="1">#REF!</definedName>
    <definedName name="nkiw" localSheetId="10" hidden="1">#REF!</definedName>
    <definedName name="nkiw" localSheetId="11" hidden="1">#REF!</definedName>
    <definedName name="nkiw" localSheetId="12" hidden="1">#REF!</definedName>
    <definedName name="nkiw" localSheetId="14" hidden="1">#REF!</definedName>
    <definedName name="nkiw" localSheetId="15" hidden="1">#REF!</definedName>
    <definedName name="nkiw" localSheetId="21" hidden="1">#REF!</definedName>
    <definedName name="nkiw" localSheetId="22" hidden="1">#REF!</definedName>
    <definedName name="nkiw" localSheetId="23" hidden="1">#REF!</definedName>
    <definedName name="nkiw" localSheetId="24" hidden="1">#REF!</definedName>
    <definedName name="nkiw" hidden="1">#REF!</definedName>
    <definedName name="nKLqw" localSheetId="10" hidden="1">#REF!</definedName>
    <definedName name="nKLqw" localSheetId="11" hidden="1">#REF!</definedName>
    <definedName name="nKLqw" localSheetId="12" hidden="1">#REF!</definedName>
    <definedName name="nKLqw" localSheetId="14" hidden="1">#REF!</definedName>
    <definedName name="nKLqw" localSheetId="15" hidden="1">#REF!</definedName>
    <definedName name="nKLqw" localSheetId="21" hidden="1">#REF!</definedName>
    <definedName name="nKLqw" localSheetId="22" hidden="1">#REF!</definedName>
    <definedName name="nKLqw" localSheetId="23" hidden="1">#REF!</definedName>
    <definedName name="nKLqw" localSheetId="24" hidden="1">#REF!</definedName>
    <definedName name="nKLqw" hidden="1">#REF!</definedName>
    <definedName name="nkse" localSheetId="10" hidden="1">#REF!</definedName>
    <definedName name="nkse" localSheetId="11" hidden="1">#REF!</definedName>
    <definedName name="nkse" localSheetId="12" hidden="1">#REF!</definedName>
    <definedName name="nkse" localSheetId="14" hidden="1">#REF!</definedName>
    <definedName name="nkse" localSheetId="15" hidden="1">#REF!</definedName>
    <definedName name="nkse" localSheetId="21" hidden="1">#REF!</definedName>
    <definedName name="nkse" localSheetId="22" hidden="1">#REF!</definedName>
    <definedName name="nkse" localSheetId="23" hidden="1">#REF!</definedName>
    <definedName name="nkse" localSheetId="24" hidden="1">#REF!</definedName>
    <definedName name="nkse" hidden="1">#REF!</definedName>
    <definedName name="nkw" localSheetId="10" hidden="1">#REF!</definedName>
    <definedName name="nkw" localSheetId="11" hidden="1">#REF!</definedName>
    <definedName name="nkw" localSheetId="12" hidden="1">#REF!</definedName>
    <definedName name="nkw" localSheetId="14" hidden="1">#REF!</definedName>
    <definedName name="nkw" localSheetId="15" hidden="1">#REF!</definedName>
    <definedName name="nkw" localSheetId="21" hidden="1">#REF!</definedName>
    <definedName name="nkw" localSheetId="22" hidden="1">#REF!</definedName>
    <definedName name="nkw" localSheetId="23" hidden="1">#REF!</definedName>
    <definedName name="nkw" localSheetId="24" hidden="1">#REF!</definedName>
    <definedName name="nkw" hidden="1">#REF!</definedName>
    <definedName name="NMN" localSheetId="10" hidden="1">#REF!</definedName>
    <definedName name="NMN" localSheetId="11" hidden="1">#REF!</definedName>
    <definedName name="NMN" localSheetId="12" hidden="1">#REF!</definedName>
    <definedName name="NMN" localSheetId="14" hidden="1">#REF!</definedName>
    <definedName name="NMN" localSheetId="15" hidden="1">#REF!</definedName>
    <definedName name="NMN" localSheetId="21" hidden="1">#REF!</definedName>
    <definedName name="NMN" localSheetId="22" hidden="1">#REF!</definedName>
    <definedName name="NMN" localSheetId="23" hidden="1">#REF!</definedName>
    <definedName name="NMN" localSheetId="24" hidden="1">#REF!</definedName>
    <definedName name="NMN" hidden="1">#REF!</definedName>
    <definedName name="nmop" localSheetId="10" hidden="1">#REF!</definedName>
    <definedName name="nmop" localSheetId="11" hidden="1">#REF!</definedName>
    <definedName name="nmop" localSheetId="12" hidden="1">#REF!</definedName>
    <definedName name="nmop" localSheetId="14" hidden="1">#REF!</definedName>
    <definedName name="nmop" localSheetId="15" hidden="1">#REF!</definedName>
    <definedName name="nmop" localSheetId="21" hidden="1">#REF!</definedName>
    <definedName name="nmop" localSheetId="22" hidden="1">#REF!</definedName>
    <definedName name="nmop" localSheetId="23" hidden="1">#REF!</definedName>
    <definedName name="nmop" localSheetId="24" hidden="1">#REF!</definedName>
    <definedName name="nmop" hidden="1">#REF!</definedName>
    <definedName name="nmwqi" localSheetId="10" hidden="1">#REF!</definedName>
    <definedName name="nmwqi" localSheetId="11" hidden="1">#REF!</definedName>
    <definedName name="nmwqi" localSheetId="12" hidden="1">#REF!</definedName>
    <definedName name="nmwqi" localSheetId="14" hidden="1">#REF!</definedName>
    <definedName name="nmwqi" localSheetId="15" hidden="1">#REF!</definedName>
    <definedName name="nmwqi" localSheetId="21" hidden="1">#REF!</definedName>
    <definedName name="nmwqi" localSheetId="22" hidden="1">#REF!</definedName>
    <definedName name="nmwqi" localSheetId="23" hidden="1">#REF!</definedName>
    <definedName name="nmwqi" localSheetId="24" hidden="1">#REF!</definedName>
    <definedName name="nmwqi" hidden="1">#REF!</definedName>
    <definedName name="nnnnnnn" localSheetId="10" hidden="1">#REF!</definedName>
    <definedName name="nnnnnnn" localSheetId="11" hidden="1">#REF!</definedName>
    <definedName name="nnnnnnn" localSheetId="12" hidden="1">#REF!</definedName>
    <definedName name="nnnnnnn" localSheetId="14" hidden="1">#REF!</definedName>
    <definedName name="nnnnnnn" localSheetId="15" hidden="1">#REF!</definedName>
    <definedName name="nnnnnnn" localSheetId="21" hidden="1">#REF!</definedName>
    <definedName name="nnnnnnn" localSheetId="22" hidden="1">#REF!</definedName>
    <definedName name="nnnnnnn" localSheetId="23" hidden="1">#REF!</definedName>
    <definedName name="nnnnnnn" localSheetId="24" hidden="1">#REF!</definedName>
    <definedName name="nnnnnnn" hidden="1">#REF!</definedName>
    <definedName name="no" localSheetId="10" hidden="1">#REF!</definedName>
    <definedName name="no" localSheetId="11" hidden="1">#REF!</definedName>
    <definedName name="no" localSheetId="12" hidden="1">#REF!</definedName>
    <definedName name="no" localSheetId="14" hidden="1">#REF!</definedName>
    <definedName name="no" localSheetId="15" hidden="1">#REF!</definedName>
    <definedName name="no" localSheetId="21" hidden="1">#REF!</definedName>
    <definedName name="no" localSheetId="22" hidden="1">#REF!</definedName>
    <definedName name="no" localSheetId="23" hidden="1">#REF!</definedName>
    <definedName name="no" localSheetId="24" hidden="1">#REF!</definedName>
    <definedName name="no" hidden="1">#REF!</definedName>
    <definedName name="noip" localSheetId="10" hidden="1">#REF!</definedName>
    <definedName name="noip" localSheetId="11" hidden="1">#REF!</definedName>
    <definedName name="noip" localSheetId="12" hidden="1">#REF!</definedName>
    <definedName name="noip" localSheetId="14" hidden="1">#REF!</definedName>
    <definedName name="noip" localSheetId="15" hidden="1">#REF!</definedName>
    <definedName name="noip" localSheetId="21" hidden="1">#REF!</definedName>
    <definedName name="noip" localSheetId="22" hidden="1">#REF!</definedName>
    <definedName name="noip" localSheetId="23" hidden="1">#REF!</definedName>
    <definedName name="noip" localSheetId="24" hidden="1">#REF!</definedName>
    <definedName name="noip" hidden="1">#REF!</definedName>
    <definedName name="noipx" localSheetId="10" hidden="1">#REF!</definedName>
    <definedName name="noipx" localSheetId="11" hidden="1">#REF!</definedName>
    <definedName name="noipx" localSheetId="12" hidden="1">#REF!</definedName>
    <definedName name="noipx" localSheetId="14" hidden="1">#REF!</definedName>
    <definedName name="noipx" localSheetId="15" hidden="1">#REF!</definedName>
    <definedName name="noipx" localSheetId="21" hidden="1">#REF!</definedName>
    <definedName name="noipx" localSheetId="22" hidden="1">#REF!</definedName>
    <definedName name="noipx" localSheetId="23" hidden="1">#REF!</definedName>
    <definedName name="noipx" localSheetId="24" hidden="1">#REF!</definedName>
    <definedName name="noipx" hidden="1">#REF!</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NE" localSheetId="12" hidden="1">{#N/A,#N/A,FALSE,"SCA";#N/A,#N/A,FALSE,"NCA";#N/A,#N/A,FALSE,"SAZ";#N/A,#N/A,FALSE,"CAZ";#N/A,#N/A,FALSE,"SNV";#N/A,#N/A,FALSE,"NNV";#N/A,#N/A,FALSE,"PP";#N/A,#N/A,FALSE,"SA"}</definedName>
    <definedName name="NONE" localSheetId="13" hidden="1">{#N/A,#N/A,FALSE,"SCA";#N/A,#N/A,FALSE,"NCA";#N/A,#N/A,FALSE,"SAZ";#N/A,#N/A,FALSE,"CAZ";#N/A,#N/A,FALSE,"SNV";#N/A,#N/A,FALSE,"NNV";#N/A,#N/A,FALSE,"PP";#N/A,#N/A,FALSE,"SA"}</definedName>
    <definedName name="NONE" localSheetId="14" hidden="1">{#N/A,#N/A,FALSE,"SCA";#N/A,#N/A,FALSE,"NCA";#N/A,#N/A,FALSE,"SAZ";#N/A,#N/A,FALSE,"CAZ";#N/A,#N/A,FALSE,"SNV";#N/A,#N/A,FALSE,"NNV";#N/A,#N/A,FALSE,"PP";#N/A,#N/A,FALSE,"SA"}</definedName>
    <definedName name="NONE" localSheetId="15" hidden="1">{#N/A,#N/A,FALSE,"SCA";#N/A,#N/A,FALSE,"NCA";#N/A,#N/A,FALSE,"SAZ";#N/A,#N/A,FALSE,"CAZ";#N/A,#N/A,FALSE,"SNV";#N/A,#N/A,FALSE,"NNV";#N/A,#N/A,FALSE,"PP";#N/A,#N/A,FALSE,"SA"}</definedName>
    <definedName name="NONE" localSheetId="16" hidden="1">{#N/A,#N/A,FALSE,"SCA";#N/A,#N/A,FALSE,"NCA";#N/A,#N/A,FALSE,"SAZ";#N/A,#N/A,FALSE,"CAZ";#N/A,#N/A,FALSE,"SNV";#N/A,#N/A,FALSE,"NNV";#N/A,#N/A,FALSE,"PP";#N/A,#N/A,FALSE,"SA"}</definedName>
    <definedName name="NONE" localSheetId="17" hidden="1">{#N/A,#N/A,FALSE,"SCA";#N/A,#N/A,FALSE,"NCA";#N/A,#N/A,FALSE,"SAZ";#N/A,#N/A,FALSE,"CAZ";#N/A,#N/A,FALSE,"SNV";#N/A,#N/A,FALSE,"NNV";#N/A,#N/A,FALSE,"PP";#N/A,#N/A,FALSE,"SA"}</definedName>
    <definedName name="NONE" localSheetId="19" hidden="1">{#N/A,#N/A,FALSE,"SCA";#N/A,#N/A,FALSE,"NCA";#N/A,#N/A,FALSE,"SAZ";#N/A,#N/A,FALSE,"CAZ";#N/A,#N/A,FALSE,"SNV";#N/A,#N/A,FALSE,"NNV";#N/A,#N/A,FALSE,"PP";#N/A,#N/A,FALSE,"SA"}</definedName>
    <definedName name="NONE" localSheetId="20" hidden="1">{#N/A,#N/A,FALSE,"SCA";#N/A,#N/A,FALSE,"NCA";#N/A,#N/A,FALSE,"SAZ";#N/A,#N/A,FALSE,"CAZ";#N/A,#N/A,FALSE,"SNV";#N/A,#N/A,FALSE,"NNV";#N/A,#N/A,FALSE,"PP";#N/A,#N/A,FALSE,"SA"}</definedName>
    <definedName name="NONE" localSheetId="21" hidden="1">{#N/A,#N/A,FALSE,"SCA";#N/A,#N/A,FALSE,"NCA";#N/A,#N/A,FALSE,"SAZ";#N/A,#N/A,FALSE,"CAZ";#N/A,#N/A,FALSE,"SNV";#N/A,#N/A,FALSE,"NNV";#N/A,#N/A,FALSE,"PP";#N/A,#N/A,FALSE,"SA"}</definedName>
    <definedName name="NONE" localSheetId="22" hidden="1">{#N/A,#N/A,FALSE,"SCA";#N/A,#N/A,FALSE,"NCA";#N/A,#N/A,FALSE,"SAZ";#N/A,#N/A,FALSE,"CAZ";#N/A,#N/A,FALSE,"SNV";#N/A,#N/A,FALSE,"NNV";#N/A,#N/A,FALSE,"PP";#N/A,#N/A,FALSE,"SA"}</definedName>
    <definedName name="NONE" localSheetId="23" hidden="1">{#N/A,#N/A,FALSE,"SCA";#N/A,#N/A,FALSE,"NCA";#N/A,#N/A,FALSE,"SAZ";#N/A,#N/A,FALSE,"CAZ";#N/A,#N/A,FALSE,"SNV";#N/A,#N/A,FALSE,"NNV";#N/A,#N/A,FALSE,"PP";#N/A,#N/A,FALSE,"SA"}</definedName>
    <definedName name="NONE" localSheetId="24" hidden="1">{#N/A,#N/A,FALSE,"SCA";#N/A,#N/A,FALSE,"NCA";#N/A,#N/A,FALSE,"SAZ";#N/A,#N/A,FALSE,"CAZ";#N/A,#N/A,FALSE,"SNV";#N/A,#N/A,FALSE,"NNV";#N/A,#N/A,FALSE,"PP";#N/A,#N/A,FALSE,"SA"}</definedName>
    <definedName name="NONE" hidden="1">{#N/A,#N/A,FALSE,"SCA";#N/A,#N/A,FALSE,"NCA";#N/A,#N/A,FALSE,"SAZ";#N/A,#N/A,FALSE,"CAZ";#N/A,#N/A,FALSE,"SNV";#N/A,#N/A,FALSE,"NNV";#N/A,#N/A,FALSE,"PP";#N/A,#N/A,FALSE,"SA"}</definedName>
    <definedName name="nop" localSheetId="10" hidden="1">#REF!</definedName>
    <definedName name="nop" localSheetId="11" hidden="1">#REF!</definedName>
    <definedName name="nop" localSheetId="12" hidden="1">#REF!</definedName>
    <definedName name="nop" localSheetId="14" hidden="1">#REF!</definedName>
    <definedName name="nop" localSheetId="15" hidden="1">#REF!</definedName>
    <definedName name="nop" localSheetId="16" hidden="1">#REF!</definedName>
    <definedName name="nop" localSheetId="17" hidden="1">#REF!</definedName>
    <definedName name="nop" localSheetId="21" hidden="1">#REF!</definedName>
    <definedName name="nop" localSheetId="22" hidden="1">#REF!</definedName>
    <definedName name="nop" localSheetId="23" hidden="1">#REF!</definedName>
    <definedName name="nop" localSheetId="24" hidden="1">#REF!</definedName>
    <definedName name="nop" hidden="1">#REF!</definedName>
    <definedName name="nope" localSheetId="10" hidden="1">#REF!</definedName>
    <definedName name="nope" localSheetId="11" hidden="1">#REF!</definedName>
    <definedName name="nope" localSheetId="12" hidden="1">#REF!</definedName>
    <definedName name="nope" localSheetId="14" hidden="1">#REF!</definedName>
    <definedName name="nope" localSheetId="15" hidden="1">#REF!</definedName>
    <definedName name="nope" localSheetId="21" hidden="1">#REF!</definedName>
    <definedName name="nope" localSheetId="22" hidden="1">#REF!</definedName>
    <definedName name="nope" localSheetId="23" hidden="1">#REF!</definedName>
    <definedName name="nope" localSheetId="24" hidden="1">#REF!</definedName>
    <definedName name="nope" hidden="1">#REF!</definedName>
    <definedName name="noper" localSheetId="10" hidden="1">#REF!</definedName>
    <definedName name="noper" localSheetId="11" hidden="1">#REF!</definedName>
    <definedName name="noper" localSheetId="12" hidden="1">#REF!</definedName>
    <definedName name="noper" localSheetId="14" hidden="1">#REF!</definedName>
    <definedName name="noper" localSheetId="15" hidden="1">#REF!</definedName>
    <definedName name="noper" localSheetId="21" hidden="1">#REF!</definedName>
    <definedName name="noper" localSheetId="22" hidden="1">#REF!</definedName>
    <definedName name="noper" localSheetId="23" hidden="1">#REF!</definedName>
    <definedName name="noper" localSheetId="24" hidden="1">#REF!</definedName>
    <definedName name="noper" hidden="1">#REF!</definedName>
    <definedName name="nsz" localSheetId="10" hidden="1">#REF!</definedName>
    <definedName name="nsz" localSheetId="11" hidden="1">#REF!</definedName>
    <definedName name="nsz" localSheetId="12" hidden="1">#REF!</definedName>
    <definedName name="nsz" localSheetId="14" hidden="1">#REF!</definedName>
    <definedName name="nsz" localSheetId="15" hidden="1">#REF!</definedName>
    <definedName name="nsz" localSheetId="19" hidden="1">#REF!</definedName>
    <definedName name="nsz" localSheetId="21" hidden="1">#REF!</definedName>
    <definedName name="nsz" localSheetId="22" hidden="1">#REF!</definedName>
    <definedName name="nsz" localSheetId="23" hidden="1">#REF!</definedName>
    <definedName name="nsz" localSheetId="24" hidden="1">#REF!</definedName>
    <definedName name="nsz" hidden="1">#REF!</definedName>
    <definedName name="o" localSheetId="10" hidden="1">#REF!</definedName>
    <definedName name="o" localSheetId="11" hidden="1">#REF!</definedName>
    <definedName name="o" localSheetId="12" hidden="1">#REF!</definedName>
    <definedName name="o" localSheetId="14" hidden="1">#REF!</definedName>
    <definedName name="o" localSheetId="15" hidden="1">#REF!</definedName>
    <definedName name="o" localSheetId="21" hidden="1">#REF!</definedName>
    <definedName name="o" localSheetId="22" hidden="1">#REF!</definedName>
    <definedName name="o" localSheetId="23" hidden="1">#REF!</definedName>
    <definedName name="o" localSheetId="24" hidden="1">#REF!</definedName>
    <definedName name="o" hidden="1">#REF!</definedName>
    <definedName name="ocq" localSheetId="10" hidden="1">#REF!</definedName>
    <definedName name="ocq" localSheetId="11" hidden="1">#REF!</definedName>
    <definedName name="ocq" localSheetId="12" hidden="1">#REF!</definedName>
    <definedName name="ocq" localSheetId="14" hidden="1">#REF!</definedName>
    <definedName name="ocq" localSheetId="15" hidden="1">#REF!</definedName>
    <definedName name="ocq" localSheetId="21" hidden="1">#REF!</definedName>
    <definedName name="ocq" localSheetId="22" hidden="1">#REF!</definedName>
    <definedName name="ocq" localSheetId="23" hidden="1">#REF!</definedName>
    <definedName name="ocq" localSheetId="24" hidden="1">#REF!</definedName>
    <definedName name="ocq" hidden="1">#REF!</definedName>
    <definedName name="odezscv" localSheetId="10" hidden="1">#REF!</definedName>
    <definedName name="odezscv" localSheetId="11" hidden="1">#REF!</definedName>
    <definedName name="odezscv" localSheetId="12" hidden="1">#REF!</definedName>
    <definedName name="odezscv" localSheetId="14" hidden="1">#REF!</definedName>
    <definedName name="odezscv" localSheetId="15" hidden="1">#REF!</definedName>
    <definedName name="odezscv" localSheetId="21" hidden="1">#REF!</definedName>
    <definedName name="odezscv" localSheetId="22" hidden="1">#REF!</definedName>
    <definedName name="odezscv" localSheetId="23" hidden="1">#REF!</definedName>
    <definedName name="odezscv" localSheetId="24" hidden="1">#REF!</definedName>
    <definedName name="odezscv" hidden="1">#REF!</definedName>
    <definedName name="ofooooo" localSheetId="10" hidden="1">#REF!</definedName>
    <definedName name="ofooooo" localSheetId="11" hidden="1">#REF!</definedName>
    <definedName name="ofooooo" localSheetId="12" hidden="1">#REF!</definedName>
    <definedName name="ofooooo" localSheetId="14" hidden="1">#REF!</definedName>
    <definedName name="ofooooo" localSheetId="15" hidden="1">#REF!</definedName>
    <definedName name="ofooooo" localSheetId="21" hidden="1">#REF!</definedName>
    <definedName name="ofooooo" localSheetId="22" hidden="1">#REF!</definedName>
    <definedName name="ofooooo" localSheetId="23" hidden="1">#REF!</definedName>
    <definedName name="ofooooo" localSheetId="24" hidden="1">#REF!</definedName>
    <definedName name="ofooooo" hidden="1">#REF!</definedName>
    <definedName name="oia" localSheetId="10" hidden="1">#REF!</definedName>
    <definedName name="oia" localSheetId="11" hidden="1">#REF!</definedName>
    <definedName name="oia" localSheetId="12" hidden="1">#REF!</definedName>
    <definedName name="oia" localSheetId="14" hidden="1">#REF!</definedName>
    <definedName name="oia" localSheetId="15" hidden="1">#REF!</definedName>
    <definedName name="oia" localSheetId="21" hidden="1">#REF!</definedName>
    <definedName name="oia" localSheetId="22" hidden="1">#REF!</definedName>
    <definedName name="oia" localSheetId="23" hidden="1">#REF!</definedName>
    <definedName name="oia" localSheetId="24" hidden="1">#REF!</definedName>
    <definedName name="oia" hidden="1">#REF!</definedName>
    <definedName name="oiacew" localSheetId="10" hidden="1">#REF!</definedName>
    <definedName name="oiacew" localSheetId="11" hidden="1">#REF!</definedName>
    <definedName name="oiacew" localSheetId="12" hidden="1">#REF!</definedName>
    <definedName name="oiacew" localSheetId="14" hidden="1">#REF!</definedName>
    <definedName name="oiacew" localSheetId="15" hidden="1">#REF!</definedName>
    <definedName name="oiacew" localSheetId="21" hidden="1">#REF!</definedName>
    <definedName name="oiacew" localSheetId="22" hidden="1">#REF!</definedName>
    <definedName name="oiacew" localSheetId="23" hidden="1">#REF!</definedName>
    <definedName name="oiacew" localSheetId="24" hidden="1">#REF!</definedName>
    <definedName name="oiacew" hidden="1">#REF!</definedName>
    <definedName name="oicw" localSheetId="10" hidden="1">#REF!</definedName>
    <definedName name="oicw" localSheetId="11" hidden="1">#REF!</definedName>
    <definedName name="oicw" localSheetId="12" hidden="1">#REF!</definedName>
    <definedName name="oicw" localSheetId="14" hidden="1">#REF!</definedName>
    <definedName name="oicw" localSheetId="15" hidden="1">#REF!</definedName>
    <definedName name="oicw" localSheetId="21" hidden="1">#REF!</definedName>
    <definedName name="oicw" localSheetId="22" hidden="1">#REF!</definedName>
    <definedName name="oicw" localSheetId="23" hidden="1">#REF!</definedName>
    <definedName name="oicw" localSheetId="24" hidden="1">#REF!</definedName>
    <definedName name="oicw" hidden="1">#REF!</definedName>
    <definedName name="oieac" localSheetId="10" hidden="1">#REF!</definedName>
    <definedName name="oieac" localSheetId="11" hidden="1">#REF!</definedName>
    <definedName name="oieac" localSheetId="12" hidden="1">#REF!</definedName>
    <definedName name="oieac" localSheetId="14" hidden="1">#REF!</definedName>
    <definedName name="oieac" localSheetId="15" hidden="1">#REF!</definedName>
    <definedName name="oieac" localSheetId="21" hidden="1">#REF!</definedName>
    <definedName name="oieac" localSheetId="22" hidden="1">#REF!</definedName>
    <definedName name="oieac" localSheetId="23" hidden="1">#REF!</definedName>
    <definedName name="oieac" localSheetId="24" hidden="1">#REF!</definedName>
    <definedName name="oieac" hidden="1">#REF!</definedName>
    <definedName name="oiewq" localSheetId="10" hidden="1">#REF!</definedName>
    <definedName name="oiewq" localSheetId="11" hidden="1">#REF!</definedName>
    <definedName name="oiewq" localSheetId="12" hidden="1">#REF!</definedName>
    <definedName name="oiewq" localSheetId="14" hidden="1">#REF!</definedName>
    <definedName name="oiewq" localSheetId="15" hidden="1">#REF!</definedName>
    <definedName name="oiewq" localSheetId="21" hidden="1">#REF!</definedName>
    <definedName name="oiewq" localSheetId="22" hidden="1">#REF!</definedName>
    <definedName name="oiewq" localSheetId="23" hidden="1">#REF!</definedName>
    <definedName name="oiewq" localSheetId="24" hidden="1">#REF!</definedName>
    <definedName name="oiewq" hidden="1">#REF!</definedName>
    <definedName name="oihyecv" localSheetId="10" hidden="1">#REF!</definedName>
    <definedName name="oihyecv" localSheetId="11" hidden="1">#REF!</definedName>
    <definedName name="oihyecv" localSheetId="12" hidden="1">#REF!</definedName>
    <definedName name="oihyecv" localSheetId="14" hidden="1">#REF!</definedName>
    <definedName name="oihyecv" localSheetId="15" hidden="1">#REF!</definedName>
    <definedName name="oihyecv" localSheetId="21" hidden="1">#REF!</definedName>
    <definedName name="oihyecv" localSheetId="22" hidden="1">#REF!</definedName>
    <definedName name="oihyecv" localSheetId="23" hidden="1">#REF!</definedName>
    <definedName name="oihyecv" localSheetId="24" hidden="1">#REF!</definedName>
    <definedName name="oihyecv" hidden="1">#REF!</definedName>
    <definedName name="oips" localSheetId="10" hidden="1">#REF!</definedName>
    <definedName name="oips" localSheetId="11" hidden="1">#REF!</definedName>
    <definedName name="oips" localSheetId="12" hidden="1">#REF!</definedName>
    <definedName name="oips" localSheetId="14" hidden="1">#REF!</definedName>
    <definedName name="oips" localSheetId="15" hidden="1">#REF!</definedName>
    <definedName name="oips" localSheetId="21" hidden="1">#REF!</definedName>
    <definedName name="oips" localSheetId="22" hidden="1">#REF!</definedName>
    <definedName name="oips" localSheetId="23" hidden="1">#REF!</definedName>
    <definedName name="oips" localSheetId="24" hidden="1">#REF!</definedName>
    <definedName name="oips" hidden="1">#REF!</definedName>
    <definedName name="ok" localSheetId="10" hidden="1">#REF!</definedName>
    <definedName name="ok" localSheetId="11" hidden="1">#REF!</definedName>
    <definedName name="ok" localSheetId="12" hidden="1">#REF!</definedName>
    <definedName name="ok" localSheetId="14" hidden="1">#REF!</definedName>
    <definedName name="ok" localSheetId="15" hidden="1">#REF!</definedName>
    <definedName name="ok" localSheetId="21" hidden="1">#REF!</definedName>
    <definedName name="ok" localSheetId="22" hidden="1">#REF!</definedName>
    <definedName name="ok" localSheetId="23" hidden="1">#REF!</definedName>
    <definedName name="ok" localSheetId="24" hidden="1">#REF!</definedName>
    <definedName name="ok" hidden="1">#REF!</definedName>
    <definedName name="okey" localSheetId="10" hidden="1">#REF!</definedName>
    <definedName name="okey" localSheetId="11" hidden="1">#REF!</definedName>
    <definedName name="okey" localSheetId="12" hidden="1">#REF!</definedName>
    <definedName name="okey" localSheetId="14" hidden="1">#REF!</definedName>
    <definedName name="okey" localSheetId="15" hidden="1">#REF!</definedName>
    <definedName name="okey" localSheetId="21" hidden="1">#REF!</definedName>
    <definedName name="okey" localSheetId="22" hidden="1">#REF!</definedName>
    <definedName name="okey" localSheetId="23" hidden="1">#REF!</definedName>
    <definedName name="okey" localSheetId="24" hidden="1">#REF!</definedName>
    <definedName name="okey" hidden="1">#REF!</definedName>
    <definedName name="okeydokey" localSheetId="10" hidden="1">#REF!</definedName>
    <definedName name="okeydokey" localSheetId="11" hidden="1">#REF!</definedName>
    <definedName name="okeydokey" localSheetId="12" hidden="1">#REF!</definedName>
    <definedName name="okeydokey" localSheetId="14" hidden="1">#REF!</definedName>
    <definedName name="okeydokey" localSheetId="15" hidden="1">#REF!</definedName>
    <definedName name="okeydokey" localSheetId="21" hidden="1">#REF!</definedName>
    <definedName name="okeydokey" localSheetId="22" hidden="1">#REF!</definedName>
    <definedName name="okeydokey" localSheetId="23" hidden="1">#REF!</definedName>
    <definedName name="okeydokey" localSheetId="24" hidden="1">#REF!</definedName>
    <definedName name="okeydokey" hidden="1">#REF!</definedName>
    <definedName name="oklpwa" localSheetId="10" hidden="1">#REF!</definedName>
    <definedName name="oklpwa" localSheetId="11" hidden="1">#REF!</definedName>
    <definedName name="oklpwa" localSheetId="12" hidden="1">#REF!</definedName>
    <definedName name="oklpwa" localSheetId="14" hidden="1">#REF!</definedName>
    <definedName name="oklpwa" localSheetId="15" hidden="1">#REF!</definedName>
    <definedName name="oklpwa" localSheetId="21" hidden="1">#REF!</definedName>
    <definedName name="oklpwa" localSheetId="22" hidden="1">#REF!</definedName>
    <definedName name="oklpwa" localSheetId="23" hidden="1">#REF!</definedName>
    <definedName name="oklpwa" localSheetId="24" hidden="1">#REF!</definedName>
    <definedName name="oklpwa" hidden="1">#REF!</definedName>
    <definedName name="olpuwce" localSheetId="10" hidden="1">#REF!</definedName>
    <definedName name="olpuwce" localSheetId="11" hidden="1">#REF!</definedName>
    <definedName name="olpuwce" localSheetId="12" hidden="1">#REF!</definedName>
    <definedName name="olpuwce" localSheetId="14" hidden="1">#REF!</definedName>
    <definedName name="olpuwce" localSheetId="15" hidden="1">#REF!</definedName>
    <definedName name="olpuwce" localSheetId="21" hidden="1">#REF!</definedName>
    <definedName name="olpuwce" localSheetId="22" hidden="1">#REF!</definedName>
    <definedName name="olpuwce" localSheetId="23" hidden="1">#REF!</definedName>
    <definedName name="olpuwce" localSheetId="24" hidden="1">#REF!</definedName>
    <definedName name="olpuwce" hidden="1">#REF!</definedName>
    <definedName name="oluw" localSheetId="10" hidden="1">#REF!</definedName>
    <definedName name="oluw" localSheetId="11" hidden="1">#REF!</definedName>
    <definedName name="oluw" localSheetId="12" hidden="1">#REF!</definedName>
    <definedName name="oluw" localSheetId="14" hidden="1">#REF!</definedName>
    <definedName name="oluw" localSheetId="15" hidden="1">#REF!</definedName>
    <definedName name="oluw" localSheetId="21" hidden="1">#REF!</definedName>
    <definedName name="oluw" localSheetId="22" hidden="1">#REF!</definedName>
    <definedName name="oluw" localSheetId="23" hidden="1">#REF!</definedName>
    <definedName name="oluw" localSheetId="24" hidden="1">#REF!</definedName>
    <definedName name="oluw" hidden="1">#REF!</definedName>
    <definedName name="oooofp" localSheetId="10" hidden="1">#REF!</definedName>
    <definedName name="oooofp" localSheetId="11" hidden="1">#REF!</definedName>
    <definedName name="oooofp" localSheetId="12" hidden="1">#REF!</definedName>
    <definedName name="oooofp" localSheetId="14" hidden="1">#REF!</definedName>
    <definedName name="oooofp" localSheetId="15" hidden="1">#REF!</definedName>
    <definedName name="oooofp" localSheetId="19" hidden="1">#REF!</definedName>
    <definedName name="oooofp" localSheetId="21" hidden="1">#REF!</definedName>
    <definedName name="oooofp" localSheetId="22" hidden="1">#REF!</definedName>
    <definedName name="oooofp" localSheetId="23" hidden="1">#REF!</definedName>
    <definedName name="oooofp" localSheetId="24" hidden="1">#REF!</definedName>
    <definedName name="oooofp" hidden="1">#REF!</definedName>
    <definedName name="opec" localSheetId="10" hidden="1">#REF!</definedName>
    <definedName name="opec" localSheetId="11" hidden="1">#REF!</definedName>
    <definedName name="opec" localSheetId="12" hidden="1">#REF!</definedName>
    <definedName name="opec" localSheetId="14" hidden="1">#REF!</definedName>
    <definedName name="opec" localSheetId="15" hidden="1">#REF!</definedName>
    <definedName name="opec" localSheetId="21" hidden="1">#REF!</definedName>
    <definedName name="opec" localSheetId="22" hidden="1">#REF!</definedName>
    <definedName name="opec" localSheetId="23" hidden="1">#REF!</definedName>
    <definedName name="opec" localSheetId="24" hidden="1">#REF!</definedName>
    <definedName name="opec" hidden="1">#REF!</definedName>
    <definedName name="opewqr" localSheetId="10" hidden="1">#REF!</definedName>
    <definedName name="opewqr" localSheetId="11" hidden="1">#REF!</definedName>
    <definedName name="opewqr" localSheetId="12" hidden="1">#REF!</definedName>
    <definedName name="opewqr" localSheetId="14" hidden="1">#REF!</definedName>
    <definedName name="opewqr" localSheetId="15" hidden="1">#REF!</definedName>
    <definedName name="opewqr" localSheetId="21" hidden="1">#REF!</definedName>
    <definedName name="opewqr" localSheetId="22" hidden="1">#REF!</definedName>
    <definedName name="opewqr" localSheetId="23" hidden="1">#REF!</definedName>
    <definedName name="opewqr" localSheetId="24" hidden="1">#REF!</definedName>
    <definedName name="opewqr" hidden="1">#REF!</definedName>
    <definedName name="opicaew" localSheetId="10" hidden="1">#REF!</definedName>
    <definedName name="opicaew" localSheetId="11" hidden="1">#REF!</definedName>
    <definedName name="opicaew" localSheetId="12" hidden="1">#REF!</definedName>
    <definedName name="opicaew" localSheetId="14" hidden="1">#REF!</definedName>
    <definedName name="opicaew" localSheetId="15" hidden="1">#REF!</definedName>
    <definedName name="opicaew" localSheetId="21" hidden="1">#REF!</definedName>
    <definedName name="opicaew" localSheetId="22" hidden="1">#REF!</definedName>
    <definedName name="opicaew" localSheetId="23" hidden="1">#REF!</definedName>
    <definedName name="opicaew" localSheetId="24" hidden="1">#REF!</definedName>
    <definedName name="opicaew" hidden="1">#REF!</definedName>
    <definedName name="opiecv" localSheetId="10" hidden="1">#REF!</definedName>
    <definedName name="opiecv" localSheetId="11" hidden="1">#REF!</definedName>
    <definedName name="opiecv" localSheetId="12" hidden="1">#REF!</definedName>
    <definedName name="opiecv" localSheetId="14" hidden="1">#REF!</definedName>
    <definedName name="opiecv" localSheetId="15" hidden="1">#REF!</definedName>
    <definedName name="opiecv" localSheetId="21" hidden="1">#REF!</definedName>
    <definedName name="opiecv" localSheetId="22" hidden="1">#REF!</definedName>
    <definedName name="opiecv" localSheetId="23" hidden="1">#REF!</definedName>
    <definedName name="opiecv" localSheetId="24" hidden="1">#REF!</definedName>
    <definedName name="opiecv" hidden="1">#REF!</definedName>
    <definedName name="opiyu" localSheetId="10" hidden="1">#REF!</definedName>
    <definedName name="opiyu" localSheetId="11" hidden="1">#REF!</definedName>
    <definedName name="opiyu" localSheetId="12" hidden="1">#REF!</definedName>
    <definedName name="opiyu" localSheetId="14" hidden="1">#REF!</definedName>
    <definedName name="opiyu" localSheetId="15" hidden="1">#REF!</definedName>
    <definedName name="opiyu" localSheetId="21" hidden="1">#REF!</definedName>
    <definedName name="opiyu" localSheetId="22" hidden="1">#REF!</definedName>
    <definedName name="opiyu" localSheetId="23" hidden="1">#REF!</definedName>
    <definedName name="opiyu" localSheetId="24" hidden="1">#REF!</definedName>
    <definedName name="opiyu" hidden="1">#REF!</definedName>
    <definedName name="oplpp" localSheetId="10" hidden="1">#REF!</definedName>
    <definedName name="oplpp" localSheetId="11" hidden="1">#REF!</definedName>
    <definedName name="oplpp" localSheetId="12" hidden="1">#REF!</definedName>
    <definedName name="oplpp" localSheetId="14" hidden="1">#REF!</definedName>
    <definedName name="oplpp" localSheetId="15" hidden="1">#REF!</definedName>
    <definedName name="oplpp" localSheetId="21" hidden="1">#REF!</definedName>
    <definedName name="oplpp" localSheetId="22" hidden="1">#REF!</definedName>
    <definedName name="oplpp" localSheetId="23" hidden="1">#REF!</definedName>
    <definedName name="oplpp" localSheetId="24" hidden="1">#REF!</definedName>
    <definedName name="oplpp" hidden="1">#REF!</definedName>
    <definedName name="opp" localSheetId="10" hidden="1">#REF!</definedName>
    <definedName name="opp" localSheetId="11" hidden="1">#REF!</definedName>
    <definedName name="opp" localSheetId="12" hidden="1">#REF!</definedName>
    <definedName name="opp" localSheetId="14" hidden="1">#REF!</definedName>
    <definedName name="opp" localSheetId="15" hidden="1">#REF!</definedName>
    <definedName name="opp" localSheetId="21" hidden="1">#REF!</definedName>
    <definedName name="opp" localSheetId="22" hidden="1">#REF!</definedName>
    <definedName name="opp" localSheetId="23" hidden="1">#REF!</definedName>
    <definedName name="opp" localSheetId="24" hidden="1">#REF!</definedName>
    <definedName name="opp" hidden="1">#REF!</definedName>
    <definedName name="opuafw" localSheetId="10" hidden="1">#REF!</definedName>
    <definedName name="opuafw" localSheetId="11" hidden="1">#REF!</definedName>
    <definedName name="opuafw" localSheetId="12" hidden="1">#REF!</definedName>
    <definedName name="opuafw" localSheetId="14" hidden="1">#REF!</definedName>
    <definedName name="opuafw" localSheetId="15" hidden="1">#REF!</definedName>
    <definedName name="opuafw" localSheetId="21" hidden="1">#REF!</definedName>
    <definedName name="opuafw" localSheetId="22" hidden="1">#REF!</definedName>
    <definedName name="opuafw" localSheetId="23" hidden="1">#REF!</definedName>
    <definedName name="opuafw" localSheetId="24" hidden="1">#REF!</definedName>
    <definedName name="opuafw" hidden="1">#REF!</definedName>
    <definedName name="opuc3e" localSheetId="10" hidden="1">#REF!</definedName>
    <definedName name="opuc3e" localSheetId="11" hidden="1">#REF!</definedName>
    <definedName name="opuc3e" localSheetId="12" hidden="1">#REF!</definedName>
    <definedName name="opuc3e" localSheetId="14" hidden="1">#REF!</definedName>
    <definedName name="opuc3e" localSheetId="15" hidden="1">#REF!</definedName>
    <definedName name="opuc3e" localSheetId="21" hidden="1">#REF!</definedName>
    <definedName name="opuc3e" localSheetId="22" hidden="1">#REF!</definedName>
    <definedName name="opuc3e" localSheetId="23" hidden="1">#REF!</definedName>
    <definedName name="opuc3e" localSheetId="24" hidden="1">#REF!</definedName>
    <definedName name="opuc3e" hidden="1">#REF!</definedName>
    <definedName name="opueac" localSheetId="10" hidden="1">#REF!</definedName>
    <definedName name="opueac" localSheetId="11" hidden="1">#REF!</definedName>
    <definedName name="opueac" localSheetId="12" hidden="1">#REF!</definedName>
    <definedName name="opueac" localSheetId="14" hidden="1">#REF!</definedName>
    <definedName name="opueac" localSheetId="15" hidden="1">#REF!</definedName>
    <definedName name="opueac" localSheetId="21" hidden="1">#REF!</definedName>
    <definedName name="opueac" localSheetId="22" hidden="1">#REF!</definedName>
    <definedName name="opueac" localSheetId="23" hidden="1">#REF!</definedName>
    <definedName name="opueac" localSheetId="24" hidden="1">#REF!</definedName>
    <definedName name="opueac" hidden="1">#REF!</definedName>
    <definedName name="opufw" localSheetId="10" hidden="1">#REF!</definedName>
    <definedName name="opufw" localSheetId="11" hidden="1">#REF!</definedName>
    <definedName name="opufw" localSheetId="12" hidden="1">#REF!</definedName>
    <definedName name="opufw" localSheetId="14" hidden="1">#REF!</definedName>
    <definedName name="opufw" localSheetId="15" hidden="1">#REF!</definedName>
    <definedName name="opufw" localSheetId="21" hidden="1">#REF!</definedName>
    <definedName name="opufw" localSheetId="22" hidden="1">#REF!</definedName>
    <definedName name="opufw" localSheetId="23" hidden="1">#REF!</definedName>
    <definedName name="opufw" localSheetId="24" hidden="1">#REF!</definedName>
    <definedName name="opufw" hidden="1">#REF!</definedName>
    <definedName name="opuwa" localSheetId="10" hidden="1">#REF!</definedName>
    <definedName name="opuwa" localSheetId="11" hidden="1">#REF!</definedName>
    <definedName name="opuwa" localSheetId="12" hidden="1">#REF!</definedName>
    <definedName name="opuwa" localSheetId="14" hidden="1">#REF!</definedName>
    <definedName name="opuwa" localSheetId="15" hidden="1">#REF!</definedName>
    <definedName name="opuwa" localSheetId="21" hidden="1">#REF!</definedName>
    <definedName name="opuwa" localSheetId="22" hidden="1">#REF!</definedName>
    <definedName name="opuwa" localSheetId="23" hidden="1">#REF!</definedName>
    <definedName name="opuwa" localSheetId="24" hidden="1">#REF!</definedName>
    <definedName name="opuwa" hidden="1">#REF!</definedName>
    <definedName name="opvs" localSheetId="10" hidden="1">#REF!</definedName>
    <definedName name="opvs" localSheetId="11" hidden="1">#REF!</definedName>
    <definedName name="opvs" localSheetId="12" hidden="1">#REF!</definedName>
    <definedName name="opvs" localSheetId="14" hidden="1">#REF!</definedName>
    <definedName name="opvs" localSheetId="15" hidden="1">#REF!</definedName>
    <definedName name="opvs" localSheetId="21" hidden="1">#REF!</definedName>
    <definedName name="opvs" localSheetId="22" hidden="1">#REF!</definedName>
    <definedName name="opvs" localSheetId="23" hidden="1">#REF!</definedName>
    <definedName name="opvs" localSheetId="24" hidden="1">#REF!</definedName>
    <definedName name="opvs" hidden="1">#REF!</definedName>
    <definedName name="os" localSheetId="10" hidden="1">#REF!</definedName>
    <definedName name="os" localSheetId="11" hidden="1">#REF!</definedName>
    <definedName name="os" localSheetId="12" hidden="1">#REF!</definedName>
    <definedName name="os" localSheetId="14" hidden="1">#REF!</definedName>
    <definedName name="os" localSheetId="15" hidden="1">#REF!</definedName>
    <definedName name="os" localSheetId="21" hidden="1">#REF!</definedName>
    <definedName name="os" localSheetId="22" hidden="1">#REF!</definedName>
    <definedName name="os" localSheetId="23" hidden="1">#REF!</definedName>
    <definedName name="os" localSheetId="24" hidden="1">#REF!</definedName>
    <definedName name="os" hidden="1">#REF!</definedName>
    <definedName name="oupc" localSheetId="10" hidden="1">#REF!</definedName>
    <definedName name="oupc" localSheetId="11" hidden="1">#REF!</definedName>
    <definedName name="oupc" localSheetId="12" hidden="1">#REF!</definedName>
    <definedName name="oupc" localSheetId="14" hidden="1">#REF!</definedName>
    <definedName name="oupc" localSheetId="15" hidden="1">#REF!</definedName>
    <definedName name="oupc" localSheetId="21" hidden="1">#REF!</definedName>
    <definedName name="oupc" localSheetId="22" hidden="1">#REF!</definedName>
    <definedName name="oupc" localSheetId="23" hidden="1">#REF!</definedName>
    <definedName name="oupc" localSheetId="24" hidden="1">#REF!</definedName>
    <definedName name="oupc" hidden="1">#REF!</definedName>
    <definedName name="ovwe" localSheetId="10" hidden="1">#REF!</definedName>
    <definedName name="ovwe" localSheetId="11" hidden="1">#REF!</definedName>
    <definedName name="ovwe" localSheetId="12" hidden="1">#REF!</definedName>
    <definedName name="ovwe" localSheetId="14" hidden="1">#REF!</definedName>
    <definedName name="ovwe" localSheetId="15" hidden="1">#REF!</definedName>
    <definedName name="ovwe" localSheetId="19" hidden="1">#REF!</definedName>
    <definedName name="ovwe" localSheetId="21" hidden="1">#REF!</definedName>
    <definedName name="ovwe" localSheetId="22" hidden="1">#REF!</definedName>
    <definedName name="ovwe" localSheetId="23" hidden="1">#REF!</definedName>
    <definedName name="ovwe" localSheetId="24" hidden="1">#REF!</definedName>
    <definedName name="ovwe" hidden="1">#REF!</definedName>
    <definedName name="p" localSheetId="11" hidden="1">{"Support/Rev Op Inc=Total revenue + OIBT",#N/A,FALSE,"Rev-Op Inc"}</definedName>
    <definedName name="p" localSheetId="12" hidden="1">{"Support/Rev Op Inc=Total revenue + OIBT",#N/A,FALSE,"Rev-Op Inc"}</definedName>
    <definedName name="p" localSheetId="20" hidden="1">{"Support/Rev Op Inc=Total revenue + OIBT",#N/A,FALSE,"Rev-Op Inc"}</definedName>
    <definedName name="p" localSheetId="21" hidden="1">{"Support/Rev Op Inc=Total revenue + OIBT",#N/A,FALSE,"Rev-Op Inc"}</definedName>
    <definedName name="p" localSheetId="22" hidden="1">{"Support/Rev Op Inc=Total revenue + OIBT",#N/A,FALSE,"Rev-Op Inc"}</definedName>
    <definedName name="p" localSheetId="23" hidden="1">{"Support/Rev Op Inc=Total revenue + OIBT",#N/A,FALSE,"Rev-Op Inc"}</definedName>
    <definedName name="p" hidden="1">{"Support/Rev Op Inc=Total revenue + OIBT",#N/A,FALSE,"Rev-Op Inc"}</definedName>
    <definedName name="Pal_Workbook_GUID" localSheetId="12" hidden="1">"NX3BLV7C1JAFSCFCWAICH8M3"</definedName>
    <definedName name="Pal_Workbook_GUID" localSheetId="13" hidden="1">"FWBED9LAPZU8WIEDHKN5GJL7"</definedName>
    <definedName name="Pal_Workbook_GUID" localSheetId="14" hidden="1">"VJYVEGF9CCHW9UYXNZJCLSJL"</definedName>
    <definedName name="Pal_Workbook_GUID" localSheetId="15" hidden="1">"VJYVEGF9CCHW9UYXNZJCLSJL"</definedName>
    <definedName name="Pal_Workbook_GUID" hidden="1">"NX3BLV7C1JAFSCFCWAICH8M3"</definedName>
    <definedName name="peqafd" localSheetId="10" hidden="1">#REF!</definedName>
    <definedName name="peqafd" localSheetId="11" hidden="1">#REF!</definedName>
    <definedName name="peqafd" localSheetId="12" hidden="1">#REF!</definedName>
    <definedName name="peqafd" localSheetId="14" hidden="1">#REF!</definedName>
    <definedName name="peqafd" localSheetId="15" hidden="1">#REF!</definedName>
    <definedName name="peqafd" localSheetId="16" hidden="1">#REF!</definedName>
    <definedName name="peqafd" localSheetId="17" hidden="1">#REF!</definedName>
    <definedName name="peqafd" localSheetId="19" hidden="1">#REF!</definedName>
    <definedName name="peqafd" localSheetId="21" hidden="1">#REF!</definedName>
    <definedName name="peqafd" localSheetId="22" hidden="1">#REF!</definedName>
    <definedName name="peqafd" localSheetId="23" hidden="1">#REF!</definedName>
    <definedName name="peqafd" localSheetId="24" hidden="1">#REF!</definedName>
    <definedName name="peqafd" hidden="1">#REF!</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O" localSheetId="12" hidden="1">{#N/A,#N/A,FALSE,"SCA";#N/A,#N/A,FALSE,"NCA";#N/A,#N/A,FALSE,"SAZ";#N/A,#N/A,FALSE,"CAZ";#N/A,#N/A,FALSE,"SNV";#N/A,#N/A,FALSE,"NNV";#N/A,#N/A,FALSE,"PP";#N/A,#N/A,FALSE,"SA"}</definedName>
    <definedName name="PERO" localSheetId="13" hidden="1">{#N/A,#N/A,FALSE,"SCA";#N/A,#N/A,FALSE,"NCA";#N/A,#N/A,FALSE,"SAZ";#N/A,#N/A,FALSE,"CAZ";#N/A,#N/A,FALSE,"SNV";#N/A,#N/A,FALSE,"NNV";#N/A,#N/A,FALSE,"PP";#N/A,#N/A,FALSE,"SA"}</definedName>
    <definedName name="PERO" localSheetId="14" hidden="1">{#N/A,#N/A,FALSE,"SCA";#N/A,#N/A,FALSE,"NCA";#N/A,#N/A,FALSE,"SAZ";#N/A,#N/A,FALSE,"CAZ";#N/A,#N/A,FALSE,"SNV";#N/A,#N/A,FALSE,"NNV";#N/A,#N/A,FALSE,"PP";#N/A,#N/A,FALSE,"SA"}</definedName>
    <definedName name="PERO" localSheetId="15" hidden="1">{#N/A,#N/A,FALSE,"SCA";#N/A,#N/A,FALSE,"NCA";#N/A,#N/A,FALSE,"SAZ";#N/A,#N/A,FALSE,"CAZ";#N/A,#N/A,FALSE,"SNV";#N/A,#N/A,FALSE,"NNV";#N/A,#N/A,FALSE,"PP";#N/A,#N/A,FALSE,"SA"}</definedName>
    <definedName name="PERO" localSheetId="16" hidden="1">{#N/A,#N/A,FALSE,"SCA";#N/A,#N/A,FALSE,"NCA";#N/A,#N/A,FALSE,"SAZ";#N/A,#N/A,FALSE,"CAZ";#N/A,#N/A,FALSE,"SNV";#N/A,#N/A,FALSE,"NNV";#N/A,#N/A,FALSE,"PP";#N/A,#N/A,FALSE,"SA"}</definedName>
    <definedName name="PERO" localSheetId="17" hidden="1">{#N/A,#N/A,FALSE,"SCA";#N/A,#N/A,FALSE,"NCA";#N/A,#N/A,FALSE,"SAZ";#N/A,#N/A,FALSE,"CAZ";#N/A,#N/A,FALSE,"SNV";#N/A,#N/A,FALSE,"NNV";#N/A,#N/A,FALSE,"PP";#N/A,#N/A,FALSE,"SA"}</definedName>
    <definedName name="PERO" localSheetId="19" hidden="1">{#N/A,#N/A,FALSE,"SCA";#N/A,#N/A,FALSE,"NCA";#N/A,#N/A,FALSE,"SAZ";#N/A,#N/A,FALSE,"CAZ";#N/A,#N/A,FALSE,"SNV";#N/A,#N/A,FALSE,"NNV";#N/A,#N/A,FALSE,"PP";#N/A,#N/A,FALSE,"SA"}</definedName>
    <definedName name="PERO" localSheetId="20" hidden="1">{#N/A,#N/A,FALSE,"SCA";#N/A,#N/A,FALSE,"NCA";#N/A,#N/A,FALSE,"SAZ";#N/A,#N/A,FALSE,"CAZ";#N/A,#N/A,FALSE,"SNV";#N/A,#N/A,FALSE,"NNV";#N/A,#N/A,FALSE,"PP";#N/A,#N/A,FALSE,"SA"}</definedName>
    <definedName name="PERO" localSheetId="21" hidden="1">{#N/A,#N/A,FALSE,"SCA";#N/A,#N/A,FALSE,"NCA";#N/A,#N/A,FALSE,"SAZ";#N/A,#N/A,FALSE,"CAZ";#N/A,#N/A,FALSE,"SNV";#N/A,#N/A,FALSE,"NNV";#N/A,#N/A,FALSE,"PP";#N/A,#N/A,FALSE,"SA"}</definedName>
    <definedName name="PERO" localSheetId="22" hidden="1">{#N/A,#N/A,FALSE,"SCA";#N/A,#N/A,FALSE,"NCA";#N/A,#N/A,FALSE,"SAZ";#N/A,#N/A,FALSE,"CAZ";#N/A,#N/A,FALSE,"SNV";#N/A,#N/A,FALSE,"NNV";#N/A,#N/A,FALSE,"PP";#N/A,#N/A,FALSE,"SA"}</definedName>
    <definedName name="PERO" localSheetId="23" hidden="1">{#N/A,#N/A,FALSE,"SCA";#N/A,#N/A,FALSE,"NCA";#N/A,#N/A,FALSE,"SAZ";#N/A,#N/A,FALSE,"CAZ";#N/A,#N/A,FALSE,"SNV";#N/A,#N/A,FALSE,"NNV";#N/A,#N/A,FALSE,"PP";#N/A,#N/A,FALSE,"SA"}</definedName>
    <definedName name="PERO" localSheetId="24" hidden="1">{#N/A,#N/A,FALSE,"SCA";#N/A,#N/A,FALSE,"NCA";#N/A,#N/A,FALSE,"SAZ";#N/A,#N/A,FALSE,"CAZ";#N/A,#N/A,FALSE,"SNV";#N/A,#N/A,FALSE,"NNV";#N/A,#N/A,FALSE,"PP";#N/A,#N/A,FALSE,"SA"}</definedName>
    <definedName name="PERO" hidden="1">{#N/A,#N/A,FALSE,"SCA";#N/A,#N/A,FALSE,"NCA";#N/A,#N/A,FALSE,"SAZ";#N/A,#N/A,FALSE,"CAZ";#N/A,#N/A,FALSE,"SNV";#N/A,#N/A,FALSE,"NNV";#N/A,#N/A,FALSE,"PP";#N/A,#N/A,FALSE,"SA"}</definedName>
    <definedName name="pert" localSheetId="10" hidden="1">#REF!</definedName>
    <definedName name="pert" localSheetId="11" hidden="1">#REF!</definedName>
    <definedName name="pert" localSheetId="12" hidden="1">#REF!</definedName>
    <definedName name="pert" localSheetId="14" hidden="1">#REF!</definedName>
    <definedName name="pert" localSheetId="15" hidden="1">#REF!</definedName>
    <definedName name="pert" localSheetId="16" hidden="1">#REF!</definedName>
    <definedName name="pert" localSheetId="17" hidden="1">#REF!</definedName>
    <definedName name="pert" localSheetId="21" hidden="1">#REF!</definedName>
    <definedName name="pert" localSheetId="22" hidden="1">#REF!</definedName>
    <definedName name="pert" localSheetId="23" hidden="1">#REF!</definedName>
    <definedName name="pert" localSheetId="24" hidden="1">#REF!</definedName>
    <definedName name="pert" hidden="1">#REF!</definedName>
    <definedName name="plk" localSheetId="10" hidden="1">#REF!</definedName>
    <definedName name="plk" localSheetId="11" hidden="1">#REF!</definedName>
    <definedName name="plk" localSheetId="12" hidden="1">#REF!</definedName>
    <definedName name="plk" localSheetId="14" hidden="1">#REF!</definedName>
    <definedName name="plk" localSheetId="15" hidden="1">#REF!</definedName>
    <definedName name="plk" localSheetId="21" hidden="1">#REF!</definedName>
    <definedName name="plk" localSheetId="22" hidden="1">#REF!</definedName>
    <definedName name="plk" localSheetId="23" hidden="1">#REF!</definedName>
    <definedName name="plk" localSheetId="24" hidden="1">#REF!</definedName>
    <definedName name="plk" hidden="1">#REF!</definedName>
    <definedName name="plo" localSheetId="10" hidden="1">#REF!</definedName>
    <definedName name="plo" localSheetId="11" hidden="1">#REF!</definedName>
    <definedName name="plo" localSheetId="12" hidden="1">#REF!</definedName>
    <definedName name="plo" localSheetId="14" hidden="1">#REF!</definedName>
    <definedName name="plo" localSheetId="15" hidden="1">#REF!</definedName>
    <definedName name="plo" localSheetId="21" hidden="1">#REF!</definedName>
    <definedName name="plo" localSheetId="22" hidden="1">#REF!</definedName>
    <definedName name="plo" localSheetId="23" hidden="1">#REF!</definedName>
    <definedName name="plo" localSheetId="24" hidden="1">#REF!</definedName>
    <definedName name="plo" hidden="1">#REF!</definedName>
    <definedName name="plvsanj" localSheetId="10" hidden="1">#REF!</definedName>
    <definedName name="plvsanj" localSheetId="11" hidden="1">#REF!</definedName>
    <definedName name="plvsanj" localSheetId="12" hidden="1">#REF!</definedName>
    <definedName name="plvsanj" localSheetId="14" hidden="1">#REF!</definedName>
    <definedName name="plvsanj" localSheetId="15" hidden="1">#REF!</definedName>
    <definedName name="plvsanj" localSheetId="21" hidden="1">#REF!</definedName>
    <definedName name="plvsanj" localSheetId="22" hidden="1">#REF!</definedName>
    <definedName name="plvsanj" localSheetId="23" hidden="1">#REF!</definedName>
    <definedName name="plvsanj" localSheetId="24" hidden="1">#REF!</definedName>
    <definedName name="plvsanj" hidden="1">#REF!</definedName>
    <definedName name="pocq" localSheetId="10" hidden="1">#REF!</definedName>
    <definedName name="pocq" localSheetId="11" hidden="1">#REF!</definedName>
    <definedName name="pocq" localSheetId="12" hidden="1">#REF!</definedName>
    <definedName name="pocq" localSheetId="14" hidden="1">#REF!</definedName>
    <definedName name="pocq" localSheetId="15" hidden="1">#REF!</definedName>
    <definedName name="pocq" localSheetId="21" hidden="1">#REF!</definedName>
    <definedName name="pocq" localSheetId="22" hidden="1">#REF!</definedName>
    <definedName name="pocq" localSheetId="23" hidden="1">#REF!</definedName>
    <definedName name="pocq" localSheetId="24" hidden="1">#REF!</definedName>
    <definedName name="pocq" hidden="1">#REF!</definedName>
    <definedName name="poe" localSheetId="10" hidden="1">#REF!</definedName>
    <definedName name="poe" localSheetId="11" hidden="1">#REF!</definedName>
    <definedName name="poe" localSheetId="12" hidden="1">#REF!</definedName>
    <definedName name="poe" localSheetId="14" hidden="1">#REF!</definedName>
    <definedName name="poe" localSheetId="15" hidden="1">#REF!</definedName>
    <definedName name="poe" localSheetId="21" hidden="1">#REF!</definedName>
    <definedName name="poe" localSheetId="22" hidden="1">#REF!</definedName>
    <definedName name="poe" localSheetId="23" hidden="1">#REF!</definedName>
    <definedName name="poe" localSheetId="24" hidden="1">#REF!</definedName>
    <definedName name="poe" hidden="1">#REF!</definedName>
    <definedName name="poeac" localSheetId="10" hidden="1">#REF!</definedName>
    <definedName name="poeac" localSheetId="11" hidden="1">#REF!</definedName>
    <definedName name="poeac" localSheetId="12" hidden="1">#REF!</definedName>
    <definedName name="poeac" localSheetId="14" hidden="1">#REF!</definedName>
    <definedName name="poeac" localSheetId="15" hidden="1">#REF!</definedName>
    <definedName name="poeac" localSheetId="21" hidden="1">#REF!</definedName>
    <definedName name="poeac" localSheetId="22" hidden="1">#REF!</definedName>
    <definedName name="poeac" localSheetId="23" hidden="1">#REF!</definedName>
    <definedName name="poeac" localSheetId="24" hidden="1">#REF!</definedName>
    <definedName name="poeac" hidden="1">#REF!</definedName>
    <definedName name="poec" localSheetId="10" hidden="1">#REF!</definedName>
    <definedName name="poec" localSheetId="11" hidden="1">#REF!</definedName>
    <definedName name="poec" localSheetId="12" hidden="1">#REF!</definedName>
    <definedName name="poec" localSheetId="14" hidden="1">#REF!</definedName>
    <definedName name="poec" localSheetId="15" hidden="1">#REF!</definedName>
    <definedName name="poec" localSheetId="21" hidden="1">#REF!</definedName>
    <definedName name="poec" localSheetId="22" hidden="1">#REF!</definedName>
    <definedName name="poec" localSheetId="23" hidden="1">#REF!</definedName>
    <definedName name="poec" localSheetId="24" hidden="1">#REF!</definedName>
    <definedName name="poec" hidden="1">#REF!</definedName>
    <definedName name="poeca" localSheetId="10" hidden="1">#REF!</definedName>
    <definedName name="poeca" localSheetId="11" hidden="1">#REF!</definedName>
    <definedName name="poeca" localSheetId="12" hidden="1">#REF!</definedName>
    <definedName name="poeca" localSheetId="14" hidden="1">#REF!</definedName>
    <definedName name="poeca" localSheetId="15" hidden="1">#REF!</definedName>
    <definedName name="poeca" localSheetId="21" hidden="1">#REF!</definedName>
    <definedName name="poeca" localSheetId="22" hidden="1">#REF!</definedName>
    <definedName name="poeca" localSheetId="23" hidden="1">#REF!</definedName>
    <definedName name="poeca" localSheetId="24" hidden="1">#REF!</definedName>
    <definedName name="poeca" hidden="1">#REF!</definedName>
    <definedName name="poert" localSheetId="10" hidden="1">#REF!</definedName>
    <definedName name="poert" localSheetId="11" hidden="1">#REF!</definedName>
    <definedName name="poert" localSheetId="12" hidden="1">#REF!</definedName>
    <definedName name="poert" localSheetId="14" hidden="1">#REF!</definedName>
    <definedName name="poert" localSheetId="15" hidden="1">#REF!</definedName>
    <definedName name="poert" localSheetId="21" hidden="1">#REF!</definedName>
    <definedName name="poert" localSheetId="22" hidden="1">#REF!</definedName>
    <definedName name="poert" localSheetId="23" hidden="1">#REF!</definedName>
    <definedName name="poert" localSheetId="24" hidden="1">#REF!</definedName>
    <definedName name="poert" hidden="1">#REF!</definedName>
    <definedName name="poi" localSheetId="10" hidden="1">#REF!</definedName>
    <definedName name="poi" localSheetId="11" hidden="1">#REF!</definedName>
    <definedName name="poi" localSheetId="12" hidden="1">#REF!</definedName>
    <definedName name="poi" localSheetId="14" hidden="1">#REF!</definedName>
    <definedName name="poi" localSheetId="15" hidden="1">#REF!</definedName>
    <definedName name="poi" localSheetId="21" hidden="1">#REF!</definedName>
    <definedName name="poi" localSheetId="22" hidden="1">#REF!</definedName>
    <definedName name="poi" localSheetId="23" hidden="1">#REF!</definedName>
    <definedName name="poi" localSheetId="24" hidden="1">#REF!</definedName>
    <definedName name="poi" hidden="1">#REF!</definedName>
    <definedName name="poica" localSheetId="10" hidden="1">#REF!</definedName>
    <definedName name="poica" localSheetId="11" hidden="1">#REF!</definedName>
    <definedName name="poica" localSheetId="12" hidden="1">#REF!</definedName>
    <definedName name="poica" localSheetId="14" hidden="1">#REF!</definedName>
    <definedName name="poica" localSheetId="15" hidden="1">#REF!</definedName>
    <definedName name="poica" localSheetId="21" hidden="1">#REF!</definedName>
    <definedName name="poica" localSheetId="22" hidden="1">#REF!</definedName>
    <definedName name="poica" localSheetId="23" hidden="1">#REF!</definedName>
    <definedName name="poica" localSheetId="24" hidden="1">#REF!</definedName>
    <definedName name="poica" hidden="1">#REF!</definedName>
    <definedName name="poiea" localSheetId="10" hidden="1">#REF!</definedName>
    <definedName name="poiea" localSheetId="11" hidden="1">#REF!</definedName>
    <definedName name="poiea" localSheetId="12" hidden="1">#REF!</definedName>
    <definedName name="poiea" localSheetId="14" hidden="1">#REF!</definedName>
    <definedName name="poiea" localSheetId="15" hidden="1">#REF!</definedName>
    <definedName name="poiea" localSheetId="21" hidden="1">#REF!</definedName>
    <definedName name="poiea" localSheetId="22" hidden="1">#REF!</definedName>
    <definedName name="poiea" localSheetId="23" hidden="1">#REF!</definedName>
    <definedName name="poiea" localSheetId="24" hidden="1">#REF!</definedName>
    <definedName name="poiea" hidden="1">#REF!</definedName>
    <definedName name="poiv" localSheetId="10" hidden="1">#REF!</definedName>
    <definedName name="poiv" localSheetId="11" hidden="1">#REF!</definedName>
    <definedName name="poiv" localSheetId="12" hidden="1">#REF!</definedName>
    <definedName name="poiv" localSheetId="14" hidden="1">#REF!</definedName>
    <definedName name="poiv" localSheetId="15" hidden="1">#REF!</definedName>
    <definedName name="poiv" localSheetId="21" hidden="1">#REF!</definedName>
    <definedName name="poiv" localSheetId="22" hidden="1">#REF!</definedName>
    <definedName name="poiv" localSheetId="23" hidden="1">#REF!</definedName>
    <definedName name="poiv" localSheetId="24" hidden="1">#REF!</definedName>
    <definedName name="poiv" hidden="1">#REF!</definedName>
    <definedName name="poiy" localSheetId="10" hidden="1">#REF!</definedName>
    <definedName name="poiy" localSheetId="11" hidden="1">#REF!</definedName>
    <definedName name="poiy" localSheetId="12" hidden="1">#REF!</definedName>
    <definedName name="poiy" localSheetId="14" hidden="1">#REF!</definedName>
    <definedName name="poiy" localSheetId="15" hidden="1">#REF!</definedName>
    <definedName name="poiy" localSheetId="21" hidden="1">#REF!</definedName>
    <definedName name="poiy" localSheetId="22" hidden="1">#REF!</definedName>
    <definedName name="poiy" localSheetId="23" hidden="1">#REF!</definedName>
    <definedName name="poiy" localSheetId="24" hidden="1">#REF!</definedName>
    <definedName name="poiy" hidden="1">#REF!</definedName>
    <definedName name="poiyw" localSheetId="10" hidden="1">#REF!</definedName>
    <definedName name="poiyw" localSheetId="11" hidden="1">#REF!</definedName>
    <definedName name="poiyw" localSheetId="12" hidden="1">#REF!</definedName>
    <definedName name="poiyw" localSheetId="14" hidden="1">#REF!</definedName>
    <definedName name="poiyw" localSheetId="15" hidden="1">#REF!</definedName>
    <definedName name="poiyw" localSheetId="21" hidden="1">#REF!</definedName>
    <definedName name="poiyw" localSheetId="22" hidden="1">#REF!</definedName>
    <definedName name="poiyw" localSheetId="23" hidden="1">#REF!</definedName>
    <definedName name="poiyw" localSheetId="24" hidden="1">#REF!</definedName>
    <definedName name="poiyw" hidden="1">#REF!</definedName>
    <definedName name="pouac" localSheetId="10" hidden="1">#REF!</definedName>
    <definedName name="pouac" localSheetId="11" hidden="1">#REF!</definedName>
    <definedName name="pouac" localSheetId="12" hidden="1">#REF!</definedName>
    <definedName name="pouac" localSheetId="14" hidden="1">#REF!</definedName>
    <definedName name="pouac" localSheetId="15" hidden="1">#REF!</definedName>
    <definedName name="pouac" localSheetId="21" hidden="1">#REF!</definedName>
    <definedName name="pouac" localSheetId="22" hidden="1">#REF!</definedName>
    <definedName name="pouac" localSheetId="23" hidden="1">#REF!</definedName>
    <definedName name="pouac" localSheetId="24" hidden="1">#REF!</definedName>
    <definedName name="pouac" hidden="1">#REF!</definedName>
    <definedName name="pouce" localSheetId="10" hidden="1">#REF!</definedName>
    <definedName name="pouce" localSheetId="11" hidden="1">#REF!</definedName>
    <definedName name="pouce" localSheetId="12" hidden="1">#REF!</definedName>
    <definedName name="pouce" localSheetId="14" hidden="1">#REF!</definedName>
    <definedName name="pouce" localSheetId="15" hidden="1">#REF!</definedName>
    <definedName name="pouce" localSheetId="21" hidden="1">#REF!</definedName>
    <definedName name="pouce" localSheetId="22" hidden="1">#REF!</definedName>
    <definedName name="pouce" localSheetId="23" hidden="1">#REF!</definedName>
    <definedName name="pouce" localSheetId="24" hidden="1">#REF!</definedName>
    <definedName name="pouce" hidden="1">#REF!</definedName>
    <definedName name="povrs" localSheetId="10" hidden="1">#REF!</definedName>
    <definedName name="povrs" localSheetId="11" hidden="1">#REF!</definedName>
    <definedName name="povrs" localSheetId="12" hidden="1">#REF!</definedName>
    <definedName name="povrs" localSheetId="14" hidden="1">#REF!</definedName>
    <definedName name="povrs" localSheetId="15" hidden="1">#REF!</definedName>
    <definedName name="povrs" localSheetId="21" hidden="1">#REF!</definedName>
    <definedName name="povrs" localSheetId="22" hidden="1">#REF!</definedName>
    <definedName name="povrs" localSheetId="23" hidden="1">#REF!</definedName>
    <definedName name="povrs" localSheetId="24" hidden="1">#REF!</definedName>
    <definedName name="povrs" hidden="1">#REF!</definedName>
    <definedName name="pppppppp" localSheetId="10" hidden="1">#REF!</definedName>
    <definedName name="pppppppp" localSheetId="11" hidden="1">#REF!</definedName>
    <definedName name="pppppppp" localSheetId="12" hidden="1">#REF!</definedName>
    <definedName name="pppppppp" localSheetId="14" hidden="1">#REF!</definedName>
    <definedName name="pppppppp" localSheetId="15" hidden="1">#REF!</definedName>
    <definedName name="pppppppp" localSheetId="21" hidden="1">#REF!</definedName>
    <definedName name="pppppppp" localSheetId="22" hidden="1">#REF!</definedName>
    <definedName name="pppppppp" localSheetId="23" hidden="1">#REF!</definedName>
    <definedName name="pppppppp" localSheetId="24" hidden="1">#REF!</definedName>
    <definedName name="pppppppp" hidden="1">#REF!</definedName>
    <definedName name="_xlnm.Print_Area" localSheetId="9">'DEU 2.08R Capital Structure'!$A$2:$K$30</definedName>
    <definedName name="_xlnm.Print_Area" localSheetId="10">'DEU 2.09R Recent Auth ROEs'!$A$1:$H$122</definedName>
    <definedName name="_xlnm.Print_Area" localSheetId="11">'DEU 2.10R DPU 3.04 Corrected'!$A$1:$AO$30</definedName>
    <definedName name="_xlnm.Print_Area" localSheetId="15">'DEU 2.14R DJL Fin Integrity'!$A$1:$H$86</definedName>
    <definedName name="_xlnm.Print_Area" localSheetId="17">'DEU 2.16R OCS 3.7_3.8 Corrected'!$A$1:$P$48</definedName>
    <definedName name="_xlnm.Print_Area" localSheetId="18">'DEU 2.17R RP Rolling Avg'!$A$1:$K$148,'DEU 2.17R RP Rolling Avg'!$L$10:$Q$51</definedName>
    <definedName name="_xlnm.Print_Area" localSheetId="19">'DEU 2.18R RP Annl Credit Spread'!$A$1:$AI$69</definedName>
    <definedName name="_xlnm.Print_Area" localSheetId="21">'DEU 2.20R CAPM_ECAPM Alpha'!$A$1:$J$160,'DEU 2.20R CAPM_ECAPM Alpha'!$K$8:$S$47</definedName>
    <definedName name="_xlnm.Print_Area" localSheetId="22">'DEU 2.21R Alt. RP'!$A$1:$I$746</definedName>
    <definedName name="_xlnm.Print_Area" localSheetId="24">'DEU 2.23R MPG Fin. Integrity'!$A$1:$I$95</definedName>
    <definedName name="_xlnm.Print_Area" localSheetId="25">'DEU 2.24R ANGC Exh 1.04 correct'!$A$1:$R$28</definedName>
    <definedName name="_xlnm.Print_Area" localSheetId="26">'RBH-8 Small Size'!$A$1:$G$48</definedName>
    <definedName name="_xlnm.Print_Titles" localSheetId="3">'DEU 2.03R MRP Bloomberg'!$11:$11</definedName>
    <definedName name="_xlnm.Print_Titles" localSheetId="4">'DEU 2.03R MRP Value Line'!$11:$11</definedName>
    <definedName name="_xlnm.Print_Titles" localSheetId="7">'DEU 2.06R Risk Premium'!$47:$47</definedName>
    <definedName name="_xlnm.Print_Titles" localSheetId="10">'DEU 2.09R Recent Auth ROEs'!$2:$2</definedName>
    <definedName name="_xlnm.Print_Titles" localSheetId="14">'DEU 2.13R DJL MStage Midyear'!$19:$19</definedName>
    <definedName name="_xlnm.Print_Titles" localSheetId="21">'DEU 2.20R CAPM_ECAPM Alpha'!$7:$7</definedName>
    <definedName name="_xlnm.Print_Titles" localSheetId="22">'DEU 2.21R Alt. RP'!$59:$59</definedName>
    <definedName name="printing_probelm2_2006" localSheetId="11" hidden="1">{"CONSOL_UWNJ_ISV",#N/A,FALSE,"Sheet1";"CONSOL_UWNJ_SAV",#N/A,FALSE,"Sheet1";"CONSOL_UWNJ_BSV",#N/A,FALSE,"Sheet1";"CONSOL_UWNJ_SFDV",#N/A,FALSE,"Sheet1"}</definedName>
    <definedName name="printing_probelm2_2006" localSheetId="12" hidden="1">{"CONSOL_UWNJ_ISV",#N/A,FALSE,"Sheet1";"CONSOL_UWNJ_SAV",#N/A,FALSE,"Sheet1";"CONSOL_UWNJ_BSV",#N/A,FALSE,"Sheet1";"CONSOL_UWNJ_SFDV",#N/A,FALSE,"Sheet1"}</definedName>
    <definedName name="printing_probelm2_2006" localSheetId="20" hidden="1">{"CONSOL_UWNJ_ISV",#N/A,FALSE,"Sheet1";"CONSOL_UWNJ_SAV",#N/A,FALSE,"Sheet1";"CONSOL_UWNJ_BSV",#N/A,FALSE,"Sheet1";"CONSOL_UWNJ_SFDV",#N/A,FALSE,"Sheet1"}</definedName>
    <definedName name="printing_probelm2_2006" localSheetId="21" hidden="1">{"CONSOL_UWNJ_ISV",#N/A,FALSE,"Sheet1";"CONSOL_UWNJ_SAV",#N/A,FALSE,"Sheet1";"CONSOL_UWNJ_BSV",#N/A,FALSE,"Sheet1";"CONSOL_UWNJ_SFDV",#N/A,FALSE,"Sheet1"}</definedName>
    <definedName name="printing_probelm2_2006" localSheetId="22" hidden="1">{"CONSOL_UWNJ_ISV",#N/A,FALSE,"Sheet1";"CONSOL_UWNJ_SAV",#N/A,FALSE,"Sheet1";"CONSOL_UWNJ_BSV",#N/A,FALSE,"Sheet1";"CONSOL_UWNJ_SFDV",#N/A,FALSE,"Sheet1"}</definedName>
    <definedName name="printing_probelm2_2006" localSheetId="23" hidden="1">{"CONSOL_UWNJ_ISV",#N/A,FALSE,"Sheet1";"CONSOL_UWNJ_SAV",#N/A,FALSE,"Sheet1";"CONSOL_UWNJ_BSV",#N/A,FALSE,"Sheet1";"CONSOL_UWNJ_SFDV",#N/A,FALSE,"Sheet1"}</definedName>
    <definedName name="printing_probelm2_2006" hidden="1">{"CONSOL_UWNJ_ISV",#N/A,FALSE,"Sheet1";"CONSOL_UWNJ_SAV",#N/A,FALSE,"Sheet1";"CONSOL_UWNJ_BSV",#N/A,FALSE,"Sheet1";"CONSOL_UWNJ_SFDV",#N/A,FALSE,"Sheet1"}</definedName>
    <definedName name="printing_Problem" localSheetId="1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 localSheetId="11" hidden="1">{"CONSOL_UWNJ_ISV",#N/A,FALSE,"Sheet1";"CONSOL_UWNJ_SAV",#N/A,FALSE,"Sheet1";"CONSOL_UWNJ_BSV",#N/A,FALSE,"Sheet1";"CONSOL_UWNJ_SFDV",#N/A,FALSE,"Sheet1"}</definedName>
    <definedName name="printing_problem2" localSheetId="12" hidden="1">{"CONSOL_UWNJ_ISV",#N/A,FALSE,"Sheet1";"CONSOL_UWNJ_SAV",#N/A,FALSE,"Sheet1";"CONSOL_UWNJ_BSV",#N/A,FALSE,"Sheet1";"CONSOL_UWNJ_SFDV",#N/A,FALSE,"Sheet1"}</definedName>
    <definedName name="printing_problem2" localSheetId="20" hidden="1">{"CONSOL_UWNJ_ISV",#N/A,FALSE,"Sheet1";"CONSOL_UWNJ_SAV",#N/A,FALSE,"Sheet1";"CONSOL_UWNJ_BSV",#N/A,FALSE,"Sheet1";"CONSOL_UWNJ_SFDV",#N/A,FALSE,"Sheet1"}</definedName>
    <definedName name="printing_problem2" localSheetId="21" hidden="1">{"CONSOL_UWNJ_ISV",#N/A,FALSE,"Sheet1";"CONSOL_UWNJ_SAV",#N/A,FALSE,"Sheet1";"CONSOL_UWNJ_BSV",#N/A,FALSE,"Sheet1";"CONSOL_UWNJ_SFDV",#N/A,FALSE,"Sheet1"}</definedName>
    <definedName name="printing_problem2" localSheetId="22" hidden="1">{"CONSOL_UWNJ_ISV",#N/A,FALSE,"Sheet1";"CONSOL_UWNJ_SAV",#N/A,FALSE,"Sheet1";"CONSOL_UWNJ_BSV",#N/A,FALSE,"Sheet1";"CONSOL_UWNJ_SFDV",#N/A,FALSE,"Sheet1"}</definedName>
    <definedName name="printing_problem2" localSheetId="23" hidden="1">{"CONSOL_UWNJ_ISV",#N/A,FALSE,"Sheet1";"CONSOL_UWNJ_SAV",#N/A,FALSE,"Sheet1";"CONSOL_UWNJ_BSV",#N/A,FALSE,"Sheet1";"CONSOL_UWNJ_SFDV",#N/A,FALSE,"Sheet1"}</definedName>
    <definedName name="printing_problem2" hidden="1">{"CONSOL_UWNJ_ISV",#N/A,FALSE,"Sheet1";"CONSOL_UWNJ_SAV",#N/A,FALSE,"Sheet1";"CONSOL_UWNJ_BSV",#N/A,FALSE,"Sheet1";"CONSOL_UWNJ_SFDV",#N/A,FALSE,"Sheet1"}</definedName>
    <definedName name="printing_Problem2006" localSheetId="1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3" localSheetId="11" hidden="1">{"CONSOL_WO_ISV",#N/A,FALSE,"Sheet1";"CONSOL_WO_SAV",#N/A,FALSE,"Sheet1";"CONSOL_WO_BSV",#N/A,FALSE,"Sheet1";"CONSOL_WO_SFDV",#N/A,FALSE,"Sheet1"}</definedName>
    <definedName name="printing_problem3" localSheetId="12" hidden="1">{"CONSOL_WO_ISV",#N/A,FALSE,"Sheet1";"CONSOL_WO_SAV",#N/A,FALSE,"Sheet1";"CONSOL_WO_BSV",#N/A,FALSE,"Sheet1";"CONSOL_WO_SFDV",#N/A,FALSE,"Sheet1"}</definedName>
    <definedName name="printing_problem3" localSheetId="20" hidden="1">{"CONSOL_WO_ISV",#N/A,FALSE,"Sheet1";"CONSOL_WO_SAV",#N/A,FALSE,"Sheet1";"CONSOL_WO_BSV",#N/A,FALSE,"Sheet1";"CONSOL_WO_SFDV",#N/A,FALSE,"Sheet1"}</definedName>
    <definedName name="printing_problem3" localSheetId="21" hidden="1">{"CONSOL_WO_ISV",#N/A,FALSE,"Sheet1";"CONSOL_WO_SAV",#N/A,FALSE,"Sheet1";"CONSOL_WO_BSV",#N/A,FALSE,"Sheet1";"CONSOL_WO_SFDV",#N/A,FALSE,"Sheet1"}</definedName>
    <definedName name="printing_problem3" localSheetId="22" hidden="1">{"CONSOL_WO_ISV",#N/A,FALSE,"Sheet1";"CONSOL_WO_SAV",#N/A,FALSE,"Sheet1";"CONSOL_WO_BSV",#N/A,FALSE,"Sheet1";"CONSOL_WO_SFDV",#N/A,FALSE,"Sheet1"}</definedName>
    <definedName name="printing_problem3" localSheetId="23" hidden="1">{"CONSOL_WO_ISV",#N/A,FALSE,"Sheet1";"CONSOL_WO_SAV",#N/A,FALSE,"Sheet1";"CONSOL_WO_BSV",#N/A,FALSE,"Sheet1";"CONSOL_WO_SFDV",#N/A,FALSE,"Sheet1"}</definedName>
    <definedName name="printing_problem3" hidden="1">{"CONSOL_WO_ISV",#N/A,FALSE,"Sheet1";"CONSOL_WO_SAV",#N/A,FALSE,"Sheet1";"CONSOL_WO_BSV",#N/A,FALSE,"Sheet1";"CONSOL_WO_SFDV",#N/A,FALSE,"Sheet1"}</definedName>
    <definedName name="printing_problem3_2006" localSheetId="11" hidden="1">{"CONSOL_WO_ISV",#N/A,FALSE,"Sheet1";"CONSOL_WO_SAV",#N/A,FALSE,"Sheet1";"CONSOL_WO_BSV",#N/A,FALSE,"Sheet1";"CONSOL_WO_SFDV",#N/A,FALSE,"Sheet1"}</definedName>
    <definedName name="printing_problem3_2006" localSheetId="12" hidden="1">{"CONSOL_WO_ISV",#N/A,FALSE,"Sheet1";"CONSOL_WO_SAV",#N/A,FALSE,"Sheet1";"CONSOL_WO_BSV",#N/A,FALSE,"Sheet1";"CONSOL_WO_SFDV",#N/A,FALSE,"Sheet1"}</definedName>
    <definedName name="printing_problem3_2006" localSheetId="20" hidden="1">{"CONSOL_WO_ISV",#N/A,FALSE,"Sheet1";"CONSOL_WO_SAV",#N/A,FALSE,"Sheet1";"CONSOL_WO_BSV",#N/A,FALSE,"Sheet1";"CONSOL_WO_SFDV",#N/A,FALSE,"Sheet1"}</definedName>
    <definedName name="printing_problem3_2006" localSheetId="21" hidden="1">{"CONSOL_WO_ISV",#N/A,FALSE,"Sheet1";"CONSOL_WO_SAV",#N/A,FALSE,"Sheet1";"CONSOL_WO_BSV",#N/A,FALSE,"Sheet1";"CONSOL_WO_SFDV",#N/A,FALSE,"Sheet1"}</definedName>
    <definedName name="printing_problem3_2006" localSheetId="22" hidden="1">{"CONSOL_WO_ISV",#N/A,FALSE,"Sheet1";"CONSOL_WO_SAV",#N/A,FALSE,"Sheet1";"CONSOL_WO_BSV",#N/A,FALSE,"Sheet1";"CONSOL_WO_SFDV",#N/A,FALSE,"Sheet1"}</definedName>
    <definedName name="printing_problem3_2006" localSheetId="23" hidden="1">{"CONSOL_WO_ISV",#N/A,FALSE,"Sheet1";"CONSOL_WO_SAV",#N/A,FALSE,"Sheet1";"CONSOL_WO_BSV",#N/A,FALSE,"Sheet1";"CONSOL_WO_SFDV",#N/A,FALSE,"Sheet1"}</definedName>
    <definedName name="printing_problem3_2006" hidden="1">{"CONSOL_WO_ISV",#N/A,FALSE,"Sheet1";"CONSOL_WO_SAV",#N/A,FALSE,"Sheet1";"CONSOL_WO_BSV",#N/A,FALSE,"Sheet1";"CONSOL_WO_SFDV",#N/A,FALSE,"Sheet1"}</definedName>
    <definedName name="printing_problem4" localSheetId="11" hidden="1">{"ELIM_CWO_ISV",#N/A,FALSE,"Sheet1";"ELIM_CWO_SAV",#N/A,FALSE,"Sheet1";"ELIM_CWO_BSV",#N/A,FALSE,"Sheet1";"ELIM_CWO_SFDV",#N/A,FALSE,"Sheet1"}</definedName>
    <definedName name="printing_problem4" localSheetId="12" hidden="1">{"ELIM_CWO_ISV",#N/A,FALSE,"Sheet1";"ELIM_CWO_SAV",#N/A,FALSE,"Sheet1";"ELIM_CWO_BSV",#N/A,FALSE,"Sheet1";"ELIM_CWO_SFDV",#N/A,FALSE,"Sheet1"}</definedName>
    <definedName name="printing_problem4" localSheetId="20" hidden="1">{"ELIM_CWO_ISV",#N/A,FALSE,"Sheet1";"ELIM_CWO_SAV",#N/A,FALSE,"Sheet1";"ELIM_CWO_BSV",#N/A,FALSE,"Sheet1";"ELIM_CWO_SFDV",#N/A,FALSE,"Sheet1"}</definedName>
    <definedName name="printing_problem4" localSheetId="21" hidden="1">{"ELIM_CWO_ISV",#N/A,FALSE,"Sheet1";"ELIM_CWO_SAV",#N/A,FALSE,"Sheet1";"ELIM_CWO_BSV",#N/A,FALSE,"Sheet1";"ELIM_CWO_SFDV",#N/A,FALSE,"Sheet1"}</definedName>
    <definedName name="printing_problem4" localSheetId="22" hidden="1">{"ELIM_CWO_ISV",#N/A,FALSE,"Sheet1";"ELIM_CWO_SAV",#N/A,FALSE,"Sheet1";"ELIM_CWO_BSV",#N/A,FALSE,"Sheet1";"ELIM_CWO_SFDV",#N/A,FALSE,"Sheet1"}</definedName>
    <definedName name="printing_problem4" localSheetId="23" hidden="1">{"ELIM_CWO_ISV",#N/A,FALSE,"Sheet1";"ELIM_CWO_SAV",#N/A,FALSE,"Sheet1";"ELIM_CWO_BSV",#N/A,FALSE,"Sheet1";"ELIM_CWO_SFDV",#N/A,FALSE,"Sheet1"}</definedName>
    <definedName name="printing_problem4" hidden="1">{"ELIM_CWO_ISV",#N/A,FALSE,"Sheet1";"ELIM_CWO_SAV",#N/A,FALSE,"Sheet1";"ELIM_CWO_BSV",#N/A,FALSE,"Sheet1";"ELIM_CWO_SFDV",#N/A,FALSE,"Sheet1"}</definedName>
    <definedName name="printing_problem4_2006" localSheetId="11" hidden="1">{"ELIM_CWO_ISV",#N/A,FALSE,"Sheet1";"ELIM_CWO_SAV",#N/A,FALSE,"Sheet1";"ELIM_CWO_BSV",#N/A,FALSE,"Sheet1";"ELIM_CWO_SFDV",#N/A,FALSE,"Sheet1"}</definedName>
    <definedName name="printing_problem4_2006" localSheetId="12" hidden="1">{"ELIM_CWO_ISV",#N/A,FALSE,"Sheet1";"ELIM_CWO_SAV",#N/A,FALSE,"Sheet1";"ELIM_CWO_BSV",#N/A,FALSE,"Sheet1";"ELIM_CWO_SFDV",#N/A,FALSE,"Sheet1"}</definedName>
    <definedName name="printing_problem4_2006" localSheetId="20" hidden="1">{"ELIM_CWO_ISV",#N/A,FALSE,"Sheet1";"ELIM_CWO_SAV",#N/A,FALSE,"Sheet1";"ELIM_CWO_BSV",#N/A,FALSE,"Sheet1";"ELIM_CWO_SFDV",#N/A,FALSE,"Sheet1"}</definedName>
    <definedName name="printing_problem4_2006" localSheetId="21" hidden="1">{"ELIM_CWO_ISV",#N/A,FALSE,"Sheet1";"ELIM_CWO_SAV",#N/A,FALSE,"Sheet1";"ELIM_CWO_BSV",#N/A,FALSE,"Sheet1";"ELIM_CWO_SFDV",#N/A,FALSE,"Sheet1"}</definedName>
    <definedName name="printing_problem4_2006" localSheetId="22" hidden="1">{"ELIM_CWO_ISV",#N/A,FALSE,"Sheet1";"ELIM_CWO_SAV",#N/A,FALSE,"Sheet1";"ELIM_CWO_BSV",#N/A,FALSE,"Sheet1";"ELIM_CWO_SFDV",#N/A,FALSE,"Sheet1"}</definedName>
    <definedName name="printing_problem4_2006" localSheetId="23" hidden="1">{"ELIM_CWO_ISV",#N/A,FALSE,"Sheet1";"ELIM_CWO_SAV",#N/A,FALSE,"Sheet1";"ELIM_CWO_BSV",#N/A,FALSE,"Sheet1";"ELIM_CWO_SFDV",#N/A,FALSE,"Sheet1"}</definedName>
    <definedName name="printing_problem4_2006" hidden="1">{"ELIM_CWO_ISV",#N/A,FALSE,"Sheet1";"ELIM_CWO_SAV",#N/A,FALSE,"Sheet1";"ELIM_CWO_BSV",#N/A,FALSE,"Sheet1";"ELIM_CWO_SFDV",#N/A,FALSE,"Sheet1"}</definedName>
    <definedName name="printing_problem5" localSheetId="11" hidden="1">{"ELIM_UWNJ_UWNY_ISV",#N/A,FALSE,"Sheet1";"ELIM_UWNJ_UWNY_SAV",#N/A,FALSE,"Sheet1";"ELIM_UWNJ_UWNY_BSV",#N/A,FALSE,"Sheet1";"ELIM_UWNJ_UWNY_SFDV",#N/A,FALSE,"Sheet1"}</definedName>
    <definedName name="printing_problem5" localSheetId="12" hidden="1">{"ELIM_UWNJ_UWNY_ISV",#N/A,FALSE,"Sheet1";"ELIM_UWNJ_UWNY_SAV",#N/A,FALSE,"Sheet1";"ELIM_UWNJ_UWNY_BSV",#N/A,FALSE,"Sheet1";"ELIM_UWNJ_UWNY_SFDV",#N/A,FALSE,"Sheet1"}</definedName>
    <definedName name="printing_problem5" localSheetId="20" hidden="1">{"ELIM_UWNJ_UWNY_ISV",#N/A,FALSE,"Sheet1";"ELIM_UWNJ_UWNY_SAV",#N/A,FALSE,"Sheet1";"ELIM_UWNJ_UWNY_BSV",#N/A,FALSE,"Sheet1";"ELIM_UWNJ_UWNY_SFDV",#N/A,FALSE,"Sheet1"}</definedName>
    <definedName name="printing_problem5" localSheetId="21" hidden="1">{"ELIM_UWNJ_UWNY_ISV",#N/A,FALSE,"Sheet1";"ELIM_UWNJ_UWNY_SAV",#N/A,FALSE,"Sheet1";"ELIM_UWNJ_UWNY_BSV",#N/A,FALSE,"Sheet1";"ELIM_UWNJ_UWNY_SFDV",#N/A,FALSE,"Sheet1"}</definedName>
    <definedName name="printing_problem5" localSheetId="22" hidden="1">{"ELIM_UWNJ_UWNY_ISV",#N/A,FALSE,"Sheet1";"ELIM_UWNJ_UWNY_SAV",#N/A,FALSE,"Sheet1";"ELIM_UWNJ_UWNY_BSV",#N/A,FALSE,"Sheet1";"ELIM_UWNJ_UWNY_SFDV",#N/A,FALSE,"Sheet1"}</definedName>
    <definedName name="printing_problem5" localSheetId="23" hidden="1">{"ELIM_UWNJ_UWNY_ISV",#N/A,FALSE,"Sheet1";"ELIM_UWNJ_UWNY_SAV",#N/A,FALSE,"Sheet1";"ELIM_UWNJ_UWNY_BSV",#N/A,FALSE,"Sheet1";"ELIM_UWNJ_UWNY_SFDV",#N/A,FALSE,"Sheet1"}</definedName>
    <definedName name="printing_problem5" hidden="1">{"ELIM_UWNJ_UWNY_ISV",#N/A,FALSE,"Sheet1";"ELIM_UWNJ_UWNY_SAV",#N/A,FALSE,"Sheet1";"ELIM_UWNJ_UWNY_BSV",#N/A,FALSE,"Sheet1";"ELIM_UWNJ_UWNY_SFDV",#N/A,FALSE,"Sheet1"}</definedName>
    <definedName name="printingproblem6" localSheetId="11" hidden="1">{"UWMACISV",#N/A,FALSE,"Sheet1";"UWMACSAV",#N/A,FALSE,"Sheet1";"UWMACBSV",#N/A,FALSE,"Sheet1";"UWMACSFDV",#N/A,FALSE,"Sheet1"}</definedName>
    <definedName name="printingproblem6" localSheetId="12" hidden="1">{"UWMACISV",#N/A,FALSE,"Sheet1";"UWMACSAV",#N/A,FALSE,"Sheet1";"UWMACBSV",#N/A,FALSE,"Sheet1";"UWMACSFDV",#N/A,FALSE,"Sheet1"}</definedName>
    <definedName name="printingproblem6" localSheetId="20" hidden="1">{"UWMACISV",#N/A,FALSE,"Sheet1";"UWMACSAV",#N/A,FALSE,"Sheet1";"UWMACBSV",#N/A,FALSE,"Sheet1";"UWMACSFDV",#N/A,FALSE,"Sheet1"}</definedName>
    <definedName name="printingproblem6" localSheetId="21" hidden="1">{"UWMACISV",#N/A,FALSE,"Sheet1";"UWMACSAV",#N/A,FALSE,"Sheet1";"UWMACBSV",#N/A,FALSE,"Sheet1";"UWMACSFDV",#N/A,FALSE,"Sheet1"}</definedName>
    <definedName name="printingproblem6" localSheetId="22" hidden="1">{"UWMACISV",#N/A,FALSE,"Sheet1";"UWMACSAV",#N/A,FALSE,"Sheet1";"UWMACBSV",#N/A,FALSE,"Sheet1";"UWMACSFDV",#N/A,FALSE,"Sheet1"}</definedName>
    <definedName name="printingproblem6" localSheetId="23" hidden="1">{"UWMACISV",#N/A,FALSE,"Sheet1";"UWMACSAV",#N/A,FALSE,"Sheet1";"UWMACBSV",#N/A,FALSE,"Sheet1";"UWMACSFDV",#N/A,FALSE,"Sheet1"}</definedName>
    <definedName name="printingproblem6" hidden="1">{"UWMACISV",#N/A,FALSE,"Sheet1";"UWMACSAV",#N/A,FALSE,"Sheet1";"UWMACBSV",#N/A,FALSE,"Sheet1";"UWMACSFDV",#N/A,FALSE,"Sheet1"}</definedName>
    <definedName name="printingproblem7" localSheetId="11" hidden="1">{"UWNYISV",#N/A,FALSE,"Sheet1";"UWNYSAV",#N/A,FALSE,"Sheet1";"UWNYBSV",#N/A,FALSE,"Sheet1";"UWNYSFDV",#N/A,FALSE,"Sheet1"}</definedName>
    <definedName name="printingproblem7" localSheetId="12" hidden="1">{"UWNYISV",#N/A,FALSE,"Sheet1";"UWNYSAV",#N/A,FALSE,"Sheet1";"UWNYBSV",#N/A,FALSE,"Sheet1";"UWNYSFDV",#N/A,FALSE,"Sheet1"}</definedName>
    <definedName name="printingproblem7" localSheetId="20" hidden="1">{"UWNYISV",#N/A,FALSE,"Sheet1";"UWNYSAV",#N/A,FALSE,"Sheet1";"UWNYBSV",#N/A,FALSE,"Sheet1";"UWNYSFDV",#N/A,FALSE,"Sheet1"}</definedName>
    <definedName name="printingproblem7" localSheetId="21" hidden="1">{"UWNYISV",#N/A,FALSE,"Sheet1";"UWNYSAV",#N/A,FALSE,"Sheet1";"UWNYBSV",#N/A,FALSE,"Sheet1";"UWNYSFDV",#N/A,FALSE,"Sheet1"}</definedName>
    <definedName name="printingproblem7" localSheetId="22" hidden="1">{"UWNYISV",#N/A,FALSE,"Sheet1";"UWNYSAV",#N/A,FALSE,"Sheet1";"UWNYBSV",#N/A,FALSE,"Sheet1";"UWNYSFDV",#N/A,FALSE,"Sheet1"}</definedName>
    <definedName name="printingproblem7" localSheetId="23" hidden="1">{"UWNYISV",#N/A,FALSE,"Sheet1";"UWNYSAV",#N/A,FALSE,"Sheet1";"UWNYBSV",#N/A,FALSE,"Sheet1";"UWNYSFDV",#N/A,FALSE,"Sheet1"}</definedName>
    <definedName name="printingproblem7" hidden="1">{"UWNYISV",#N/A,FALSE,"Sheet1";"UWNYSAV",#N/A,FALSE,"Sheet1";"UWNYBSV",#N/A,FALSE,"Sheet1";"UWNYSFDV",#N/A,FALSE,"Sheet1"}</definedName>
    <definedName name="printingproblem8" localSheetId="11" hidden="1">{"UWWISV",#N/A,FALSE,"Sheet1";"UWWSAV",#N/A,FALSE,"Sheet1";"UWWBSV",#N/A,FALSE,"Sheet1";"UWWSFDV",#N/A,FALSE,"Sheet1"}</definedName>
    <definedName name="printingproblem8" localSheetId="12" hidden="1">{"UWWISV",#N/A,FALSE,"Sheet1";"UWWSAV",#N/A,FALSE,"Sheet1";"UWWBSV",#N/A,FALSE,"Sheet1";"UWWSFDV",#N/A,FALSE,"Sheet1"}</definedName>
    <definedName name="printingproblem8" localSheetId="20" hidden="1">{"UWWISV",#N/A,FALSE,"Sheet1";"UWWSAV",#N/A,FALSE,"Sheet1";"UWWBSV",#N/A,FALSE,"Sheet1";"UWWSFDV",#N/A,FALSE,"Sheet1"}</definedName>
    <definedName name="printingproblem8" localSheetId="21" hidden="1">{"UWWISV",#N/A,FALSE,"Sheet1";"UWWSAV",#N/A,FALSE,"Sheet1";"UWWBSV",#N/A,FALSE,"Sheet1";"UWWSFDV",#N/A,FALSE,"Sheet1"}</definedName>
    <definedName name="printingproblem8" localSheetId="22" hidden="1">{"UWWISV",#N/A,FALSE,"Sheet1";"UWWSAV",#N/A,FALSE,"Sheet1";"UWWBSV",#N/A,FALSE,"Sheet1";"UWWSFDV",#N/A,FALSE,"Sheet1"}</definedName>
    <definedName name="printingproblem8" localSheetId="23" hidden="1">{"UWWISV",#N/A,FALSE,"Sheet1";"UWWSAV",#N/A,FALSE,"Sheet1";"UWWBSV",#N/A,FALSE,"Sheet1";"UWWSFDV",#N/A,FALSE,"Sheet1"}</definedName>
    <definedName name="printingproblem8" hidden="1">{"UWWISV",#N/A,FALSE,"Sheet1";"UWWSAV",#N/A,FALSE,"Sheet1";"UWWBSV",#N/A,FALSE,"Sheet1";"UWWSFDV",#N/A,FALSE,"Sheet1"}</definedName>
    <definedName name="pslf" localSheetId="10" hidden="1">#REF!</definedName>
    <definedName name="pslf" localSheetId="11" hidden="1">#REF!</definedName>
    <definedName name="pslf" localSheetId="12" hidden="1">#REF!</definedName>
    <definedName name="pslf" localSheetId="14" hidden="1">#REF!</definedName>
    <definedName name="pslf" localSheetId="15" hidden="1">#REF!</definedName>
    <definedName name="pslf" localSheetId="19" hidden="1">#REF!</definedName>
    <definedName name="pslf" localSheetId="21" hidden="1">#REF!</definedName>
    <definedName name="pslf" localSheetId="22" hidden="1">#REF!</definedName>
    <definedName name="pslf" localSheetId="23" hidden="1">#REF!</definedName>
    <definedName name="pslf" localSheetId="24" hidden="1">#REF!</definedName>
    <definedName name="pslf" hidden="1">#REF!</definedName>
    <definedName name="psrfdgl" localSheetId="10" hidden="1">#REF!</definedName>
    <definedName name="psrfdgl" localSheetId="11" hidden="1">#REF!</definedName>
    <definedName name="psrfdgl" localSheetId="12" hidden="1">#REF!</definedName>
    <definedName name="psrfdgl" localSheetId="14" hidden="1">#REF!</definedName>
    <definedName name="psrfdgl" localSheetId="15" hidden="1">#REF!</definedName>
    <definedName name="psrfdgl" localSheetId="21" hidden="1">#REF!</definedName>
    <definedName name="psrfdgl" localSheetId="22" hidden="1">#REF!</definedName>
    <definedName name="psrfdgl" localSheetId="23" hidden="1">#REF!</definedName>
    <definedName name="psrfdgl" localSheetId="24" hidden="1">#REF!</definedName>
    <definedName name="psrfdgl" hidden="1">#REF!</definedName>
    <definedName name="pwe" localSheetId="10" hidden="1">#REF!</definedName>
    <definedName name="pwe" localSheetId="11" hidden="1">#REF!</definedName>
    <definedName name="pwe" localSheetId="12" hidden="1">#REF!</definedName>
    <definedName name="pwe" localSheetId="14" hidden="1">#REF!</definedName>
    <definedName name="pwe" localSheetId="15" hidden="1">#REF!</definedName>
    <definedName name="pwe" localSheetId="21" hidden="1">#REF!</definedName>
    <definedName name="pwe" localSheetId="22" hidden="1">#REF!</definedName>
    <definedName name="pwe" localSheetId="23" hidden="1">#REF!</definedName>
    <definedName name="pwe" localSheetId="24" hidden="1">#REF!</definedName>
    <definedName name="pwe" hidden="1">#REF!</definedName>
    <definedName name="qaw" localSheetId="10" hidden="1">#REF!</definedName>
    <definedName name="qaw" localSheetId="11" hidden="1">#REF!</definedName>
    <definedName name="qaw" localSheetId="12" hidden="1">#REF!</definedName>
    <definedName name="qaw" localSheetId="14" hidden="1">#REF!</definedName>
    <definedName name="qaw" localSheetId="15" hidden="1">#REF!</definedName>
    <definedName name="qaw" localSheetId="21" hidden="1">#REF!</definedName>
    <definedName name="qaw" localSheetId="22" hidden="1">#REF!</definedName>
    <definedName name="qaw" localSheetId="23" hidden="1">#REF!</definedName>
    <definedName name="qaw" localSheetId="24" hidden="1">#REF!</definedName>
    <definedName name="qaw" hidden="1">#REF!</definedName>
    <definedName name="qqa" localSheetId="10" hidden="1">{"ARK_JURIS_FUEL",#N/A,FALSE,"Ark_Fuel&amp;Rev"}</definedName>
    <definedName name="qqa" localSheetId="11" hidden="1">{"ARK_JURIS_FUEL",#N/A,FALSE,"Ark_Fuel&amp;Rev"}</definedName>
    <definedName name="qqa" localSheetId="12" hidden="1">{"ARK_JURIS_FUEL",#N/A,FALSE,"Ark_Fuel&amp;Rev"}</definedName>
    <definedName name="qqa" localSheetId="13" hidden="1">{"ARK_JURIS_FUEL",#N/A,FALSE,"Ark_Fuel&amp;Rev"}</definedName>
    <definedName name="qqa" localSheetId="14" hidden="1">{"ARK_JURIS_FUEL",#N/A,FALSE,"Ark_Fuel&amp;Rev"}</definedName>
    <definedName name="qqa" localSheetId="15" hidden="1">{"ARK_JURIS_FUEL",#N/A,FALSE,"Ark_Fuel&amp;Rev"}</definedName>
    <definedName name="qqa" localSheetId="16" hidden="1">{"ARK_JURIS_FUEL",#N/A,FALSE,"Ark_Fuel&amp;Rev"}</definedName>
    <definedName name="qqa" localSheetId="17" hidden="1">{"ARK_JURIS_FUEL",#N/A,FALSE,"Ark_Fuel&amp;Rev"}</definedName>
    <definedName name="qqa" localSheetId="19" hidden="1">{"ARK_JURIS_FUEL",#N/A,FALSE,"Ark_Fuel&amp;Rev"}</definedName>
    <definedName name="qqa" localSheetId="20" hidden="1">{"ARK_JURIS_FUEL",#N/A,FALSE,"Ark_Fuel&amp;Rev"}</definedName>
    <definedName name="qqa" localSheetId="21" hidden="1">{"ARK_JURIS_FUEL",#N/A,FALSE,"Ark_Fuel&amp;Rev"}</definedName>
    <definedName name="qqa" localSheetId="22" hidden="1">{"ARK_JURIS_FUEL",#N/A,FALSE,"Ark_Fuel&amp;Rev"}</definedName>
    <definedName name="qqa" localSheetId="23" hidden="1">{"ARK_JURIS_FUEL",#N/A,FALSE,"Ark_Fuel&amp;Rev"}</definedName>
    <definedName name="qqa" localSheetId="24" hidden="1">{"ARK_JURIS_FUEL",#N/A,FALSE,"Ark_Fuel&amp;Rev"}</definedName>
    <definedName name="qqa" hidden="1">{"ARK_JURIS_FUEL",#N/A,FALSE,"Ark_Fuel&amp;Rev"}</definedName>
    <definedName name="qwr" localSheetId="10" hidden="1">#REF!</definedName>
    <definedName name="qwr" localSheetId="11" hidden="1">#REF!</definedName>
    <definedName name="qwr" localSheetId="12" hidden="1">#REF!</definedName>
    <definedName name="qwr" localSheetId="14" hidden="1">#REF!</definedName>
    <definedName name="qwr" localSheetId="15" hidden="1">#REF!</definedName>
    <definedName name="qwr" localSheetId="16" hidden="1">#REF!</definedName>
    <definedName name="qwr" localSheetId="17" hidden="1">#REF!</definedName>
    <definedName name="qwr" localSheetId="19" hidden="1">#REF!</definedName>
    <definedName name="qwr" localSheetId="21" hidden="1">#REF!</definedName>
    <definedName name="qwr" localSheetId="22" hidden="1">#REF!</definedName>
    <definedName name="qwr" localSheetId="23" hidden="1">#REF!</definedName>
    <definedName name="qwr" localSheetId="24" hidden="1">#REF!</definedName>
    <definedName name="qwr" hidden="1">#REF!</definedName>
    <definedName name="repeat" localSheetId="10" hidden="1">#REF!</definedName>
    <definedName name="repeat" localSheetId="11" hidden="1">#REF!</definedName>
    <definedName name="repeat" localSheetId="12" hidden="1">#REF!</definedName>
    <definedName name="repeat" localSheetId="14" hidden="1">#REF!</definedName>
    <definedName name="repeat" localSheetId="15" hidden="1">#REF!</definedName>
    <definedName name="repeat" localSheetId="21" hidden="1">#REF!</definedName>
    <definedName name="repeat" localSheetId="22" hidden="1">#REF!</definedName>
    <definedName name="repeat" localSheetId="23" hidden="1">#REF!</definedName>
    <definedName name="repeat" localSheetId="24" hidden="1">#REF!</definedName>
    <definedName name="repeat"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12" hidden="1">5</definedName>
    <definedName name="RiskHasSettings" localSheetId="13" hidden="1">6</definedName>
    <definedName name="RiskHasSettings" localSheetId="14" hidden="1">7</definedName>
    <definedName name="RiskHasSettings" localSheetId="15" hidden="1">6</definedName>
    <definedName name="RiskHasSettings" hidden="1">5</definedName>
    <definedName name="RiskIsInput" localSheetId="11" hidden="1">_xll.RiskCellHasTokens(262144+512+524288)</definedName>
    <definedName name="RiskIsInput" localSheetId="12" hidden="1">_xll.RiskCellHasTokens(262144+512+524288)</definedName>
    <definedName name="RiskIsInput" localSheetId="13" hidden="1">FALSE</definedName>
    <definedName name="RiskIsInput" localSheetId="14" hidden="1">_xll.RiskCellHasTokens(262144+512+524288)</definedName>
    <definedName name="RiskIsInput" localSheetId="15" hidden="1">FALSE</definedName>
    <definedName name="RiskIsInput" localSheetId="17" hidden="1">_xll.RiskCellHasTokens(262144+512+524288)</definedName>
    <definedName name="RiskIsInput" hidden="1">_xll.RiskCellHasTokens(262144+512+524288)</definedName>
    <definedName name="RiskIsOptimization" localSheetId="10" hidden="1">FALSE</definedName>
    <definedName name="RiskIsOptimization" localSheetId="12" hidden="1">FALSE</definedName>
    <definedName name="RiskIsOptimization" hidden="1">FALSE</definedName>
    <definedName name="RiskIsOutput" localSheetId="11" hidden="1">_xll.RiskCellHasTokens(1024)</definedName>
    <definedName name="RiskIsOutput" localSheetId="12" hidden="1">_xll.RiskCellHasTokens(1024)</definedName>
    <definedName name="RiskIsOutput" localSheetId="13" hidden="1">FALSE</definedName>
    <definedName name="RiskIsOutput" localSheetId="14" hidden="1">_xll.RiskCellHasTokens(1024)</definedName>
    <definedName name="RiskIsOutput" localSheetId="15" hidden="1">FALSE</definedName>
    <definedName name="RiskIsOutput" localSheetId="17" hidden="1">_xll.RiskCellHasTokens(1024)</definedName>
    <definedName name="RiskIsOutput" hidden="1">_xll.RiskCellHasTokens(1024)</definedName>
    <definedName name="RiskIsStatistics" localSheetId="11" hidden="1">_xll.RiskCellHasTokens(4096+32768+65536)</definedName>
    <definedName name="RiskIsStatistics" localSheetId="12" hidden="1">_xll.RiskCellHasTokens(4096+32768+65536)</definedName>
    <definedName name="RiskIsStatistics" localSheetId="13" hidden="1">FALSE</definedName>
    <definedName name="RiskIsStatistics" localSheetId="14" hidden="1">_xll.RiskCellHasTokens(4096+32768+65536)</definedName>
    <definedName name="RiskIsStatistics" localSheetId="15" hidden="1">FALSE</definedName>
    <definedName name="RiskIsStatistics" localSheetId="17"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localSheetId="13" hidden="1">3</definedName>
    <definedName name="RiskSamplingType" localSheetId="15" hidden="1">3</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k" localSheetId="12" hidden="1">{#N/A,#N/A,FALSE,"SCA";#N/A,#N/A,FALSE,"NCA";#N/A,#N/A,FALSE,"SAZ";#N/A,#N/A,FALSE,"CAZ";#N/A,#N/A,FALSE,"SNV";#N/A,#N/A,FALSE,"NNV";#N/A,#N/A,FALSE,"PP";#N/A,#N/A,FALSE,"SA"}</definedName>
    <definedName name="rk" localSheetId="13" hidden="1">{#N/A,#N/A,FALSE,"SCA";#N/A,#N/A,FALSE,"NCA";#N/A,#N/A,FALSE,"SAZ";#N/A,#N/A,FALSE,"CAZ";#N/A,#N/A,FALSE,"SNV";#N/A,#N/A,FALSE,"NNV";#N/A,#N/A,FALSE,"PP";#N/A,#N/A,FALSE,"SA"}</definedName>
    <definedName name="rk" localSheetId="14" hidden="1">{#N/A,#N/A,FALSE,"SCA";#N/A,#N/A,FALSE,"NCA";#N/A,#N/A,FALSE,"SAZ";#N/A,#N/A,FALSE,"CAZ";#N/A,#N/A,FALSE,"SNV";#N/A,#N/A,FALSE,"NNV";#N/A,#N/A,FALSE,"PP";#N/A,#N/A,FALSE,"SA"}</definedName>
    <definedName name="rk" localSheetId="15" hidden="1">{#N/A,#N/A,FALSE,"SCA";#N/A,#N/A,FALSE,"NCA";#N/A,#N/A,FALSE,"SAZ";#N/A,#N/A,FALSE,"CAZ";#N/A,#N/A,FALSE,"SNV";#N/A,#N/A,FALSE,"NNV";#N/A,#N/A,FALSE,"PP";#N/A,#N/A,FALSE,"SA"}</definedName>
    <definedName name="rk" localSheetId="16" hidden="1">{#N/A,#N/A,FALSE,"SCA";#N/A,#N/A,FALSE,"NCA";#N/A,#N/A,FALSE,"SAZ";#N/A,#N/A,FALSE,"CAZ";#N/A,#N/A,FALSE,"SNV";#N/A,#N/A,FALSE,"NNV";#N/A,#N/A,FALSE,"PP";#N/A,#N/A,FALSE,"SA"}</definedName>
    <definedName name="rk" localSheetId="17" hidden="1">{#N/A,#N/A,FALSE,"SCA";#N/A,#N/A,FALSE,"NCA";#N/A,#N/A,FALSE,"SAZ";#N/A,#N/A,FALSE,"CAZ";#N/A,#N/A,FALSE,"SNV";#N/A,#N/A,FALSE,"NNV";#N/A,#N/A,FALSE,"PP";#N/A,#N/A,FALSE,"SA"}</definedName>
    <definedName name="rk" localSheetId="19" hidden="1">{#N/A,#N/A,FALSE,"SCA";#N/A,#N/A,FALSE,"NCA";#N/A,#N/A,FALSE,"SAZ";#N/A,#N/A,FALSE,"CAZ";#N/A,#N/A,FALSE,"SNV";#N/A,#N/A,FALSE,"NNV";#N/A,#N/A,FALSE,"PP";#N/A,#N/A,FALSE,"SA"}</definedName>
    <definedName name="rk" localSheetId="20" hidden="1">{#N/A,#N/A,FALSE,"SCA";#N/A,#N/A,FALSE,"NCA";#N/A,#N/A,FALSE,"SAZ";#N/A,#N/A,FALSE,"CAZ";#N/A,#N/A,FALSE,"SNV";#N/A,#N/A,FALSE,"NNV";#N/A,#N/A,FALSE,"PP";#N/A,#N/A,FALSE,"SA"}</definedName>
    <definedName name="rk" localSheetId="21" hidden="1">{#N/A,#N/A,FALSE,"SCA";#N/A,#N/A,FALSE,"NCA";#N/A,#N/A,FALSE,"SAZ";#N/A,#N/A,FALSE,"CAZ";#N/A,#N/A,FALSE,"SNV";#N/A,#N/A,FALSE,"NNV";#N/A,#N/A,FALSE,"PP";#N/A,#N/A,FALSE,"SA"}</definedName>
    <definedName name="rk" localSheetId="22" hidden="1">{#N/A,#N/A,FALSE,"SCA";#N/A,#N/A,FALSE,"NCA";#N/A,#N/A,FALSE,"SAZ";#N/A,#N/A,FALSE,"CAZ";#N/A,#N/A,FALSE,"SNV";#N/A,#N/A,FALSE,"NNV";#N/A,#N/A,FALSE,"PP";#N/A,#N/A,FALSE,"SA"}</definedName>
    <definedName name="rk" localSheetId="23" hidden="1">{#N/A,#N/A,FALSE,"SCA";#N/A,#N/A,FALSE,"NCA";#N/A,#N/A,FALSE,"SAZ";#N/A,#N/A,FALSE,"CAZ";#N/A,#N/A,FALSE,"SNV";#N/A,#N/A,FALSE,"NNV";#N/A,#N/A,FALSE,"PP";#N/A,#N/A,FALSE,"SA"}</definedName>
    <definedName name="rk" localSheetId="24" hidden="1">{#N/A,#N/A,FALSE,"SCA";#N/A,#N/A,FALSE,"NCA";#N/A,#N/A,FALSE,"SAZ";#N/A,#N/A,FALSE,"CAZ";#N/A,#N/A,FALSE,"SNV";#N/A,#N/A,FALSE,"NNV";#N/A,#N/A,FALSE,"PP";#N/A,#N/A,FALSE,"SA"}</definedName>
    <definedName name="rk" hidden="1">{#N/A,#N/A,FALSE,"SCA";#N/A,#N/A,FALSE,"NCA";#N/A,#N/A,FALSE,"SAZ";#N/A,#N/A,FALSE,"CAZ";#N/A,#N/A,FALSE,"SNV";#N/A,#N/A,FALSE,"NNV";#N/A,#N/A,FALSE,"PP";#N/A,#N/A,FALSE,"SA"}</definedName>
    <definedName name="rtyui" localSheetId="10" hidden="1">#REF!</definedName>
    <definedName name="rtyui" localSheetId="11" hidden="1">#REF!</definedName>
    <definedName name="rtyui" localSheetId="12" hidden="1">#REF!</definedName>
    <definedName name="rtyui" localSheetId="14" hidden="1">#REF!</definedName>
    <definedName name="rtyui" localSheetId="15" hidden="1">#REF!</definedName>
    <definedName name="rtyui" localSheetId="16" hidden="1">#REF!</definedName>
    <definedName name="rtyui" localSheetId="17" hidden="1">#REF!</definedName>
    <definedName name="rtyui" localSheetId="21" hidden="1">#REF!</definedName>
    <definedName name="rtyui" localSheetId="22" hidden="1">#REF!</definedName>
    <definedName name="rtyui" localSheetId="23" hidden="1">#REF!</definedName>
    <definedName name="rtyui" localSheetId="24" hidden="1">#REF!</definedName>
    <definedName name="rtyui" hidden="1">#REF!</definedName>
    <definedName name="rtyuiop" localSheetId="10" hidden="1">#REF!</definedName>
    <definedName name="rtyuiop" localSheetId="11" hidden="1">#REF!</definedName>
    <definedName name="rtyuiop" localSheetId="12" hidden="1">#REF!</definedName>
    <definedName name="rtyuiop" localSheetId="14" hidden="1">#REF!</definedName>
    <definedName name="rtyuiop" localSheetId="15" hidden="1">#REF!</definedName>
    <definedName name="rtyuiop" localSheetId="21" hidden="1">#REF!</definedName>
    <definedName name="rtyuiop" localSheetId="22" hidden="1">#REF!</definedName>
    <definedName name="rtyuiop" localSheetId="23" hidden="1">#REF!</definedName>
    <definedName name="rtyuiop" localSheetId="24" hidden="1">#REF!</definedName>
    <definedName name="rtyuiop" hidden="1">#REF!</definedName>
    <definedName name="S" localSheetId="10" hidden="1">#REF!</definedName>
    <definedName name="S" localSheetId="11" hidden="1">#REF!</definedName>
    <definedName name="S" localSheetId="12" hidden="1">#REF!</definedName>
    <definedName name="S" localSheetId="14" hidden="1">#REF!</definedName>
    <definedName name="S" localSheetId="15" hidden="1">#REF!</definedName>
    <definedName name="S" localSheetId="21" hidden="1">#REF!</definedName>
    <definedName name="S" localSheetId="22" hidden="1">#REF!</definedName>
    <definedName name="S" localSheetId="23" hidden="1">#REF!</definedName>
    <definedName name="S" localSheetId="24" hidden="1">#REF!</definedName>
    <definedName name="S" hidden="1">#REF!</definedName>
    <definedName name="sac" localSheetId="10" hidden="1">#REF!</definedName>
    <definedName name="sac" localSheetId="11" hidden="1">#REF!</definedName>
    <definedName name="sac" localSheetId="12" hidden="1">#REF!</definedName>
    <definedName name="sac" localSheetId="14" hidden="1">#REF!</definedName>
    <definedName name="sac" localSheetId="15" hidden="1">#REF!</definedName>
    <definedName name="sac" localSheetId="21" hidden="1">#REF!</definedName>
    <definedName name="sac" localSheetId="22" hidden="1">#REF!</definedName>
    <definedName name="sac" localSheetId="23" hidden="1">#REF!</definedName>
    <definedName name="sac" localSheetId="24" hidden="1">#REF!</definedName>
    <definedName name="sac" hidden="1">#REF!</definedName>
    <definedName name="sadf" localSheetId="10" hidden="1">#REF!</definedName>
    <definedName name="sadf" localSheetId="11" hidden="1">#REF!</definedName>
    <definedName name="sadf" localSheetId="12" hidden="1">#REF!</definedName>
    <definedName name="sadf" localSheetId="14" hidden="1">#REF!</definedName>
    <definedName name="sadf" localSheetId="15" hidden="1">#REF!</definedName>
    <definedName name="sadf" localSheetId="21" hidden="1">#REF!</definedName>
    <definedName name="sadf" localSheetId="22" hidden="1">#REF!</definedName>
    <definedName name="sadf" localSheetId="23" hidden="1">#REF!</definedName>
    <definedName name="sadf" localSheetId="24" hidden="1">#REF!</definedName>
    <definedName name="sadf" hidden="1">#REF!</definedName>
    <definedName name="sadfdfafdsfasf" hidden="1">'[2]Chart Data'!$P$30:$P$229</definedName>
    <definedName name="sadfkj" localSheetId="10" hidden="1">#REF!</definedName>
    <definedName name="sadfkj" localSheetId="11" hidden="1">#REF!</definedName>
    <definedName name="sadfkj" localSheetId="12" hidden="1">#REF!</definedName>
    <definedName name="sadfkj" localSheetId="14" hidden="1">#REF!</definedName>
    <definedName name="sadfkj" localSheetId="15" hidden="1">#REF!</definedName>
    <definedName name="sadfkj" localSheetId="16" hidden="1">#REF!</definedName>
    <definedName name="sadfkj" localSheetId="17" hidden="1">#REF!</definedName>
    <definedName name="sadfkj" localSheetId="21" hidden="1">#REF!</definedName>
    <definedName name="sadfkj" localSheetId="22" hidden="1">#REF!</definedName>
    <definedName name="sadfkj" localSheetId="23" hidden="1">#REF!</definedName>
    <definedName name="sadfkj" localSheetId="24" hidden="1">#REF!</definedName>
    <definedName name="sadfkj" hidden="1">#REF!</definedName>
    <definedName name="SAPBEXdnldView" hidden="1">"D3AGMWPPTUYDCJTDZ8WJR9VSG"</definedName>
    <definedName name="SAPBEXrevision" hidden="1">41</definedName>
    <definedName name="SAPBEXsysID" hidden="1">"PBW"</definedName>
    <definedName name="SAPBEXwbID" hidden="1">"3TD2FVG7ME7U056LVECBWI4A2"</definedName>
    <definedName name="sd" localSheetId="10" hidden="1">#REF!</definedName>
    <definedName name="sd" localSheetId="11" hidden="1">#REF!</definedName>
    <definedName name="sd" localSheetId="12" hidden="1">#REF!</definedName>
    <definedName name="sd" localSheetId="13" hidden="1">#REF!</definedName>
    <definedName name="sd" localSheetId="14" hidden="1">#REF!</definedName>
    <definedName name="sd" localSheetId="15" hidden="1">#REF!</definedName>
    <definedName name="sd" localSheetId="16" hidden="1">#REF!</definedName>
    <definedName name="sd" localSheetId="17" hidden="1">#REF!</definedName>
    <definedName name="sd" localSheetId="21" hidden="1">#REF!</definedName>
    <definedName name="sd" localSheetId="22" hidden="1">#REF!</definedName>
    <definedName name="sd" localSheetId="23" hidden="1">#REF!</definedName>
    <definedName name="sd" localSheetId="24" hidden="1">#REF!</definedName>
    <definedName name="sd" hidden="1">#REF!</definedName>
    <definedName name="sdf" localSheetId="10" hidden="1">#REF!</definedName>
    <definedName name="sdf" localSheetId="11" hidden="1">#REF!</definedName>
    <definedName name="sdf" localSheetId="12" hidden="1">#REF!</definedName>
    <definedName name="sdf" localSheetId="14" hidden="1">#REF!</definedName>
    <definedName name="sdf" localSheetId="15" hidden="1">#REF!</definedName>
    <definedName name="sdf" localSheetId="21" hidden="1">#REF!</definedName>
    <definedName name="sdf" localSheetId="22" hidden="1">#REF!</definedName>
    <definedName name="sdf" localSheetId="23" hidden="1">#REF!</definedName>
    <definedName name="sdf" localSheetId="24" hidden="1">#REF!</definedName>
    <definedName name="sdf" hidden="1">#REF!</definedName>
    <definedName name="sdfp" localSheetId="10" hidden="1">#REF!</definedName>
    <definedName name="sdfp" localSheetId="11" hidden="1">#REF!</definedName>
    <definedName name="sdfp" localSheetId="12" hidden="1">#REF!</definedName>
    <definedName name="sdfp" localSheetId="14" hidden="1">#REF!</definedName>
    <definedName name="sdfp" localSheetId="15" hidden="1">#REF!</definedName>
    <definedName name="sdfp" localSheetId="21" hidden="1">#REF!</definedName>
    <definedName name="sdfp" localSheetId="22" hidden="1">#REF!</definedName>
    <definedName name="sdfp" localSheetId="23" hidden="1">#REF!</definedName>
    <definedName name="sdfp" localSheetId="24" hidden="1">#REF!</definedName>
    <definedName name="sdfp" hidden="1">#REF!</definedName>
    <definedName name="sdklofj" localSheetId="10" hidden="1">#REF!</definedName>
    <definedName name="sdklofj" localSheetId="11" hidden="1">#REF!</definedName>
    <definedName name="sdklofj" localSheetId="12" hidden="1">#REF!</definedName>
    <definedName name="sdklofj" localSheetId="14" hidden="1">#REF!</definedName>
    <definedName name="sdklofj" localSheetId="15" hidden="1">#REF!</definedName>
    <definedName name="sdklofj" localSheetId="21" hidden="1">#REF!</definedName>
    <definedName name="sdklofj" localSheetId="22" hidden="1">#REF!</definedName>
    <definedName name="sdklofj" localSheetId="23" hidden="1">#REF!</definedName>
    <definedName name="sdklofj" localSheetId="24" hidden="1">#REF!</definedName>
    <definedName name="sdklofj" hidden="1">#REF!</definedName>
    <definedName name="sdld" localSheetId="10" hidden="1">#REF!</definedName>
    <definedName name="sdld" localSheetId="11" hidden="1">#REF!</definedName>
    <definedName name="sdld" localSheetId="12" hidden="1">#REF!</definedName>
    <definedName name="sdld" localSheetId="14" hidden="1">#REF!</definedName>
    <definedName name="sdld" localSheetId="15" hidden="1">#REF!</definedName>
    <definedName name="sdld" localSheetId="21" hidden="1">#REF!</definedName>
    <definedName name="sdld" localSheetId="22" hidden="1">#REF!</definedName>
    <definedName name="sdld" localSheetId="23" hidden="1">#REF!</definedName>
    <definedName name="sdld" localSheetId="24" hidden="1">#REF!</definedName>
    <definedName name="sdld" hidden="1">#REF!</definedName>
    <definedName name="sdljgfj" localSheetId="10" hidden="1">#REF!</definedName>
    <definedName name="sdljgfj" localSheetId="11" hidden="1">#REF!</definedName>
    <definedName name="sdljgfj" localSheetId="12" hidden="1">#REF!</definedName>
    <definedName name="sdljgfj" localSheetId="14" hidden="1">#REF!</definedName>
    <definedName name="sdljgfj" localSheetId="15" hidden="1">#REF!</definedName>
    <definedName name="sdljgfj" localSheetId="21" hidden="1">#REF!</definedName>
    <definedName name="sdljgfj" localSheetId="22" hidden="1">#REF!</definedName>
    <definedName name="sdljgfj" localSheetId="23" hidden="1">#REF!</definedName>
    <definedName name="sdljgfj" localSheetId="24" hidden="1">#REF!</definedName>
    <definedName name="sdljgfj" hidden="1">#REF!</definedName>
    <definedName name="sdop" localSheetId="10" hidden="1">#REF!</definedName>
    <definedName name="sdop" localSheetId="11" hidden="1">#REF!</definedName>
    <definedName name="sdop" localSheetId="12" hidden="1">#REF!</definedName>
    <definedName name="sdop" localSheetId="14" hidden="1">#REF!</definedName>
    <definedName name="sdop" localSheetId="15" hidden="1">#REF!</definedName>
    <definedName name="sdop" localSheetId="21" hidden="1">#REF!</definedName>
    <definedName name="sdop" localSheetId="22" hidden="1">#REF!</definedName>
    <definedName name="sdop" localSheetId="23" hidden="1">#REF!</definedName>
    <definedName name="sdop" localSheetId="24" hidden="1">#REF!</definedName>
    <definedName name="sdop" hidden="1">#REF!</definedName>
    <definedName name="sdsdl" localSheetId="10" hidden="1">#REF!</definedName>
    <definedName name="sdsdl" localSheetId="11" hidden="1">#REF!</definedName>
    <definedName name="sdsdl" localSheetId="12" hidden="1">#REF!</definedName>
    <definedName name="sdsdl" localSheetId="14" hidden="1">#REF!</definedName>
    <definedName name="sdsdl" localSheetId="15" hidden="1">#REF!</definedName>
    <definedName name="sdsdl" localSheetId="21" hidden="1">#REF!</definedName>
    <definedName name="sdsdl" localSheetId="22" hidden="1">#REF!</definedName>
    <definedName name="sdsdl" localSheetId="23" hidden="1">#REF!</definedName>
    <definedName name="sdsdl" localSheetId="24" hidden="1">#REF!</definedName>
    <definedName name="sdsdl" hidden="1">#REF!</definedName>
    <definedName name="sdv" localSheetId="10" hidden="1">#REF!</definedName>
    <definedName name="sdv" localSheetId="11" hidden="1">#REF!</definedName>
    <definedName name="sdv" localSheetId="12" hidden="1">#REF!</definedName>
    <definedName name="sdv" localSheetId="14" hidden="1">#REF!</definedName>
    <definedName name="sdv" localSheetId="15" hidden="1">#REF!</definedName>
    <definedName name="sdv" localSheetId="21" hidden="1">#REF!</definedName>
    <definedName name="sdv" localSheetId="22" hidden="1">#REF!</definedName>
    <definedName name="sdv" localSheetId="23" hidden="1">#REF!</definedName>
    <definedName name="sdv" localSheetId="24" hidden="1">#REF!</definedName>
    <definedName name="sdv" hidden="1">#REF!</definedName>
    <definedName name="sedf" localSheetId="10" hidden="1">#REF!</definedName>
    <definedName name="sedf" localSheetId="11" hidden="1">#REF!</definedName>
    <definedName name="sedf" localSheetId="12" hidden="1">#REF!</definedName>
    <definedName name="sedf" localSheetId="14" hidden="1">#REF!</definedName>
    <definedName name="sedf" localSheetId="15" hidden="1">#REF!</definedName>
    <definedName name="sedf" localSheetId="21" hidden="1">#REF!</definedName>
    <definedName name="sedf" localSheetId="22" hidden="1">#REF!</definedName>
    <definedName name="sedf" localSheetId="23" hidden="1">#REF!</definedName>
    <definedName name="sedf" localSheetId="24" hidden="1">#REF!</definedName>
    <definedName name="sedf" hidden="1">#REF!</definedName>
    <definedName name="sevw" localSheetId="10" hidden="1">#REF!</definedName>
    <definedName name="sevw" localSheetId="11" hidden="1">#REF!</definedName>
    <definedName name="sevw" localSheetId="12" hidden="1">#REF!</definedName>
    <definedName name="sevw" localSheetId="14" hidden="1">#REF!</definedName>
    <definedName name="sevw" localSheetId="15" hidden="1">#REF!</definedName>
    <definedName name="sevw" localSheetId="21" hidden="1">#REF!</definedName>
    <definedName name="sevw" localSheetId="22" hidden="1">#REF!</definedName>
    <definedName name="sevw" localSheetId="23" hidden="1">#REF!</definedName>
    <definedName name="sevw" localSheetId="24" hidden="1">#REF!</definedName>
    <definedName name="sevw" hidden="1">#REF!</definedName>
    <definedName name="sfdv" localSheetId="10" hidden="1">#REF!</definedName>
    <definedName name="sfdv" localSheetId="11" hidden="1">#REF!</definedName>
    <definedName name="sfdv" localSheetId="12" hidden="1">#REF!</definedName>
    <definedName name="sfdv" localSheetId="14" hidden="1">#REF!</definedName>
    <definedName name="sfdv" localSheetId="15" hidden="1">#REF!</definedName>
    <definedName name="sfdv" localSheetId="21" hidden="1">#REF!</definedName>
    <definedName name="sfdv" localSheetId="22" hidden="1">#REF!</definedName>
    <definedName name="sfdv" localSheetId="23" hidden="1">#REF!</definedName>
    <definedName name="sfdv" localSheetId="24" hidden="1">#REF!</definedName>
    <definedName name="sfdv" hidden="1">#REF!</definedName>
    <definedName name="shit" localSheetId="10" hidden="1">{#N/A,#N/A,TRUE,"1990";#N/A,#N/A,TRUE,"1991";#N/A,#N/A,TRUE,"1992";#N/A,#N/A,TRUE,"1993"}</definedName>
    <definedName name="shit" localSheetId="11" hidden="1">{#N/A,#N/A,TRUE,"1990";#N/A,#N/A,TRUE,"1991";#N/A,#N/A,TRUE,"1992";#N/A,#N/A,TRUE,"1993"}</definedName>
    <definedName name="shit" localSheetId="12" hidden="1">{#N/A,#N/A,TRUE,"1990";#N/A,#N/A,TRUE,"1991";#N/A,#N/A,TRUE,"1992";#N/A,#N/A,TRUE,"1993"}</definedName>
    <definedName name="shit" localSheetId="13" hidden="1">{#N/A,#N/A,TRUE,"1990";#N/A,#N/A,TRUE,"1991";#N/A,#N/A,TRUE,"1992";#N/A,#N/A,TRUE,"1993"}</definedName>
    <definedName name="shit" localSheetId="14" hidden="1">{#N/A,#N/A,TRUE,"1990";#N/A,#N/A,TRUE,"1991";#N/A,#N/A,TRUE,"1992";#N/A,#N/A,TRUE,"1993"}</definedName>
    <definedName name="shit" localSheetId="15" hidden="1">{#N/A,#N/A,TRUE,"1990";#N/A,#N/A,TRUE,"1991";#N/A,#N/A,TRUE,"1992";#N/A,#N/A,TRUE,"1993"}</definedName>
    <definedName name="shit" localSheetId="16" hidden="1">{#N/A,#N/A,TRUE,"1990";#N/A,#N/A,TRUE,"1991";#N/A,#N/A,TRUE,"1992";#N/A,#N/A,TRUE,"1993"}</definedName>
    <definedName name="shit" localSheetId="17" hidden="1">{#N/A,#N/A,TRUE,"1990";#N/A,#N/A,TRUE,"1991";#N/A,#N/A,TRUE,"1992";#N/A,#N/A,TRUE,"1993"}</definedName>
    <definedName name="shit" localSheetId="19" hidden="1">{#N/A,#N/A,TRUE,"1990";#N/A,#N/A,TRUE,"1991";#N/A,#N/A,TRUE,"1992";#N/A,#N/A,TRUE,"1993"}</definedName>
    <definedName name="shit" localSheetId="20" hidden="1">{#N/A,#N/A,TRUE,"1990";#N/A,#N/A,TRUE,"1991";#N/A,#N/A,TRUE,"1992";#N/A,#N/A,TRUE,"1993"}</definedName>
    <definedName name="shit" localSheetId="21" hidden="1">{#N/A,#N/A,TRUE,"1990";#N/A,#N/A,TRUE,"1991";#N/A,#N/A,TRUE,"1992";#N/A,#N/A,TRUE,"1993"}</definedName>
    <definedName name="shit" localSheetId="22" hidden="1">{#N/A,#N/A,TRUE,"1990";#N/A,#N/A,TRUE,"1991";#N/A,#N/A,TRUE,"1992";#N/A,#N/A,TRUE,"1993"}</definedName>
    <definedName name="shit" localSheetId="23" hidden="1">{#N/A,#N/A,TRUE,"1990";#N/A,#N/A,TRUE,"1991";#N/A,#N/A,TRUE,"1992";#N/A,#N/A,TRUE,"1993"}</definedName>
    <definedName name="shit" localSheetId="24" hidden="1">{#N/A,#N/A,TRUE,"1990";#N/A,#N/A,TRUE,"1991";#N/A,#N/A,TRUE,"1992";#N/A,#N/A,TRUE,"1993"}</definedName>
    <definedName name="shit" hidden="1">{#N/A,#N/A,TRUE,"1990";#N/A,#N/A,TRUE,"1991";#N/A,#N/A,TRUE,"1992";#N/A,#N/A,TRUE,"1993"}</definedName>
    <definedName name="shit2" localSheetId="10" hidden="1">{"summary",#N/A,TRUE,"E93ADJ";"detail",#N/A,TRUE,"E93ADJ"}</definedName>
    <definedName name="shit2" localSheetId="11" hidden="1">{"summary",#N/A,TRUE,"E93ADJ";"detail",#N/A,TRUE,"E93ADJ"}</definedName>
    <definedName name="shit2" localSheetId="12" hidden="1">{"summary",#N/A,TRUE,"E93ADJ";"detail",#N/A,TRUE,"E93ADJ"}</definedName>
    <definedName name="shit2" localSheetId="13" hidden="1">{"summary",#N/A,TRUE,"E93ADJ";"detail",#N/A,TRUE,"E93ADJ"}</definedName>
    <definedName name="shit2" localSheetId="14" hidden="1">{"summary",#N/A,TRUE,"E93ADJ";"detail",#N/A,TRUE,"E93ADJ"}</definedName>
    <definedName name="shit2" localSheetId="15" hidden="1">{"summary",#N/A,TRUE,"E93ADJ";"detail",#N/A,TRUE,"E93ADJ"}</definedName>
    <definedName name="shit2" localSheetId="16" hidden="1">{"summary",#N/A,TRUE,"E93ADJ";"detail",#N/A,TRUE,"E93ADJ"}</definedName>
    <definedName name="shit2" localSheetId="17" hidden="1">{"summary",#N/A,TRUE,"E93ADJ";"detail",#N/A,TRUE,"E93ADJ"}</definedName>
    <definedName name="shit2" localSheetId="19" hidden="1">{"summary",#N/A,TRUE,"E93ADJ";"detail",#N/A,TRUE,"E93ADJ"}</definedName>
    <definedName name="shit2" localSheetId="20" hidden="1">{"summary",#N/A,TRUE,"E93ADJ";"detail",#N/A,TRUE,"E93ADJ"}</definedName>
    <definedName name="shit2" localSheetId="21" hidden="1">{"summary",#N/A,TRUE,"E93ADJ";"detail",#N/A,TRUE,"E93ADJ"}</definedName>
    <definedName name="shit2" localSheetId="22" hidden="1">{"summary",#N/A,TRUE,"E93ADJ";"detail",#N/A,TRUE,"E93ADJ"}</definedName>
    <definedName name="shit2" localSheetId="23" hidden="1">{"summary",#N/A,TRUE,"E93ADJ";"detail",#N/A,TRUE,"E93ADJ"}</definedName>
    <definedName name="shit2" localSheetId="24" hidden="1">{"summary",#N/A,TRUE,"E93ADJ";"detail",#N/A,TRUE,"E93ADJ"}</definedName>
    <definedName name="shit2" hidden="1">{"summary",#N/A,TRUE,"E93ADJ";"detail",#N/A,TRUE,"E93ADJ"}</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10" hidden="1">#REF!</definedName>
    <definedName name="slkd" localSheetId="11" hidden="1">#REF!</definedName>
    <definedName name="slkd" localSheetId="12" hidden="1">#REF!</definedName>
    <definedName name="slkd" localSheetId="14" hidden="1">#REF!</definedName>
    <definedName name="slkd" localSheetId="15" hidden="1">#REF!</definedName>
    <definedName name="slkd" localSheetId="16" hidden="1">#REF!</definedName>
    <definedName name="slkd" localSheetId="17" hidden="1">#REF!</definedName>
    <definedName name="slkd" localSheetId="21" hidden="1">#REF!</definedName>
    <definedName name="slkd" localSheetId="22" hidden="1">#REF!</definedName>
    <definedName name="slkd" localSheetId="23" hidden="1">#REF!</definedName>
    <definedName name="slkd" localSheetId="24" hidden="1">#REF!</definedName>
    <definedName name="slkd" hidden="1">#REF!</definedName>
    <definedName name="SpreadsheetBuilder_1" localSheetId="10" hidden="1">[17]Sheet1!$C$7:$FE$12</definedName>
    <definedName name="SpreadsheetBuilder_1" localSheetId="11" hidden="1">#REF!</definedName>
    <definedName name="SpreadsheetBuilder_1" localSheetId="12"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7" hidden="1">#REF!</definedName>
    <definedName name="SpreadsheetBuilder_1" localSheetId="21" hidden="1">[17]Sheet1!$C$7:$FE$12</definedName>
    <definedName name="SpreadsheetBuilder_1" localSheetId="23" hidden="1">[17]Sheet1!$C$7:$FE$12</definedName>
    <definedName name="SpreadsheetBuilder_1" hidden="1">#REF!</definedName>
    <definedName name="SpreadsheetBuilder_10" hidden="1">#REF!</definedName>
    <definedName name="SpreadsheetBuilder_12"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19" hidden="1">#REF!</definedName>
    <definedName name="SpreadsheetBuilder_2" localSheetId="10" hidden="1">'[18]Chart X Forecast Error'!#REF!</definedName>
    <definedName name="SpreadsheetBuilder_2" localSheetId="11" hidden="1">'[18]Chart X Forecast Error'!#REF!</definedName>
    <definedName name="SpreadsheetBuilder_2" localSheetId="12" hidden="1">'[19]Chart R16-17 Forecast Error'!#REF!</definedName>
    <definedName name="SpreadsheetBuilder_2" localSheetId="13" hidden="1">'[19]Chart R16-17 Forecast Error'!#REF!</definedName>
    <definedName name="SpreadsheetBuilder_2" localSheetId="14" hidden="1">'[19]Chart R16-17 Forecast Error'!#REF!</definedName>
    <definedName name="SpreadsheetBuilder_2" localSheetId="15" hidden="1">'[19]Chart R16-17 Forecast Error'!#REF!</definedName>
    <definedName name="SpreadsheetBuilder_2" localSheetId="20" hidden="1">'[18]Chart X Forecast Error'!#REF!</definedName>
    <definedName name="SpreadsheetBuilder_2" localSheetId="21" hidden="1">'[18]Chart X Forecast Error'!#REF!</definedName>
    <definedName name="SpreadsheetBuilder_2" localSheetId="22" hidden="1">'[18]Chart X Forecast Error'!#REF!</definedName>
    <definedName name="SpreadsheetBuilder_2" localSheetId="23" hidden="1">'[18]Chart X Forecast Error'!#REF!</definedName>
    <definedName name="SpreadsheetBuilder_2" localSheetId="24" hidden="1">'[18]Chart X Forecast Error'!#REF!</definedName>
    <definedName name="SpreadsheetBuilder_2" hidden="1">'[18]Chart X Forecast Error'!#REF!</definedName>
    <definedName name="SpreadsheetBuilder_20" hidden="1">#REF!</definedName>
    <definedName name="SpreadsheetBuilder_21" hidden="1">#REF!</definedName>
    <definedName name="SpreadsheetBuilder_22" hidden="1">#REF!</definedName>
    <definedName name="SpreadsheetBuilder_23" hidden="1">#REF!</definedName>
    <definedName name="SpreadsheetBuilder_24" hidden="1">#REF!</definedName>
    <definedName name="SpreadsheetBuilder_25" hidden="1">#REF!</definedName>
    <definedName name="SpreadsheetBuilder_27" hidden="1">#REF!</definedName>
    <definedName name="SpreadsheetBuilder_28" hidden="1">#REF!</definedName>
    <definedName name="SpreadsheetBuilder_3" localSheetId="10" hidden="1">#REF!</definedName>
    <definedName name="SpreadsheetBuilder_3" localSheetId="11" hidden="1">#REF!</definedName>
    <definedName name="SpreadsheetBuilder_3" localSheetId="12" hidden="1">#REF!</definedName>
    <definedName name="SpreadsheetBuilder_3" localSheetId="16" hidden="1">#REF!</definedName>
    <definedName name="SpreadsheetBuilder_3" localSheetId="17" hidden="1">#REF!</definedName>
    <definedName name="SpreadsheetBuilder_3" localSheetId="21" hidden="1">#REF!</definedName>
    <definedName name="SpreadsheetBuilder_3" localSheetId="22" hidden="1">#REF!</definedName>
    <definedName name="SpreadsheetBuilder_3" localSheetId="23" hidden="1">#REF!</definedName>
    <definedName name="SpreadsheetBuilder_3" localSheetId="24" hidden="1">#REF!</definedName>
    <definedName name="SpreadsheetBuilder_3" hidden="1">#REF!</definedName>
    <definedName name="SpreadsheetBuilder_4" localSheetId="10" hidden="1">#REF!</definedName>
    <definedName name="SpreadsheetBuilder_4" localSheetId="11" hidden="1">#REF!</definedName>
    <definedName name="SpreadsheetBuilder_4" localSheetId="21" hidden="1">#REF!</definedName>
    <definedName name="SpreadsheetBuilder_4" localSheetId="22" hidden="1">#REF!</definedName>
    <definedName name="SpreadsheetBuilder_4" localSheetId="23" hidden="1">#REF!</definedName>
    <definedName name="SpreadsheetBuilder_4" localSheetId="24" hidden="1">#REF!</definedName>
    <definedName name="SpreadsheetBuilder_4" hidden="1">#REF!</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10" hidden="1">#REF!</definedName>
    <definedName name="ssdo" localSheetId="11" hidden="1">#REF!</definedName>
    <definedName name="ssdo" localSheetId="12" hidden="1">#REF!</definedName>
    <definedName name="ssdo" localSheetId="14" hidden="1">#REF!</definedName>
    <definedName name="ssdo" localSheetId="15" hidden="1">#REF!</definedName>
    <definedName name="ssdo" localSheetId="16" hidden="1">#REF!</definedName>
    <definedName name="ssdo" localSheetId="17" hidden="1">#REF!</definedName>
    <definedName name="ssdo" localSheetId="21" hidden="1">#REF!</definedName>
    <definedName name="ssdo" localSheetId="22" hidden="1">#REF!</definedName>
    <definedName name="ssdo" localSheetId="23" hidden="1">#REF!</definedName>
    <definedName name="ssdo" localSheetId="24" hidden="1">#REF!</definedName>
    <definedName name="ssdo" hidden="1">#REF!</definedName>
    <definedName name="sssset" localSheetId="10" hidden="1">#REF!</definedName>
    <definedName name="sssset" localSheetId="11" hidden="1">#REF!</definedName>
    <definedName name="sssset" localSheetId="12" hidden="1">#REF!</definedName>
    <definedName name="sssset" localSheetId="14" hidden="1">#REF!</definedName>
    <definedName name="sssset" localSheetId="15" hidden="1">#REF!</definedName>
    <definedName name="sssset" localSheetId="21" hidden="1">#REF!</definedName>
    <definedName name="sssset" localSheetId="22" hidden="1">#REF!</definedName>
    <definedName name="sssset" localSheetId="23" hidden="1">#REF!</definedName>
    <definedName name="sssset" localSheetId="24" hidden="1">#REF!</definedName>
    <definedName name="sssset" hidden="1">#REF!</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sv" localSheetId="10" hidden="1">#REF!</definedName>
    <definedName name="sv" localSheetId="11" hidden="1">#REF!</definedName>
    <definedName name="sv" localSheetId="12" hidden="1">#REF!</definedName>
    <definedName name="sv" localSheetId="13" hidden="1">#REF!</definedName>
    <definedName name="sv" localSheetId="14" hidden="1">#REF!</definedName>
    <definedName name="sv" localSheetId="15" hidden="1">#REF!</definedName>
    <definedName name="sv" localSheetId="16" hidden="1">#REF!</definedName>
    <definedName name="sv" localSheetId="17" hidden="1">#REF!</definedName>
    <definedName name="sv" localSheetId="19" hidden="1">#REF!</definedName>
    <definedName name="sv" localSheetId="21" hidden="1">#REF!</definedName>
    <definedName name="sv" localSheetId="22" hidden="1">#REF!</definedName>
    <definedName name="sv" localSheetId="23" hidden="1">#REF!</definedName>
    <definedName name="sv" localSheetId="24" hidden="1">#REF!</definedName>
    <definedName name="sv" hidden="1">#REF!</definedName>
    <definedName name="svfdv" localSheetId="10" hidden="1">#REF!</definedName>
    <definedName name="svfdv" localSheetId="11" hidden="1">#REF!</definedName>
    <definedName name="svfdv" localSheetId="12" hidden="1">#REF!</definedName>
    <definedName name="svfdv" localSheetId="14" hidden="1">#REF!</definedName>
    <definedName name="svfdv" localSheetId="15" hidden="1">#REF!</definedName>
    <definedName name="svfdv" localSheetId="21" hidden="1">#REF!</definedName>
    <definedName name="svfdv" localSheetId="22" hidden="1">#REF!</definedName>
    <definedName name="svfdv" localSheetId="23" hidden="1">#REF!</definedName>
    <definedName name="svfdv" localSheetId="24" hidden="1">#REF!</definedName>
    <definedName name="svfdv" hidden="1">#REF!</definedName>
    <definedName name="swae" localSheetId="10" hidden="1">#REF!</definedName>
    <definedName name="swae" localSheetId="11" hidden="1">#REF!</definedName>
    <definedName name="swae" localSheetId="12" hidden="1">#REF!</definedName>
    <definedName name="swae" localSheetId="14" hidden="1">#REF!</definedName>
    <definedName name="swae" localSheetId="15" hidden="1">#REF!</definedName>
    <definedName name="swae" localSheetId="21" hidden="1">#REF!</definedName>
    <definedName name="swae" localSheetId="22" hidden="1">#REF!</definedName>
    <definedName name="swae" localSheetId="23" hidden="1">#REF!</definedName>
    <definedName name="swae" localSheetId="24" hidden="1">#REF!</definedName>
    <definedName name="swae" hidden="1">#REF!</definedName>
    <definedName name="TEFRA" localSheetId="10" hidden="1">{"summary",#N/A,TRUE,"E93ADJ";"detail",#N/A,TRUE,"E93ADJ"}</definedName>
    <definedName name="TEFRA" localSheetId="11" hidden="1">{"summary",#N/A,TRUE,"E93ADJ";"detail",#N/A,TRUE,"E93ADJ"}</definedName>
    <definedName name="TEFRA" localSheetId="12" hidden="1">{"summary",#N/A,TRUE,"E93ADJ";"detail",#N/A,TRUE,"E93ADJ"}</definedName>
    <definedName name="TEFRA" localSheetId="13" hidden="1">{"summary",#N/A,TRUE,"E93ADJ";"detail",#N/A,TRUE,"E93ADJ"}</definedName>
    <definedName name="TEFRA" localSheetId="14" hidden="1">{"summary",#N/A,TRUE,"E93ADJ";"detail",#N/A,TRUE,"E93ADJ"}</definedName>
    <definedName name="TEFRA" localSheetId="15" hidden="1">{"summary",#N/A,TRUE,"E93ADJ";"detail",#N/A,TRUE,"E93ADJ"}</definedName>
    <definedName name="TEFRA" localSheetId="16" hidden="1">{"summary",#N/A,TRUE,"E93ADJ";"detail",#N/A,TRUE,"E93ADJ"}</definedName>
    <definedName name="TEFRA" localSheetId="17" hidden="1">{"summary",#N/A,TRUE,"E93ADJ";"detail",#N/A,TRUE,"E93ADJ"}</definedName>
    <definedName name="TEFRA" localSheetId="19" hidden="1">{"summary",#N/A,TRUE,"E93ADJ";"detail",#N/A,TRUE,"E93ADJ"}</definedName>
    <definedName name="TEFRA" localSheetId="20" hidden="1">{"summary",#N/A,TRUE,"E93ADJ";"detail",#N/A,TRUE,"E93ADJ"}</definedName>
    <definedName name="TEFRA" localSheetId="21" hidden="1">{"summary",#N/A,TRUE,"E93ADJ";"detail",#N/A,TRUE,"E93ADJ"}</definedName>
    <definedName name="TEFRA" localSheetId="22" hidden="1">{"summary",#N/A,TRUE,"E93ADJ";"detail",#N/A,TRUE,"E93ADJ"}</definedName>
    <definedName name="TEFRA" localSheetId="23" hidden="1">{"summary",#N/A,TRUE,"E93ADJ";"detail",#N/A,TRUE,"E93ADJ"}</definedName>
    <definedName name="TEFRA" localSheetId="24" hidden="1">{"summary",#N/A,TRUE,"E93ADJ";"detail",#N/A,TRUE,"E93ADJ"}</definedName>
    <definedName name="TEFRA" hidden="1">{"summary",#N/A,TRUE,"E93ADJ";"detail",#N/A,TRUE,"E93ADJ"}</definedName>
    <definedName name="Temp" localSheetId="10" hidden="1">{"ARK_JURIS_FUEL",#N/A,FALSE,"Ark_Fuel&amp;Rev"}</definedName>
    <definedName name="Temp" localSheetId="11" hidden="1">{"ARK_JURIS_FUEL",#N/A,FALSE,"Ark_Fuel&amp;Rev"}</definedName>
    <definedName name="Temp" localSheetId="12" hidden="1">{"ARK_JURIS_FUEL",#N/A,FALSE,"Ark_Fuel&amp;Rev"}</definedName>
    <definedName name="Temp" localSheetId="13" hidden="1">{"ARK_JURIS_FUEL",#N/A,FALSE,"Ark_Fuel&amp;Rev"}</definedName>
    <definedName name="Temp" localSheetId="14" hidden="1">{"ARK_JURIS_FUEL",#N/A,FALSE,"Ark_Fuel&amp;Rev"}</definedName>
    <definedName name="Temp" localSheetId="15" hidden="1">{"ARK_JURIS_FUEL",#N/A,FALSE,"Ark_Fuel&amp;Rev"}</definedName>
    <definedName name="Temp" localSheetId="16" hidden="1">{"ARK_JURIS_FUEL",#N/A,FALSE,"Ark_Fuel&amp;Rev"}</definedName>
    <definedName name="Temp" localSheetId="17" hidden="1">{"ARK_JURIS_FUEL",#N/A,FALSE,"Ark_Fuel&amp;Rev"}</definedName>
    <definedName name="Temp" localSheetId="19" hidden="1">{"ARK_JURIS_FUEL",#N/A,FALSE,"Ark_Fuel&amp;Rev"}</definedName>
    <definedName name="Temp" localSheetId="20" hidden="1">{"ARK_JURIS_FUEL",#N/A,FALSE,"Ark_Fuel&amp;Rev"}</definedName>
    <definedName name="Temp" localSheetId="21" hidden="1">{"ARK_JURIS_FUEL",#N/A,FALSE,"Ark_Fuel&amp;Rev"}</definedName>
    <definedName name="Temp" localSheetId="22" hidden="1">{"ARK_JURIS_FUEL",#N/A,FALSE,"Ark_Fuel&amp;Rev"}</definedName>
    <definedName name="Temp" localSheetId="23" hidden="1">{"ARK_JURIS_FUEL",#N/A,FALSE,"Ark_Fuel&amp;Rev"}</definedName>
    <definedName name="Temp" localSheetId="24" hidden="1">{"ARK_JURIS_FUEL",#N/A,FALSE,"Ark_Fuel&amp;Rev"}</definedName>
    <definedName name="Temp" hidden="1">{"ARK_JURIS_FUEL",#N/A,FALSE,"Ark_Fuel&amp;Rev"}</definedName>
    <definedName name="test" localSheetId="12" hidden="1">[20]TOPrs!#REF!</definedName>
    <definedName name="test" localSheetId="14" hidden="1">[20]TOPrs!#REF!</definedName>
    <definedName name="test" localSheetId="15" hidden="1">#REF!</definedName>
    <definedName name="test" hidden="1">[20]TOPrs!#REF!</definedName>
    <definedName name="test1" localSheetId="10" hidden="1">{#N/A,#N/A,TRUE,"Bill Comp - 60";#N/A,#N/A,TRUE,"Bill Comp - 70";#N/A,#N/A,TRUE,"Bill Comp - 71";#N/A,#N/A,TRUE,"Bill Comp- 85"}</definedName>
    <definedName name="test1" localSheetId="11" hidden="1">{#N/A,#N/A,TRUE,"Bill Comp - 60";#N/A,#N/A,TRUE,"Bill Comp - 70";#N/A,#N/A,TRUE,"Bill Comp - 71";#N/A,#N/A,TRUE,"Bill Comp- 85"}</definedName>
    <definedName name="test1" localSheetId="12" hidden="1">{#N/A,#N/A,TRUE,"Bill Comp - 60";#N/A,#N/A,TRUE,"Bill Comp - 70";#N/A,#N/A,TRUE,"Bill Comp - 71";#N/A,#N/A,TRUE,"Bill Comp- 85"}</definedName>
    <definedName name="test1" localSheetId="13" hidden="1">{#N/A,#N/A,TRUE,"Bill Comp - 60";#N/A,#N/A,TRUE,"Bill Comp - 70";#N/A,#N/A,TRUE,"Bill Comp - 71";#N/A,#N/A,TRUE,"Bill Comp- 85"}</definedName>
    <definedName name="test1" localSheetId="14" hidden="1">{#N/A,#N/A,TRUE,"Bill Comp - 60";#N/A,#N/A,TRUE,"Bill Comp - 70";#N/A,#N/A,TRUE,"Bill Comp - 71";#N/A,#N/A,TRUE,"Bill Comp- 85"}</definedName>
    <definedName name="test1" localSheetId="15" hidden="1">{#N/A,#N/A,TRUE,"Bill Comp - 60";#N/A,#N/A,TRUE,"Bill Comp - 70";#N/A,#N/A,TRUE,"Bill Comp - 71";#N/A,#N/A,TRUE,"Bill Comp- 85"}</definedName>
    <definedName name="test1" localSheetId="16" hidden="1">{#N/A,#N/A,TRUE,"Bill Comp - 60";#N/A,#N/A,TRUE,"Bill Comp - 70";#N/A,#N/A,TRUE,"Bill Comp - 71";#N/A,#N/A,TRUE,"Bill Comp- 85"}</definedName>
    <definedName name="test1" localSheetId="17" hidden="1">{#N/A,#N/A,TRUE,"Bill Comp - 60";#N/A,#N/A,TRUE,"Bill Comp - 70";#N/A,#N/A,TRUE,"Bill Comp - 71";#N/A,#N/A,TRUE,"Bill Comp- 85"}</definedName>
    <definedName name="test1" localSheetId="19" hidden="1">{#N/A,#N/A,TRUE,"Bill Comp - 60";#N/A,#N/A,TRUE,"Bill Comp - 70";#N/A,#N/A,TRUE,"Bill Comp - 71";#N/A,#N/A,TRUE,"Bill Comp- 85"}</definedName>
    <definedName name="test1" localSheetId="20" hidden="1">{#N/A,#N/A,TRUE,"Bill Comp - 60";#N/A,#N/A,TRUE,"Bill Comp - 70";#N/A,#N/A,TRUE,"Bill Comp - 71";#N/A,#N/A,TRUE,"Bill Comp- 85"}</definedName>
    <definedName name="test1" localSheetId="21" hidden="1">{#N/A,#N/A,TRUE,"Bill Comp - 60";#N/A,#N/A,TRUE,"Bill Comp - 70";#N/A,#N/A,TRUE,"Bill Comp - 71";#N/A,#N/A,TRUE,"Bill Comp- 85"}</definedName>
    <definedName name="test1" localSheetId="22" hidden="1">{#N/A,#N/A,TRUE,"Bill Comp - 60";#N/A,#N/A,TRUE,"Bill Comp - 70";#N/A,#N/A,TRUE,"Bill Comp - 71";#N/A,#N/A,TRUE,"Bill Comp- 85"}</definedName>
    <definedName name="test1" localSheetId="23" hidden="1">{#N/A,#N/A,TRUE,"Bill Comp - 60";#N/A,#N/A,TRUE,"Bill Comp - 70";#N/A,#N/A,TRUE,"Bill Comp - 71";#N/A,#N/A,TRUE,"Bill Comp- 85"}</definedName>
    <definedName name="test1" localSheetId="24" hidden="1">{#N/A,#N/A,TRUE,"Bill Comp - 60";#N/A,#N/A,TRUE,"Bill Comp - 70";#N/A,#N/A,TRUE,"Bill Comp - 71";#N/A,#N/A,TRUE,"Bill Comp- 85"}</definedName>
    <definedName name="test1" hidden="1">{#N/A,#N/A,TRUE,"Bill Comp - 60";#N/A,#N/A,TRUE,"Bill Comp - 70";#N/A,#N/A,TRUE,"Bill Comp - 71";#N/A,#N/A,TRUE,"Bill Comp- 85"}</definedName>
    <definedName name="TP_Footer_Path" hidden="1">"S:\75886\03WELF\WS\2004 contributions\"</definedName>
    <definedName name="TP_Footer_User" hidden="1">"northc"</definedName>
    <definedName name="TP_Footer_Version" hidden="1">"v3.00"</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10" hidden="1">#REF!</definedName>
    <definedName name="tttt" localSheetId="11" hidden="1">#REF!</definedName>
    <definedName name="tttt" localSheetId="12" hidden="1">#REF!</definedName>
    <definedName name="tttt" localSheetId="13" hidden="1">#REF!</definedName>
    <definedName name="tttt" localSheetId="14" hidden="1">#REF!</definedName>
    <definedName name="tttt" localSheetId="15" hidden="1">#REF!</definedName>
    <definedName name="tttt" localSheetId="16" hidden="1">#REF!</definedName>
    <definedName name="tttt" localSheetId="17" hidden="1">#REF!</definedName>
    <definedName name="tttt" localSheetId="21" hidden="1">#REF!</definedName>
    <definedName name="tttt" localSheetId="22" hidden="1">#REF!</definedName>
    <definedName name="tttt" localSheetId="23" hidden="1">#REF!</definedName>
    <definedName name="tttt" localSheetId="24" hidden="1">#REF!</definedName>
    <definedName name="tttt" hidden="1">#REF!</definedName>
    <definedName name="Turnerabc" localSheetId="10" hidden="1">{#N/A,#N/A,TRUE,"1990";#N/A,#N/A,TRUE,"1991";#N/A,#N/A,TRUE,"1992";#N/A,#N/A,TRUE,"1993"}</definedName>
    <definedName name="Turnerabc" localSheetId="11" hidden="1">{#N/A,#N/A,TRUE,"1990";#N/A,#N/A,TRUE,"1991";#N/A,#N/A,TRUE,"1992";#N/A,#N/A,TRUE,"1993"}</definedName>
    <definedName name="Turnerabc" localSheetId="12" hidden="1">{#N/A,#N/A,TRUE,"1990";#N/A,#N/A,TRUE,"1991";#N/A,#N/A,TRUE,"1992";#N/A,#N/A,TRUE,"1993"}</definedName>
    <definedName name="Turnerabc" localSheetId="13" hidden="1">{#N/A,#N/A,TRUE,"1990";#N/A,#N/A,TRUE,"1991";#N/A,#N/A,TRUE,"1992";#N/A,#N/A,TRUE,"1993"}</definedName>
    <definedName name="Turnerabc" localSheetId="14" hidden="1">{#N/A,#N/A,TRUE,"1990";#N/A,#N/A,TRUE,"1991";#N/A,#N/A,TRUE,"1992";#N/A,#N/A,TRUE,"1993"}</definedName>
    <definedName name="Turnerabc" localSheetId="15" hidden="1">{#N/A,#N/A,TRUE,"1990";#N/A,#N/A,TRUE,"1991";#N/A,#N/A,TRUE,"1992";#N/A,#N/A,TRUE,"1993"}</definedName>
    <definedName name="Turnerabc" localSheetId="16" hidden="1">{#N/A,#N/A,TRUE,"1990";#N/A,#N/A,TRUE,"1991";#N/A,#N/A,TRUE,"1992";#N/A,#N/A,TRUE,"1993"}</definedName>
    <definedName name="Turnerabc" localSheetId="17" hidden="1">{#N/A,#N/A,TRUE,"1990";#N/A,#N/A,TRUE,"1991";#N/A,#N/A,TRUE,"1992";#N/A,#N/A,TRUE,"1993"}</definedName>
    <definedName name="Turnerabc" localSheetId="19" hidden="1">{#N/A,#N/A,TRUE,"1990";#N/A,#N/A,TRUE,"1991";#N/A,#N/A,TRUE,"1992";#N/A,#N/A,TRUE,"1993"}</definedName>
    <definedName name="Turnerabc" localSheetId="20" hidden="1">{#N/A,#N/A,TRUE,"1990";#N/A,#N/A,TRUE,"1991";#N/A,#N/A,TRUE,"1992";#N/A,#N/A,TRUE,"1993"}</definedName>
    <definedName name="Turnerabc" localSheetId="21" hidden="1">{#N/A,#N/A,TRUE,"1990";#N/A,#N/A,TRUE,"1991";#N/A,#N/A,TRUE,"1992";#N/A,#N/A,TRUE,"1993"}</definedName>
    <definedName name="Turnerabc" localSheetId="22" hidden="1">{#N/A,#N/A,TRUE,"1990";#N/A,#N/A,TRUE,"1991";#N/A,#N/A,TRUE,"1992";#N/A,#N/A,TRUE,"1993"}</definedName>
    <definedName name="Turnerabc" localSheetId="23" hidden="1">{#N/A,#N/A,TRUE,"1990";#N/A,#N/A,TRUE,"1991";#N/A,#N/A,TRUE,"1992";#N/A,#N/A,TRUE,"1993"}</definedName>
    <definedName name="Turnerabc" localSheetId="24" hidden="1">{#N/A,#N/A,TRUE,"1990";#N/A,#N/A,TRUE,"1991";#N/A,#N/A,TRUE,"1992";#N/A,#N/A,TRUE,"1993"}</definedName>
    <definedName name="Turnerabc" hidden="1">{#N/A,#N/A,TRUE,"1990";#N/A,#N/A,TRUE,"1991";#N/A,#N/A,TRUE,"1992";#N/A,#N/A,TRUE,"1993"}</definedName>
    <definedName name="Turnerabcd" localSheetId="10" hidden="1">{#N/A,#N/A,TRUE,"1990";#N/A,#N/A,TRUE,"1991";#N/A,#N/A,TRUE,"1992";#N/A,#N/A,TRUE,"1993"}</definedName>
    <definedName name="Turnerabcd" localSheetId="11" hidden="1">{#N/A,#N/A,TRUE,"1990";#N/A,#N/A,TRUE,"1991";#N/A,#N/A,TRUE,"1992";#N/A,#N/A,TRUE,"1993"}</definedName>
    <definedName name="Turnerabcd" localSheetId="12" hidden="1">{#N/A,#N/A,TRUE,"1990";#N/A,#N/A,TRUE,"1991";#N/A,#N/A,TRUE,"1992";#N/A,#N/A,TRUE,"1993"}</definedName>
    <definedName name="Turnerabcd" localSheetId="13" hidden="1">{#N/A,#N/A,TRUE,"1990";#N/A,#N/A,TRUE,"1991";#N/A,#N/A,TRUE,"1992";#N/A,#N/A,TRUE,"1993"}</definedName>
    <definedName name="Turnerabcd" localSheetId="14" hidden="1">{#N/A,#N/A,TRUE,"1990";#N/A,#N/A,TRUE,"1991";#N/A,#N/A,TRUE,"1992";#N/A,#N/A,TRUE,"1993"}</definedName>
    <definedName name="Turnerabcd" localSheetId="15" hidden="1">{#N/A,#N/A,TRUE,"1990";#N/A,#N/A,TRUE,"1991";#N/A,#N/A,TRUE,"1992";#N/A,#N/A,TRUE,"1993"}</definedName>
    <definedName name="Turnerabcd" localSheetId="16" hidden="1">{#N/A,#N/A,TRUE,"1990";#N/A,#N/A,TRUE,"1991";#N/A,#N/A,TRUE,"1992";#N/A,#N/A,TRUE,"1993"}</definedName>
    <definedName name="Turnerabcd" localSheetId="17" hidden="1">{#N/A,#N/A,TRUE,"1990";#N/A,#N/A,TRUE,"1991";#N/A,#N/A,TRUE,"1992";#N/A,#N/A,TRUE,"1993"}</definedName>
    <definedName name="Turnerabcd" localSheetId="19" hidden="1">{#N/A,#N/A,TRUE,"1990";#N/A,#N/A,TRUE,"1991";#N/A,#N/A,TRUE,"1992";#N/A,#N/A,TRUE,"1993"}</definedName>
    <definedName name="Turnerabcd" localSheetId="20" hidden="1">{#N/A,#N/A,TRUE,"1990";#N/A,#N/A,TRUE,"1991";#N/A,#N/A,TRUE,"1992";#N/A,#N/A,TRUE,"1993"}</definedName>
    <definedName name="Turnerabcd" localSheetId="21" hidden="1">{#N/A,#N/A,TRUE,"1990";#N/A,#N/A,TRUE,"1991";#N/A,#N/A,TRUE,"1992";#N/A,#N/A,TRUE,"1993"}</definedName>
    <definedName name="Turnerabcd" localSheetId="22" hidden="1">{#N/A,#N/A,TRUE,"1990";#N/A,#N/A,TRUE,"1991";#N/A,#N/A,TRUE,"1992";#N/A,#N/A,TRUE,"1993"}</definedName>
    <definedName name="Turnerabcd" localSheetId="23" hidden="1">{#N/A,#N/A,TRUE,"1990";#N/A,#N/A,TRUE,"1991";#N/A,#N/A,TRUE,"1992";#N/A,#N/A,TRUE,"1993"}</definedName>
    <definedName name="Turnerabcd" localSheetId="24" hidden="1">{#N/A,#N/A,TRUE,"1990";#N/A,#N/A,TRUE,"1991";#N/A,#N/A,TRUE,"1992";#N/A,#N/A,TRUE,"1993"}</definedName>
    <definedName name="Turnerabcd" hidden="1">{#N/A,#N/A,TRUE,"1990";#N/A,#N/A,TRUE,"1991";#N/A,#N/A,TRUE,"1992";#N/A,#N/A,TRUE,"1993"}</definedName>
    <definedName name="Turnerabcde" localSheetId="10" hidden="1">{"summary",#N/A,TRUE,"E93ADJ";"detail",#N/A,TRUE,"E93ADJ"}</definedName>
    <definedName name="Turnerabcde" localSheetId="11" hidden="1">{"summary",#N/A,TRUE,"E93ADJ";"detail",#N/A,TRUE,"E93ADJ"}</definedName>
    <definedName name="Turnerabcde" localSheetId="12" hidden="1">{"summary",#N/A,TRUE,"E93ADJ";"detail",#N/A,TRUE,"E93ADJ"}</definedName>
    <definedName name="Turnerabcde" localSheetId="13" hidden="1">{"summary",#N/A,TRUE,"E93ADJ";"detail",#N/A,TRUE,"E93ADJ"}</definedName>
    <definedName name="Turnerabcde" localSheetId="14" hidden="1">{"summary",#N/A,TRUE,"E93ADJ";"detail",#N/A,TRUE,"E93ADJ"}</definedName>
    <definedName name="Turnerabcde" localSheetId="15" hidden="1">{"summary",#N/A,TRUE,"E93ADJ";"detail",#N/A,TRUE,"E93ADJ"}</definedName>
    <definedName name="Turnerabcde" localSheetId="16" hidden="1">{"summary",#N/A,TRUE,"E93ADJ";"detail",#N/A,TRUE,"E93ADJ"}</definedName>
    <definedName name="Turnerabcde" localSheetId="17" hidden="1">{"summary",#N/A,TRUE,"E93ADJ";"detail",#N/A,TRUE,"E93ADJ"}</definedName>
    <definedName name="Turnerabcde" localSheetId="19" hidden="1">{"summary",#N/A,TRUE,"E93ADJ";"detail",#N/A,TRUE,"E93ADJ"}</definedName>
    <definedName name="Turnerabcde" localSheetId="20" hidden="1">{"summary",#N/A,TRUE,"E93ADJ";"detail",#N/A,TRUE,"E93ADJ"}</definedName>
    <definedName name="Turnerabcde" localSheetId="21" hidden="1">{"summary",#N/A,TRUE,"E93ADJ";"detail",#N/A,TRUE,"E93ADJ"}</definedName>
    <definedName name="Turnerabcde" localSheetId="22" hidden="1">{"summary",#N/A,TRUE,"E93ADJ";"detail",#N/A,TRUE,"E93ADJ"}</definedName>
    <definedName name="Turnerabcde" localSheetId="23" hidden="1">{"summary",#N/A,TRUE,"E93ADJ";"detail",#N/A,TRUE,"E93ADJ"}</definedName>
    <definedName name="Turnerabcde" localSheetId="24" hidden="1">{"summary",#N/A,TRUE,"E93ADJ";"detail",#N/A,TRUE,"E93ADJ"}</definedName>
    <definedName name="Turnerabcde" hidden="1">{"summary",#N/A,TRUE,"E93ADJ";"detail",#N/A,TRUE,"E93ADJ"}</definedName>
    <definedName name="Turnerabcdef" localSheetId="10" hidden="1">{"summary",#N/A,TRUE,"E93ADJ";"detail",#N/A,TRUE,"E93ADJ"}</definedName>
    <definedName name="Turnerabcdef" localSheetId="11" hidden="1">{"summary",#N/A,TRUE,"E93ADJ";"detail",#N/A,TRUE,"E93ADJ"}</definedName>
    <definedName name="Turnerabcdef" localSheetId="12" hidden="1">{"summary",#N/A,TRUE,"E93ADJ";"detail",#N/A,TRUE,"E93ADJ"}</definedName>
    <definedName name="Turnerabcdef" localSheetId="13" hidden="1">{"summary",#N/A,TRUE,"E93ADJ";"detail",#N/A,TRUE,"E93ADJ"}</definedName>
    <definedName name="Turnerabcdef" localSheetId="14" hidden="1">{"summary",#N/A,TRUE,"E93ADJ";"detail",#N/A,TRUE,"E93ADJ"}</definedName>
    <definedName name="Turnerabcdef" localSheetId="15" hidden="1">{"summary",#N/A,TRUE,"E93ADJ";"detail",#N/A,TRUE,"E93ADJ"}</definedName>
    <definedName name="Turnerabcdef" localSheetId="16" hidden="1">{"summary",#N/A,TRUE,"E93ADJ";"detail",#N/A,TRUE,"E93ADJ"}</definedName>
    <definedName name="Turnerabcdef" localSheetId="17" hidden="1">{"summary",#N/A,TRUE,"E93ADJ";"detail",#N/A,TRUE,"E93ADJ"}</definedName>
    <definedName name="Turnerabcdef" localSheetId="19" hidden="1">{"summary",#N/A,TRUE,"E93ADJ";"detail",#N/A,TRUE,"E93ADJ"}</definedName>
    <definedName name="Turnerabcdef" localSheetId="20" hidden="1">{"summary",#N/A,TRUE,"E93ADJ";"detail",#N/A,TRUE,"E93ADJ"}</definedName>
    <definedName name="Turnerabcdef" localSheetId="21" hidden="1">{"summary",#N/A,TRUE,"E93ADJ";"detail",#N/A,TRUE,"E93ADJ"}</definedName>
    <definedName name="Turnerabcdef" localSheetId="22" hidden="1">{"summary",#N/A,TRUE,"E93ADJ";"detail",#N/A,TRUE,"E93ADJ"}</definedName>
    <definedName name="Turnerabcdef" localSheetId="23" hidden="1">{"summary",#N/A,TRUE,"E93ADJ";"detail",#N/A,TRUE,"E93ADJ"}</definedName>
    <definedName name="Turnerabcdef" localSheetId="24" hidden="1">{"summary",#N/A,TRUE,"E93ADJ";"detail",#N/A,TRUE,"E93ADJ"}</definedName>
    <definedName name="Turnerabcdef" hidden="1">{"summary",#N/A,TRUE,"E93ADJ";"detail",#N/A,TRUE,"E93ADJ"}</definedName>
    <definedName name="Turnerbcd" localSheetId="10" hidden="1">{#N/A,#N/A,TRUE,"1990";#N/A,#N/A,TRUE,"1991";#N/A,#N/A,TRUE,"1992";#N/A,#N/A,TRUE,"1993"}</definedName>
    <definedName name="Turnerbcd" localSheetId="11" hidden="1">{#N/A,#N/A,TRUE,"1990";#N/A,#N/A,TRUE,"1991";#N/A,#N/A,TRUE,"1992";#N/A,#N/A,TRUE,"1993"}</definedName>
    <definedName name="Turnerbcd" localSheetId="12" hidden="1">{#N/A,#N/A,TRUE,"1990";#N/A,#N/A,TRUE,"1991";#N/A,#N/A,TRUE,"1992";#N/A,#N/A,TRUE,"1993"}</definedName>
    <definedName name="Turnerbcd" localSheetId="13" hidden="1">{#N/A,#N/A,TRUE,"1990";#N/A,#N/A,TRUE,"1991";#N/A,#N/A,TRUE,"1992";#N/A,#N/A,TRUE,"1993"}</definedName>
    <definedName name="Turnerbcd" localSheetId="14" hidden="1">{#N/A,#N/A,TRUE,"1990";#N/A,#N/A,TRUE,"1991";#N/A,#N/A,TRUE,"1992";#N/A,#N/A,TRUE,"1993"}</definedName>
    <definedName name="Turnerbcd" localSheetId="15" hidden="1">{#N/A,#N/A,TRUE,"1990";#N/A,#N/A,TRUE,"1991";#N/A,#N/A,TRUE,"1992";#N/A,#N/A,TRUE,"1993"}</definedName>
    <definedName name="Turnerbcd" localSheetId="16" hidden="1">{#N/A,#N/A,TRUE,"1990";#N/A,#N/A,TRUE,"1991";#N/A,#N/A,TRUE,"1992";#N/A,#N/A,TRUE,"1993"}</definedName>
    <definedName name="Turnerbcd" localSheetId="17" hidden="1">{#N/A,#N/A,TRUE,"1990";#N/A,#N/A,TRUE,"1991";#N/A,#N/A,TRUE,"1992";#N/A,#N/A,TRUE,"1993"}</definedName>
    <definedName name="Turnerbcd" localSheetId="19" hidden="1">{#N/A,#N/A,TRUE,"1990";#N/A,#N/A,TRUE,"1991";#N/A,#N/A,TRUE,"1992";#N/A,#N/A,TRUE,"1993"}</definedName>
    <definedName name="Turnerbcd" localSheetId="20" hidden="1">{#N/A,#N/A,TRUE,"1990";#N/A,#N/A,TRUE,"1991";#N/A,#N/A,TRUE,"1992";#N/A,#N/A,TRUE,"1993"}</definedName>
    <definedName name="Turnerbcd" localSheetId="21" hidden="1">{#N/A,#N/A,TRUE,"1990";#N/A,#N/A,TRUE,"1991";#N/A,#N/A,TRUE,"1992";#N/A,#N/A,TRUE,"1993"}</definedName>
    <definedName name="Turnerbcd" localSheetId="22" hidden="1">{#N/A,#N/A,TRUE,"1990";#N/A,#N/A,TRUE,"1991";#N/A,#N/A,TRUE,"1992";#N/A,#N/A,TRUE,"1993"}</definedName>
    <definedName name="Turnerbcd" localSheetId="23" hidden="1">{#N/A,#N/A,TRUE,"1990";#N/A,#N/A,TRUE,"1991";#N/A,#N/A,TRUE,"1992";#N/A,#N/A,TRUE,"1993"}</definedName>
    <definedName name="Turnerbcd" localSheetId="24" hidden="1">{#N/A,#N/A,TRUE,"1990";#N/A,#N/A,TRUE,"1991";#N/A,#N/A,TRUE,"1992";#N/A,#N/A,TRUE,"1993"}</definedName>
    <definedName name="Turnerbcd" hidden="1">{#N/A,#N/A,TRUE,"1990";#N/A,#N/A,TRUE,"1991";#N/A,#N/A,TRUE,"1992";#N/A,#N/A,TRUE,"1993"}</definedName>
    <definedName name="Turnerbcde" localSheetId="10" hidden="1">{"summary",#N/A,TRUE,"E93ADJ";"detail",#N/A,TRUE,"E93ADJ"}</definedName>
    <definedName name="Turnerbcde" localSheetId="11" hidden="1">{"summary",#N/A,TRUE,"E93ADJ";"detail",#N/A,TRUE,"E93ADJ"}</definedName>
    <definedName name="Turnerbcde" localSheetId="12" hidden="1">{"summary",#N/A,TRUE,"E93ADJ";"detail",#N/A,TRUE,"E93ADJ"}</definedName>
    <definedName name="Turnerbcde" localSheetId="13" hidden="1">{"summary",#N/A,TRUE,"E93ADJ";"detail",#N/A,TRUE,"E93ADJ"}</definedName>
    <definedName name="Turnerbcde" localSheetId="14" hidden="1">{"summary",#N/A,TRUE,"E93ADJ";"detail",#N/A,TRUE,"E93ADJ"}</definedName>
    <definedName name="Turnerbcde" localSheetId="15" hidden="1">{"summary",#N/A,TRUE,"E93ADJ";"detail",#N/A,TRUE,"E93ADJ"}</definedName>
    <definedName name="Turnerbcde" localSheetId="16" hidden="1">{"summary",#N/A,TRUE,"E93ADJ";"detail",#N/A,TRUE,"E93ADJ"}</definedName>
    <definedName name="Turnerbcde" localSheetId="17" hidden="1">{"summary",#N/A,TRUE,"E93ADJ";"detail",#N/A,TRUE,"E93ADJ"}</definedName>
    <definedName name="Turnerbcde" localSheetId="19" hidden="1">{"summary",#N/A,TRUE,"E93ADJ";"detail",#N/A,TRUE,"E93ADJ"}</definedName>
    <definedName name="Turnerbcde" localSheetId="20" hidden="1">{"summary",#N/A,TRUE,"E93ADJ";"detail",#N/A,TRUE,"E93ADJ"}</definedName>
    <definedName name="Turnerbcde" localSheetId="21" hidden="1">{"summary",#N/A,TRUE,"E93ADJ";"detail",#N/A,TRUE,"E93ADJ"}</definedName>
    <definedName name="Turnerbcde" localSheetId="22" hidden="1">{"summary",#N/A,TRUE,"E93ADJ";"detail",#N/A,TRUE,"E93ADJ"}</definedName>
    <definedName name="Turnerbcde" localSheetId="23" hidden="1">{"summary",#N/A,TRUE,"E93ADJ";"detail",#N/A,TRUE,"E93ADJ"}</definedName>
    <definedName name="Turnerbcde" localSheetId="24" hidden="1">{"summary",#N/A,TRUE,"E93ADJ";"detail",#N/A,TRUE,"E93ADJ"}</definedName>
    <definedName name="Turnerbcde" hidden="1">{"summary",#N/A,TRUE,"E93ADJ";"detail",#N/A,TRUE,"E93ADJ"}</definedName>
    <definedName name="Turnerdud" localSheetId="10" hidden="1">{#N/A,#N/A,TRUE,"1990";#N/A,#N/A,TRUE,"1991";#N/A,#N/A,TRUE,"1992";#N/A,#N/A,TRUE,"1993"}</definedName>
    <definedName name="Turnerdud" localSheetId="11" hidden="1">{#N/A,#N/A,TRUE,"1990";#N/A,#N/A,TRUE,"1991";#N/A,#N/A,TRUE,"1992";#N/A,#N/A,TRUE,"1993"}</definedName>
    <definedName name="Turnerdud" localSheetId="12" hidden="1">{#N/A,#N/A,TRUE,"1990";#N/A,#N/A,TRUE,"1991";#N/A,#N/A,TRUE,"1992";#N/A,#N/A,TRUE,"1993"}</definedName>
    <definedName name="Turnerdud" localSheetId="13" hidden="1">{#N/A,#N/A,TRUE,"1990";#N/A,#N/A,TRUE,"1991";#N/A,#N/A,TRUE,"1992";#N/A,#N/A,TRUE,"1993"}</definedName>
    <definedName name="Turnerdud" localSheetId="14" hidden="1">{#N/A,#N/A,TRUE,"1990";#N/A,#N/A,TRUE,"1991";#N/A,#N/A,TRUE,"1992";#N/A,#N/A,TRUE,"1993"}</definedName>
    <definedName name="Turnerdud" localSheetId="15" hidden="1">{#N/A,#N/A,TRUE,"1990";#N/A,#N/A,TRUE,"1991";#N/A,#N/A,TRUE,"1992";#N/A,#N/A,TRUE,"1993"}</definedName>
    <definedName name="Turnerdud" localSheetId="16" hidden="1">{#N/A,#N/A,TRUE,"1990";#N/A,#N/A,TRUE,"1991";#N/A,#N/A,TRUE,"1992";#N/A,#N/A,TRUE,"1993"}</definedName>
    <definedName name="Turnerdud" localSheetId="17" hidden="1">{#N/A,#N/A,TRUE,"1990";#N/A,#N/A,TRUE,"1991";#N/A,#N/A,TRUE,"1992";#N/A,#N/A,TRUE,"1993"}</definedName>
    <definedName name="Turnerdud" localSheetId="19" hidden="1">{#N/A,#N/A,TRUE,"1990";#N/A,#N/A,TRUE,"1991";#N/A,#N/A,TRUE,"1992";#N/A,#N/A,TRUE,"1993"}</definedName>
    <definedName name="Turnerdud" localSheetId="20" hidden="1">{#N/A,#N/A,TRUE,"1990";#N/A,#N/A,TRUE,"1991";#N/A,#N/A,TRUE,"1992";#N/A,#N/A,TRUE,"1993"}</definedName>
    <definedName name="Turnerdud" localSheetId="21" hidden="1">{#N/A,#N/A,TRUE,"1990";#N/A,#N/A,TRUE,"1991";#N/A,#N/A,TRUE,"1992";#N/A,#N/A,TRUE,"1993"}</definedName>
    <definedName name="Turnerdud" localSheetId="22" hidden="1">{#N/A,#N/A,TRUE,"1990";#N/A,#N/A,TRUE,"1991";#N/A,#N/A,TRUE,"1992";#N/A,#N/A,TRUE,"1993"}</definedName>
    <definedName name="Turnerdud" localSheetId="23" hidden="1">{#N/A,#N/A,TRUE,"1990";#N/A,#N/A,TRUE,"1991";#N/A,#N/A,TRUE,"1992";#N/A,#N/A,TRUE,"1993"}</definedName>
    <definedName name="Turnerdud" localSheetId="24" hidden="1">{#N/A,#N/A,TRUE,"1990";#N/A,#N/A,TRUE,"1991";#N/A,#N/A,TRUE,"1992";#N/A,#N/A,TRUE,"1993"}</definedName>
    <definedName name="Turnerdud" hidden="1">{#N/A,#N/A,TRUE,"1990";#N/A,#N/A,TRUE,"1991";#N/A,#N/A,TRUE,"1992";#N/A,#N/A,TRUE,"1993"}</definedName>
    <definedName name="Turnershit" localSheetId="10" hidden="1">{#N/A,#N/A,TRUE,"1990";#N/A,#N/A,TRUE,"1991";#N/A,#N/A,TRUE,"1992";#N/A,#N/A,TRUE,"1993"}</definedName>
    <definedName name="Turnershit" localSheetId="11" hidden="1">{#N/A,#N/A,TRUE,"1990";#N/A,#N/A,TRUE,"1991";#N/A,#N/A,TRUE,"1992";#N/A,#N/A,TRUE,"1993"}</definedName>
    <definedName name="Turnershit" localSheetId="12" hidden="1">{#N/A,#N/A,TRUE,"1990";#N/A,#N/A,TRUE,"1991";#N/A,#N/A,TRUE,"1992";#N/A,#N/A,TRUE,"1993"}</definedName>
    <definedName name="Turnershit" localSheetId="13" hidden="1">{#N/A,#N/A,TRUE,"1990";#N/A,#N/A,TRUE,"1991";#N/A,#N/A,TRUE,"1992";#N/A,#N/A,TRUE,"1993"}</definedName>
    <definedName name="Turnershit" localSheetId="14" hidden="1">{#N/A,#N/A,TRUE,"1990";#N/A,#N/A,TRUE,"1991";#N/A,#N/A,TRUE,"1992";#N/A,#N/A,TRUE,"1993"}</definedName>
    <definedName name="Turnershit" localSheetId="15" hidden="1">{#N/A,#N/A,TRUE,"1990";#N/A,#N/A,TRUE,"1991";#N/A,#N/A,TRUE,"1992";#N/A,#N/A,TRUE,"1993"}</definedName>
    <definedName name="Turnershit" localSheetId="16" hidden="1">{#N/A,#N/A,TRUE,"1990";#N/A,#N/A,TRUE,"1991";#N/A,#N/A,TRUE,"1992";#N/A,#N/A,TRUE,"1993"}</definedName>
    <definedName name="Turnershit" localSheetId="17" hidden="1">{#N/A,#N/A,TRUE,"1990";#N/A,#N/A,TRUE,"1991";#N/A,#N/A,TRUE,"1992";#N/A,#N/A,TRUE,"1993"}</definedName>
    <definedName name="Turnershit" localSheetId="19" hidden="1">{#N/A,#N/A,TRUE,"1990";#N/A,#N/A,TRUE,"1991";#N/A,#N/A,TRUE,"1992";#N/A,#N/A,TRUE,"1993"}</definedName>
    <definedName name="Turnershit" localSheetId="20" hidden="1">{#N/A,#N/A,TRUE,"1990";#N/A,#N/A,TRUE,"1991";#N/A,#N/A,TRUE,"1992";#N/A,#N/A,TRUE,"1993"}</definedName>
    <definedName name="Turnershit" localSheetId="21" hidden="1">{#N/A,#N/A,TRUE,"1990";#N/A,#N/A,TRUE,"1991";#N/A,#N/A,TRUE,"1992";#N/A,#N/A,TRUE,"1993"}</definedName>
    <definedName name="Turnershit" localSheetId="22" hidden="1">{#N/A,#N/A,TRUE,"1990";#N/A,#N/A,TRUE,"1991";#N/A,#N/A,TRUE,"1992";#N/A,#N/A,TRUE,"1993"}</definedName>
    <definedName name="Turnershit" localSheetId="23" hidden="1">{#N/A,#N/A,TRUE,"1990";#N/A,#N/A,TRUE,"1991";#N/A,#N/A,TRUE,"1992";#N/A,#N/A,TRUE,"1993"}</definedName>
    <definedName name="Turnershit" localSheetId="24" hidden="1">{#N/A,#N/A,TRUE,"1990";#N/A,#N/A,TRUE,"1991";#N/A,#N/A,TRUE,"1992";#N/A,#N/A,TRUE,"1993"}</definedName>
    <definedName name="Turnershit" hidden="1">{#N/A,#N/A,TRUE,"1990";#N/A,#N/A,TRUE,"1991";#N/A,#N/A,TRUE,"1992";#N/A,#N/A,TRUE,"1993"}</definedName>
    <definedName name="Turnershit2" localSheetId="10" hidden="1">{"summary",#N/A,TRUE,"E93ADJ";"detail",#N/A,TRUE,"E93ADJ"}</definedName>
    <definedName name="Turnershit2" localSheetId="11" hidden="1">{"summary",#N/A,TRUE,"E93ADJ";"detail",#N/A,TRUE,"E93ADJ"}</definedName>
    <definedName name="Turnershit2" localSheetId="12" hidden="1">{"summary",#N/A,TRUE,"E93ADJ";"detail",#N/A,TRUE,"E93ADJ"}</definedName>
    <definedName name="Turnershit2" localSheetId="13" hidden="1">{"summary",#N/A,TRUE,"E93ADJ";"detail",#N/A,TRUE,"E93ADJ"}</definedName>
    <definedName name="Turnershit2" localSheetId="14" hidden="1">{"summary",#N/A,TRUE,"E93ADJ";"detail",#N/A,TRUE,"E93ADJ"}</definedName>
    <definedName name="Turnershit2" localSheetId="15" hidden="1">{"summary",#N/A,TRUE,"E93ADJ";"detail",#N/A,TRUE,"E93ADJ"}</definedName>
    <definedName name="Turnershit2" localSheetId="16" hidden="1">{"summary",#N/A,TRUE,"E93ADJ";"detail",#N/A,TRUE,"E93ADJ"}</definedName>
    <definedName name="Turnershit2" localSheetId="17" hidden="1">{"summary",#N/A,TRUE,"E93ADJ";"detail",#N/A,TRUE,"E93ADJ"}</definedName>
    <definedName name="Turnershit2" localSheetId="19" hidden="1">{"summary",#N/A,TRUE,"E93ADJ";"detail",#N/A,TRUE,"E93ADJ"}</definedName>
    <definedName name="Turnershit2" localSheetId="20" hidden="1">{"summary",#N/A,TRUE,"E93ADJ";"detail",#N/A,TRUE,"E93ADJ"}</definedName>
    <definedName name="Turnershit2" localSheetId="21" hidden="1">{"summary",#N/A,TRUE,"E93ADJ";"detail",#N/A,TRUE,"E93ADJ"}</definedName>
    <definedName name="Turnershit2" localSheetId="22" hidden="1">{"summary",#N/A,TRUE,"E93ADJ";"detail",#N/A,TRUE,"E93ADJ"}</definedName>
    <definedName name="Turnershit2" localSheetId="23" hidden="1">{"summary",#N/A,TRUE,"E93ADJ";"detail",#N/A,TRUE,"E93ADJ"}</definedName>
    <definedName name="Turnershit2" localSheetId="24" hidden="1">{"summary",#N/A,TRUE,"E93ADJ";"detail",#N/A,TRUE,"E93ADJ"}</definedName>
    <definedName name="Turnershit2" hidden="1">{"summary",#N/A,TRUE,"E93ADJ";"detail",#N/A,TRUE,"E93ADJ"}</definedName>
    <definedName name="TurnerTEFRA" localSheetId="10" hidden="1">{"summary",#N/A,TRUE,"E93ADJ";"detail",#N/A,TRUE,"E93ADJ"}</definedName>
    <definedName name="TurnerTEFRA" localSheetId="11" hidden="1">{"summary",#N/A,TRUE,"E93ADJ";"detail",#N/A,TRUE,"E93ADJ"}</definedName>
    <definedName name="TurnerTEFRA" localSheetId="12" hidden="1">{"summary",#N/A,TRUE,"E93ADJ";"detail",#N/A,TRUE,"E93ADJ"}</definedName>
    <definedName name="TurnerTEFRA" localSheetId="13" hidden="1">{"summary",#N/A,TRUE,"E93ADJ";"detail",#N/A,TRUE,"E93ADJ"}</definedName>
    <definedName name="TurnerTEFRA" localSheetId="14" hidden="1">{"summary",#N/A,TRUE,"E93ADJ";"detail",#N/A,TRUE,"E93ADJ"}</definedName>
    <definedName name="TurnerTEFRA" localSheetId="15" hidden="1">{"summary",#N/A,TRUE,"E93ADJ";"detail",#N/A,TRUE,"E93ADJ"}</definedName>
    <definedName name="TurnerTEFRA" localSheetId="16" hidden="1">{"summary",#N/A,TRUE,"E93ADJ";"detail",#N/A,TRUE,"E93ADJ"}</definedName>
    <definedName name="TurnerTEFRA" localSheetId="17" hidden="1">{"summary",#N/A,TRUE,"E93ADJ";"detail",#N/A,TRUE,"E93ADJ"}</definedName>
    <definedName name="TurnerTEFRA" localSheetId="19" hidden="1">{"summary",#N/A,TRUE,"E93ADJ";"detail",#N/A,TRUE,"E93ADJ"}</definedName>
    <definedName name="TurnerTEFRA" localSheetId="20" hidden="1">{"summary",#N/A,TRUE,"E93ADJ";"detail",#N/A,TRUE,"E93ADJ"}</definedName>
    <definedName name="TurnerTEFRA" localSheetId="21" hidden="1">{"summary",#N/A,TRUE,"E93ADJ";"detail",#N/A,TRUE,"E93ADJ"}</definedName>
    <definedName name="TurnerTEFRA" localSheetId="22" hidden="1">{"summary",#N/A,TRUE,"E93ADJ";"detail",#N/A,TRUE,"E93ADJ"}</definedName>
    <definedName name="TurnerTEFRA" localSheetId="23" hidden="1">{"summary",#N/A,TRUE,"E93ADJ";"detail",#N/A,TRUE,"E93ADJ"}</definedName>
    <definedName name="TurnerTEFRA" localSheetId="24" hidden="1">{"summary",#N/A,TRUE,"E93ADJ";"detail",#N/A,TRUE,"E93ADJ"}</definedName>
    <definedName name="TurnerTEFRA" hidden="1">{"summary",#N/A,TRUE,"E93ADJ";"detail",#N/A,TRUE,"E93ADJ"}</definedName>
    <definedName name="Turnerwrn.ALL" localSheetId="10" hidden="1">{#N/A,#N/A,TRUE,"1990";#N/A,#N/A,TRUE,"1991";#N/A,#N/A,TRUE,"1992";#N/A,#N/A,TRUE,"1993"}</definedName>
    <definedName name="Turnerwrn.ALL" localSheetId="11" hidden="1">{#N/A,#N/A,TRUE,"1990";#N/A,#N/A,TRUE,"1991";#N/A,#N/A,TRUE,"1992";#N/A,#N/A,TRUE,"1993"}</definedName>
    <definedName name="Turnerwrn.ALL" localSheetId="12" hidden="1">{#N/A,#N/A,TRUE,"1990";#N/A,#N/A,TRUE,"1991";#N/A,#N/A,TRUE,"1992";#N/A,#N/A,TRUE,"1993"}</definedName>
    <definedName name="Turnerwrn.ALL" localSheetId="13" hidden="1">{#N/A,#N/A,TRUE,"1990";#N/A,#N/A,TRUE,"1991";#N/A,#N/A,TRUE,"1992";#N/A,#N/A,TRUE,"1993"}</definedName>
    <definedName name="Turnerwrn.ALL" localSheetId="14" hidden="1">{#N/A,#N/A,TRUE,"1990";#N/A,#N/A,TRUE,"1991";#N/A,#N/A,TRUE,"1992";#N/A,#N/A,TRUE,"1993"}</definedName>
    <definedName name="Turnerwrn.ALL" localSheetId="15" hidden="1">{#N/A,#N/A,TRUE,"1990";#N/A,#N/A,TRUE,"1991";#N/A,#N/A,TRUE,"1992";#N/A,#N/A,TRUE,"1993"}</definedName>
    <definedName name="Turnerwrn.ALL" localSheetId="16" hidden="1">{#N/A,#N/A,TRUE,"1990";#N/A,#N/A,TRUE,"1991";#N/A,#N/A,TRUE,"1992";#N/A,#N/A,TRUE,"1993"}</definedName>
    <definedName name="Turnerwrn.ALL" localSheetId="17" hidden="1">{#N/A,#N/A,TRUE,"1990";#N/A,#N/A,TRUE,"1991";#N/A,#N/A,TRUE,"1992";#N/A,#N/A,TRUE,"1993"}</definedName>
    <definedName name="Turnerwrn.ALL" localSheetId="19" hidden="1">{#N/A,#N/A,TRUE,"1990";#N/A,#N/A,TRUE,"1991";#N/A,#N/A,TRUE,"1992";#N/A,#N/A,TRUE,"1993"}</definedName>
    <definedName name="Turnerwrn.ALL" localSheetId="20" hidden="1">{#N/A,#N/A,TRUE,"1990";#N/A,#N/A,TRUE,"1991";#N/A,#N/A,TRUE,"1992";#N/A,#N/A,TRUE,"1993"}</definedName>
    <definedName name="Turnerwrn.ALL" localSheetId="21" hidden="1">{#N/A,#N/A,TRUE,"1990";#N/A,#N/A,TRUE,"1991";#N/A,#N/A,TRUE,"1992";#N/A,#N/A,TRUE,"1993"}</definedName>
    <definedName name="Turnerwrn.ALL" localSheetId="22" hidden="1">{#N/A,#N/A,TRUE,"1990";#N/A,#N/A,TRUE,"1991";#N/A,#N/A,TRUE,"1992";#N/A,#N/A,TRUE,"1993"}</definedName>
    <definedName name="Turnerwrn.ALL" localSheetId="23" hidden="1">{#N/A,#N/A,TRUE,"1990";#N/A,#N/A,TRUE,"1991";#N/A,#N/A,TRUE,"1992";#N/A,#N/A,TRUE,"1993"}</definedName>
    <definedName name="Turnerwrn.ALL" localSheetId="24" hidden="1">{#N/A,#N/A,TRUE,"1990";#N/A,#N/A,TRUE,"1991";#N/A,#N/A,TRUE,"1992";#N/A,#N/A,TRUE,"1993"}</definedName>
    <definedName name="Turnerwrn.ALL" hidden="1">{#N/A,#N/A,TRUE,"1990";#N/A,#N/A,TRUE,"1991";#N/A,#N/A,TRUE,"1992";#N/A,#N/A,TRUE,"1993"}</definedName>
    <definedName name="Turnerwrn.PRINT_ALL" localSheetId="10" hidden="1">{"summary",#N/A,TRUE,"E93ADJ";"detail",#N/A,TRUE,"E93ADJ"}</definedName>
    <definedName name="Turnerwrn.PRINT_ALL" localSheetId="11" hidden="1">{"summary",#N/A,TRUE,"E93ADJ";"detail",#N/A,TRUE,"E93ADJ"}</definedName>
    <definedName name="Turnerwrn.PRINT_ALL" localSheetId="12" hidden="1">{"summary",#N/A,TRUE,"E93ADJ";"detail",#N/A,TRUE,"E93ADJ"}</definedName>
    <definedName name="Turnerwrn.PRINT_ALL" localSheetId="13" hidden="1">{"summary",#N/A,TRUE,"E93ADJ";"detail",#N/A,TRUE,"E93ADJ"}</definedName>
    <definedName name="Turnerwrn.PRINT_ALL" localSheetId="14" hidden="1">{"summary",#N/A,TRUE,"E93ADJ";"detail",#N/A,TRUE,"E93ADJ"}</definedName>
    <definedName name="Turnerwrn.PRINT_ALL" localSheetId="15" hidden="1">{"summary",#N/A,TRUE,"E93ADJ";"detail",#N/A,TRUE,"E93ADJ"}</definedName>
    <definedName name="Turnerwrn.PRINT_ALL" localSheetId="16" hidden="1">{"summary",#N/A,TRUE,"E93ADJ";"detail",#N/A,TRUE,"E93ADJ"}</definedName>
    <definedName name="Turnerwrn.PRINT_ALL" localSheetId="17" hidden="1">{"summary",#N/A,TRUE,"E93ADJ";"detail",#N/A,TRUE,"E93ADJ"}</definedName>
    <definedName name="Turnerwrn.PRINT_ALL" localSheetId="19" hidden="1">{"summary",#N/A,TRUE,"E93ADJ";"detail",#N/A,TRUE,"E93ADJ"}</definedName>
    <definedName name="Turnerwrn.PRINT_ALL" localSheetId="20" hidden="1">{"summary",#N/A,TRUE,"E93ADJ";"detail",#N/A,TRUE,"E93ADJ"}</definedName>
    <definedName name="Turnerwrn.PRINT_ALL" localSheetId="21" hidden="1">{"summary",#N/A,TRUE,"E93ADJ";"detail",#N/A,TRUE,"E93ADJ"}</definedName>
    <definedName name="Turnerwrn.PRINT_ALL" localSheetId="22" hidden="1">{"summary",#N/A,TRUE,"E93ADJ";"detail",#N/A,TRUE,"E93ADJ"}</definedName>
    <definedName name="Turnerwrn.PRINT_ALL" localSheetId="23" hidden="1">{"summary",#N/A,TRUE,"E93ADJ";"detail",#N/A,TRUE,"E93ADJ"}</definedName>
    <definedName name="Turnerwrn.PRINT_ALL" localSheetId="24" hidden="1">{"summary",#N/A,TRUE,"E93ADJ";"detail",#N/A,TRUE,"E93ADJ"}</definedName>
    <definedName name="Turnerwrn.PRINT_ALL" hidden="1">{"summary",#N/A,TRUE,"E93ADJ";"detail",#N/A,TRUE,"E93ADJ"}</definedName>
    <definedName name="tw" localSheetId="10" hidden="1">#REF!</definedName>
    <definedName name="tw" localSheetId="11" hidden="1">#REF!</definedName>
    <definedName name="tw" localSheetId="12" hidden="1">#REF!</definedName>
    <definedName name="tw" localSheetId="14" hidden="1">#REF!</definedName>
    <definedName name="tw" localSheetId="15" hidden="1">#REF!</definedName>
    <definedName name="tw" localSheetId="21" hidden="1">#REF!</definedName>
    <definedName name="tw" localSheetId="22" hidden="1">#REF!</definedName>
    <definedName name="tw" localSheetId="23" hidden="1">#REF!</definedName>
    <definedName name="tw" localSheetId="24" hidden="1">#REF!</definedName>
    <definedName name="tw" hidden="1">#REF!</definedName>
    <definedName name="v" localSheetId="11" hidden="1">{"Overall Scorecard",#N/A,FALSE,"Overall Scorecard"}</definedName>
    <definedName name="v" localSheetId="12" hidden="1">{"Overall Scorecard",#N/A,FALSE,"Overall Scorecard"}</definedName>
    <definedName name="v" localSheetId="20" hidden="1">{"Overall Scorecard",#N/A,FALSE,"Overall Scorecard"}</definedName>
    <definedName name="v" localSheetId="21" hidden="1">{"Overall Scorecard",#N/A,FALSE,"Overall Scorecard"}</definedName>
    <definedName name="v" localSheetId="22" hidden="1">{"Overall Scorecard",#N/A,FALSE,"Overall Scorecard"}</definedName>
    <definedName name="v" localSheetId="23" hidden="1">{"Overall Scorecard",#N/A,FALSE,"Overall Scorecard"}</definedName>
    <definedName name="v" hidden="1">{"Overall Scorecard",#N/A,FALSE,"Overall Scorecard"}</definedName>
    <definedName name="w" localSheetId="11" hidden="1">{"Points=O&amp;M per Customer + per Equiv Employee",#N/A,FALSE,"Points";"Points=Operating Ratio + Return on Net Plant",#N/A,FALSE,"Points";"Points=Revenue per Equivalent Employee",#N/A,FALSE,"Points"}</definedName>
    <definedName name="w" localSheetId="12" hidden="1">{"Points=O&amp;M per Customer + per Equiv Employee",#N/A,FALSE,"Points";"Points=Operating Ratio + Return on Net Plant",#N/A,FALSE,"Points";"Points=Revenue per Equivalent Employee",#N/A,FALSE,"Points"}</definedName>
    <definedName name="w" localSheetId="20" hidden="1">{"Points=O&amp;M per Customer + per Equiv Employee",#N/A,FALSE,"Points";"Points=Operating Ratio + Return on Net Plant",#N/A,FALSE,"Points";"Points=Revenue per Equivalent Employee",#N/A,FALSE,"Points"}</definedName>
    <definedName name="w" localSheetId="21" hidden="1">{"Points=O&amp;M per Customer + per Equiv Employee",#N/A,FALSE,"Points";"Points=Operating Ratio + Return on Net Plant",#N/A,FALSE,"Points";"Points=Revenue per Equivalent Employee",#N/A,FALSE,"Points"}</definedName>
    <definedName name="w" localSheetId="22" hidden="1">{"Points=O&amp;M per Customer + per Equiv Employee",#N/A,FALSE,"Points";"Points=Operating Ratio + Return on Net Plant",#N/A,FALSE,"Points";"Points=Revenue per Equivalent Employee",#N/A,FALSE,"Points"}</definedName>
    <definedName name="w" localSheetId="23" hidden="1">{"Points=O&amp;M per Customer + per Equiv Employee",#N/A,FALSE,"Points";"Points=Operating Ratio + Return on Net Plant",#N/A,FALSE,"Points";"Points=Revenue per Equivalent Employee",#N/A,FALSE,"Points"}</definedName>
    <definedName name="w" hidden="1">{"Points=O&amp;M per Customer + per Equiv Employee",#N/A,FALSE,"Points";"Points=Operating Ratio + Return on Net Plant",#N/A,FALSE,"Points";"Points=Revenue per Equivalent Employee",#N/A,FALSE,"Points"}</definedName>
    <definedName name="wepfo" localSheetId="10" hidden="1">#REF!</definedName>
    <definedName name="wepfo" localSheetId="11" hidden="1">#REF!</definedName>
    <definedName name="wepfo" localSheetId="12" hidden="1">#REF!</definedName>
    <definedName name="wepfo" localSheetId="14" hidden="1">#REF!</definedName>
    <definedName name="wepfo" localSheetId="15" hidden="1">#REF!</definedName>
    <definedName name="wepfo" localSheetId="21" hidden="1">#REF!</definedName>
    <definedName name="wepfo" localSheetId="22" hidden="1">#REF!</definedName>
    <definedName name="wepfo" localSheetId="23" hidden="1">#REF!</definedName>
    <definedName name="wepfo" localSheetId="24" hidden="1">#REF!</definedName>
    <definedName name="wepfo" hidden="1">#REF!</definedName>
    <definedName name="willdo" localSheetId="10" hidden="1">#REF!</definedName>
    <definedName name="willdo" localSheetId="11" hidden="1">#REF!</definedName>
    <definedName name="willdo" localSheetId="12" hidden="1">#REF!</definedName>
    <definedName name="willdo" localSheetId="14" hidden="1">#REF!</definedName>
    <definedName name="willdo" localSheetId="15" hidden="1">#REF!</definedName>
    <definedName name="willdo" localSheetId="21" hidden="1">#REF!</definedName>
    <definedName name="willdo" localSheetId="22" hidden="1">#REF!</definedName>
    <definedName name="willdo" localSheetId="23" hidden="1">#REF!</definedName>
    <definedName name="willdo" localSheetId="24" hidden="1">#REF!</definedName>
    <definedName name="willdo" hidden="1">#REF!</definedName>
    <definedName name="wrn.ACC._.PROV." hidden="1">{"JURIS_ACC_PROV",#N/A,FALSE,"COSTSTUDY";"OKCLS_ACC_PROV",#N/A,FALSE,"COSTSTUDY"}</definedName>
    <definedName name="wrn.AFUDC." localSheetId="10" hidden="1">{#N/A,#N/A,FALSE,"COMPAPER";#N/A,#N/A,FALSE,"AFUDC";#N/A,#N/A,FALSE,"JE"}</definedName>
    <definedName name="wrn.AFUDC." localSheetId="11" hidden="1">{#N/A,#N/A,FALSE,"COMPAPER";#N/A,#N/A,FALSE,"AFUDC";#N/A,#N/A,FALSE,"JE"}</definedName>
    <definedName name="wrn.AFUDC." localSheetId="12" hidden="1">{#N/A,#N/A,FALSE,"COMPAPER";#N/A,#N/A,FALSE,"AFUDC";#N/A,#N/A,FALSE,"JE"}</definedName>
    <definedName name="wrn.AFUDC." localSheetId="13" hidden="1">{#N/A,#N/A,FALSE,"COMPAPER";#N/A,#N/A,FALSE,"AFUDC";#N/A,#N/A,FALSE,"JE"}</definedName>
    <definedName name="wrn.AFUDC." localSheetId="14" hidden="1">{#N/A,#N/A,FALSE,"COMPAPER";#N/A,#N/A,FALSE,"AFUDC";#N/A,#N/A,FALSE,"JE"}</definedName>
    <definedName name="wrn.AFUDC." localSheetId="15" hidden="1">{#N/A,#N/A,FALSE,"COMPAPER";#N/A,#N/A,FALSE,"AFUDC";#N/A,#N/A,FALSE,"JE"}</definedName>
    <definedName name="wrn.AFUDC." localSheetId="16" hidden="1">{#N/A,#N/A,FALSE,"COMPAPER";#N/A,#N/A,FALSE,"AFUDC";#N/A,#N/A,FALSE,"JE"}</definedName>
    <definedName name="wrn.AFUDC." localSheetId="17" hidden="1">{#N/A,#N/A,FALSE,"COMPAPER";#N/A,#N/A,FALSE,"AFUDC";#N/A,#N/A,FALSE,"JE"}</definedName>
    <definedName name="wrn.AFUDC." localSheetId="19" hidden="1">{#N/A,#N/A,FALSE,"COMPAPER";#N/A,#N/A,FALSE,"AFUDC";#N/A,#N/A,FALSE,"JE"}</definedName>
    <definedName name="wrn.AFUDC." localSheetId="20" hidden="1">{#N/A,#N/A,FALSE,"COMPAPER";#N/A,#N/A,FALSE,"AFUDC";#N/A,#N/A,FALSE,"JE"}</definedName>
    <definedName name="wrn.AFUDC." localSheetId="21" hidden="1">{#N/A,#N/A,FALSE,"COMPAPER";#N/A,#N/A,FALSE,"AFUDC";#N/A,#N/A,FALSE,"JE"}</definedName>
    <definedName name="wrn.AFUDC." localSheetId="22" hidden="1">{#N/A,#N/A,FALSE,"COMPAPER";#N/A,#N/A,FALSE,"AFUDC";#N/A,#N/A,FALSE,"JE"}</definedName>
    <definedName name="wrn.AFUDC." localSheetId="23" hidden="1">{#N/A,#N/A,FALSE,"COMPAPER";#N/A,#N/A,FALSE,"AFUDC";#N/A,#N/A,FALSE,"JE"}</definedName>
    <definedName name="wrn.AFUDC." localSheetId="24" hidden="1">{#N/A,#N/A,FALSE,"COMPAPER";#N/A,#N/A,FALSE,"AFUDC";#N/A,#N/A,FALSE,"JE"}</definedName>
    <definedName name="wrn.AFUDC." hidden="1">{#N/A,#N/A,FALSE,"COMPAPER";#N/A,#N/A,FALSE,"AFUDC";#N/A,#N/A,FALSE,"JE"}</definedName>
    <definedName name="wrn.agexpense." localSheetId="10" hidden="1">{"pb",#N/A,FALSE,"Sheet3";"pd",#N/A,FALSE,"Sheet3";"pe",#N/A,FALSE,"Sheet3"}</definedName>
    <definedName name="wrn.agexpense." localSheetId="11" hidden="1">{"pb",#N/A,FALSE,"Sheet3";"pd",#N/A,FALSE,"Sheet3";"pe",#N/A,FALSE,"Sheet3"}</definedName>
    <definedName name="wrn.agexpense." localSheetId="12" hidden="1">{"pb",#N/A,FALSE,"Sheet3";"pd",#N/A,FALSE,"Sheet3";"pe",#N/A,FALSE,"Sheet3"}</definedName>
    <definedName name="wrn.agexpense." localSheetId="13" hidden="1">{"pb",#N/A,FALSE,"Sheet3";"pd",#N/A,FALSE,"Sheet3";"pe",#N/A,FALSE,"Sheet3"}</definedName>
    <definedName name="wrn.agexpense." localSheetId="14" hidden="1">{"pb",#N/A,FALSE,"Sheet3";"pd",#N/A,FALSE,"Sheet3";"pe",#N/A,FALSE,"Sheet3"}</definedName>
    <definedName name="wrn.agexpense." localSheetId="15" hidden="1">{"pb",#N/A,FALSE,"Sheet3";"pd",#N/A,FALSE,"Sheet3";"pe",#N/A,FALSE,"Sheet3"}</definedName>
    <definedName name="wrn.agexpense." localSheetId="16" hidden="1">{"pb",#N/A,FALSE,"Sheet3";"pd",#N/A,FALSE,"Sheet3";"pe",#N/A,FALSE,"Sheet3"}</definedName>
    <definedName name="wrn.agexpense." localSheetId="17" hidden="1">{"pb",#N/A,FALSE,"Sheet3";"pd",#N/A,FALSE,"Sheet3";"pe",#N/A,FALSE,"Sheet3"}</definedName>
    <definedName name="wrn.agexpense." localSheetId="19" hidden="1">{"pb",#N/A,FALSE,"Sheet3";"pd",#N/A,FALSE,"Sheet3";"pe",#N/A,FALSE,"Sheet3"}</definedName>
    <definedName name="wrn.agexpense." localSheetId="20" hidden="1">{"pb",#N/A,FALSE,"Sheet3";"pd",#N/A,FALSE,"Sheet3";"pe",#N/A,FALSE,"Sheet3"}</definedName>
    <definedName name="wrn.agexpense." localSheetId="21" hidden="1">{"pb",#N/A,FALSE,"Sheet3";"pd",#N/A,FALSE,"Sheet3";"pe",#N/A,FALSE,"Sheet3"}</definedName>
    <definedName name="wrn.agexpense." localSheetId="22" hidden="1">{"pb",#N/A,FALSE,"Sheet3";"pd",#N/A,FALSE,"Sheet3";"pe",#N/A,FALSE,"Sheet3"}</definedName>
    <definedName name="wrn.agexpense." localSheetId="23" hidden="1">{"pb",#N/A,FALSE,"Sheet3";"pd",#N/A,FALSE,"Sheet3";"pe",#N/A,FALSE,"Sheet3"}</definedName>
    <definedName name="wrn.agexpense." localSheetId="24" hidden="1">{"pb",#N/A,FALSE,"Sheet3";"pd",#N/A,FALSE,"Sheet3";"pe",#N/A,FALSE,"Sheet3"}</definedName>
    <definedName name="wrn.agexpense." hidden="1">{"pb",#N/A,FALSE,"Sheet3";"pd",#N/A,FALSE,"Sheet3";"pe",#N/A,FALSE,"Sheet3"}</definedName>
    <definedName name="wrn.ALL." localSheetId="10" hidden="1">{#N/A,#N/A,TRUE,"1990";#N/A,#N/A,TRUE,"1991";#N/A,#N/A,TRUE,"1992";#N/A,#N/A,TRUE,"1993"}</definedName>
    <definedName name="wrn.ALL." localSheetId="11" hidden="1">{#N/A,#N/A,TRUE,"1990";#N/A,#N/A,TRUE,"1991";#N/A,#N/A,TRUE,"1992";#N/A,#N/A,TRUE,"1993"}</definedName>
    <definedName name="wrn.ALL." localSheetId="12" hidden="1">{#N/A,#N/A,TRUE,"1990";#N/A,#N/A,TRUE,"1991";#N/A,#N/A,TRUE,"1992";#N/A,#N/A,TRUE,"1993"}</definedName>
    <definedName name="wrn.ALL." localSheetId="13" hidden="1">{#N/A,#N/A,TRUE,"1990";#N/A,#N/A,TRUE,"1991";#N/A,#N/A,TRUE,"1992";#N/A,#N/A,TRUE,"1993"}</definedName>
    <definedName name="wrn.ALL." localSheetId="14" hidden="1">{#N/A,#N/A,TRUE,"1990";#N/A,#N/A,TRUE,"1991";#N/A,#N/A,TRUE,"1992";#N/A,#N/A,TRUE,"1993"}</definedName>
    <definedName name="wrn.ALL." localSheetId="15" hidden="1">{#N/A,#N/A,TRUE,"1990";#N/A,#N/A,TRUE,"1991";#N/A,#N/A,TRUE,"1992";#N/A,#N/A,TRUE,"1993"}</definedName>
    <definedName name="wrn.ALL." localSheetId="16" hidden="1">{#N/A,#N/A,TRUE,"1990";#N/A,#N/A,TRUE,"1991";#N/A,#N/A,TRUE,"1992";#N/A,#N/A,TRUE,"1993"}</definedName>
    <definedName name="wrn.ALL." localSheetId="17" hidden="1">{#N/A,#N/A,TRUE,"1990";#N/A,#N/A,TRUE,"1991";#N/A,#N/A,TRUE,"1992";#N/A,#N/A,TRUE,"1993"}</definedName>
    <definedName name="wrn.ALL." localSheetId="19" hidden="1">{#N/A,#N/A,TRUE,"1990";#N/A,#N/A,TRUE,"1991";#N/A,#N/A,TRUE,"1992";#N/A,#N/A,TRUE,"1993"}</definedName>
    <definedName name="wrn.ALL." localSheetId="20" hidden="1">{#N/A,#N/A,TRUE,"1990";#N/A,#N/A,TRUE,"1991";#N/A,#N/A,TRUE,"1992";#N/A,#N/A,TRUE,"1993"}</definedName>
    <definedName name="wrn.ALL." localSheetId="21" hidden="1">{#N/A,#N/A,TRUE,"1990";#N/A,#N/A,TRUE,"1991";#N/A,#N/A,TRUE,"1992";#N/A,#N/A,TRUE,"1993"}</definedName>
    <definedName name="wrn.ALL." localSheetId="22" hidden="1">{#N/A,#N/A,TRUE,"1990";#N/A,#N/A,TRUE,"1991";#N/A,#N/A,TRUE,"1992";#N/A,#N/A,TRUE,"1993"}</definedName>
    <definedName name="wrn.ALL." localSheetId="23" hidden="1">{#N/A,#N/A,TRUE,"1990";#N/A,#N/A,TRUE,"1991";#N/A,#N/A,TRUE,"1992";#N/A,#N/A,TRUE,"1993"}</definedName>
    <definedName name="wrn.ALL." localSheetId="24" hidden="1">{#N/A,#N/A,TRUE,"1990";#N/A,#N/A,TRUE,"1991";#N/A,#N/A,TRUE,"1992";#N/A,#N/A,TRUE,"1993"}</definedName>
    <definedName name="wrn.ALL." hidden="1">{#N/A,#N/A,TRUE,"1990";#N/A,#N/A,TRUE,"1991";#N/A,#N/A,TRUE,"1992";#N/A,#N/A,TRUE,"1993"}</definedName>
    <definedName name="wrn.All._.Sheets." localSheetId="10" hidden="1">{"IncSt",#N/A,FALSE,"IS";"BalSht",#N/A,FALSE,"BS";"IntCash",#N/A,FALSE,"Int. Cash";"Stats",#N/A,FALSE,"Stats"}</definedName>
    <definedName name="wrn.All._.Sheets." localSheetId="11" hidden="1">{"IncSt",#N/A,FALSE,"IS";"BalSht",#N/A,FALSE,"BS";"IntCash",#N/A,FALSE,"Int. Cash";"Stats",#N/A,FALSE,"Stats"}</definedName>
    <definedName name="wrn.All._.Sheets." localSheetId="12" hidden="1">{"IncSt",#N/A,FALSE,"IS";"BalSht",#N/A,FALSE,"BS";"IntCash",#N/A,FALSE,"Int. Cash";"Stats",#N/A,FALSE,"Stats"}</definedName>
    <definedName name="wrn.All._.Sheets." localSheetId="13" hidden="1">{"IncSt",#N/A,FALSE,"IS";"BalSht",#N/A,FALSE,"BS";"IntCash",#N/A,FALSE,"Int. Cash";"Stats",#N/A,FALSE,"Stats"}</definedName>
    <definedName name="wrn.All._.Sheets." localSheetId="14" hidden="1">{"IncSt",#N/A,FALSE,"IS";"BalSht",#N/A,FALSE,"BS";"IntCash",#N/A,FALSE,"Int. Cash";"Stats",#N/A,FALSE,"Stats"}</definedName>
    <definedName name="wrn.All._.Sheets." localSheetId="15" hidden="1">{"IncSt",#N/A,FALSE,"IS";"BalSht",#N/A,FALSE,"BS";"IntCash",#N/A,FALSE,"Int. Cash";"Stats",#N/A,FALSE,"Stats"}</definedName>
    <definedName name="wrn.All._.Sheets." localSheetId="16" hidden="1">{"IncSt",#N/A,FALSE,"IS";"BalSht",#N/A,FALSE,"BS";"IntCash",#N/A,FALSE,"Int. Cash";"Stats",#N/A,FALSE,"Stats"}</definedName>
    <definedName name="wrn.All._.Sheets." localSheetId="17" hidden="1">{"IncSt",#N/A,FALSE,"IS";"BalSht",#N/A,FALSE,"BS";"IntCash",#N/A,FALSE,"Int. Cash";"Stats",#N/A,FALSE,"Stats"}</definedName>
    <definedName name="wrn.All._.Sheets." localSheetId="19" hidden="1">{"IncSt",#N/A,FALSE,"IS";"BalSht",#N/A,FALSE,"BS";"IntCash",#N/A,FALSE,"Int. Cash";"Stats",#N/A,FALSE,"Stats"}</definedName>
    <definedName name="wrn.All._.Sheets." localSheetId="20" hidden="1">{"IncSt",#N/A,FALSE,"IS";"BalSht",#N/A,FALSE,"BS";"IntCash",#N/A,FALSE,"Int. Cash";"Stats",#N/A,FALSE,"Stats"}</definedName>
    <definedName name="wrn.All._.Sheets." localSheetId="21" hidden="1">{"IncSt",#N/A,FALSE,"IS";"BalSht",#N/A,FALSE,"BS";"IntCash",#N/A,FALSE,"Int. Cash";"Stats",#N/A,FALSE,"Stats"}</definedName>
    <definedName name="wrn.All._.Sheets." localSheetId="22" hidden="1">{"IncSt",#N/A,FALSE,"IS";"BalSht",#N/A,FALSE,"BS";"IntCash",#N/A,FALSE,"Int. Cash";"Stats",#N/A,FALSE,"Stats"}</definedName>
    <definedName name="wrn.All._.Sheets." localSheetId="23" hidden="1">{"IncSt",#N/A,FALSE,"IS";"BalSht",#N/A,FALSE,"BS";"IntCash",#N/A,FALSE,"Int. Cash";"Stats",#N/A,FALSE,"Stats"}</definedName>
    <definedName name="wrn.All._.Sheets." localSheetId="24" hidden="1">{"IncSt",#N/A,FALSE,"IS";"BalSht",#N/A,FALSE,"BS";"IntCash",#N/A,FALSE,"Int. Cash";"Stats",#N/A,FALSE,"Stats"}</definedName>
    <definedName name="wrn.All._.Sheets." hidden="1">{"IncSt",#N/A,FALSE,"IS";"BalSht",#N/A,FALSE,"BS";"IntCash",#N/A,FALSE,"Int. Cash";"Stats",#N/A,FALSE,"Stats"}</definedName>
    <definedName name="wrn.ALL_REPORTS." localSheetId="1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lRjs." localSheetId="12" hidden="1">{#N/A,#N/A,FALSE,"SCA";#N/A,#N/A,FALSE,"NCA";#N/A,#N/A,FALSE,"SAZ";#N/A,#N/A,FALSE,"CAZ";#N/A,#N/A,FALSE,"SNV";#N/A,#N/A,FALSE,"NNV";#N/A,#N/A,FALSE,"PP";#N/A,#N/A,FALSE,"SA"}</definedName>
    <definedName name="wrn.AllRjs." localSheetId="13" hidden="1">{#N/A,#N/A,FALSE,"SCA";#N/A,#N/A,FALSE,"NCA";#N/A,#N/A,FALSE,"SAZ";#N/A,#N/A,FALSE,"CAZ";#N/A,#N/A,FALSE,"SNV";#N/A,#N/A,FALSE,"NNV";#N/A,#N/A,FALSE,"PP";#N/A,#N/A,FALSE,"SA"}</definedName>
    <definedName name="wrn.AllRjs." localSheetId="14" hidden="1">{#N/A,#N/A,FALSE,"SCA";#N/A,#N/A,FALSE,"NCA";#N/A,#N/A,FALSE,"SAZ";#N/A,#N/A,FALSE,"CAZ";#N/A,#N/A,FALSE,"SNV";#N/A,#N/A,FALSE,"NNV";#N/A,#N/A,FALSE,"PP";#N/A,#N/A,FALSE,"SA"}</definedName>
    <definedName name="wrn.AllRjs." localSheetId="15" hidden="1">{#N/A,#N/A,FALSE,"SCA";#N/A,#N/A,FALSE,"NCA";#N/A,#N/A,FALSE,"SAZ";#N/A,#N/A,FALSE,"CAZ";#N/A,#N/A,FALSE,"SNV";#N/A,#N/A,FALSE,"NNV";#N/A,#N/A,FALSE,"PP";#N/A,#N/A,FALSE,"SA"}</definedName>
    <definedName name="wrn.AllRjs." localSheetId="16" hidden="1">{#N/A,#N/A,FALSE,"SCA";#N/A,#N/A,FALSE,"NCA";#N/A,#N/A,FALSE,"SAZ";#N/A,#N/A,FALSE,"CAZ";#N/A,#N/A,FALSE,"SNV";#N/A,#N/A,FALSE,"NNV";#N/A,#N/A,FALSE,"PP";#N/A,#N/A,FALSE,"SA"}</definedName>
    <definedName name="wrn.AllRjs." localSheetId="17" hidden="1">{#N/A,#N/A,FALSE,"SCA";#N/A,#N/A,FALSE,"NCA";#N/A,#N/A,FALSE,"SAZ";#N/A,#N/A,FALSE,"CAZ";#N/A,#N/A,FALSE,"SNV";#N/A,#N/A,FALSE,"NNV";#N/A,#N/A,FALSE,"PP";#N/A,#N/A,FALSE,"SA"}</definedName>
    <definedName name="wrn.AllRjs." localSheetId="19" hidden="1">{#N/A,#N/A,FALSE,"SCA";#N/A,#N/A,FALSE,"NCA";#N/A,#N/A,FALSE,"SAZ";#N/A,#N/A,FALSE,"CAZ";#N/A,#N/A,FALSE,"SNV";#N/A,#N/A,FALSE,"NNV";#N/A,#N/A,FALSE,"PP";#N/A,#N/A,FALSE,"SA"}</definedName>
    <definedName name="wrn.AllRjs." localSheetId="20" hidden="1">{#N/A,#N/A,FALSE,"SCA";#N/A,#N/A,FALSE,"NCA";#N/A,#N/A,FALSE,"SAZ";#N/A,#N/A,FALSE,"CAZ";#N/A,#N/A,FALSE,"SNV";#N/A,#N/A,FALSE,"NNV";#N/A,#N/A,FALSE,"PP";#N/A,#N/A,FALSE,"SA"}</definedName>
    <definedName name="wrn.AllRjs." localSheetId="21" hidden="1">{#N/A,#N/A,FALSE,"SCA";#N/A,#N/A,FALSE,"NCA";#N/A,#N/A,FALSE,"SAZ";#N/A,#N/A,FALSE,"CAZ";#N/A,#N/A,FALSE,"SNV";#N/A,#N/A,FALSE,"NNV";#N/A,#N/A,FALSE,"PP";#N/A,#N/A,FALSE,"SA"}</definedName>
    <definedName name="wrn.AllRjs." localSheetId="22" hidden="1">{#N/A,#N/A,FALSE,"SCA";#N/A,#N/A,FALSE,"NCA";#N/A,#N/A,FALSE,"SAZ";#N/A,#N/A,FALSE,"CAZ";#N/A,#N/A,FALSE,"SNV";#N/A,#N/A,FALSE,"NNV";#N/A,#N/A,FALSE,"PP";#N/A,#N/A,FALSE,"SA"}</definedName>
    <definedName name="wrn.AllRjs." localSheetId="23" hidden="1">{#N/A,#N/A,FALSE,"SCA";#N/A,#N/A,FALSE,"NCA";#N/A,#N/A,FALSE,"SAZ";#N/A,#N/A,FALSE,"CAZ";#N/A,#N/A,FALSE,"SNV";#N/A,#N/A,FALSE,"NNV";#N/A,#N/A,FALSE,"PP";#N/A,#N/A,FALSE,"SA"}</definedName>
    <definedName name="wrn.AllRjs." localSheetId="24" hidden="1">{#N/A,#N/A,FALSE,"SCA";#N/A,#N/A,FALSE,"NCA";#N/A,#N/A,FALSE,"SAZ";#N/A,#N/A,FALSE,"CAZ";#N/A,#N/A,FALSE,"SNV";#N/A,#N/A,FALSE,"NNV";#N/A,#N/A,FALSE,"PP";#N/A,#N/A,FALSE,"SA"}</definedName>
    <definedName name="wrn.AllRjs."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lrjs." localSheetId="12" hidden="1">{#N/A,#N/A,FALSE,"SCA";#N/A,#N/A,FALSE,"NCA";#N/A,#N/A,FALSE,"SAZ";#N/A,#N/A,FALSE,"CAZ";#N/A,#N/A,FALSE,"SNV";#N/A,#N/A,FALSE,"NNV";#N/A,#N/A,FALSE,"PP";#N/A,#N/A,FALSE,"SA"}</definedName>
    <definedName name="wrn.alrjs." localSheetId="13" hidden="1">{#N/A,#N/A,FALSE,"SCA";#N/A,#N/A,FALSE,"NCA";#N/A,#N/A,FALSE,"SAZ";#N/A,#N/A,FALSE,"CAZ";#N/A,#N/A,FALSE,"SNV";#N/A,#N/A,FALSE,"NNV";#N/A,#N/A,FALSE,"PP";#N/A,#N/A,FALSE,"SA"}</definedName>
    <definedName name="wrn.alrjs." localSheetId="14" hidden="1">{#N/A,#N/A,FALSE,"SCA";#N/A,#N/A,FALSE,"NCA";#N/A,#N/A,FALSE,"SAZ";#N/A,#N/A,FALSE,"CAZ";#N/A,#N/A,FALSE,"SNV";#N/A,#N/A,FALSE,"NNV";#N/A,#N/A,FALSE,"PP";#N/A,#N/A,FALSE,"SA"}</definedName>
    <definedName name="wrn.alrjs." localSheetId="15" hidden="1">{#N/A,#N/A,FALSE,"SCA";#N/A,#N/A,FALSE,"NCA";#N/A,#N/A,FALSE,"SAZ";#N/A,#N/A,FALSE,"CAZ";#N/A,#N/A,FALSE,"SNV";#N/A,#N/A,FALSE,"NNV";#N/A,#N/A,FALSE,"PP";#N/A,#N/A,FALSE,"SA"}</definedName>
    <definedName name="wrn.alrjs." localSheetId="16" hidden="1">{#N/A,#N/A,FALSE,"SCA";#N/A,#N/A,FALSE,"NCA";#N/A,#N/A,FALSE,"SAZ";#N/A,#N/A,FALSE,"CAZ";#N/A,#N/A,FALSE,"SNV";#N/A,#N/A,FALSE,"NNV";#N/A,#N/A,FALSE,"PP";#N/A,#N/A,FALSE,"SA"}</definedName>
    <definedName name="wrn.alrjs." localSheetId="17" hidden="1">{#N/A,#N/A,FALSE,"SCA";#N/A,#N/A,FALSE,"NCA";#N/A,#N/A,FALSE,"SAZ";#N/A,#N/A,FALSE,"CAZ";#N/A,#N/A,FALSE,"SNV";#N/A,#N/A,FALSE,"NNV";#N/A,#N/A,FALSE,"PP";#N/A,#N/A,FALSE,"SA"}</definedName>
    <definedName name="wrn.alrjs." localSheetId="19" hidden="1">{#N/A,#N/A,FALSE,"SCA";#N/A,#N/A,FALSE,"NCA";#N/A,#N/A,FALSE,"SAZ";#N/A,#N/A,FALSE,"CAZ";#N/A,#N/A,FALSE,"SNV";#N/A,#N/A,FALSE,"NNV";#N/A,#N/A,FALSE,"PP";#N/A,#N/A,FALSE,"SA"}</definedName>
    <definedName name="wrn.alrjs." localSheetId="20" hidden="1">{#N/A,#N/A,FALSE,"SCA";#N/A,#N/A,FALSE,"NCA";#N/A,#N/A,FALSE,"SAZ";#N/A,#N/A,FALSE,"CAZ";#N/A,#N/A,FALSE,"SNV";#N/A,#N/A,FALSE,"NNV";#N/A,#N/A,FALSE,"PP";#N/A,#N/A,FALSE,"SA"}</definedName>
    <definedName name="wrn.alrjs." localSheetId="21" hidden="1">{#N/A,#N/A,FALSE,"SCA";#N/A,#N/A,FALSE,"NCA";#N/A,#N/A,FALSE,"SAZ";#N/A,#N/A,FALSE,"CAZ";#N/A,#N/A,FALSE,"SNV";#N/A,#N/A,FALSE,"NNV";#N/A,#N/A,FALSE,"PP";#N/A,#N/A,FALSE,"SA"}</definedName>
    <definedName name="wrn.alrjs." localSheetId="22" hidden="1">{#N/A,#N/A,FALSE,"SCA";#N/A,#N/A,FALSE,"NCA";#N/A,#N/A,FALSE,"SAZ";#N/A,#N/A,FALSE,"CAZ";#N/A,#N/A,FALSE,"SNV";#N/A,#N/A,FALSE,"NNV";#N/A,#N/A,FALSE,"PP";#N/A,#N/A,FALSE,"SA"}</definedName>
    <definedName name="wrn.alrjs." localSheetId="23" hidden="1">{#N/A,#N/A,FALSE,"SCA";#N/A,#N/A,FALSE,"NCA";#N/A,#N/A,FALSE,"SAZ";#N/A,#N/A,FALSE,"CAZ";#N/A,#N/A,FALSE,"SNV";#N/A,#N/A,FALSE,"NNV";#N/A,#N/A,FALSE,"PP";#N/A,#N/A,FALSE,"SA"}</definedName>
    <definedName name="wrn.alrjs." localSheetId="24" hidden="1">{#N/A,#N/A,FALSE,"SCA";#N/A,#N/A,FALSE,"NCA";#N/A,#N/A,FALSE,"SAZ";#N/A,#N/A,FALSE,"CAZ";#N/A,#N/A,FALSE,"SNV";#N/A,#N/A,FALSE,"NNV";#N/A,#N/A,FALSE,"PP";#N/A,#N/A,FALSE,"SA"}</definedName>
    <definedName name="wrn.alrjs." hidden="1">{#N/A,#N/A,FALSE,"SCA";#N/A,#N/A,FALSE,"NCA";#N/A,#N/A,FALSE,"SAZ";#N/A,#N/A,FALSE,"CAZ";#N/A,#N/A,FALSE,"SNV";#N/A,#N/A,FALSE,"NNV";#N/A,#N/A,FALSE,"PP";#N/A,#N/A,FALSE,"SA"}</definedName>
    <definedName name="wrn.ARK._.JURIS._.FAC._.CALC." localSheetId="10" hidden="1">{"ARK_JURIS_FAC",#N/A,FALSE,"Ark_Fuel&amp;Rev"}</definedName>
    <definedName name="wrn.ARK._.JURIS._.FAC._.CALC." localSheetId="11" hidden="1">{"ARK_JURIS_FAC",#N/A,FALSE,"Ark_Fuel&amp;Rev"}</definedName>
    <definedName name="wrn.ARK._.JURIS._.FAC._.CALC." localSheetId="12" hidden="1">{"ARK_JURIS_FAC",#N/A,FALSE,"Ark_Fuel&amp;Rev"}</definedName>
    <definedName name="wrn.ARK._.JURIS._.FAC._.CALC." localSheetId="13" hidden="1">{"ARK_JURIS_FAC",#N/A,FALSE,"Ark_Fuel&amp;Rev"}</definedName>
    <definedName name="wrn.ARK._.JURIS._.FAC._.CALC." localSheetId="14" hidden="1">{"ARK_JURIS_FAC",#N/A,FALSE,"Ark_Fuel&amp;Rev"}</definedName>
    <definedName name="wrn.ARK._.JURIS._.FAC._.CALC." localSheetId="15" hidden="1">{"ARK_JURIS_FAC",#N/A,FALSE,"Ark_Fuel&amp;Rev"}</definedName>
    <definedName name="wrn.ARK._.JURIS._.FAC._.CALC." localSheetId="16" hidden="1">{"ARK_JURIS_FAC",#N/A,FALSE,"Ark_Fuel&amp;Rev"}</definedName>
    <definedName name="wrn.ARK._.JURIS._.FAC._.CALC." localSheetId="17" hidden="1">{"ARK_JURIS_FAC",#N/A,FALSE,"Ark_Fuel&amp;Rev"}</definedName>
    <definedName name="wrn.ARK._.JURIS._.FAC._.CALC." localSheetId="19" hidden="1">{"ARK_JURIS_FAC",#N/A,FALSE,"Ark_Fuel&amp;Rev"}</definedName>
    <definedName name="wrn.ARK._.JURIS._.FAC._.CALC." localSheetId="20" hidden="1">{"ARK_JURIS_FAC",#N/A,FALSE,"Ark_Fuel&amp;Rev"}</definedName>
    <definedName name="wrn.ARK._.JURIS._.FAC._.CALC." localSheetId="21" hidden="1">{"ARK_JURIS_FAC",#N/A,FALSE,"Ark_Fuel&amp;Rev"}</definedName>
    <definedName name="wrn.ARK._.JURIS._.FAC._.CALC." localSheetId="22" hidden="1">{"ARK_JURIS_FAC",#N/A,FALSE,"Ark_Fuel&amp;Rev"}</definedName>
    <definedName name="wrn.ARK._.JURIS._.FAC._.CALC." localSheetId="23" hidden="1">{"ARK_JURIS_FAC",#N/A,FALSE,"Ark_Fuel&amp;Rev"}</definedName>
    <definedName name="wrn.ARK._.JURIS._.FAC._.CALC." localSheetId="24" hidden="1">{"ARK_JURIS_FAC",#N/A,FALSE,"Ark_Fuel&amp;Rev"}</definedName>
    <definedName name="wrn.ARK._.JURIS._.FAC._.CALC." hidden="1">{"ARK_JURIS_FAC",#N/A,FALSE,"Ark_Fuel&amp;Rev"}</definedName>
    <definedName name="wrn.ARK._.JURIS._.FUEL._.COST." localSheetId="10" hidden="1">{"ARK_JURIS_FUEL",#N/A,FALSE,"Ark_Fuel&amp;Rev"}</definedName>
    <definedName name="wrn.ARK._.JURIS._.FUEL._.COST." localSheetId="11" hidden="1">{"ARK_JURIS_FUEL",#N/A,FALSE,"Ark_Fuel&amp;Rev"}</definedName>
    <definedName name="wrn.ARK._.JURIS._.FUEL._.COST." localSheetId="12" hidden="1">{"ARK_JURIS_FUEL",#N/A,FALSE,"Ark_Fuel&amp;Rev"}</definedName>
    <definedName name="wrn.ARK._.JURIS._.FUEL._.COST." localSheetId="13" hidden="1">{"ARK_JURIS_FUEL",#N/A,FALSE,"Ark_Fuel&amp;Rev"}</definedName>
    <definedName name="wrn.ARK._.JURIS._.FUEL._.COST." localSheetId="14" hidden="1">{"ARK_JURIS_FUEL",#N/A,FALSE,"Ark_Fuel&amp;Rev"}</definedName>
    <definedName name="wrn.ARK._.JURIS._.FUEL._.COST." localSheetId="15" hidden="1">{"ARK_JURIS_FUEL",#N/A,FALSE,"Ark_Fuel&amp;Rev"}</definedName>
    <definedName name="wrn.ARK._.JURIS._.FUEL._.COST." localSheetId="16" hidden="1">{"ARK_JURIS_FUEL",#N/A,FALSE,"Ark_Fuel&amp;Rev"}</definedName>
    <definedName name="wrn.ARK._.JURIS._.FUEL._.COST." localSheetId="17" hidden="1">{"ARK_JURIS_FUEL",#N/A,FALSE,"Ark_Fuel&amp;Rev"}</definedName>
    <definedName name="wrn.ARK._.JURIS._.FUEL._.COST." localSheetId="19" hidden="1">{"ARK_JURIS_FUEL",#N/A,FALSE,"Ark_Fuel&amp;Rev"}</definedName>
    <definedName name="wrn.ARK._.JURIS._.FUEL._.COST." localSheetId="20" hidden="1">{"ARK_JURIS_FUEL",#N/A,FALSE,"Ark_Fuel&amp;Rev"}</definedName>
    <definedName name="wrn.ARK._.JURIS._.FUEL._.COST." localSheetId="21" hidden="1">{"ARK_JURIS_FUEL",#N/A,FALSE,"Ark_Fuel&amp;Rev"}</definedName>
    <definedName name="wrn.ARK._.JURIS._.FUEL._.COST." localSheetId="22" hidden="1">{"ARK_JURIS_FUEL",#N/A,FALSE,"Ark_Fuel&amp;Rev"}</definedName>
    <definedName name="wrn.ARK._.JURIS._.FUEL._.COST." localSheetId="23" hidden="1">{"ARK_JURIS_FUEL",#N/A,FALSE,"Ark_Fuel&amp;Rev"}</definedName>
    <definedName name="wrn.ARK._.JURIS._.FUEL._.COST." localSheetId="24" hidden="1">{"ARK_JURIS_FUEL",#N/A,FALSE,"Ark_Fuel&amp;Rev"}</definedName>
    <definedName name="wrn.ARK._.JURIS._.FUEL._.COST." hidden="1">{"ARK_JURIS_FUEL",#N/A,FALSE,"Ark_Fuel&amp;Rev"}</definedName>
    <definedName name="wrn.ATOKA._.FAC._.CALC." localSheetId="10" hidden="1">{"ATOKA_FAC",#N/A,FALSE,"Atoka"}</definedName>
    <definedName name="wrn.ATOKA._.FAC._.CALC." localSheetId="11" hidden="1">{"ATOKA_FAC",#N/A,FALSE,"Atoka"}</definedName>
    <definedName name="wrn.ATOKA._.FAC._.CALC." localSheetId="12" hidden="1">{"ATOKA_FAC",#N/A,FALSE,"Atoka"}</definedName>
    <definedName name="wrn.ATOKA._.FAC._.CALC." localSheetId="13" hidden="1">{"ATOKA_FAC",#N/A,FALSE,"Atoka"}</definedName>
    <definedName name="wrn.ATOKA._.FAC._.CALC." localSheetId="14" hidden="1">{"ATOKA_FAC",#N/A,FALSE,"Atoka"}</definedName>
    <definedName name="wrn.ATOKA._.FAC._.CALC." localSheetId="15" hidden="1">{"ATOKA_FAC",#N/A,FALSE,"Atoka"}</definedName>
    <definedName name="wrn.ATOKA._.FAC._.CALC." localSheetId="16" hidden="1">{"ATOKA_FAC",#N/A,FALSE,"Atoka"}</definedName>
    <definedName name="wrn.ATOKA._.FAC._.CALC." localSheetId="17" hidden="1">{"ATOKA_FAC",#N/A,FALSE,"Atoka"}</definedName>
    <definedName name="wrn.ATOKA._.FAC._.CALC." localSheetId="19" hidden="1">{"ATOKA_FAC",#N/A,FALSE,"Atoka"}</definedName>
    <definedName name="wrn.ATOKA._.FAC._.CALC." localSheetId="20" hidden="1">{"ATOKA_FAC",#N/A,FALSE,"Atoka"}</definedName>
    <definedName name="wrn.ATOKA._.FAC._.CALC." localSheetId="21" hidden="1">{"ATOKA_FAC",#N/A,FALSE,"Atoka"}</definedName>
    <definedName name="wrn.ATOKA._.FAC._.CALC." localSheetId="22" hidden="1">{"ATOKA_FAC",#N/A,FALSE,"Atoka"}</definedName>
    <definedName name="wrn.ATOKA._.FAC._.CALC." localSheetId="23" hidden="1">{"ATOKA_FAC",#N/A,FALSE,"Atoka"}</definedName>
    <definedName name="wrn.ATOKA._.FAC._.CALC." localSheetId="24" hidden="1">{"ATOKA_FAC",#N/A,FALSE,"Atoka"}</definedName>
    <definedName name="wrn.ATOKA._.FAC._.CALC." hidden="1">{"ATOKA_FAC",#N/A,FALSE,"Atoka"}</definedName>
    <definedName name="wrn.Benefits." localSheetId="10" hidden="1">{"Benefits Summary",#N/A,FALSE,"Benefits Info without WC Amount";"Medical and Dental Costs",#N/A,FALSE,"Benefits Info without WC Amount";"Workers' Compensation",#N/A,FALSE,"Benefits Info without WC Amount"}</definedName>
    <definedName name="wrn.Benefits." localSheetId="11" hidden="1">{"Benefits Summary",#N/A,FALSE,"Benefits Info without WC Amount";"Medical and Dental Costs",#N/A,FALSE,"Benefits Info without WC Amount";"Workers' Compensation",#N/A,FALSE,"Benefits Info without WC Amount"}</definedName>
    <definedName name="wrn.Benefits." localSheetId="12" hidden="1">{"Benefits Summary",#N/A,FALSE,"Benefits Info without WC Amount";"Medical and Dental Costs",#N/A,FALSE,"Benefits Info without WC Amount";"Workers' Compensation",#N/A,FALSE,"Benefits Info without WC Amount"}</definedName>
    <definedName name="wrn.Benefits." localSheetId="13" hidden="1">{"Benefits Summary",#N/A,FALSE,"Benefits Info without WC Amount";"Medical and Dental Costs",#N/A,FALSE,"Benefits Info without WC Amount";"Workers' Compensation",#N/A,FALSE,"Benefits Info without WC Amount"}</definedName>
    <definedName name="wrn.Benefits." localSheetId="14" hidden="1">{"Benefits Summary",#N/A,FALSE,"Benefits Info without WC Amount";"Medical and Dental Costs",#N/A,FALSE,"Benefits Info without WC Amount";"Workers' Compensation",#N/A,FALSE,"Benefits Info without WC Amount"}</definedName>
    <definedName name="wrn.Benefits." localSheetId="15" hidden="1">{"Benefits Summary",#N/A,FALSE,"Benefits Info without WC Amount";"Medical and Dental Costs",#N/A,FALSE,"Benefits Info without WC Amount";"Workers' Compensation",#N/A,FALSE,"Benefits Info without WC Amount"}</definedName>
    <definedName name="wrn.Benefits." localSheetId="16" hidden="1">{"Benefits Summary",#N/A,FALSE,"Benefits Info without WC Amount";"Medical and Dental Costs",#N/A,FALSE,"Benefits Info without WC Amount";"Workers' Compensation",#N/A,FALSE,"Benefits Info without WC Amount"}</definedName>
    <definedName name="wrn.Benefits." localSheetId="17" hidden="1">{"Benefits Summary",#N/A,FALSE,"Benefits Info without WC Amount";"Medical and Dental Costs",#N/A,FALSE,"Benefits Info without WC Amount";"Workers' Compensation",#N/A,FALSE,"Benefits Info without WC Amount"}</definedName>
    <definedName name="wrn.Benefits." localSheetId="19" hidden="1">{"Benefits Summary",#N/A,FALSE,"Benefits Info without WC Amount";"Medical and Dental Costs",#N/A,FALSE,"Benefits Info without WC Amount";"Workers' Compensation",#N/A,FALSE,"Benefits Info without WC Amount"}</definedName>
    <definedName name="wrn.Benefits." localSheetId="20" hidden="1">{"Benefits Summary",#N/A,FALSE,"Benefits Info without WC Amount";"Medical and Dental Costs",#N/A,FALSE,"Benefits Info without WC Amount";"Workers' Compensation",#N/A,FALSE,"Benefits Info without WC Amount"}</definedName>
    <definedName name="wrn.Benefits." localSheetId="21" hidden="1">{"Benefits Summary",#N/A,FALSE,"Benefits Info without WC Amount";"Medical and Dental Costs",#N/A,FALSE,"Benefits Info without WC Amount";"Workers' Compensation",#N/A,FALSE,"Benefits Info without WC Amount"}</definedName>
    <definedName name="wrn.Benefits." localSheetId="22" hidden="1">{"Benefits Summary",#N/A,FALSE,"Benefits Info without WC Amount";"Medical and Dental Costs",#N/A,FALSE,"Benefits Info without WC Amount";"Workers' Compensation",#N/A,FALSE,"Benefits Info without WC Amount"}</definedName>
    <definedName name="wrn.Benefits." localSheetId="23" hidden="1">{"Benefits Summary",#N/A,FALSE,"Benefits Info without WC Amount";"Medical and Dental Costs",#N/A,FALSE,"Benefits Info without WC Amount";"Workers' Compensation",#N/A,FALSE,"Benefits Info without WC Amount"}</definedName>
    <definedName name="wrn.Benefits." localSheetId="24"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Bill._.Comparisons." localSheetId="10" hidden="1">{#N/A,#N/A,TRUE,"Bill Comp - 60";#N/A,#N/A,TRUE,"Bill Comp - 70";#N/A,#N/A,TRUE,"Bill Comp - 71";#N/A,#N/A,TRUE,"Bill Comp- 85"}</definedName>
    <definedName name="wrn.Bill._.Comparisons." localSheetId="11" hidden="1">{#N/A,#N/A,TRUE,"Bill Comp - 60";#N/A,#N/A,TRUE,"Bill Comp - 70";#N/A,#N/A,TRUE,"Bill Comp - 71";#N/A,#N/A,TRUE,"Bill Comp- 85"}</definedName>
    <definedName name="wrn.Bill._.Comparisons." localSheetId="12" hidden="1">{#N/A,#N/A,TRUE,"Bill Comp - 60";#N/A,#N/A,TRUE,"Bill Comp - 70";#N/A,#N/A,TRUE,"Bill Comp - 71";#N/A,#N/A,TRUE,"Bill Comp- 85"}</definedName>
    <definedName name="wrn.Bill._.Comparisons." localSheetId="13" hidden="1">{#N/A,#N/A,TRUE,"Bill Comp - 60";#N/A,#N/A,TRUE,"Bill Comp - 70";#N/A,#N/A,TRUE,"Bill Comp - 71";#N/A,#N/A,TRUE,"Bill Comp- 85"}</definedName>
    <definedName name="wrn.Bill._.Comparisons." localSheetId="14" hidden="1">{#N/A,#N/A,TRUE,"Bill Comp - 60";#N/A,#N/A,TRUE,"Bill Comp - 70";#N/A,#N/A,TRUE,"Bill Comp - 71";#N/A,#N/A,TRUE,"Bill Comp- 85"}</definedName>
    <definedName name="wrn.Bill._.Comparisons." localSheetId="15" hidden="1">{#N/A,#N/A,TRUE,"Bill Comp - 60";#N/A,#N/A,TRUE,"Bill Comp - 70";#N/A,#N/A,TRUE,"Bill Comp - 71";#N/A,#N/A,TRUE,"Bill Comp- 85"}</definedName>
    <definedName name="wrn.Bill._.Comparisons." localSheetId="16" hidden="1">{#N/A,#N/A,TRUE,"Bill Comp - 60";#N/A,#N/A,TRUE,"Bill Comp - 70";#N/A,#N/A,TRUE,"Bill Comp - 71";#N/A,#N/A,TRUE,"Bill Comp- 85"}</definedName>
    <definedName name="wrn.Bill._.Comparisons." localSheetId="17" hidden="1">{#N/A,#N/A,TRUE,"Bill Comp - 60";#N/A,#N/A,TRUE,"Bill Comp - 70";#N/A,#N/A,TRUE,"Bill Comp - 71";#N/A,#N/A,TRUE,"Bill Comp- 85"}</definedName>
    <definedName name="wrn.Bill._.Comparisons." localSheetId="19" hidden="1">{#N/A,#N/A,TRUE,"Bill Comp - 60";#N/A,#N/A,TRUE,"Bill Comp - 70";#N/A,#N/A,TRUE,"Bill Comp - 71";#N/A,#N/A,TRUE,"Bill Comp- 85"}</definedName>
    <definedName name="wrn.Bill._.Comparisons." localSheetId="20" hidden="1">{#N/A,#N/A,TRUE,"Bill Comp - 60";#N/A,#N/A,TRUE,"Bill Comp - 70";#N/A,#N/A,TRUE,"Bill Comp - 71";#N/A,#N/A,TRUE,"Bill Comp- 85"}</definedName>
    <definedName name="wrn.Bill._.Comparisons." localSheetId="21" hidden="1">{#N/A,#N/A,TRUE,"Bill Comp - 60";#N/A,#N/A,TRUE,"Bill Comp - 70";#N/A,#N/A,TRUE,"Bill Comp - 71";#N/A,#N/A,TRUE,"Bill Comp- 85"}</definedName>
    <definedName name="wrn.Bill._.Comparisons." localSheetId="22" hidden="1">{#N/A,#N/A,TRUE,"Bill Comp - 60";#N/A,#N/A,TRUE,"Bill Comp - 70";#N/A,#N/A,TRUE,"Bill Comp - 71";#N/A,#N/A,TRUE,"Bill Comp- 85"}</definedName>
    <definedName name="wrn.Bill._.Comparisons." localSheetId="23" hidden="1">{#N/A,#N/A,TRUE,"Bill Comp - 60";#N/A,#N/A,TRUE,"Bill Comp - 70";#N/A,#N/A,TRUE,"Bill Comp - 71";#N/A,#N/A,TRUE,"Bill Comp- 85"}</definedName>
    <definedName name="wrn.Bill._.Comparisons." localSheetId="24" hidden="1">{#N/A,#N/A,TRUE,"Bill Comp - 60";#N/A,#N/A,TRUE,"Bill Comp - 70";#N/A,#N/A,TRUE,"Bill Comp - 71";#N/A,#N/A,TRUE,"Bill Comp- 85"}</definedName>
    <definedName name="wrn.Bill._.Comparisons." hidden="1">{#N/A,#N/A,TRUE,"Bill Comp - 60";#N/A,#N/A,TRUE,"Bill Comp - 70";#N/A,#N/A,TRUE,"Bill Comp - 71";#N/A,#N/A,TRUE,"Bill Comp- 85"}</definedName>
    <definedName name="wrn.Budget._.Exhibits." localSheetId="1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CAPACITY._.ALLOC._.SUMMARY." hidden="1">{"CAP_ALLOC_SUMMARY",#N/A,FALSE,"Alloc Summary"}</definedName>
    <definedName name="wrn.CLP._.SEG._.INPUTS." localSheetId="10" hidden="1">{#N/A,#N/A,FALSE,"Rev Seg Taxes";#N/A,#N/A,FALSE,"BookRev Seg";#N/A,#N/A,FALSE,"Supp Adj Seg";#N/A,#N/A,FALSE,"outside prov seg taxes"}</definedName>
    <definedName name="wrn.CLP._.SEG._.INPUTS." localSheetId="11" hidden="1">{#N/A,#N/A,FALSE,"Rev Seg Taxes";#N/A,#N/A,FALSE,"BookRev Seg";#N/A,#N/A,FALSE,"Supp Adj Seg";#N/A,#N/A,FALSE,"outside prov seg taxes"}</definedName>
    <definedName name="wrn.CLP._.SEG._.INPUTS." localSheetId="12" hidden="1">{#N/A,#N/A,FALSE,"Rev Seg Taxes";#N/A,#N/A,FALSE,"BookRev Seg";#N/A,#N/A,FALSE,"Supp Adj Seg";#N/A,#N/A,FALSE,"outside prov seg taxes"}</definedName>
    <definedName name="wrn.CLP._.SEG._.INPUTS." localSheetId="13" hidden="1">{#N/A,#N/A,FALSE,"Rev Seg Taxes";#N/A,#N/A,FALSE,"BookRev Seg";#N/A,#N/A,FALSE,"Supp Adj Seg";#N/A,#N/A,FALSE,"outside prov seg taxes"}</definedName>
    <definedName name="wrn.CLP._.SEG._.INPUTS." localSheetId="14" hidden="1">{#N/A,#N/A,FALSE,"Rev Seg Taxes";#N/A,#N/A,FALSE,"BookRev Seg";#N/A,#N/A,FALSE,"Supp Adj Seg";#N/A,#N/A,FALSE,"outside prov seg taxes"}</definedName>
    <definedName name="wrn.CLP._.SEG._.INPUTS." localSheetId="15" hidden="1">{#N/A,#N/A,FALSE,"Rev Seg Taxes";#N/A,#N/A,FALSE,"BookRev Seg";#N/A,#N/A,FALSE,"Supp Adj Seg";#N/A,#N/A,FALSE,"outside prov seg taxes"}</definedName>
    <definedName name="wrn.CLP._.SEG._.INPUTS." localSheetId="16" hidden="1">{#N/A,#N/A,FALSE,"Rev Seg Taxes";#N/A,#N/A,FALSE,"BookRev Seg";#N/A,#N/A,FALSE,"Supp Adj Seg";#N/A,#N/A,FALSE,"outside prov seg taxes"}</definedName>
    <definedName name="wrn.CLP._.SEG._.INPUTS." localSheetId="17" hidden="1">{#N/A,#N/A,FALSE,"Rev Seg Taxes";#N/A,#N/A,FALSE,"BookRev Seg";#N/A,#N/A,FALSE,"Supp Adj Seg";#N/A,#N/A,FALSE,"outside prov seg taxes"}</definedName>
    <definedName name="wrn.CLP._.SEG._.INPUTS." localSheetId="19" hidden="1">{#N/A,#N/A,FALSE,"Rev Seg Taxes";#N/A,#N/A,FALSE,"BookRev Seg";#N/A,#N/A,FALSE,"Supp Adj Seg";#N/A,#N/A,FALSE,"outside prov seg taxes"}</definedName>
    <definedName name="wrn.CLP._.SEG._.INPUTS." localSheetId="20" hidden="1">{#N/A,#N/A,FALSE,"Rev Seg Taxes";#N/A,#N/A,FALSE,"BookRev Seg";#N/A,#N/A,FALSE,"Supp Adj Seg";#N/A,#N/A,FALSE,"outside prov seg taxes"}</definedName>
    <definedName name="wrn.CLP._.SEG._.INPUTS." localSheetId="21" hidden="1">{#N/A,#N/A,FALSE,"Rev Seg Taxes";#N/A,#N/A,FALSE,"BookRev Seg";#N/A,#N/A,FALSE,"Supp Adj Seg";#N/A,#N/A,FALSE,"outside prov seg taxes"}</definedName>
    <definedName name="wrn.CLP._.SEG._.INPUTS." localSheetId="22" hidden="1">{#N/A,#N/A,FALSE,"Rev Seg Taxes";#N/A,#N/A,FALSE,"BookRev Seg";#N/A,#N/A,FALSE,"Supp Adj Seg";#N/A,#N/A,FALSE,"outside prov seg taxes"}</definedName>
    <definedName name="wrn.CLP._.SEG._.INPUTS." localSheetId="23" hidden="1">{#N/A,#N/A,FALSE,"Rev Seg Taxes";#N/A,#N/A,FALSE,"BookRev Seg";#N/A,#N/A,FALSE,"Supp Adj Seg";#N/A,#N/A,FALSE,"outside prov seg taxes"}</definedName>
    <definedName name="wrn.CLP._.SEG._.INPUTS." localSheetId="24" hidden="1">{#N/A,#N/A,FALSE,"Rev Seg Taxes";#N/A,#N/A,FALSE,"BookRev Seg";#N/A,#N/A,FALSE,"Supp Adj Seg";#N/A,#N/A,FALSE,"outside prov seg taxes"}</definedName>
    <definedName name="wrn.CLP._.SEG._.INPUTS." hidden="1">{#N/A,#N/A,FALSE,"Rev Seg Taxes";#N/A,#N/A,FALSE,"BookRev Seg";#N/A,#N/A,FALSE,"Supp Adj Seg";#N/A,#N/A,FALSE,"outside prov seg taxes"}</definedName>
    <definedName name="wrn.CLP._.SEG._.PROV." localSheetId="1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2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2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2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2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2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localSheetId="10" hidden="1">{#N/A,#N/A,FALSE,"GLDwnLoad"}</definedName>
    <definedName name="wrn.CLP_GL." localSheetId="11" hidden="1">{#N/A,#N/A,FALSE,"GLDwnLoad"}</definedName>
    <definedName name="wrn.CLP_GL." localSheetId="12" hidden="1">{#N/A,#N/A,FALSE,"GLDwnLoad"}</definedName>
    <definedName name="wrn.CLP_GL." localSheetId="13" hidden="1">{#N/A,#N/A,FALSE,"GLDwnLoad"}</definedName>
    <definedName name="wrn.CLP_GL." localSheetId="14" hidden="1">{#N/A,#N/A,FALSE,"GLDwnLoad"}</definedName>
    <definedName name="wrn.CLP_GL." localSheetId="15" hidden="1">{#N/A,#N/A,FALSE,"GLDwnLoad"}</definedName>
    <definedName name="wrn.CLP_GL." localSheetId="16" hidden="1">{#N/A,#N/A,FALSE,"GLDwnLoad"}</definedName>
    <definedName name="wrn.CLP_GL." localSheetId="17" hidden="1">{#N/A,#N/A,FALSE,"GLDwnLoad"}</definedName>
    <definedName name="wrn.CLP_GL." localSheetId="19" hidden="1">{#N/A,#N/A,FALSE,"GLDwnLoad"}</definedName>
    <definedName name="wrn.CLP_GL." localSheetId="20" hidden="1">{#N/A,#N/A,FALSE,"GLDwnLoad"}</definedName>
    <definedName name="wrn.CLP_GL." localSheetId="21" hidden="1">{#N/A,#N/A,FALSE,"GLDwnLoad"}</definedName>
    <definedName name="wrn.CLP_GL." localSheetId="22" hidden="1">{#N/A,#N/A,FALSE,"GLDwnLoad"}</definedName>
    <definedName name="wrn.CLP_GL." localSheetId="23" hidden="1">{#N/A,#N/A,FALSE,"GLDwnLoad"}</definedName>
    <definedName name="wrn.CLP_GL." localSheetId="24" hidden="1">{#N/A,#N/A,FALSE,"GLDwnLoad"}</definedName>
    <definedName name="wrn.CLP_GL." hidden="1">{#N/A,#N/A,FALSE,"GLDwnLoad"}</definedName>
    <definedName name="wrn.CLP_INPUTS." localSheetId="10" hidden="1">{#N/A,#N/A,FALSE,"OTHERINPUTS";#N/A,#N/A,FALSE,"DITRATEINPUTS";#N/A,#N/A,FALSE,"SUPPLIEDADJINPUT";#N/A,#N/A,FALSE,"BR&amp;SUPADJ."}</definedName>
    <definedName name="wrn.CLP_INPUTS." localSheetId="11" hidden="1">{#N/A,#N/A,FALSE,"OTHERINPUTS";#N/A,#N/A,FALSE,"DITRATEINPUTS";#N/A,#N/A,FALSE,"SUPPLIEDADJINPUT";#N/A,#N/A,FALSE,"BR&amp;SUPADJ."}</definedName>
    <definedName name="wrn.CLP_INPUTS." localSheetId="12" hidden="1">{#N/A,#N/A,FALSE,"OTHERINPUTS";#N/A,#N/A,FALSE,"DITRATEINPUTS";#N/A,#N/A,FALSE,"SUPPLIEDADJINPUT";#N/A,#N/A,FALSE,"BR&amp;SUPADJ."}</definedName>
    <definedName name="wrn.CLP_INPUTS." localSheetId="13" hidden="1">{#N/A,#N/A,FALSE,"OTHERINPUTS";#N/A,#N/A,FALSE,"DITRATEINPUTS";#N/A,#N/A,FALSE,"SUPPLIEDADJINPUT";#N/A,#N/A,FALSE,"BR&amp;SUPADJ."}</definedName>
    <definedName name="wrn.CLP_INPUTS." localSheetId="14" hidden="1">{#N/A,#N/A,FALSE,"OTHERINPUTS";#N/A,#N/A,FALSE,"DITRATEINPUTS";#N/A,#N/A,FALSE,"SUPPLIEDADJINPUT";#N/A,#N/A,FALSE,"BR&amp;SUPADJ."}</definedName>
    <definedName name="wrn.CLP_INPUTS." localSheetId="15" hidden="1">{#N/A,#N/A,FALSE,"OTHERINPUTS";#N/A,#N/A,FALSE,"DITRATEINPUTS";#N/A,#N/A,FALSE,"SUPPLIEDADJINPUT";#N/A,#N/A,FALSE,"BR&amp;SUPADJ."}</definedName>
    <definedName name="wrn.CLP_INPUTS." localSheetId="16" hidden="1">{#N/A,#N/A,FALSE,"OTHERINPUTS";#N/A,#N/A,FALSE,"DITRATEINPUTS";#N/A,#N/A,FALSE,"SUPPLIEDADJINPUT";#N/A,#N/A,FALSE,"BR&amp;SUPADJ."}</definedName>
    <definedName name="wrn.CLP_INPUTS." localSheetId="17" hidden="1">{#N/A,#N/A,FALSE,"OTHERINPUTS";#N/A,#N/A,FALSE,"DITRATEINPUTS";#N/A,#N/A,FALSE,"SUPPLIEDADJINPUT";#N/A,#N/A,FALSE,"BR&amp;SUPADJ."}</definedName>
    <definedName name="wrn.CLP_INPUTS." localSheetId="19" hidden="1">{#N/A,#N/A,FALSE,"OTHERINPUTS";#N/A,#N/A,FALSE,"DITRATEINPUTS";#N/A,#N/A,FALSE,"SUPPLIEDADJINPUT";#N/A,#N/A,FALSE,"BR&amp;SUPADJ."}</definedName>
    <definedName name="wrn.CLP_INPUTS." localSheetId="20" hidden="1">{#N/A,#N/A,FALSE,"OTHERINPUTS";#N/A,#N/A,FALSE,"DITRATEINPUTS";#N/A,#N/A,FALSE,"SUPPLIEDADJINPUT";#N/A,#N/A,FALSE,"BR&amp;SUPADJ."}</definedName>
    <definedName name="wrn.CLP_INPUTS." localSheetId="21" hidden="1">{#N/A,#N/A,FALSE,"OTHERINPUTS";#N/A,#N/A,FALSE,"DITRATEINPUTS";#N/A,#N/A,FALSE,"SUPPLIEDADJINPUT";#N/A,#N/A,FALSE,"BR&amp;SUPADJ."}</definedName>
    <definedName name="wrn.CLP_INPUTS." localSheetId="22" hidden="1">{#N/A,#N/A,FALSE,"OTHERINPUTS";#N/A,#N/A,FALSE,"DITRATEINPUTS";#N/A,#N/A,FALSE,"SUPPLIEDADJINPUT";#N/A,#N/A,FALSE,"BR&amp;SUPADJ."}</definedName>
    <definedName name="wrn.CLP_INPUTS." localSheetId="23" hidden="1">{#N/A,#N/A,FALSE,"OTHERINPUTS";#N/A,#N/A,FALSE,"DITRATEINPUTS";#N/A,#N/A,FALSE,"SUPPLIEDADJINPUT";#N/A,#N/A,FALSE,"BR&amp;SUPADJ."}</definedName>
    <definedName name="wrn.CLP_INPUTS." localSheetId="24" hidden="1">{#N/A,#N/A,FALSE,"OTHERINPUTS";#N/A,#N/A,FALSE,"DITRATEINPUTS";#N/A,#N/A,FALSE,"SUPPLIEDADJINPUT";#N/A,#N/A,FALSE,"BR&amp;SUPADJ."}</definedName>
    <definedName name="wrn.CLP_INPUTS." hidden="1">{#N/A,#N/A,FALSE,"OTHERINPUTS";#N/A,#N/A,FALSE,"DITRATEINPUTS";#N/A,#N/A,FALSE,"SUPPLIEDADJINPUT";#N/A,#N/A,FALSE,"BR&amp;SUPADJ."}</definedName>
    <definedName name="wrn.CLP_PROV." localSheetId="1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2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2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2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2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2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ONOCO._.FAC." localSheetId="10" hidden="1">{"CONOCO_FAC",#N/A,FALSE,"Conoco FAC"}</definedName>
    <definedName name="wrn.CONOCO._.FAC." localSheetId="11" hidden="1">{"CONOCO_FAC",#N/A,FALSE,"Conoco FAC"}</definedName>
    <definedName name="wrn.CONOCO._.FAC." localSheetId="12" hidden="1">{"CONOCO_FAC",#N/A,FALSE,"Conoco FAC"}</definedName>
    <definedName name="wrn.CONOCO._.FAC." localSheetId="13" hidden="1">{"CONOCO_FAC",#N/A,FALSE,"Conoco FAC"}</definedName>
    <definedName name="wrn.CONOCO._.FAC." localSheetId="14" hidden="1">{"CONOCO_FAC",#N/A,FALSE,"Conoco FAC"}</definedName>
    <definedName name="wrn.CONOCO._.FAC." localSheetId="15" hidden="1">{"CONOCO_FAC",#N/A,FALSE,"Conoco FAC"}</definedName>
    <definedName name="wrn.CONOCO._.FAC." localSheetId="16" hidden="1">{"CONOCO_FAC",#N/A,FALSE,"Conoco FAC"}</definedName>
    <definedName name="wrn.CONOCO._.FAC." localSheetId="17" hidden="1">{"CONOCO_FAC",#N/A,FALSE,"Conoco FAC"}</definedName>
    <definedName name="wrn.CONOCO._.FAC." localSheetId="19" hidden="1">{"CONOCO_FAC",#N/A,FALSE,"Conoco FAC"}</definedName>
    <definedName name="wrn.CONOCO._.FAC." localSheetId="20" hidden="1">{"CONOCO_FAC",#N/A,FALSE,"Conoco FAC"}</definedName>
    <definedName name="wrn.CONOCO._.FAC." localSheetId="21" hidden="1">{"CONOCO_FAC",#N/A,FALSE,"Conoco FAC"}</definedName>
    <definedName name="wrn.CONOCO._.FAC." localSheetId="22" hidden="1">{"CONOCO_FAC",#N/A,FALSE,"Conoco FAC"}</definedName>
    <definedName name="wrn.CONOCO._.FAC." localSheetId="23" hidden="1">{"CONOCO_FAC",#N/A,FALSE,"Conoco FAC"}</definedName>
    <definedName name="wrn.CONOCO._.FAC." localSheetId="24" hidden="1">{"CONOCO_FAC",#N/A,FALSE,"Conoco FAC"}</definedName>
    <definedName name="wrn.CONOCO._.FAC." hidden="1">{"CONOCO_FAC",#N/A,FALSE,"Conoco FAC"}</definedName>
    <definedName name="wrn.CONSOL_UWNJ_UWNY." localSheetId="11" hidden="1">{"CONSOL_UWNJ_ISV",#N/A,FALSE,"Sheet1";"CONSOL_UWNJ_SAV",#N/A,FALSE,"Sheet1";"CONSOL_UWNJ_BSV",#N/A,FALSE,"Sheet1";"CONSOL_UWNJ_SFDV",#N/A,FALSE,"Sheet1"}</definedName>
    <definedName name="wrn.CONSOL_UWNJ_UWNY." localSheetId="12" hidden="1">{"CONSOL_UWNJ_ISV",#N/A,FALSE,"Sheet1";"CONSOL_UWNJ_SAV",#N/A,FALSE,"Sheet1";"CONSOL_UWNJ_BSV",#N/A,FALSE,"Sheet1";"CONSOL_UWNJ_SFDV",#N/A,FALSE,"Sheet1"}</definedName>
    <definedName name="wrn.CONSOL_UWNJ_UWNY." localSheetId="20" hidden="1">{"CONSOL_UWNJ_ISV",#N/A,FALSE,"Sheet1";"CONSOL_UWNJ_SAV",#N/A,FALSE,"Sheet1";"CONSOL_UWNJ_BSV",#N/A,FALSE,"Sheet1";"CONSOL_UWNJ_SFDV",#N/A,FALSE,"Sheet1"}</definedName>
    <definedName name="wrn.CONSOL_UWNJ_UWNY." localSheetId="21" hidden="1">{"CONSOL_UWNJ_ISV",#N/A,FALSE,"Sheet1";"CONSOL_UWNJ_SAV",#N/A,FALSE,"Sheet1";"CONSOL_UWNJ_BSV",#N/A,FALSE,"Sheet1";"CONSOL_UWNJ_SFDV",#N/A,FALSE,"Sheet1"}</definedName>
    <definedName name="wrn.CONSOL_UWNJ_UWNY." localSheetId="22" hidden="1">{"CONSOL_UWNJ_ISV",#N/A,FALSE,"Sheet1";"CONSOL_UWNJ_SAV",#N/A,FALSE,"Sheet1";"CONSOL_UWNJ_BSV",#N/A,FALSE,"Sheet1";"CONSOL_UWNJ_SFDV",#N/A,FALSE,"Sheet1"}</definedName>
    <definedName name="wrn.CONSOL_UWNJ_UWNY." localSheetId="23" hidden="1">{"CONSOL_UWNJ_ISV",#N/A,FALSE,"Sheet1";"CONSOL_UWNJ_SAV",#N/A,FALSE,"Sheet1";"CONSOL_UWNJ_BSV",#N/A,FALSE,"Sheet1";"CONSOL_UWNJ_SFDV",#N/A,FALSE,"Sheet1"}</definedName>
    <definedName name="wrn.CONSOL_UWNJ_UWNY." hidden="1">{"CONSOL_UWNJ_ISV",#N/A,FALSE,"Sheet1";"CONSOL_UWNJ_SAV",#N/A,FALSE,"Sheet1";"CONSOL_UWNJ_BSV",#N/A,FALSE,"Sheet1";"CONSOL_UWNJ_SFDV",#N/A,FALSE,"Sheet1"}</definedName>
    <definedName name="wrn.CONSOL_WO." localSheetId="11" hidden="1">{"CONSOL_WO_ISV",#N/A,FALSE,"Sheet1";"CONSOL_WO_SAV",#N/A,FALSE,"Sheet1";"CONSOL_WO_BSV",#N/A,FALSE,"Sheet1";"CONSOL_WO_SFDV",#N/A,FALSE,"Sheet1"}</definedName>
    <definedName name="wrn.CONSOL_WO." localSheetId="12" hidden="1">{"CONSOL_WO_ISV",#N/A,FALSE,"Sheet1";"CONSOL_WO_SAV",#N/A,FALSE,"Sheet1";"CONSOL_WO_BSV",#N/A,FALSE,"Sheet1";"CONSOL_WO_SFDV",#N/A,FALSE,"Sheet1"}</definedName>
    <definedName name="wrn.CONSOL_WO." localSheetId="20" hidden="1">{"CONSOL_WO_ISV",#N/A,FALSE,"Sheet1";"CONSOL_WO_SAV",#N/A,FALSE,"Sheet1";"CONSOL_WO_BSV",#N/A,FALSE,"Sheet1";"CONSOL_WO_SFDV",#N/A,FALSE,"Sheet1"}</definedName>
    <definedName name="wrn.CONSOL_WO." localSheetId="21" hidden="1">{"CONSOL_WO_ISV",#N/A,FALSE,"Sheet1";"CONSOL_WO_SAV",#N/A,FALSE,"Sheet1";"CONSOL_WO_BSV",#N/A,FALSE,"Sheet1";"CONSOL_WO_SFDV",#N/A,FALSE,"Sheet1"}</definedName>
    <definedName name="wrn.CONSOL_WO." localSheetId="22" hidden="1">{"CONSOL_WO_ISV",#N/A,FALSE,"Sheet1";"CONSOL_WO_SAV",#N/A,FALSE,"Sheet1";"CONSOL_WO_BSV",#N/A,FALSE,"Sheet1";"CONSOL_WO_SFDV",#N/A,FALSE,"Sheet1"}</definedName>
    <definedName name="wrn.CONSOL_WO." localSheetId="23" hidden="1">{"CONSOL_WO_ISV",#N/A,FALSE,"Sheet1";"CONSOL_WO_SAV",#N/A,FALSE,"Sheet1";"CONSOL_WO_BSV",#N/A,FALSE,"Sheet1";"CONSOL_WO_SFDV",#N/A,FALSE,"Sheet1"}</definedName>
    <definedName name="wrn.CONSOL_WO." hidden="1">{"CONSOL_WO_ISV",#N/A,FALSE,"Sheet1";"CONSOL_WO_SAV",#N/A,FALSE,"Sheet1";"CONSOL_WO_BSV",#N/A,FALSE,"Sheet1";"CONSOL_WO_SFDV",#N/A,FALSE,"Sheet1"}</definedName>
    <definedName name="wrn.CUST._.REV._.ALLOC._.INPUT." hidden="1">{"SECTK_JURIS_CUSTREV",#N/A,FALSE,"COSTSTUDY";"SECTK_OKCLS_CUSTREV",#N/A,FALSE,"COSTSTUDY"}</definedName>
    <definedName name="wrn.CUSTOMER._.ALLOC._.RATIOS." hidden="1">{"JURIS_CUST_ALLOC_RATIOS",#N/A,FALSE,"COSTSTUDY";"OKCLS_CUST_ALLOC_RATIOS",#N/A,FALSE,"COSTSTUDY"}</definedName>
    <definedName name="wrn.CY_GL." localSheetId="10" hidden="1">{#N/A,#N/A,FALSE,"GLDwnLoad"}</definedName>
    <definedName name="wrn.CY_GL." localSheetId="11" hidden="1">{#N/A,#N/A,FALSE,"GLDwnLoad"}</definedName>
    <definedName name="wrn.CY_GL." localSheetId="12" hidden="1">{#N/A,#N/A,FALSE,"GLDwnLoad"}</definedName>
    <definedName name="wrn.CY_GL." localSheetId="13" hidden="1">{#N/A,#N/A,FALSE,"GLDwnLoad"}</definedName>
    <definedName name="wrn.CY_GL." localSheetId="14" hidden="1">{#N/A,#N/A,FALSE,"GLDwnLoad"}</definedName>
    <definedName name="wrn.CY_GL." localSheetId="15" hidden="1">{#N/A,#N/A,FALSE,"GLDwnLoad"}</definedName>
    <definedName name="wrn.CY_GL." localSheetId="16" hidden="1">{#N/A,#N/A,FALSE,"GLDwnLoad"}</definedName>
    <definedName name="wrn.CY_GL." localSheetId="17" hidden="1">{#N/A,#N/A,FALSE,"GLDwnLoad"}</definedName>
    <definedName name="wrn.CY_GL." localSheetId="19" hidden="1">{#N/A,#N/A,FALSE,"GLDwnLoad"}</definedName>
    <definedName name="wrn.CY_GL." localSheetId="20" hidden="1">{#N/A,#N/A,FALSE,"GLDwnLoad"}</definedName>
    <definedName name="wrn.CY_GL." localSheetId="21" hidden="1">{#N/A,#N/A,FALSE,"GLDwnLoad"}</definedName>
    <definedName name="wrn.CY_GL." localSheetId="22" hidden="1">{#N/A,#N/A,FALSE,"GLDwnLoad"}</definedName>
    <definedName name="wrn.CY_GL." localSheetId="23" hidden="1">{#N/A,#N/A,FALSE,"GLDwnLoad"}</definedName>
    <definedName name="wrn.CY_GL." localSheetId="24" hidden="1">{#N/A,#N/A,FALSE,"GLDwnLoad"}</definedName>
    <definedName name="wrn.CY_GL." hidden="1">{#N/A,#N/A,FALSE,"GLDwnLoad"}</definedName>
    <definedName name="wrn.CY_INPUTS." localSheetId="10" hidden="1">{#N/A,#N/A,FALSE,"OTHERINPUTS";#N/A,#N/A,FALSE,"DITRATEINPUTS";#N/A,#N/A,FALSE,"SUPPLIEDADJINPUT";#N/A,#N/A,FALSE,"TIMINGDIFFINPUTS";#N/A,#N/A,FALSE,"COSSINPUT";#N/A,#N/A,FALSE,"BR&amp;SUPADJ."}</definedName>
    <definedName name="wrn.CY_INPUTS." localSheetId="11" hidden="1">{#N/A,#N/A,FALSE,"OTHERINPUTS";#N/A,#N/A,FALSE,"DITRATEINPUTS";#N/A,#N/A,FALSE,"SUPPLIEDADJINPUT";#N/A,#N/A,FALSE,"TIMINGDIFFINPUTS";#N/A,#N/A,FALSE,"COSSINPUT";#N/A,#N/A,FALSE,"BR&amp;SUPADJ."}</definedName>
    <definedName name="wrn.CY_INPUTS." localSheetId="12" hidden="1">{#N/A,#N/A,FALSE,"OTHERINPUTS";#N/A,#N/A,FALSE,"DITRATEINPUTS";#N/A,#N/A,FALSE,"SUPPLIEDADJINPUT";#N/A,#N/A,FALSE,"TIMINGDIFFINPUTS";#N/A,#N/A,FALSE,"COSSINPUT";#N/A,#N/A,FALSE,"BR&amp;SUPADJ."}</definedName>
    <definedName name="wrn.CY_INPUTS." localSheetId="13" hidden="1">{#N/A,#N/A,FALSE,"OTHERINPUTS";#N/A,#N/A,FALSE,"DITRATEINPUTS";#N/A,#N/A,FALSE,"SUPPLIEDADJINPUT";#N/A,#N/A,FALSE,"TIMINGDIFFINPUTS";#N/A,#N/A,FALSE,"COSSINPUT";#N/A,#N/A,FALSE,"BR&amp;SUPADJ."}</definedName>
    <definedName name="wrn.CY_INPUTS." localSheetId="14" hidden="1">{#N/A,#N/A,FALSE,"OTHERINPUTS";#N/A,#N/A,FALSE,"DITRATEINPUTS";#N/A,#N/A,FALSE,"SUPPLIEDADJINPUT";#N/A,#N/A,FALSE,"TIMINGDIFFINPUTS";#N/A,#N/A,FALSE,"COSSINPUT";#N/A,#N/A,FALSE,"BR&amp;SUPADJ."}</definedName>
    <definedName name="wrn.CY_INPUTS." localSheetId="15" hidden="1">{#N/A,#N/A,FALSE,"OTHERINPUTS";#N/A,#N/A,FALSE,"DITRATEINPUTS";#N/A,#N/A,FALSE,"SUPPLIEDADJINPUT";#N/A,#N/A,FALSE,"TIMINGDIFFINPUTS";#N/A,#N/A,FALSE,"COSSINPUT";#N/A,#N/A,FALSE,"BR&amp;SUPADJ."}</definedName>
    <definedName name="wrn.CY_INPUTS." localSheetId="16" hidden="1">{#N/A,#N/A,FALSE,"OTHERINPUTS";#N/A,#N/A,FALSE,"DITRATEINPUTS";#N/A,#N/A,FALSE,"SUPPLIEDADJINPUT";#N/A,#N/A,FALSE,"TIMINGDIFFINPUTS";#N/A,#N/A,FALSE,"COSSINPUT";#N/A,#N/A,FALSE,"BR&amp;SUPADJ."}</definedName>
    <definedName name="wrn.CY_INPUTS." localSheetId="17" hidden="1">{#N/A,#N/A,FALSE,"OTHERINPUTS";#N/A,#N/A,FALSE,"DITRATEINPUTS";#N/A,#N/A,FALSE,"SUPPLIEDADJINPUT";#N/A,#N/A,FALSE,"TIMINGDIFFINPUTS";#N/A,#N/A,FALSE,"COSSINPUT";#N/A,#N/A,FALSE,"BR&amp;SUPADJ."}</definedName>
    <definedName name="wrn.CY_INPUTS." localSheetId="19" hidden="1">{#N/A,#N/A,FALSE,"OTHERINPUTS";#N/A,#N/A,FALSE,"DITRATEINPUTS";#N/A,#N/A,FALSE,"SUPPLIEDADJINPUT";#N/A,#N/A,FALSE,"TIMINGDIFFINPUTS";#N/A,#N/A,FALSE,"COSSINPUT";#N/A,#N/A,FALSE,"BR&amp;SUPADJ."}</definedName>
    <definedName name="wrn.CY_INPUTS." localSheetId="20" hidden="1">{#N/A,#N/A,FALSE,"OTHERINPUTS";#N/A,#N/A,FALSE,"DITRATEINPUTS";#N/A,#N/A,FALSE,"SUPPLIEDADJINPUT";#N/A,#N/A,FALSE,"TIMINGDIFFINPUTS";#N/A,#N/A,FALSE,"COSSINPUT";#N/A,#N/A,FALSE,"BR&amp;SUPADJ."}</definedName>
    <definedName name="wrn.CY_INPUTS." localSheetId="21" hidden="1">{#N/A,#N/A,FALSE,"OTHERINPUTS";#N/A,#N/A,FALSE,"DITRATEINPUTS";#N/A,#N/A,FALSE,"SUPPLIEDADJINPUT";#N/A,#N/A,FALSE,"TIMINGDIFFINPUTS";#N/A,#N/A,FALSE,"COSSINPUT";#N/A,#N/A,FALSE,"BR&amp;SUPADJ."}</definedName>
    <definedName name="wrn.CY_INPUTS." localSheetId="22" hidden="1">{#N/A,#N/A,FALSE,"OTHERINPUTS";#N/A,#N/A,FALSE,"DITRATEINPUTS";#N/A,#N/A,FALSE,"SUPPLIEDADJINPUT";#N/A,#N/A,FALSE,"TIMINGDIFFINPUTS";#N/A,#N/A,FALSE,"COSSINPUT";#N/A,#N/A,FALSE,"BR&amp;SUPADJ."}</definedName>
    <definedName name="wrn.CY_INPUTS." localSheetId="23" hidden="1">{#N/A,#N/A,FALSE,"OTHERINPUTS";#N/A,#N/A,FALSE,"DITRATEINPUTS";#N/A,#N/A,FALSE,"SUPPLIEDADJINPUT";#N/A,#N/A,FALSE,"TIMINGDIFFINPUTS";#N/A,#N/A,FALSE,"COSSINPUT";#N/A,#N/A,FALSE,"BR&amp;SUPADJ."}</definedName>
    <definedName name="wrn.CY_INPUTS." localSheetId="24" hidden="1">{#N/A,#N/A,FALSE,"OTHERINPUTS";#N/A,#N/A,FALSE,"DITRATEINPUTS";#N/A,#N/A,FALSE,"SUPPLIEDADJINPUT";#N/A,#N/A,FALSE,"TIMINGDIFFINPUTS";#N/A,#N/A,FALSE,"COSSINPUT";#N/A,#N/A,FALSE,"BR&amp;SUPADJ."}</definedName>
    <definedName name="wrn.CY_INPUTS." hidden="1">{#N/A,#N/A,FALSE,"OTHERINPUTS";#N/A,#N/A,FALSE,"DITRATEINPUTS";#N/A,#N/A,FALSE,"SUPPLIEDADJINPUT";#N/A,#N/A,FALSE,"TIMINGDIFFINPUTS";#N/A,#N/A,FALSE,"COSSINPUT";#N/A,#N/A,FALSE,"BR&amp;SUPADJ."}</definedName>
    <definedName name="wrn.CY_PROV."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2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2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2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2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localSheetId="10" hidden="1">{#N/A,#N/A,FALSE,"FAS109 Summary";#N/A,#N/A,FALSE,"FAS109 OPER 190 ITC";#N/A,#N/A,FALSE,"FAS109 OPER 190 Other";#N/A,#N/A,FALSE,"FAS109 OPER 282";#N/A,#N/A,FALSE,"FAS109 OPER 283";#N/A,#N/A,FALSE,"FAS109 Non OPER 283 ";#N/A,#N/A,FALSE,"J.E.UPLOAD DATA"}</definedName>
    <definedName name="wrn.CYFAS109." localSheetId="11" hidden="1">{#N/A,#N/A,FALSE,"FAS109 Summary";#N/A,#N/A,FALSE,"FAS109 OPER 190 ITC";#N/A,#N/A,FALSE,"FAS109 OPER 190 Other";#N/A,#N/A,FALSE,"FAS109 OPER 282";#N/A,#N/A,FALSE,"FAS109 OPER 283";#N/A,#N/A,FALSE,"FAS109 Non OPER 283 ";#N/A,#N/A,FALSE,"J.E.UPLOAD DATA"}</definedName>
    <definedName name="wrn.CYFAS109." localSheetId="12" hidden="1">{#N/A,#N/A,FALSE,"FAS109 Summary";#N/A,#N/A,FALSE,"FAS109 OPER 190 ITC";#N/A,#N/A,FALSE,"FAS109 OPER 190 Other";#N/A,#N/A,FALSE,"FAS109 OPER 282";#N/A,#N/A,FALSE,"FAS109 OPER 283";#N/A,#N/A,FALSE,"FAS109 Non OPER 283 ";#N/A,#N/A,FALSE,"J.E.UPLOAD DATA"}</definedName>
    <definedName name="wrn.CYFAS109." localSheetId="13" hidden="1">{#N/A,#N/A,FALSE,"FAS109 Summary";#N/A,#N/A,FALSE,"FAS109 OPER 190 ITC";#N/A,#N/A,FALSE,"FAS109 OPER 190 Other";#N/A,#N/A,FALSE,"FAS109 OPER 282";#N/A,#N/A,FALSE,"FAS109 OPER 283";#N/A,#N/A,FALSE,"FAS109 Non OPER 283 ";#N/A,#N/A,FALSE,"J.E.UPLOAD DATA"}</definedName>
    <definedName name="wrn.CYFAS109." localSheetId="14" hidden="1">{#N/A,#N/A,FALSE,"FAS109 Summary";#N/A,#N/A,FALSE,"FAS109 OPER 190 ITC";#N/A,#N/A,FALSE,"FAS109 OPER 190 Other";#N/A,#N/A,FALSE,"FAS109 OPER 282";#N/A,#N/A,FALSE,"FAS109 OPER 283";#N/A,#N/A,FALSE,"FAS109 Non OPER 283 ";#N/A,#N/A,FALSE,"J.E.UPLOAD DATA"}</definedName>
    <definedName name="wrn.CYFAS109." localSheetId="15" hidden="1">{#N/A,#N/A,FALSE,"FAS109 Summary";#N/A,#N/A,FALSE,"FAS109 OPER 190 ITC";#N/A,#N/A,FALSE,"FAS109 OPER 190 Other";#N/A,#N/A,FALSE,"FAS109 OPER 282";#N/A,#N/A,FALSE,"FAS109 OPER 283";#N/A,#N/A,FALSE,"FAS109 Non OPER 283 ";#N/A,#N/A,FALSE,"J.E.UPLOAD DATA"}</definedName>
    <definedName name="wrn.CYFAS109." localSheetId="16" hidden="1">{#N/A,#N/A,FALSE,"FAS109 Summary";#N/A,#N/A,FALSE,"FAS109 OPER 190 ITC";#N/A,#N/A,FALSE,"FAS109 OPER 190 Other";#N/A,#N/A,FALSE,"FAS109 OPER 282";#N/A,#N/A,FALSE,"FAS109 OPER 283";#N/A,#N/A,FALSE,"FAS109 Non OPER 283 ";#N/A,#N/A,FALSE,"J.E.UPLOAD DATA"}</definedName>
    <definedName name="wrn.CYFAS109." localSheetId="17" hidden="1">{#N/A,#N/A,FALSE,"FAS109 Summary";#N/A,#N/A,FALSE,"FAS109 OPER 190 ITC";#N/A,#N/A,FALSE,"FAS109 OPER 190 Other";#N/A,#N/A,FALSE,"FAS109 OPER 282";#N/A,#N/A,FALSE,"FAS109 OPER 283";#N/A,#N/A,FALSE,"FAS109 Non OPER 283 ";#N/A,#N/A,FALSE,"J.E.UPLOAD DATA"}</definedName>
    <definedName name="wrn.CYFAS109." localSheetId="19" hidden="1">{#N/A,#N/A,FALSE,"FAS109 Summary";#N/A,#N/A,FALSE,"FAS109 OPER 190 ITC";#N/A,#N/A,FALSE,"FAS109 OPER 190 Other";#N/A,#N/A,FALSE,"FAS109 OPER 282";#N/A,#N/A,FALSE,"FAS109 OPER 283";#N/A,#N/A,FALSE,"FAS109 Non OPER 283 ";#N/A,#N/A,FALSE,"J.E.UPLOAD DATA"}</definedName>
    <definedName name="wrn.CYFAS109." localSheetId="20" hidden="1">{#N/A,#N/A,FALSE,"FAS109 Summary";#N/A,#N/A,FALSE,"FAS109 OPER 190 ITC";#N/A,#N/A,FALSE,"FAS109 OPER 190 Other";#N/A,#N/A,FALSE,"FAS109 OPER 282";#N/A,#N/A,FALSE,"FAS109 OPER 283";#N/A,#N/A,FALSE,"FAS109 Non OPER 283 ";#N/A,#N/A,FALSE,"J.E.UPLOAD DATA"}</definedName>
    <definedName name="wrn.CYFAS109." localSheetId="21" hidden="1">{#N/A,#N/A,FALSE,"FAS109 Summary";#N/A,#N/A,FALSE,"FAS109 OPER 190 ITC";#N/A,#N/A,FALSE,"FAS109 OPER 190 Other";#N/A,#N/A,FALSE,"FAS109 OPER 282";#N/A,#N/A,FALSE,"FAS109 OPER 283";#N/A,#N/A,FALSE,"FAS109 Non OPER 283 ";#N/A,#N/A,FALSE,"J.E.UPLOAD DATA"}</definedName>
    <definedName name="wrn.CYFAS109." localSheetId="22" hidden="1">{#N/A,#N/A,FALSE,"FAS109 Summary";#N/A,#N/A,FALSE,"FAS109 OPER 190 ITC";#N/A,#N/A,FALSE,"FAS109 OPER 190 Other";#N/A,#N/A,FALSE,"FAS109 OPER 282";#N/A,#N/A,FALSE,"FAS109 OPER 283";#N/A,#N/A,FALSE,"FAS109 Non OPER 283 ";#N/A,#N/A,FALSE,"J.E.UPLOAD DATA"}</definedName>
    <definedName name="wrn.CYFAS109." localSheetId="23" hidden="1">{#N/A,#N/A,FALSE,"FAS109 Summary";#N/A,#N/A,FALSE,"FAS109 OPER 190 ITC";#N/A,#N/A,FALSE,"FAS109 OPER 190 Other";#N/A,#N/A,FALSE,"FAS109 OPER 282";#N/A,#N/A,FALSE,"FAS109 OPER 283";#N/A,#N/A,FALSE,"FAS109 Non OPER 283 ";#N/A,#N/A,FALSE,"J.E.UPLOAD DATA"}</definedName>
    <definedName name="wrn.CYFAS109." localSheetId="24" hidden="1">{#N/A,#N/A,FALSE,"FAS109 Summary";#N/A,#N/A,FALSE,"FAS109 OPER 190 ITC";#N/A,#N/A,FALSE,"FAS109 OPER 190 Other";#N/A,#N/A,FALSE,"FAS109 OPER 282";#N/A,#N/A,FALSE,"FAS109 OPER 283";#N/A,#N/A,FALSE,"FAS109 Non OPER 283 ";#N/A,#N/A,FALSE,"J.E.UPLOAD DATA"}</definedName>
    <definedName name="wrn.CYFAS109." hidden="1">{#N/A,#N/A,FALSE,"FAS109 Summary";#N/A,#N/A,FALSE,"FAS109 OPER 190 ITC";#N/A,#N/A,FALSE,"FAS109 OPER 190 Other";#N/A,#N/A,FALSE,"FAS109 OPER 282";#N/A,#N/A,FALSE,"FAS109 OPER 283";#N/A,#N/A,FALSE,"FAS109 Non OPER 283 ";#N/A,#N/A,FALSE,"J.E.UPLOAD DATA"}</definedName>
    <definedName name="wrn.DEMAND._.ENERGY._.RATIOS." hidden="1">{"JURIS_DMDENRGY_RATIOS",#N/A,FALSE,"COSTSTUDY";"OKCLS_DMDENRGY_RATIOS",#N/A,FALSE,"COSTSTUDY"}</definedName>
    <definedName name="wrn.DEPRECIATION._.EXPENSE." hidden="1">{"JURIS_DEPR_EXP",#N/A,FALSE,"COSTSTUDY";"OKCLS_DEPR_EXP",#N/A,FALSE,"COSTSTUDY"}</definedName>
    <definedName name="wrn.Description_._.Assumption." localSheetId="11" hidden="1">{"Assumption-Description",#N/A,FALSE,"Assumptions"}</definedName>
    <definedName name="wrn.Description_._.Assumption." localSheetId="12" hidden="1">{"Assumption-Description",#N/A,FALSE,"Assumptions"}</definedName>
    <definedName name="wrn.Description_._.Assumption." localSheetId="20" hidden="1">{"Assumption-Description",#N/A,FALSE,"Assumptions"}</definedName>
    <definedName name="wrn.Description_._.Assumption." localSheetId="21" hidden="1">{"Assumption-Description",#N/A,FALSE,"Assumptions"}</definedName>
    <definedName name="wrn.Description_._.Assumption." localSheetId="22" hidden="1">{"Assumption-Description",#N/A,FALSE,"Assumptions"}</definedName>
    <definedName name="wrn.Description_._.Assumption." localSheetId="23" hidden="1">{"Assumption-Description",#N/A,FALSE,"Assumptions"}</definedName>
    <definedName name="wrn.Description_._.Assumption." hidden="1">{"Assumption-Description",#N/A,FALSE,"Assumptions"}</definedName>
    <definedName name="wrn.Detail." localSheetId="10" hidden="1">{"Print_Detail",#N/A,FALSE,"Redemption_Maturity Extract"}</definedName>
    <definedName name="wrn.Detail." localSheetId="11" hidden="1">{"Print_Detail",#N/A,FALSE,"Redemption_Maturity Extract"}</definedName>
    <definedName name="wrn.Detail." localSheetId="12" hidden="1">{"Print_Detail",#N/A,FALSE,"Redemption_Maturity Extract"}</definedName>
    <definedName name="wrn.Detail." localSheetId="13" hidden="1">{"Print_Detail",#N/A,FALSE,"Redemption_Maturity Extract"}</definedName>
    <definedName name="wrn.Detail." localSheetId="14" hidden="1">{"Print_Detail",#N/A,FALSE,"Redemption_Maturity Extract"}</definedName>
    <definedName name="wrn.Detail." localSheetId="15" hidden="1">{"Print_Detail",#N/A,FALSE,"Redemption_Maturity Extract"}</definedName>
    <definedName name="wrn.Detail." localSheetId="16" hidden="1">{"Print_Detail",#N/A,FALSE,"Redemption_Maturity Extract"}</definedName>
    <definedName name="wrn.Detail." localSheetId="17" hidden="1">{"Print_Detail",#N/A,FALSE,"Redemption_Maturity Extract"}</definedName>
    <definedName name="wrn.Detail." localSheetId="19" hidden="1">{"Print_Detail",#N/A,FALSE,"Redemption_Maturity Extract"}</definedName>
    <definedName name="wrn.Detail." localSheetId="20" hidden="1">{"Print_Detail",#N/A,FALSE,"Redemption_Maturity Extract"}</definedName>
    <definedName name="wrn.Detail." localSheetId="21" hidden="1">{"Print_Detail",#N/A,FALSE,"Redemption_Maturity Extract"}</definedName>
    <definedName name="wrn.Detail." localSheetId="22" hidden="1">{"Print_Detail",#N/A,FALSE,"Redemption_Maturity Extract"}</definedName>
    <definedName name="wrn.Detail." localSheetId="23" hidden="1">{"Print_Detail",#N/A,FALSE,"Redemption_Maturity Extract"}</definedName>
    <definedName name="wrn.Detail." localSheetId="24" hidden="1">{"Print_Detail",#N/A,FALSE,"Redemption_Maturity Extract"}</definedName>
    <definedName name="wrn.Detail." hidden="1">{"Print_Detail",#N/A,FALSE,"Redemption_Maturity Extract"}</definedName>
    <definedName name="wrn.DEVLP._.LABOR._.ALLOC." hidden="1">{"JURIS_LAB_ALOC_DEVLP",#N/A,FALSE,"COSTSTUDY";"OKCLS_LAB_ALOC_DEVLP",#N/A,FALSE,"COSTSTUDY"}</definedName>
    <definedName name="wrn.Diane._.s._.Version." localSheetId="10" hidden="1">{"Full",#N/A,FALSE,"Sec MTN B Summary"}</definedName>
    <definedName name="wrn.Diane._.s._.Version." localSheetId="11" hidden="1">{"Full",#N/A,FALSE,"Sec MTN B Summary"}</definedName>
    <definedName name="wrn.Diane._.s._.Version." localSheetId="12" hidden="1">{"Full",#N/A,FALSE,"Sec MTN B Summary"}</definedName>
    <definedName name="wrn.Diane._.s._.Version." localSheetId="13" hidden="1">{"Full",#N/A,FALSE,"Sec MTN B Summary"}</definedName>
    <definedName name="wrn.Diane._.s._.Version." localSheetId="14" hidden="1">{"Full",#N/A,FALSE,"Sec MTN B Summary"}</definedName>
    <definedName name="wrn.Diane._.s._.Version." localSheetId="15" hidden="1">{"Full",#N/A,FALSE,"Sec MTN B Summary"}</definedName>
    <definedName name="wrn.Diane._.s._.Version." localSheetId="16" hidden="1">{"Full",#N/A,FALSE,"Sec MTN B Summary"}</definedName>
    <definedName name="wrn.Diane._.s._.Version." localSheetId="17" hidden="1">{"Full",#N/A,FALSE,"Sec MTN B Summary"}</definedName>
    <definedName name="wrn.Diane._.s._.Version." localSheetId="19" hidden="1">{"Full",#N/A,FALSE,"Sec MTN B Summary"}</definedName>
    <definedName name="wrn.Diane._.s._.Version." localSheetId="20" hidden="1">{"Full",#N/A,FALSE,"Sec MTN B Summary"}</definedName>
    <definedName name="wrn.Diane._.s._.Version." localSheetId="21" hidden="1">{"Full",#N/A,FALSE,"Sec MTN B Summary"}</definedName>
    <definedName name="wrn.Diane._.s._.Version." localSheetId="22" hidden="1">{"Full",#N/A,FALSE,"Sec MTN B Summary"}</definedName>
    <definedName name="wrn.Diane._.s._.Version." localSheetId="23" hidden="1">{"Full",#N/A,FALSE,"Sec MTN B Summary"}</definedName>
    <definedName name="wrn.Diane._.s._.Version." localSheetId="24" hidden="1">{"Full",#N/A,FALSE,"Sec MTN B Summary"}</definedName>
    <definedName name="wrn.Diane._.s._.Version." hidden="1">{"Full",#N/A,FALSE,"Sec MTN B Summary"}</definedName>
    <definedName name="wrn.Distribution._.Version." localSheetId="10" hidden="1">{"RedPrem_InitRed View",#N/A,FALSE,"Sec MTN B Summary"}</definedName>
    <definedName name="wrn.Distribution._.Version." localSheetId="11" hidden="1">{"RedPrem_InitRed View",#N/A,FALSE,"Sec MTN B Summary"}</definedName>
    <definedName name="wrn.Distribution._.Version." localSheetId="12" hidden="1">{"RedPrem_InitRed View",#N/A,FALSE,"Sec MTN B Summary"}</definedName>
    <definedName name="wrn.Distribution._.Version." localSheetId="13" hidden="1">{"RedPrem_InitRed View",#N/A,FALSE,"Sec MTN B Summary"}</definedName>
    <definedName name="wrn.Distribution._.Version." localSheetId="14" hidden="1">{"RedPrem_InitRed View",#N/A,FALSE,"Sec MTN B Summary"}</definedName>
    <definedName name="wrn.Distribution._.Version." localSheetId="15" hidden="1">{"RedPrem_InitRed View",#N/A,FALSE,"Sec MTN B Summary"}</definedName>
    <definedName name="wrn.Distribution._.Version." localSheetId="16" hidden="1">{"RedPrem_InitRed View",#N/A,FALSE,"Sec MTN B Summary"}</definedName>
    <definedName name="wrn.Distribution._.Version." localSheetId="17" hidden="1">{"RedPrem_InitRed View",#N/A,FALSE,"Sec MTN B Summary"}</definedName>
    <definedName name="wrn.Distribution._.Version." localSheetId="19" hidden="1">{"RedPrem_InitRed View",#N/A,FALSE,"Sec MTN B Summary"}</definedName>
    <definedName name="wrn.Distribution._.Version." localSheetId="20" hidden="1">{"RedPrem_InitRed View",#N/A,FALSE,"Sec MTN B Summary"}</definedName>
    <definedName name="wrn.Distribution._.Version." localSheetId="21" hidden="1">{"RedPrem_InitRed View",#N/A,FALSE,"Sec MTN B Summary"}</definedName>
    <definedName name="wrn.Distribution._.Version." localSheetId="22" hidden="1">{"RedPrem_InitRed View",#N/A,FALSE,"Sec MTN B Summary"}</definedName>
    <definedName name="wrn.Distribution._.Version." localSheetId="23" hidden="1">{"RedPrem_InitRed View",#N/A,FALSE,"Sec MTN B Summary"}</definedName>
    <definedName name="wrn.Distribution._.Version." localSheetId="24" hidden="1">{"RedPrem_InitRed View",#N/A,FALSE,"Sec MTN B Summary"}</definedName>
    <definedName name="wrn.Distribution._.Version." hidden="1">{"RedPrem_InitRed View",#N/A,FALSE,"Sec MTN B Summary"}</definedName>
    <definedName name="wrn.DMD._.ENERGY._.ALLOC._.INPUT." hidden="1">{"JURIS_DMDENRGY_AL_INPUT",#N/A,FALSE,"COSTSTUDY";"OKCLS_DMDENRGY_AL_INPUT",#N/A,FALSE,"COSTSTUDY"}</definedName>
    <definedName name="wrn.ELIM_CWO." localSheetId="11" hidden="1">{"ELIM_CWO_ISV",#N/A,FALSE,"Sheet1";"ELIM_CWO_SAV",#N/A,FALSE,"Sheet1";"ELIM_CWO_BSV",#N/A,FALSE,"Sheet1";"ELIM_CWO_SFDV",#N/A,FALSE,"Sheet1"}</definedName>
    <definedName name="wrn.ELIM_CWO." localSheetId="12" hidden="1">{"ELIM_CWO_ISV",#N/A,FALSE,"Sheet1";"ELIM_CWO_SAV",#N/A,FALSE,"Sheet1";"ELIM_CWO_BSV",#N/A,FALSE,"Sheet1";"ELIM_CWO_SFDV",#N/A,FALSE,"Sheet1"}</definedName>
    <definedName name="wrn.ELIM_CWO." localSheetId="20" hidden="1">{"ELIM_CWO_ISV",#N/A,FALSE,"Sheet1";"ELIM_CWO_SAV",#N/A,FALSE,"Sheet1";"ELIM_CWO_BSV",#N/A,FALSE,"Sheet1";"ELIM_CWO_SFDV",#N/A,FALSE,"Sheet1"}</definedName>
    <definedName name="wrn.ELIM_CWO." localSheetId="21" hidden="1">{"ELIM_CWO_ISV",#N/A,FALSE,"Sheet1";"ELIM_CWO_SAV",#N/A,FALSE,"Sheet1";"ELIM_CWO_BSV",#N/A,FALSE,"Sheet1";"ELIM_CWO_SFDV",#N/A,FALSE,"Sheet1"}</definedName>
    <definedName name="wrn.ELIM_CWO." localSheetId="22" hidden="1">{"ELIM_CWO_ISV",#N/A,FALSE,"Sheet1";"ELIM_CWO_SAV",#N/A,FALSE,"Sheet1";"ELIM_CWO_BSV",#N/A,FALSE,"Sheet1";"ELIM_CWO_SFDV",#N/A,FALSE,"Sheet1"}</definedName>
    <definedName name="wrn.ELIM_CWO." localSheetId="23" hidden="1">{"ELIM_CWO_ISV",#N/A,FALSE,"Sheet1";"ELIM_CWO_SAV",#N/A,FALSE,"Sheet1";"ELIM_CWO_BSV",#N/A,FALSE,"Sheet1";"ELIM_CWO_SFDV",#N/A,FALSE,"Sheet1"}</definedName>
    <definedName name="wrn.ELIM_CWO." hidden="1">{"ELIM_CWO_ISV",#N/A,FALSE,"Sheet1";"ELIM_CWO_SAV",#N/A,FALSE,"Sheet1";"ELIM_CWO_BSV",#N/A,FALSE,"Sheet1";"ELIM_CWO_SFDV",#N/A,FALSE,"Sheet1"}</definedName>
    <definedName name="wrn.ELIM_UWNJ_UWNY." localSheetId="11" hidden="1">{"ELIM_UWNJ_UWNY_ISV",#N/A,FALSE,"Sheet1";"ELIM_UWNJ_UWNY_SAV",#N/A,FALSE,"Sheet1";"ELIM_UWNJ_UWNY_BSV",#N/A,FALSE,"Sheet1";"ELIM_UWNJ_UWNY_SFDV",#N/A,FALSE,"Sheet1"}</definedName>
    <definedName name="wrn.ELIM_UWNJ_UWNY." localSheetId="12" hidden="1">{"ELIM_UWNJ_UWNY_ISV",#N/A,FALSE,"Sheet1";"ELIM_UWNJ_UWNY_SAV",#N/A,FALSE,"Sheet1";"ELIM_UWNJ_UWNY_BSV",#N/A,FALSE,"Sheet1";"ELIM_UWNJ_UWNY_SFDV",#N/A,FALSE,"Sheet1"}</definedName>
    <definedName name="wrn.ELIM_UWNJ_UWNY." localSheetId="20" hidden="1">{"ELIM_UWNJ_UWNY_ISV",#N/A,FALSE,"Sheet1";"ELIM_UWNJ_UWNY_SAV",#N/A,FALSE,"Sheet1";"ELIM_UWNJ_UWNY_BSV",#N/A,FALSE,"Sheet1";"ELIM_UWNJ_UWNY_SFDV",#N/A,FALSE,"Sheet1"}</definedName>
    <definedName name="wrn.ELIM_UWNJ_UWNY." localSheetId="21" hidden="1">{"ELIM_UWNJ_UWNY_ISV",#N/A,FALSE,"Sheet1";"ELIM_UWNJ_UWNY_SAV",#N/A,FALSE,"Sheet1";"ELIM_UWNJ_UWNY_BSV",#N/A,FALSE,"Sheet1";"ELIM_UWNJ_UWNY_SFDV",#N/A,FALSE,"Sheet1"}</definedName>
    <definedName name="wrn.ELIM_UWNJ_UWNY." localSheetId="22" hidden="1">{"ELIM_UWNJ_UWNY_ISV",#N/A,FALSE,"Sheet1";"ELIM_UWNJ_UWNY_SAV",#N/A,FALSE,"Sheet1";"ELIM_UWNJ_UWNY_BSV",#N/A,FALSE,"Sheet1";"ELIM_UWNJ_UWNY_SFDV",#N/A,FALSE,"Sheet1"}</definedName>
    <definedName name="wrn.ELIM_UWNJ_UWNY." localSheetId="23" hidden="1">{"ELIM_UWNJ_UWNY_ISV",#N/A,FALSE,"Sheet1";"ELIM_UWNJ_UWNY_SAV",#N/A,FALSE,"Sheet1";"ELIM_UWNJ_UWNY_BSV",#N/A,FALSE,"Sheet1";"ELIM_UWNJ_UWNY_SFDV",#N/A,FALSE,"Sheet1"}</definedName>
    <definedName name="wrn.ELIM_UWNJ_UWNY." hidden="1">{"ELIM_UWNJ_UWNY_ISV",#N/A,FALSE,"Sheet1";"ELIM_UWNJ_UWNY_SAV",#N/A,FALSE,"Sheet1";"ELIM_UWNJ_UWNY_BSV",#N/A,FALSE,"Sheet1";"ELIM_UWNJ_UWNY_SFDV",#N/A,FALSE,"Sheet1"}</definedName>
    <definedName name="wrn.FAC._.SUMMARY." localSheetId="10" hidden="1">{"FAC_SUMMARY",#N/A,FALSE,"Summaries"}</definedName>
    <definedName name="wrn.FAC._.SUMMARY." localSheetId="11" hidden="1">{"FAC_SUMMARY",#N/A,FALSE,"Summaries"}</definedName>
    <definedName name="wrn.FAC._.SUMMARY." localSheetId="12" hidden="1">{"FAC_SUMMARY",#N/A,FALSE,"Summaries"}</definedName>
    <definedName name="wrn.FAC._.SUMMARY." localSheetId="13" hidden="1">{"FAC_SUMMARY",#N/A,FALSE,"Summaries"}</definedName>
    <definedName name="wrn.FAC._.SUMMARY." localSheetId="14" hidden="1">{"FAC_SUMMARY",#N/A,FALSE,"Summaries"}</definedName>
    <definedName name="wrn.FAC._.SUMMARY." localSheetId="15" hidden="1">{"FAC_SUMMARY",#N/A,FALSE,"Summaries"}</definedName>
    <definedName name="wrn.FAC._.SUMMARY." localSheetId="16" hidden="1">{"FAC_SUMMARY",#N/A,FALSE,"Summaries"}</definedName>
    <definedName name="wrn.FAC._.SUMMARY." localSheetId="17" hidden="1">{"FAC_SUMMARY",#N/A,FALSE,"Summaries"}</definedName>
    <definedName name="wrn.FAC._.SUMMARY." localSheetId="19" hidden="1">{"FAC_SUMMARY",#N/A,FALSE,"Summaries"}</definedName>
    <definedName name="wrn.FAC._.SUMMARY." localSheetId="20" hidden="1">{"FAC_SUMMARY",#N/A,FALSE,"Summaries"}</definedName>
    <definedName name="wrn.FAC._.SUMMARY." localSheetId="21" hidden="1">{"FAC_SUMMARY",#N/A,FALSE,"Summaries"}</definedName>
    <definedName name="wrn.FAC._.SUMMARY." localSheetId="22" hidden="1">{"FAC_SUMMARY",#N/A,FALSE,"Summaries"}</definedName>
    <definedName name="wrn.FAC._.SUMMARY." localSheetId="23" hidden="1">{"FAC_SUMMARY",#N/A,FALSE,"Summaries"}</definedName>
    <definedName name="wrn.FAC._.SUMMARY." localSheetId="24" hidden="1">{"FAC_SUMMARY",#N/A,FALSE,"Summaries"}</definedName>
    <definedName name="wrn.FAC._.SUMMARY." hidden="1">{"FAC_SUMMARY",#N/A,FALSE,"Summaries"}</definedName>
    <definedName name="wrn.FAS109." localSheetId="1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12"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0"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2"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3"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ERC._.FAC._.CALC." localSheetId="10" hidden="1">{"FERC_FAC",#N/A,FALSE,"FERC_Fuel&amp;Rev"}</definedName>
    <definedName name="wrn.FERC._.FAC._.CALC." localSheetId="11" hidden="1">{"FERC_FAC",#N/A,FALSE,"FERC_Fuel&amp;Rev"}</definedName>
    <definedName name="wrn.FERC._.FAC._.CALC." localSheetId="12" hidden="1">{"FERC_FAC",#N/A,FALSE,"FERC_Fuel&amp;Rev"}</definedName>
    <definedName name="wrn.FERC._.FAC._.CALC." localSheetId="13" hidden="1">{"FERC_FAC",#N/A,FALSE,"FERC_Fuel&amp;Rev"}</definedName>
    <definedName name="wrn.FERC._.FAC._.CALC." localSheetId="14" hidden="1">{"FERC_FAC",#N/A,FALSE,"FERC_Fuel&amp;Rev"}</definedName>
    <definedName name="wrn.FERC._.FAC._.CALC." localSheetId="15" hidden="1">{"FERC_FAC",#N/A,FALSE,"FERC_Fuel&amp;Rev"}</definedName>
    <definedName name="wrn.FERC._.FAC._.CALC." localSheetId="16" hidden="1">{"FERC_FAC",#N/A,FALSE,"FERC_Fuel&amp;Rev"}</definedName>
    <definedName name="wrn.FERC._.FAC._.CALC." localSheetId="17" hidden="1">{"FERC_FAC",#N/A,FALSE,"FERC_Fuel&amp;Rev"}</definedName>
    <definedName name="wrn.FERC._.FAC._.CALC." localSheetId="19" hidden="1">{"FERC_FAC",#N/A,FALSE,"FERC_Fuel&amp;Rev"}</definedName>
    <definedName name="wrn.FERC._.FAC._.CALC." localSheetId="20" hidden="1">{"FERC_FAC",#N/A,FALSE,"FERC_Fuel&amp;Rev"}</definedName>
    <definedName name="wrn.FERC._.FAC._.CALC." localSheetId="21" hidden="1">{"FERC_FAC",#N/A,FALSE,"FERC_Fuel&amp;Rev"}</definedName>
    <definedName name="wrn.FERC._.FAC._.CALC." localSheetId="22" hidden="1">{"FERC_FAC",#N/A,FALSE,"FERC_Fuel&amp;Rev"}</definedName>
    <definedName name="wrn.FERC._.FAC._.CALC." localSheetId="23" hidden="1">{"FERC_FAC",#N/A,FALSE,"FERC_Fuel&amp;Rev"}</definedName>
    <definedName name="wrn.FERC._.FAC._.CALC." localSheetId="24" hidden="1">{"FERC_FAC",#N/A,FALSE,"FERC_Fuel&amp;Rev"}</definedName>
    <definedName name="wrn.FERC._.FAC._.CALC." hidden="1">{"FERC_FAC",#N/A,FALSE,"FERC_Fuel&amp;Rev"}</definedName>
    <definedName name="wrn.FERC._.WEATHER._.and._.JURIS._.FUEL." localSheetId="10" hidden="1">{"FERC_WEATHER_AND_FUEL",#N/A,FALSE,"FERC_Fuel&amp;Rev"}</definedName>
    <definedName name="wrn.FERC._.WEATHER._.and._.JURIS._.FUEL." localSheetId="11" hidden="1">{"FERC_WEATHER_AND_FUEL",#N/A,FALSE,"FERC_Fuel&amp;Rev"}</definedName>
    <definedName name="wrn.FERC._.WEATHER._.and._.JURIS._.FUEL." localSheetId="12" hidden="1">{"FERC_WEATHER_AND_FUEL",#N/A,FALSE,"FERC_Fuel&amp;Rev"}</definedName>
    <definedName name="wrn.FERC._.WEATHER._.and._.JURIS._.FUEL." localSheetId="13" hidden="1">{"FERC_WEATHER_AND_FUEL",#N/A,FALSE,"FERC_Fuel&amp;Rev"}</definedName>
    <definedName name="wrn.FERC._.WEATHER._.and._.JURIS._.FUEL." localSheetId="14" hidden="1">{"FERC_WEATHER_AND_FUEL",#N/A,FALSE,"FERC_Fuel&amp;Rev"}</definedName>
    <definedName name="wrn.FERC._.WEATHER._.and._.JURIS._.FUEL." localSheetId="15" hidden="1">{"FERC_WEATHER_AND_FUEL",#N/A,FALSE,"FERC_Fuel&amp;Rev"}</definedName>
    <definedName name="wrn.FERC._.WEATHER._.and._.JURIS._.FUEL." localSheetId="16" hidden="1">{"FERC_WEATHER_AND_FUEL",#N/A,FALSE,"FERC_Fuel&amp;Rev"}</definedName>
    <definedName name="wrn.FERC._.WEATHER._.and._.JURIS._.FUEL." localSheetId="17" hidden="1">{"FERC_WEATHER_AND_FUEL",#N/A,FALSE,"FERC_Fuel&amp;Rev"}</definedName>
    <definedName name="wrn.FERC._.WEATHER._.and._.JURIS._.FUEL." localSheetId="19" hidden="1">{"FERC_WEATHER_AND_FUEL",#N/A,FALSE,"FERC_Fuel&amp;Rev"}</definedName>
    <definedName name="wrn.FERC._.WEATHER._.and._.JURIS._.FUEL." localSheetId="20" hidden="1">{"FERC_WEATHER_AND_FUEL",#N/A,FALSE,"FERC_Fuel&amp;Rev"}</definedName>
    <definedName name="wrn.FERC._.WEATHER._.and._.JURIS._.FUEL." localSheetId="21" hidden="1">{"FERC_WEATHER_AND_FUEL",#N/A,FALSE,"FERC_Fuel&amp;Rev"}</definedName>
    <definedName name="wrn.FERC._.WEATHER._.and._.JURIS._.FUEL." localSheetId="22" hidden="1">{"FERC_WEATHER_AND_FUEL",#N/A,FALSE,"FERC_Fuel&amp;Rev"}</definedName>
    <definedName name="wrn.FERC._.WEATHER._.and._.JURIS._.FUEL." localSheetId="23" hidden="1">{"FERC_WEATHER_AND_FUEL",#N/A,FALSE,"FERC_Fuel&amp;Rev"}</definedName>
    <definedName name="wrn.FERC._.WEATHER._.and._.JURIS._.FUEL." localSheetId="24" hidden="1">{"FERC_WEATHER_AND_FUEL",#N/A,FALSE,"FERC_Fuel&amp;Rev"}</definedName>
    <definedName name="wrn.FERC._.WEATHER._.and._.JURIS._.FUEL." hidden="1">{"FERC_WEATHER_AND_FUEL",#N/A,FALSE,"FERC_Fuel&amp;Rev"}</definedName>
    <definedName name="wrn.Fin_Book." localSheetId="1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12"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0"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2"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3"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go." localSheetId="10" hidden="1">{"wp_h4.2",#N/A,FALSE,"WP_H4.2";"wp_h4.3",#N/A,FALSE,"WP_H4.3"}</definedName>
    <definedName name="wrn.go." localSheetId="11" hidden="1">{"wp_h4.2",#N/A,FALSE,"WP_H4.2";"wp_h4.3",#N/A,FALSE,"WP_H4.3"}</definedName>
    <definedName name="wrn.go." localSheetId="12" hidden="1">{"wp_h4.2",#N/A,FALSE,"WP_H4.2";"wp_h4.3",#N/A,FALSE,"WP_H4.3"}</definedName>
    <definedName name="wrn.go." localSheetId="13" hidden="1">{"wp_h4.2",#N/A,FALSE,"WP_H4.2";"wp_h4.3",#N/A,FALSE,"WP_H4.3"}</definedName>
    <definedName name="wrn.go." localSheetId="14" hidden="1">{"wp_h4.2",#N/A,FALSE,"WP_H4.2";"wp_h4.3",#N/A,FALSE,"WP_H4.3"}</definedName>
    <definedName name="wrn.go." localSheetId="15" hidden="1">{"wp_h4.2",#N/A,FALSE,"WP_H4.2";"wp_h4.3",#N/A,FALSE,"WP_H4.3"}</definedName>
    <definedName name="wrn.go." localSheetId="16" hidden="1">{"wp_h4.2",#N/A,FALSE,"WP_H4.2";"wp_h4.3",#N/A,FALSE,"WP_H4.3"}</definedName>
    <definedName name="wrn.go." localSheetId="17" hidden="1">{"wp_h4.2",#N/A,FALSE,"WP_H4.2";"wp_h4.3",#N/A,FALSE,"WP_H4.3"}</definedName>
    <definedName name="wrn.go." localSheetId="19" hidden="1">{"wp_h4.2",#N/A,FALSE,"WP_H4.2";"wp_h4.3",#N/A,FALSE,"WP_H4.3"}</definedName>
    <definedName name="wrn.go." localSheetId="20" hidden="1">{"wp_h4.2",#N/A,FALSE,"WP_H4.2";"wp_h4.3",#N/A,FALSE,"WP_H4.3"}</definedName>
    <definedName name="wrn.go." localSheetId="21" hidden="1">{"wp_h4.2",#N/A,FALSE,"WP_H4.2";"wp_h4.3",#N/A,FALSE,"WP_H4.3"}</definedName>
    <definedName name="wrn.go." localSheetId="22" hidden="1">{"wp_h4.2",#N/A,FALSE,"WP_H4.2";"wp_h4.3",#N/A,FALSE,"WP_H4.3"}</definedName>
    <definedName name="wrn.go." localSheetId="23" hidden="1">{"wp_h4.2",#N/A,FALSE,"WP_H4.2";"wp_h4.3",#N/A,FALSE,"WP_H4.3"}</definedName>
    <definedName name="wrn.go." localSheetId="24" hidden="1">{"wp_h4.2",#N/A,FALSE,"WP_H4.2";"wp_h4.3",#N/A,FALSE,"WP_H4.3"}</definedName>
    <definedName name="wrn.go." hidden="1">{"wp_h4.2",#N/A,FALSE,"WP_H4.2";"wp_h4.3",#N/A,FALSE,"WP_H4.3"}</definedName>
    <definedName name="wrn.HWP_GL." localSheetId="10" hidden="1">{#N/A,#N/A,FALSE,"GLDwnLoad"}</definedName>
    <definedName name="wrn.HWP_GL." localSheetId="11" hidden="1">{#N/A,#N/A,FALSE,"GLDwnLoad"}</definedName>
    <definedName name="wrn.HWP_GL." localSheetId="12" hidden="1">{#N/A,#N/A,FALSE,"GLDwnLoad"}</definedName>
    <definedName name="wrn.HWP_GL." localSheetId="13" hidden="1">{#N/A,#N/A,FALSE,"GLDwnLoad"}</definedName>
    <definedName name="wrn.HWP_GL." localSheetId="14" hidden="1">{#N/A,#N/A,FALSE,"GLDwnLoad"}</definedName>
    <definedName name="wrn.HWP_GL." localSheetId="15" hidden="1">{#N/A,#N/A,FALSE,"GLDwnLoad"}</definedName>
    <definedName name="wrn.HWP_GL." localSheetId="16" hidden="1">{#N/A,#N/A,FALSE,"GLDwnLoad"}</definedName>
    <definedName name="wrn.HWP_GL." localSheetId="17" hidden="1">{#N/A,#N/A,FALSE,"GLDwnLoad"}</definedName>
    <definedName name="wrn.HWP_GL." localSheetId="19" hidden="1">{#N/A,#N/A,FALSE,"GLDwnLoad"}</definedName>
    <definedName name="wrn.HWP_GL." localSheetId="20" hidden="1">{#N/A,#N/A,FALSE,"GLDwnLoad"}</definedName>
    <definedName name="wrn.HWP_GL." localSheetId="21" hidden="1">{#N/A,#N/A,FALSE,"GLDwnLoad"}</definedName>
    <definedName name="wrn.HWP_GL." localSheetId="22" hidden="1">{#N/A,#N/A,FALSE,"GLDwnLoad"}</definedName>
    <definedName name="wrn.HWP_GL." localSheetId="23" hidden="1">{#N/A,#N/A,FALSE,"GLDwnLoad"}</definedName>
    <definedName name="wrn.HWP_GL." localSheetId="24" hidden="1">{#N/A,#N/A,FALSE,"GLDwnLoad"}</definedName>
    <definedName name="wrn.HWP_GL." hidden="1">{#N/A,#N/A,FALSE,"GLDwnLoad"}</definedName>
    <definedName name="wrn.HWP_INPUTS." localSheetId="10" hidden="1">{#N/A,#N/A,FALSE,"OTHERINPUTS";#N/A,#N/A,FALSE,"SUPPLIEDADJINPUT";#N/A,#N/A,FALSE,"BR&amp;SUPADJ."}</definedName>
    <definedName name="wrn.HWP_INPUTS." localSheetId="11" hidden="1">{#N/A,#N/A,FALSE,"OTHERINPUTS";#N/A,#N/A,FALSE,"SUPPLIEDADJINPUT";#N/A,#N/A,FALSE,"BR&amp;SUPADJ."}</definedName>
    <definedName name="wrn.HWP_INPUTS." localSheetId="12" hidden="1">{#N/A,#N/A,FALSE,"OTHERINPUTS";#N/A,#N/A,FALSE,"SUPPLIEDADJINPUT";#N/A,#N/A,FALSE,"BR&amp;SUPADJ."}</definedName>
    <definedName name="wrn.HWP_INPUTS." localSheetId="13" hidden="1">{#N/A,#N/A,FALSE,"OTHERINPUTS";#N/A,#N/A,FALSE,"SUPPLIEDADJINPUT";#N/A,#N/A,FALSE,"BR&amp;SUPADJ."}</definedName>
    <definedName name="wrn.HWP_INPUTS." localSheetId="14" hidden="1">{#N/A,#N/A,FALSE,"OTHERINPUTS";#N/A,#N/A,FALSE,"SUPPLIEDADJINPUT";#N/A,#N/A,FALSE,"BR&amp;SUPADJ."}</definedName>
    <definedName name="wrn.HWP_INPUTS." localSheetId="15" hidden="1">{#N/A,#N/A,FALSE,"OTHERINPUTS";#N/A,#N/A,FALSE,"SUPPLIEDADJINPUT";#N/A,#N/A,FALSE,"BR&amp;SUPADJ."}</definedName>
    <definedName name="wrn.HWP_INPUTS." localSheetId="16" hidden="1">{#N/A,#N/A,FALSE,"OTHERINPUTS";#N/A,#N/A,FALSE,"SUPPLIEDADJINPUT";#N/A,#N/A,FALSE,"BR&amp;SUPADJ."}</definedName>
    <definedName name="wrn.HWP_INPUTS." localSheetId="17" hidden="1">{#N/A,#N/A,FALSE,"OTHERINPUTS";#N/A,#N/A,FALSE,"SUPPLIEDADJINPUT";#N/A,#N/A,FALSE,"BR&amp;SUPADJ."}</definedName>
    <definedName name="wrn.HWP_INPUTS." localSheetId="19" hidden="1">{#N/A,#N/A,FALSE,"OTHERINPUTS";#N/A,#N/A,FALSE,"SUPPLIEDADJINPUT";#N/A,#N/A,FALSE,"BR&amp;SUPADJ."}</definedName>
    <definedName name="wrn.HWP_INPUTS." localSheetId="20" hidden="1">{#N/A,#N/A,FALSE,"OTHERINPUTS";#N/A,#N/A,FALSE,"SUPPLIEDADJINPUT";#N/A,#N/A,FALSE,"BR&amp;SUPADJ."}</definedName>
    <definedName name="wrn.HWP_INPUTS." localSheetId="21" hidden="1">{#N/A,#N/A,FALSE,"OTHERINPUTS";#N/A,#N/A,FALSE,"SUPPLIEDADJINPUT";#N/A,#N/A,FALSE,"BR&amp;SUPADJ."}</definedName>
    <definedName name="wrn.HWP_INPUTS." localSheetId="22" hidden="1">{#N/A,#N/A,FALSE,"OTHERINPUTS";#N/A,#N/A,FALSE,"SUPPLIEDADJINPUT";#N/A,#N/A,FALSE,"BR&amp;SUPADJ."}</definedName>
    <definedName name="wrn.HWP_INPUTS." localSheetId="23" hidden="1">{#N/A,#N/A,FALSE,"OTHERINPUTS";#N/A,#N/A,FALSE,"SUPPLIEDADJINPUT";#N/A,#N/A,FALSE,"BR&amp;SUPADJ."}</definedName>
    <definedName name="wrn.HWP_INPUTS." localSheetId="24" hidden="1">{#N/A,#N/A,FALSE,"OTHERINPUTS";#N/A,#N/A,FALSE,"SUPPLIEDADJINPUT";#N/A,#N/A,FALSE,"BR&amp;SUPADJ."}</definedName>
    <definedName name="wrn.HWP_INPUTS." hidden="1">{#N/A,#N/A,FALSE,"OTHERINPUTS";#N/A,#N/A,FALSE,"SUPPLIEDADJINPUT";#N/A,#N/A,FALSE,"BR&amp;SUPADJ."}</definedName>
    <definedName name="wrn.HWP_PROV." localSheetId="1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2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2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2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2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2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NCOME._.TAX._.CALCULATION." hidden="1">{"JURIS_INC_TAX_CALC",#N/A,FALSE,"COSTSTUDY";"OKCLS_INC_TAX_CALC",#N/A,FALSE,"COSTSTUDY"}</definedName>
    <definedName name="wrn.INTERNAL._.ALLOC._.INPUT." hidden="1">{"JURIS_INT_ALOC_AMTS",#N/A,FALSE,"COSTSTUDY";"OKCLS_INT_ALOC_AMTS",#N/A,FALSE,"COSTSTUDY"}</definedName>
    <definedName name="wrn.INTERNAL._.ALLOC._.RATIOS." hidden="1">{"JURIS_INTAL_RATIOS",#N/A,FALSE,"COSTSTUDY";"OKCLS_INTAL_RATIOS",#N/A,FALSE,"COSTSTUDY"}</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 localSheetId="12" hidden="1">{#N/A,#N/A,FALSE,"Page 1";#N/A,#N/A,FALSE,"Page 2";#N/A,#N/A,FALSE,"Page 3";#N/A,#N/A,FALSE,"Page 4";#N/A,#N/A,FALSE,"Page 5";#N/A,#N/A,FALSE,"Page 6";#N/A,#N/A,FALSE,"Page 7";#N/A,#N/A,FALSE,"Page 8";#N/A,#N/A,FALSE,"Page 9";#N/A,#N/A,FALSE,"PG8WP";#N/A,#N/A,FALSE,"PG9WP"}</definedName>
    <definedName name="wrn.MMFRENT." localSheetId="13" hidden="1">{#N/A,#N/A,FALSE,"Page 1";#N/A,#N/A,FALSE,"Page 2";#N/A,#N/A,FALSE,"Page 3";#N/A,#N/A,FALSE,"Page 4";#N/A,#N/A,FALSE,"Page 5";#N/A,#N/A,FALSE,"Page 6";#N/A,#N/A,FALSE,"Page 7";#N/A,#N/A,FALSE,"Page 8";#N/A,#N/A,FALSE,"Page 9";#N/A,#N/A,FALSE,"PG8WP";#N/A,#N/A,FALSE,"PG9WP"}</definedName>
    <definedName name="wrn.MMFRENT." localSheetId="14" hidden="1">{#N/A,#N/A,FALSE,"Page 1";#N/A,#N/A,FALSE,"Page 2";#N/A,#N/A,FALSE,"Page 3";#N/A,#N/A,FALSE,"Page 4";#N/A,#N/A,FALSE,"Page 5";#N/A,#N/A,FALSE,"Page 6";#N/A,#N/A,FALSE,"Page 7";#N/A,#N/A,FALSE,"Page 8";#N/A,#N/A,FALSE,"Page 9";#N/A,#N/A,FALSE,"PG8WP";#N/A,#N/A,FALSE,"PG9WP"}</definedName>
    <definedName name="wrn.MMFRENT." localSheetId="15" hidden="1">{#N/A,#N/A,FALSE,"Page 1";#N/A,#N/A,FALSE,"Page 2";#N/A,#N/A,FALSE,"Page 3";#N/A,#N/A,FALSE,"Page 4";#N/A,#N/A,FALSE,"Page 5";#N/A,#N/A,FALSE,"Page 6";#N/A,#N/A,FALSE,"Page 7";#N/A,#N/A,FALSE,"Page 8";#N/A,#N/A,FALSE,"Page 9";#N/A,#N/A,FALSE,"PG8WP";#N/A,#N/A,FALSE,"PG9WP"}</definedName>
    <definedName name="wrn.MMFRENT." localSheetId="16" hidden="1">{#N/A,#N/A,FALSE,"Page 1";#N/A,#N/A,FALSE,"Page 2";#N/A,#N/A,FALSE,"Page 3";#N/A,#N/A,FALSE,"Page 4";#N/A,#N/A,FALSE,"Page 5";#N/A,#N/A,FALSE,"Page 6";#N/A,#N/A,FALSE,"Page 7";#N/A,#N/A,FALSE,"Page 8";#N/A,#N/A,FALSE,"Page 9";#N/A,#N/A,FALSE,"PG8WP";#N/A,#N/A,FALSE,"PG9WP"}</definedName>
    <definedName name="wrn.MMFRENT." localSheetId="17" hidden="1">{#N/A,#N/A,FALSE,"Page 1";#N/A,#N/A,FALSE,"Page 2";#N/A,#N/A,FALSE,"Page 3";#N/A,#N/A,FALSE,"Page 4";#N/A,#N/A,FALSE,"Page 5";#N/A,#N/A,FALSE,"Page 6";#N/A,#N/A,FALSE,"Page 7";#N/A,#N/A,FALSE,"Page 8";#N/A,#N/A,FALSE,"Page 9";#N/A,#N/A,FALSE,"PG8WP";#N/A,#N/A,FALSE,"PG9WP"}</definedName>
    <definedName name="wrn.MMFRENT." localSheetId="19" hidden="1">{#N/A,#N/A,FALSE,"Page 1";#N/A,#N/A,FALSE,"Page 2";#N/A,#N/A,FALSE,"Page 3";#N/A,#N/A,FALSE,"Page 4";#N/A,#N/A,FALSE,"Page 5";#N/A,#N/A,FALSE,"Page 6";#N/A,#N/A,FALSE,"Page 7";#N/A,#N/A,FALSE,"Page 8";#N/A,#N/A,FALSE,"Page 9";#N/A,#N/A,FALSE,"PG8WP";#N/A,#N/A,FALSE,"PG9WP"}</definedName>
    <definedName name="wrn.MMFRENT." localSheetId="20" hidden="1">{#N/A,#N/A,FALSE,"Page 1";#N/A,#N/A,FALSE,"Page 2";#N/A,#N/A,FALSE,"Page 3";#N/A,#N/A,FALSE,"Page 4";#N/A,#N/A,FALSE,"Page 5";#N/A,#N/A,FALSE,"Page 6";#N/A,#N/A,FALSE,"Page 7";#N/A,#N/A,FALSE,"Page 8";#N/A,#N/A,FALSE,"Page 9";#N/A,#N/A,FALSE,"PG8WP";#N/A,#N/A,FALSE,"PG9WP"}</definedName>
    <definedName name="wrn.MMFRENT." localSheetId="21" hidden="1">{#N/A,#N/A,FALSE,"Page 1";#N/A,#N/A,FALSE,"Page 2";#N/A,#N/A,FALSE,"Page 3";#N/A,#N/A,FALSE,"Page 4";#N/A,#N/A,FALSE,"Page 5";#N/A,#N/A,FALSE,"Page 6";#N/A,#N/A,FALSE,"Page 7";#N/A,#N/A,FALSE,"Page 8";#N/A,#N/A,FALSE,"Page 9";#N/A,#N/A,FALSE,"PG8WP";#N/A,#N/A,FALSE,"PG9WP"}</definedName>
    <definedName name="wrn.MMFRENT." localSheetId="22" hidden="1">{#N/A,#N/A,FALSE,"Page 1";#N/A,#N/A,FALSE,"Page 2";#N/A,#N/A,FALSE,"Page 3";#N/A,#N/A,FALSE,"Page 4";#N/A,#N/A,FALSE,"Page 5";#N/A,#N/A,FALSE,"Page 6";#N/A,#N/A,FALSE,"Page 7";#N/A,#N/A,FALSE,"Page 8";#N/A,#N/A,FALSE,"Page 9";#N/A,#N/A,FALSE,"PG8WP";#N/A,#N/A,FALSE,"PG9WP"}</definedName>
    <definedName name="wrn.MMFRENT." localSheetId="23" hidden="1">{#N/A,#N/A,FALSE,"Page 1";#N/A,#N/A,FALSE,"Page 2";#N/A,#N/A,FALSE,"Page 3";#N/A,#N/A,FALSE,"Page 4";#N/A,#N/A,FALSE,"Page 5";#N/A,#N/A,FALSE,"Page 6";#N/A,#N/A,FALSE,"Page 7";#N/A,#N/A,FALSE,"Page 8";#N/A,#N/A,FALSE,"Page 9";#N/A,#N/A,FALSE,"PG8WP";#N/A,#N/A,FALSE,"PG9WP"}</definedName>
    <definedName name="wrn.MMFRENT." localSheetId="24" hidden="1">{#N/A,#N/A,FALSE,"Page 1";#N/A,#N/A,FALSE,"Page 2";#N/A,#N/A,FALSE,"Page 3";#N/A,#N/A,FALSE,"Page 4";#N/A,#N/A,FALSE,"Page 5";#N/A,#N/A,FALSE,"Page 6";#N/A,#N/A,FALSE,"Page 7";#N/A,#N/A,FALSE,"Page 8";#N/A,#N/A,FALSE,"Page 9";#N/A,#N/A,FALSE,"PG8WP";#N/A,#N/A,FALSE,"PG9WP"}</definedName>
    <definedName name="wrn.MMFRENT."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mmfrent2" localSheetId="12" hidden="1">{#N/A,#N/A,FALSE,"Page 1";#N/A,#N/A,FALSE,"Page 2";#N/A,#N/A,FALSE,"Page 3";#N/A,#N/A,FALSE,"Page 4";#N/A,#N/A,FALSE,"Page 5";#N/A,#N/A,FALSE,"Page 6";#N/A,#N/A,FALSE,"Page 7";#N/A,#N/A,FALSE,"Page 8";#N/A,#N/A,FALSE,"Page 9";#N/A,#N/A,FALSE,"PG8WP";#N/A,#N/A,FALSE,"PG9WP"}</definedName>
    <definedName name="wrn.mmfrent2" localSheetId="13" hidden="1">{#N/A,#N/A,FALSE,"Page 1";#N/A,#N/A,FALSE,"Page 2";#N/A,#N/A,FALSE,"Page 3";#N/A,#N/A,FALSE,"Page 4";#N/A,#N/A,FALSE,"Page 5";#N/A,#N/A,FALSE,"Page 6";#N/A,#N/A,FALSE,"Page 7";#N/A,#N/A,FALSE,"Page 8";#N/A,#N/A,FALSE,"Page 9";#N/A,#N/A,FALSE,"PG8WP";#N/A,#N/A,FALSE,"PG9WP"}</definedName>
    <definedName name="wrn.mmfrent2" localSheetId="14" hidden="1">{#N/A,#N/A,FALSE,"Page 1";#N/A,#N/A,FALSE,"Page 2";#N/A,#N/A,FALSE,"Page 3";#N/A,#N/A,FALSE,"Page 4";#N/A,#N/A,FALSE,"Page 5";#N/A,#N/A,FALSE,"Page 6";#N/A,#N/A,FALSE,"Page 7";#N/A,#N/A,FALSE,"Page 8";#N/A,#N/A,FALSE,"Page 9";#N/A,#N/A,FALSE,"PG8WP";#N/A,#N/A,FALSE,"PG9WP"}</definedName>
    <definedName name="wrn.mmfrent2" localSheetId="15" hidden="1">{#N/A,#N/A,FALSE,"Page 1";#N/A,#N/A,FALSE,"Page 2";#N/A,#N/A,FALSE,"Page 3";#N/A,#N/A,FALSE,"Page 4";#N/A,#N/A,FALSE,"Page 5";#N/A,#N/A,FALSE,"Page 6";#N/A,#N/A,FALSE,"Page 7";#N/A,#N/A,FALSE,"Page 8";#N/A,#N/A,FALSE,"Page 9";#N/A,#N/A,FALSE,"PG8WP";#N/A,#N/A,FALSE,"PG9WP"}</definedName>
    <definedName name="wrn.mmfrent2" localSheetId="16" hidden="1">{#N/A,#N/A,FALSE,"Page 1";#N/A,#N/A,FALSE,"Page 2";#N/A,#N/A,FALSE,"Page 3";#N/A,#N/A,FALSE,"Page 4";#N/A,#N/A,FALSE,"Page 5";#N/A,#N/A,FALSE,"Page 6";#N/A,#N/A,FALSE,"Page 7";#N/A,#N/A,FALSE,"Page 8";#N/A,#N/A,FALSE,"Page 9";#N/A,#N/A,FALSE,"PG8WP";#N/A,#N/A,FALSE,"PG9WP"}</definedName>
    <definedName name="wrn.mmfrent2" localSheetId="17" hidden="1">{#N/A,#N/A,FALSE,"Page 1";#N/A,#N/A,FALSE,"Page 2";#N/A,#N/A,FALSE,"Page 3";#N/A,#N/A,FALSE,"Page 4";#N/A,#N/A,FALSE,"Page 5";#N/A,#N/A,FALSE,"Page 6";#N/A,#N/A,FALSE,"Page 7";#N/A,#N/A,FALSE,"Page 8";#N/A,#N/A,FALSE,"Page 9";#N/A,#N/A,FALSE,"PG8WP";#N/A,#N/A,FALSE,"PG9WP"}</definedName>
    <definedName name="wrn.mmfrent2" localSheetId="19" hidden="1">{#N/A,#N/A,FALSE,"Page 1";#N/A,#N/A,FALSE,"Page 2";#N/A,#N/A,FALSE,"Page 3";#N/A,#N/A,FALSE,"Page 4";#N/A,#N/A,FALSE,"Page 5";#N/A,#N/A,FALSE,"Page 6";#N/A,#N/A,FALSE,"Page 7";#N/A,#N/A,FALSE,"Page 8";#N/A,#N/A,FALSE,"Page 9";#N/A,#N/A,FALSE,"PG8WP";#N/A,#N/A,FALSE,"PG9WP"}</definedName>
    <definedName name="wrn.mmfrent2" localSheetId="20" hidden="1">{#N/A,#N/A,FALSE,"Page 1";#N/A,#N/A,FALSE,"Page 2";#N/A,#N/A,FALSE,"Page 3";#N/A,#N/A,FALSE,"Page 4";#N/A,#N/A,FALSE,"Page 5";#N/A,#N/A,FALSE,"Page 6";#N/A,#N/A,FALSE,"Page 7";#N/A,#N/A,FALSE,"Page 8";#N/A,#N/A,FALSE,"Page 9";#N/A,#N/A,FALSE,"PG8WP";#N/A,#N/A,FALSE,"PG9WP"}</definedName>
    <definedName name="wrn.mmfrent2" localSheetId="21" hidden="1">{#N/A,#N/A,FALSE,"Page 1";#N/A,#N/A,FALSE,"Page 2";#N/A,#N/A,FALSE,"Page 3";#N/A,#N/A,FALSE,"Page 4";#N/A,#N/A,FALSE,"Page 5";#N/A,#N/A,FALSE,"Page 6";#N/A,#N/A,FALSE,"Page 7";#N/A,#N/A,FALSE,"Page 8";#N/A,#N/A,FALSE,"Page 9";#N/A,#N/A,FALSE,"PG8WP";#N/A,#N/A,FALSE,"PG9WP"}</definedName>
    <definedName name="wrn.mmfrent2" localSheetId="22" hidden="1">{#N/A,#N/A,FALSE,"Page 1";#N/A,#N/A,FALSE,"Page 2";#N/A,#N/A,FALSE,"Page 3";#N/A,#N/A,FALSE,"Page 4";#N/A,#N/A,FALSE,"Page 5";#N/A,#N/A,FALSE,"Page 6";#N/A,#N/A,FALSE,"Page 7";#N/A,#N/A,FALSE,"Page 8";#N/A,#N/A,FALSE,"Page 9";#N/A,#N/A,FALSE,"PG8WP";#N/A,#N/A,FALSE,"PG9WP"}</definedName>
    <definedName name="wrn.mmfrent2" localSheetId="23" hidden="1">{#N/A,#N/A,FALSE,"Page 1";#N/A,#N/A,FALSE,"Page 2";#N/A,#N/A,FALSE,"Page 3";#N/A,#N/A,FALSE,"Page 4";#N/A,#N/A,FALSE,"Page 5";#N/A,#N/A,FALSE,"Page 6";#N/A,#N/A,FALSE,"Page 7";#N/A,#N/A,FALSE,"Page 8";#N/A,#N/A,FALSE,"Page 9";#N/A,#N/A,FALSE,"PG8WP";#N/A,#N/A,FALSE,"PG9WP"}</definedName>
    <definedName name="wrn.mmfrent2" localSheetId="24" hidden="1">{#N/A,#N/A,FALSE,"Page 1";#N/A,#N/A,FALSE,"Page 2";#N/A,#N/A,FALSE,"Page 3";#N/A,#N/A,FALSE,"Page 4";#N/A,#N/A,FALSE,"Page 5";#N/A,#N/A,FALSE,"Page 6";#N/A,#N/A,FALSE,"Page 7";#N/A,#N/A,FALSE,"Page 8";#N/A,#N/A,FALSE,"Page 9";#N/A,#N/A,FALSE,"PG8WP";#N/A,#N/A,FALSE,"PG9WP"}</definedName>
    <definedName name="wrn.mmfrent2" hidden="1">{#N/A,#N/A,FALSE,"Page 1";#N/A,#N/A,FALSE,"Page 2";#N/A,#N/A,FALSE,"Page 3";#N/A,#N/A,FALSE,"Page 4";#N/A,#N/A,FALSE,"Page 5";#N/A,#N/A,FALSE,"Page 6";#N/A,#N/A,FALSE,"Page 7";#N/A,#N/A,FALSE,"Page 8";#N/A,#N/A,FALSE,"Page 9";#N/A,#N/A,FALSE,"PG8WP";#N/A,#N/A,FALSE,"PG9WP"}</definedName>
    <definedName name="wrn.OK._.FUEL._.COMPARISON." localSheetId="10" hidden="1">{"OK_FUEL_COMPARISON",#N/A,FALSE,"Ok_Fuel&amp;Rev"}</definedName>
    <definedName name="wrn.OK._.FUEL._.COMPARISON." localSheetId="11" hidden="1">{"OK_FUEL_COMPARISON",#N/A,FALSE,"Ok_Fuel&amp;Rev"}</definedName>
    <definedName name="wrn.OK._.FUEL._.COMPARISON." localSheetId="12" hidden="1">{"OK_FUEL_COMPARISON",#N/A,FALSE,"Ok_Fuel&amp;Rev"}</definedName>
    <definedName name="wrn.OK._.FUEL._.COMPARISON." localSheetId="13" hidden="1">{"OK_FUEL_COMPARISON",#N/A,FALSE,"Ok_Fuel&amp;Rev"}</definedName>
    <definedName name="wrn.OK._.FUEL._.COMPARISON." localSheetId="14" hidden="1">{"OK_FUEL_COMPARISON",#N/A,FALSE,"Ok_Fuel&amp;Rev"}</definedName>
    <definedName name="wrn.OK._.FUEL._.COMPARISON." localSheetId="15" hidden="1">{"OK_FUEL_COMPARISON",#N/A,FALSE,"Ok_Fuel&amp;Rev"}</definedName>
    <definedName name="wrn.OK._.FUEL._.COMPARISON." localSheetId="16" hidden="1">{"OK_FUEL_COMPARISON",#N/A,FALSE,"Ok_Fuel&amp;Rev"}</definedName>
    <definedName name="wrn.OK._.FUEL._.COMPARISON." localSheetId="17" hidden="1">{"OK_FUEL_COMPARISON",#N/A,FALSE,"Ok_Fuel&amp;Rev"}</definedName>
    <definedName name="wrn.OK._.FUEL._.COMPARISON." localSheetId="19" hidden="1">{"OK_FUEL_COMPARISON",#N/A,FALSE,"Ok_Fuel&amp;Rev"}</definedName>
    <definedName name="wrn.OK._.FUEL._.COMPARISON." localSheetId="20" hidden="1">{"OK_FUEL_COMPARISON",#N/A,FALSE,"Ok_Fuel&amp;Rev"}</definedName>
    <definedName name="wrn.OK._.FUEL._.COMPARISON." localSheetId="21" hidden="1">{"OK_FUEL_COMPARISON",#N/A,FALSE,"Ok_Fuel&amp;Rev"}</definedName>
    <definedName name="wrn.OK._.FUEL._.COMPARISON." localSheetId="22" hidden="1">{"OK_FUEL_COMPARISON",#N/A,FALSE,"Ok_Fuel&amp;Rev"}</definedName>
    <definedName name="wrn.OK._.FUEL._.COMPARISON." localSheetId="23" hidden="1">{"OK_FUEL_COMPARISON",#N/A,FALSE,"Ok_Fuel&amp;Rev"}</definedName>
    <definedName name="wrn.OK._.FUEL._.COMPARISON." localSheetId="24" hidden="1">{"OK_FUEL_COMPARISON",#N/A,FALSE,"Ok_Fuel&amp;Rev"}</definedName>
    <definedName name="wrn.OK._.FUEL._.COMPARISON." hidden="1">{"OK_FUEL_COMPARISON",#N/A,FALSE,"Ok_Fuel&amp;Rev"}</definedName>
    <definedName name="wrn.OK._.JURIS._.FAC._.CALCULATION." localSheetId="10" hidden="1">{"OK_JURIS_FAC",#N/A,FALSE,"Ok_Fuel&amp;Rev"}</definedName>
    <definedName name="wrn.OK._.JURIS._.FAC._.CALCULATION." localSheetId="11" hidden="1">{"OK_JURIS_FAC",#N/A,FALSE,"Ok_Fuel&amp;Rev"}</definedName>
    <definedName name="wrn.OK._.JURIS._.FAC._.CALCULATION." localSheetId="12" hidden="1">{"OK_JURIS_FAC",#N/A,FALSE,"Ok_Fuel&amp;Rev"}</definedName>
    <definedName name="wrn.OK._.JURIS._.FAC._.CALCULATION." localSheetId="13" hidden="1">{"OK_JURIS_FAC",#N/A,FALSE,"Ok_Fuel&amp;Rev"}</definedName>
    <definedName name="wrn.OK._.JURIS._.FAC._.CALCULATION." localSheetId="14" hidden="1">{"OK_JURIS_FAC",#N/A,FALSE,"Ok_Fuel&amp;Rev"}</definedName>
    <definedName name="wrn.OK._.JURIS._.FAC._.CALCULATION." localSheetId="15" hidden="1">{"OK_JURIS_FAC",#N/A,FALSE,"Ok_Fuel&amp;Rev"}</definedName>
    <definedName name="wrn.OK._.JURIS._.FAC._.CALCULATION." localSheetId="16" hidden="1">{"OK_JURIS_FAC",#N/A,FALSE,"Ok_Fuel&amp;Rev"}</definedName>
    <definedName name="wrn.OK._.JURIS._.FAC._.CALCULATION." localSheetId="17" hidden="1">{"OK_JURIS_FAC",#N/A,FALSE,"Ok_Fuel&amp;Rev"}</definedName>
    <definedName name="wrn.OK._.JURIS._.FAC._.CALCULATION." localSheetId="19" hidden="1">{"OK_JURIS_FAC",#N/A,FALSE,"Ok_Fuel&amp;Rev"}</definedName>
    <definedName name="wrn.OK._.JURIS._.FAC._.CALCULATION." localSheetId="20" hidden="1">{"OK_JURIS_FAC",#N/A,FALSE,"Ok_Fuel&amp;Rev"}</definedName>
    <definedName name="wrn.OK._.JURIS._.FAC._.CALCULATION." localSheetId="21" hidden="1">{"OK_JURIS_FAC",#N/A,FALSE,"Ok_Fuel&amp;Rev"}</definedName>
    <definedName name="wrn.OK._.JURIS._.FAC._.CALCULATION." localSheetId="22" hidden="1">{"OK_JURIS_FAC",#N/A,FALSE,"Ok_Fuel&amp;Rev"}</definedName>
    <definedName name="wrn.OK._.JURIS._.FAC._.CALCULATION." localSheetId="23" hidden="1">{"OK_JURIS_FAC",#N/A,FALSE,"Ok_Fuel&amp;Rev"}</definedName>
    <definedName name="wrn.OK._.JURIS._.FAC._.CALCULATION." localSheetId="24" hidden="1">{"OK_JURIS_FAC",#N/A,FALSE,"Ok_Fuel&amp;Rev"}</definedName>
    <definedName name="wrn.OK._.JURIS._.FAC._.CALCULATION." hidden="1">{"OK_JURIS_FAC",#N/A,FALSE,"Ok_Fuel&amp;Rev"}</definedName>
    <definedName name="wrn.OK._.JURIS._.FUEL._.COST." localSheetId="10" hidden="1">{"OK_JURIS_FUEL",#N/A,FALSE,"Ok_Fuel&amp;Rev"}</definedName>
    <definedName name="wrn.OK._.JURIS._.FUEL._.COST." localSheetId="11" hidden="1">{"OK_JURIS_FUEL",#N/A,FALSE,"Ok_Fuel&amp;Rev"}</definedName>
    <definedName name="wrn.OK._.JURIS._.FUEL._.COST." localSheetId="12" hidden="1">{"OK_JURIS_FUEL",#N/A,FALSE,"Ok_Fuel&amp;Rev"}</definedName>
    <definedName name="wrn.OK._.JURIS._.FUEL._.COST." localSheetId="13" hidden="1">{"OK_JURIS_FUEL",#N/A,FALSE,"Ok_Fuel&amp;Rev"}</definedName>
    <definedName name="wrn.OK._.JURIS._.FUEL._.COST." localSheetId="14" hidden="1">{"OK_JURIS_FUEL",#N/A,FALSE,"Ok_Fuel&amp;Rev"}</definedName>
    <definedName name="wrn.OK._.JURIS._.FUEL._.COST." localSheetId="15" hidden="1">{"OK_JURIS_FUEL",#N/A,FALSE,"Ok_Fuel&amp;Rev"}</definedName>
    <definedName name="wrn.OK._.JURIS._.FUEL._.COST." localSheetId="16" hidden="1">{"OK_JURIS_FUEL",#N/A,FALSE,"Ok_Fuel&amp;Rev"}</definedName>
    <definedName name="wrn.OK._.JURIS._.FUEL._.COST." localSheetId="17" hidden="1">{"OK_JURIS_FUEL",#N/A,FALSE,"Ok_Fuel&amp;Rev"}</definedName>
    <definedName name="wrn.OK._.JURIS._.FUEL._.COST." localSheetId="19" hidden="1">{"OK_JURIS_FUEL",#N/A,FALSE,"Ok_Fuel&amp;Rev"}</definedName>
    <definedName name="wrn.OK._.JURIS._.FUEL._.COST." localSheetId="20" hidden="1">{"OK_JURIS_FUEL",#N/A,FALSE,"Ok_Fuel&amp;Rev"}</definedName>
    <definedName name="wrn.OK._.JURIS._.FUEL._.COST." localSheetId="21" hidden="1">{"OK_JURIS_FUEL",#N/A,FALSE,"Ok_Fuel&amp;Rev"}</definedName>
    <definedName name="wrn.OK._.JURIS._.FUEL._.COST." localSheetId="22" hidden="1">{"OK_JURIS_FUEL",#N/A,FALSE,"Ok_Fuel&amp;Rev"}</definedName>
    <definedName name="wrn.OK._.JURIS._.FUEL._.COST." localSheetId="23" hidden="1">{"OK_JURIS_FUEL",#N/A,FALSE,"Ok_Fuel&amp;Rev"}</definedName>
    <definedName name="wrn.OK._.JURIS._.FUEL._.COST." localSheetId="24" hidden="1">{"OK_JURIS_FUEL",#N/A,FALSE,"Ok_Fuel&amp;Rev"}</definedName>
    <definedName name="wrn.OK._.JURIS._.FUEL._.COST." hidden="1">{"OK_JURIS_FUEL",#N/A,FALSE,"Ok_Fuel&amp;Rev"}</definedName>
    <definedName name="wrn.OKLA._.PRO._.FORMA._.FUEL." localSheetId="10" hidden="1">{"OK_PRO_FORMA_FUEL",#N/A,FALSE,"Ok_Fuel&amp;Rev"}</definedName>
    <definedName name="wrn.OKLA._.PRO._.FORMA._.FUEL." localSheetId="11" hidden="1">{"OK_PRO_FORMA_FUEL",#N/A,FALSE,"Ok_Fuel&amp;Rev"}</definedName>
    <definedName name="wrn.OKLA._.PRO._.FORMA._.FUEL." localSheetId="12" hidden="1">{"OK_PRO_FORMA_FUEL",#N/A,FALSE,"Ok_Fuel&amp;Rev"}</definedName>
    <definedName name="wrn.OKLA._.PRO._.FORMA._.FUEL." localSheetId="13" hidden="1">{"OK_PRO_FORMA_FUEL",#N/A,FALSE,"Ok_Fuel&amp;Rev"}</definedName>
    <definedName name="wrn.OKLA._.PRO._.FORMA._.FUEL." localSheetId="14" hidden="1">{"OK_PRO_FORMA_FUEL",#N/A,FALSE,"Ok_Fuel&amp;Rev"}</definedName>
    <definedName name="wrn.OKLA._.PRO._.FORMA._.FUEL." localSheetId="15" hidden="1">{"OK_PRO_FORMA_FUEL",#N/A,FALSE,"Ok_Fuel&amp;Rev"}</definedName>
    <definedName name="wrn.OKLA._.PRO._.FORMA._.FUEL." localSheetId="16" hidden="1">{"OK_PRO_FORMA_FUEL",#N/A,FALSE,"Ok_Fuel&amp;Rev"}</definedName>
    <definedName name="wrn.OKLA._.PRO._.FORMA._.FUEL." localSheetId="17" hidden="1">{"OK_PRO_FORMA_FUEL",#N/A,FALSE,"Ok_Fuel&amp;Rev"}</definedName>
    <definedName name="wrn.OKLA._.PRO._.FORMA._.FUEL." localSheetId="19" hidden="1">{"OK_PRO_FORMA_FUEL",#N/A,FALSE,"Ok_Fuel&amp;Rev"}</definedName>
    <definedName name="wrn.OKLA._.PRO._.FORMA._.FUEL." localSheetId="20" hidden="1">{"OK_PRO_FORMA_FUEL",#N/A,FALSE,"Ok_Fuel&amp;Rev"}</definedName>
    <definedName name="wrn.OKLA._.PRO._.FORMA._.FUEL." localSheetId="21" hidden="1">{"OK_PRO_FORMA_FUEL",#N/A,FALSE,"Ok_Fuel&amp;Rev"}</definedName>
    <definedName name="wrn.OKLA._.PRO._.FORMA._.FUEL." localSheetId="22" hidden="1">{"OK_PRO_FORMA_FUEL",#N/A,FALSE,"Ok_Fuel&amp;Rev"}</definedName>
    <definedName name="wrn.OKLA._.PRO._.FORMA._.FUEL." localSheetId="23" hidden="1">{"OK_PRO_FORMA_FUEL",#N/A,FALSE,"Ok_Fuel&amp;Rev"}</definedName>
    <definedName name="wrn.OKLA._.PRO._.FORMA._.FUEL." localSheetId="24" hidden="1">{"OK_PRO_FORMA_FUEL",#N/A,FALSE,"Ok_Fuel&amp;Rev"}</definedName>
    <definedName name="wrn.OKLA._.PRO._.FORMA._.FUEL." hidden="1">{"OK_PRO_FORMA_FUEL",#N/A,FALSE,"Ok_Fuel&amp;Rev"}</definedName>
    <definedName name="wrn.OM._.EXPENSES." hidden="1">{"JURIS_OM_EXP",#N/A,FALSE,"COSTSTUDY";"OKCLS_OM_EXP",#N/A,FALSE,"COSTSTUDY"}</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EXPENSE." localSheetId="12" hidden="1">{"PF",#N/A,FALSE,"Sheet4";"PG",#N/A,FALSE,"Sheet4";"PH",#N/A,FALSE,"Sheet4";"PI",#N/A,FALSE,"Sheet4";"PJ",#N/A,FALSE,"Sheet4"}</definedName>
    <definedName name="wrn.OMEXPENSE." localSheetId="13" hidden="1">{"PF",#N/A,FALSE,"Sheet4";"PG",#N/A,FALSE,"Sheet4";"PH",#N/A,FALSE,"Sheet4";"PI",#N/A,FALSE,"Sheet4";"PJ",#N/A,FALSE,"Sheet4"}</definedName>
    <definedName name="wrn.OMEXPENSE." localSheetId="14" hidden="1">{"PF",#N/A,FALSE,"Sheet4";"PG",#N/A,FALSE,"Sheet4";"PH",#N/A,FALSE,"Sheet4";"PI",#N/A,FALSE,"Sheet4";"PJ",#N/A,FALSE,"Sheet4"}</definedName>
    <definedName name="wrn.OMEXPENSE." localSheetId="15" hidden="1">{"PF",#N/A,FALSE,"Sheet4";"PG",#N/A,FALSE,"Sheet4";"PH",#N/A,FALSE,"Sheet4";"PI",#N/A,FALSE,"Sheet4";"PJ",#N/A,FALSE,"Sheet4"}</definedName>
    <definedName name="wrn.OMEXPENSE." localSheetId="16" hidden="1">{"PF",#N/A,FALSE,"Sheet4";"PG",#N/A,FALSE,"Sheet4";"PH",#N/A,FALSE,"Sheet4";"PI",#N/A,FALSE,"Sheet4";"PJ",#N/A,FALSE,"Sheet4"}</definedName>
    <definedName name="wrn.OMEXPENSE." localSheetId="17" hidden="1">{"PF",#N/A,FALSE,"Sheet4";"PG",#N/A,FALSE,"Sheet4";"PH",#N/A,FALSE,"Sheet4";"PI",#N/A,FALSE,"Sheet4";"PJ",#N/A,FALSE,"Sheet4"}</definedName>
    <definedName name="wrn.OMEXPENSE." localSheetId="19" hidden="1">{"PF",#N/A,FALSE,"Sheet4";"PG",#N/A,FALSE,"Sheet4";"PH",#N/A,FALSE,"Sheet4";"PI",#N/A,FALSE,"Sheet4";"PJ",#N/A,FALSE,"Sheet4"}</definedName>
    <definedName name="wrn.OMEXPENSE." localSheetId="20" hidden="1">{"PF",#N/A,FALSE,"Sheet4";"PG",#N/A,FALSE,"Sheet4";"PH",#N/A,FALSE,"Sheet4";"PI",#N/A,FALSE,"Sheet4";"PJ",#N/A,FALSE,"Sheet4"}</definedName>
    <definedName name="wrn.OMEXPENSE." localSheetId="21" hidden="1">{"PF",#N/A,FALSE,"Sheet4";"PG",#N/A,FALSE,"Sheet4";"PH",#N/A,FALSE,"Sheet4";"PI",#N/A,FALSE,"Sheet4";"PJ",#N/A,FALSE,"Sheet4"}</definedName>
    <definedName name="wrn.OMEXPENSE." localSheetId="22" hidden="1">{"PF",#N/A,FALSE,"Sheet4";"PG",#N/A,FALSE,"Sheet4";"PH",#N/A,FALSE,"Sheet4";"PI",#N/A,FALSE,"Sheet4";"PJ",#N/A,FALSE,"Sheet4"}</definedName>
    <definedName name="wrn.OMEXPENSE." localSheetId="23" hidden="1">{"PF",#N/A,FALSE,"Sheet4";"PG",#N/A,FALSE,"Sheet4";"PH",#N/A,FALSE,"Sheet4";"PI",#N/A,FALSE,"Sheet4";"PJ",#N/A,FALSE,"Sheet4"}</definedName>
    <definedName name="wrn.OMEXPENSE." localSheetId="24" hidden="1">{"PF",#N/A,FALSE,"Sheet4";"PG",#N/A,FALSE,"Sheet4";"PH",#N/A,FALSE,"Sheet4";"PI",#N/A,FALSE,"Sheet4";"PJ",#N/A,FALSE,"Sheet4"}</definedName>
    <definedName name="wrn.OMEXPENSE." hidden="1">{"PF",#N/A,FALSE,"Sheet4";"PG",#N/A,FALSE,"Sheet4";"PH",#N/A,FALSE,"Sheet4";"PI",#N/A,FALSE,"Sheet4";"PJ",#N/A,FALSE,"Sheet4"}</definedName>
    <definedName name="wrn.OMPA._.FAC." localSheetId="10" hidden="1">{"OMPA_FAC",#N/A,FALSE,"OMPA FAC"}</definedName>
    <definedName name="wrn.OMPA._.FAC." localSheetId="11" hidden="1">{"OMPA_FAC",#N/A,FALSE,"OMPA FAC"}</definedName>
    <definedName name="wrn.OMPA._.FAC." localSheetId="12" hidden="1">{"OMPA_FAC",#N/A,FALSE,"OMPA FAC"}</definedName>
    <definedName name="wrn.OMPA._.FAC." localSheetId="13" hidden="1">{"OMPA_FAC",#N/A,FALSE,"OMPA FAC"}</definedName>
    <definedName name="wrn.OMPA._.FAC." localSheetId="14" hidden="1">{"OMPA_FAC",#N/A,FALSE,"OMPA FAC"}</definedName>
    <definedName name="wrn.OMPA._.FAC." localSheetId="15" hidden="1">{"OMPA_FAC",#N/A,FALSE,"OMPA FAC"}</definedName>
    <definedName name="wrn.OMPA._.FAC." localSheetId="16" hidden="1">{"OMPA_FAC",#N/A,FALSE,"OMPA FAC"}</definedName>
    <definedName name="wrn.OMPA._.FAC." localSheetId="17" hidden="1">{"OMPA_FAC",#N/A,FALSE,"OMPA FAC"}</definedName>
    <definedName name="wrn.OMPA._.FAC." localSheetId="19" hidden="1">{"OMPA_FAC",#N/A,FALSE,"OMPA FAC"}</definedName>
    <definedName name="wrn.OMPA._.FAC." localSheetId="20" hidden="1">{"OMPA_FAC",#N/A,FALSE,"OMPA FAC"}</definedName>
    <definedName name="wrn.OMPA._.FAC." localSheetId="21" hidden="1">{"OMPA_FAC",#N/A,FALSE,"OMPA FAC"}</definedName>
    <definedName name="wrn.OMPA._.FAC." localSheetId="22" hidden="1">{"OMPA_FAC",#N/A,FALSE,"OMPA FAC"}</definedName>
    <definedName name="wrn.OMPA._.FAC." localSheetId="23" hidden="1">{"OMPA_FAC",#N/A,FALSE,"OMPA FAC"}</definedName>
    <definedName name="wrn.OMPA._.FAC." localSheetId="24" hidden="1">{"OMPA_FAC",#N/A,FALSE,"OMPA FAC"}</definedName>
    <definedName name="wrn.OMPA._.FAC." hidden="1">{"OMPA_FAC",#N/A,FALSE,"OMPA FAC"}</definedName>
    <definedName name="wrn.OTHER._.DATA." localSheetId="10" hidden="1">{"OTHER_DATA",#N/A,FALSE,"Ok_Fuel&amp;Rev"}</definedName>
    <definedName name="wrn.OTHER._.DATA." localSheetId="11" hidden="1">{"OTHER_DATA",#N/A,FALSE,"Ok_Fuel&amp;Rev"}</definedName>
    <definedName name="wrn.OTHER._.DATA." localSheetId="12" hidden="1">{"OTHER_DATA",#N/A,FALSE,"Ok_Fuel&amp;Rev"}</definedName>
    <definedName name="wrn.OTHER._.DATA." localSheetId="13" hidden="1">{"OTHER_DATA",#N/A,FALSE,"Ok_Fuel&amp;Rev"}</definedName>
    <definedName name="wrn.OTHER._.DATA." localSheetId="14" hidden="1">{"OTHER_DATA",#N/A,FALSE,"Ok_Fuel&amp;Rev"}</definedName>
    <definedName name="wrn.OTHER._.DATA." localSheetId="15" hidden="1">{"OTHER_DATA",#N/A,FALSE,"Ok_Fuel&amp;Rev"}</definedName>
    <definedName name="wrn.OTHER._.DATA." localSheetId="16" hidden="1">{"OTHER_DATA",#N/A,FALSE,"Ok_Fuel&amp;Rev"}</definedName>
    <definedName name="wrn.OTHER._.DATA." localSheetId="17" hidden="1">{"OTHER_DATA",#N/A,FALSE,"Ok_Fuel&amp;Rev"}</definedName>
    <definedName name="wrn.OTHER._.DATA." localSheetId="19" hidden="1">{"OTHER_DATA",#N/A,FALSE,"Ok_Fuel&amp;Rev"}</definedName>
    <definedName name="wrn.OTHER._.DATA." localSheetId="20" hidden="1">{"OTHER_DATA",#N/A,FALSE,"Ok_Fuel&amp;Rev"}</definedName>
    <definedName name="wrn.OTHER._.DATA." localSheetId="21" hidden="1">{"OTHER_DATA",#N/A,FALSE,"Ok_Fuel&amp;Rev"}</definedName>
    <definedName name="wrn.OTHER._.DATA." localSheetId="22" hidden="1">{"OTHER_DATA",#N/A,FALSE,"Ok_Fuel&amp;Rev"}</definedName>
    <definedName name="wrn.OTHER._.DATA." localSheetId="23" hidden="1">{"OTHER_DATA",#N/A,FALSE,"Ok_Fuel&amp;Rev"}</definedName>
    <definedName name="wrn.OTHER._.DATA." localSheetId="24" hidden="1">{"OTHER_DATA",#N/A,FALSE,"Ok_Fuel&amp;Rev"}</definedName>
    <definedName name="wrn.OTHER._.DATA." hidden="1">{"OTHER_DATA",#N/A,FALSE,"Ok_Fuel&amp;Rev"}</definedName>
    <definedName name="wrn.Overall_Scorecard." localSheetId="11" hidden="1">{"Overall Scorecard",#N/A,FALSE,"Overall Scorecard"}</definedName>
    <definedName name="wrn.Overall_Scorecard." localSheetId="12" hidden="1">{"Overall Scorecard",#N/A,FALSE,"Overall Scorecard"}</definedName>
    <definedName name="wrn.Overall_Scorecard." localSheetId="20" hidden="1">{"Overall Scorecard",#N/A,FALSE,"Overall Scorecard"}</definedName>
    <definedName name="wrn.Overall_Scorecard." localSheetId="21" hidden="1">{"Overall Scorecard",#N/A,FALSE,"Overall Scorecard"}</definedName>
    <definedName name="wrn.Overall_Scorecard." localSheetId="22" hidden="1">{"Overall Scorecard",#N/A,FALSE,"Overall Scorecard"}</definedName>
    <definedName name="wrn.Overall_Scorecard." localSheetId="23" hidden="1">{"Overall Scorecard",#N/A,FALSE,"Overall Scorecard"}</definedName>
    <definedName name="wrn.Overall_Scorecard." hidden="1">{"Overall Scorecard",#N/A,FALSE,"Overall Scorecard"}</definedName>
    <definedName name="wrn.Percent_of_Change." localSheetId="11" hidden="1">{"% of Change=O&amp;M per Customer+Equiv Employee",#N/A,FALSE,"% Change";"% o Change=OR + Rev per Equivalent Employee",#N/A,FALSE,"% Change"}</definedName>
    <definedName name="wrn.Percent_of_Change." localSheetId="12" hidden="1">{"% of Change=O&amp;M per Customer+Equiv Employee",#N/A,FALSE,"% Change";"% o Change=OR + Rev per Equivalent Employee",#N/A,FALSE,"% Change"}</definedName>
    <definedName name="wrn.Percent_of_Change." localSheetId="20" hidden="1">{"% of Change=O&amp;M per Customer+Equiv Employee",#N/A,FALSE,"% Change";"% o Change=OR + Rev per Equivalent Employee",#N/A,FALSE,"% Change"}</definedName>
    <definedName name="wrn.Percent_of_Change." localSheetId="21" hidden="1">{"% of Change=O&amp;M per Customer+Equiv Employee",#N/A,FALSE,"% Change";"% o Change=OR + Rev per Equivalent Employee",#N/A,FALSE,"% Change"}</definedName>
    <definedName name="wrn.Percent_of_Change." localSheetId="22" hidden="1">{"% of Change=O&amp;M per Customer+Equiv Employee",#N/A,FALSE,"% Change";"% o Change=OR + Rev per Equivalent Employee",#N/A,FALSE,"% Change"}</definedName>
    <definedName name="wrn.Percent_of_Change." localSheetId="23" hidden="1">{"% of Change=O&amp;M per Customer+Equiv Employee",#N/A,FALSE,"% Change";"% o Change=OR + Rev per Equivalent Employee",#N/A,FALSE,"% Change"}</definedName>
    <definedName name="wrn.Percent_of_Change." hidden="1">{"% of Change=O&amp;M per Customer+Equiv Employee",#N/A,FALSE,"% Change";"% o Change=OR + Rev per Equivalent Employee",#N/A,FALSE,"% Change"}</definedName>
    <definedName name="wrn.Percent_of_Goal." localSheetId="11" hidden="1">{"% of Goals=O&amp;M per Customer + Equiv Employee",#N/A,FALSE,"% of Goal";"% of Goals=Operating Ration + Return on Net Plnt",#N/A,FALSE,"% of Goal";"% of Goals=Revenue per Equivalent Employee",#N/A,FALSE,"% of Goal"}</definedName>
    <definedName name="wrn.Percent_of_Goal." localSheetId="12" hidden="1">{"% of Goals=O&amp;M per Customer + Equiv Employee",#N/A,FALSE,"% of Goal";"% of Goals=Operating Ration + Return on Net Plnt",#N/A,FALSE,"% of Goal";"% of Goals=Revenue per Equivalent Employee",#N/A,FALSE,"% of Goal"}</definedName>
    <definedName name="wrn.Percent_of_Goal." localSheetId="20" hidden="1">{"% of Goals=O&amp;M per Customer + Equiv Employee",#N/A,FALSE,"% of Goal";"% of Goals=Operating Ration + Return on Net Plnt",#N/A,FALSE,"% of Goal";"% of Goals=Revenue per Equivalent Employee",#N/A,FALSE,"% of Goal"}</definedName>
    <definedName name="wrn.Percent_of_Goal." localSheetId="21" hidden="1">{"% of Goals=O&amp;M per Customer + Equiv Employee",#N/A,FALSE,"% of Goal";"% of Goals=Operating Ration + Return on Net Plnt",#N/A,FALSE,"% of Goal";"% of Goals=Revenue per Equivalent Employee",#N/A,FALSE,"% of Goal"}</definedName>
    <definedName name="wrn.Percent_of_Goal." localSheetId="22" hidden="1">{"% of Goals=O&amp;M per Customer + Equiv Employee",#N/A,FALSE,"% of Goal";"% of Goals=Operating Ration + Return on Net Plnt",#N/A,FALSE,"% of Goal";"% of Goals=Revenue per Equivalent Employee",#N/A,FALSE,"% of Goal"}</definedName>
    <definedName name="wrn.Percent_of_Goal." localSheetId="23" hidden="1">{"% of Goals=O&amp;M per Customer + Equiv Employee",#N/A,FALSE,"% of Goal";"% of Goals=Operating Ration + Return on Net Plnt",#N/A,FALSE,"% of Goal";"% of Goals=Revenue per Equivalent Employee",#N/A,FALSE,"% of Goal"}</definedName>
    <definedName name="wrn.Percent_of_Goal." hidden="1">{"% of Goals=O&amp;M per Customer + Equiv Employee",#N/A,FALSE,"% of Goal";"% of Goals=Operating Ration + Return on Net Plnt",#N/A,FALSE,"% of Goal";"% of Goals=Revenue per Equivalent Employee",#N/A,FALSE,"% of Goal"}</definedName>
    <definedName name="wrn.Pivot1." localSheetId="10" hidden="1">{"Pivot1",#N/A,FALSE,"Redemption_Maturity Extract"}</definedName>
    <definedName name="wrn.Pivot1." localSheetId="11" hidden="1">{"Pivot1",#N/A,FALSE,"Redemption_Maturity Extract"}</definedName>
    <definedName name="wrn.Pivot1." localSheetId="12" hidden="1">{"Pivot1",#N/A,FALSE,"Redemption_Maturity Extract"}</definedName>
    <definedName name="wrn.Pivot1." localSheetId="13" hidden="1">{"Pivot1",#N/A,FALSE,"Redemption_Maturity Extract"}</definedName>
    <definedName name="wrn.Pivot1." localSheetId="14" hidden="1">{"Pivot1",#N/A,FALSE,"Redemption_Maturity Extract"}</definedName>
    <definedName name="wrn.Pivot1." localSheetId="15" hidden="1">{"Pivot1",#N/A,FALSE,"Redemption_Maturity Extract"}</definedName>
    <definedName name="wrn.Pivot1." localSheetId="16" hidden="1">{"Pivot1",#N/A,FALSE,"Redemption_Maturity Extract"}</definedName>
    <definedName name="wrn.Pivot1." localSheetId="17" hidden="1">{"Pivot1",#N/A,FALSE,"Redemption_Maturity Extract"}</definedName>
    <definedName name="wrn.Pivot1." localSheetId="19" hidden="1">{"Pivot1",#N/A,FALSE,"Redemption_Maturity Extract"}</definedName>
    <definedName name="wrn.Pivot1." localSheetId="20" hidden="1">{"Pivot1",#N/A,FALSE,"Redemption_Maturity Extract"}</definedName>
    <definedName name="wrn.Pivot1." localSheetId="21" hidden="1">{"Pivot1",#N/A,FALSE,"Redemption_Maturity Extract"}</definedName>
    <definedName name="wrn.Pivot1." localSheetId="22" hidden="1">{"Pivot1",#N/A,FALSE,"Redemption_Maturity Extract"}</definedName>
    <definedName name="wrn.Pivot1." localSheetId="23" hidden="1">{"Pivot1",#N/A,FALSE,"Redemption_Maturity Extract"}</definedName>
    <definedName name="wrn.Pivot1." localSheetId="24" hidden="1">{"Pivot1",#N/A,FALSE,"Redemption_Maturity Extract"}</definedName>
    <definedName name="wrn.Pivot1." hidden="1">{"Pivot1",#N/A,FALSE,"Redemption_Maturity Extract"}</definedName>
    <definedName name="wrn.Pivot2." localSheetId="10" hidden="1">{"Pivot2",#N/A,FALSE,"Redemption_Maturity Extract"}</definedName>
    <definedName name="wrn.Pivot2." localSheetId="11" hidden="1">{"Pivot2",#N/A,FALSE,"Redemption_Maturity Extract"}</definedName>
    <definedName name="wrn.Pivot2." localSheetId="12" hidden="1">{"Pivot2",#N/A,FALSE,"Redemption_Maturity Extract"}</definedName>
    <definedName name="wrn.Pivot2." localSheetId="13" hidden="1">{"Pivot2",#N/A,FALSE,"Redemption_Maturity Extract"}</definedName>
    <definedName name="wrn.Pivot2." localSheetId="14" hidden="1">{"Pivot2",#N/A,FALSE,"Redemption_Maturity Extract"}</definedName>
    <definedName name="wrn.Pivot2." localSheetId="15" hidden="1">{"Pivot2",#N/A,FALSE,"Redemption_Maturity Extract"}</definedName>
    <definedName name="wrn.Pivot2." localSheetId="16" hidden="1">{"Pivot2",#N/A,FALSE,"Redemption_Maturity Extract"}</definedName>
    <definedName name="wrn.Pivot2." localSheetId="17" hidden="1">{"Pivot2",#N/A,FALSE,"Redemption_Maturity Extract"}</definedName>
    <definedName name="wrn.Pivot2." localSheetId="19" hidden="1">{"Pivot2",#N/A,FALSE,"Redemption_Maturity Extract"}</definedName>
    <definedName name="wrn.Pivot2." localSheetId="20" hidden="1">{"Pivot2",#N/A,FALSE,"Redemption_Maturity Extract"}</definedName>
    <definedName name="wrn.Pivot2." localSheetId="21" hidden="1">{"Pivot2",#N/A,FALSE,"Redemption_Maturity Extract"}</definedName>
    <definedName name="wrn.Pivot2." localSheetId="22" hidden="1">{"Pivot2",#N/A,FALSE,"Redemption_Maturity Extract"}</definedName>
    <definedName name="wrn.Pivot2." localSheetId="23" hidden="1">{"Pivot2",#N/A,FALSE,"Redemption_Maturity Extract"}</definedName>
    <definedName name="wrn.Pivot2." localSheetId="24" hidden="1">{"Pivot2",#N/A,FALSE,"Redemption_Maturity Extract"}</definedName>
    <definedName name="wrn.Pivot2." hidden="1">{"Pivot2",#N/A,FALSE,"Redemption_Maturity Extract"}</definedName>
    <definedName name="wrn.PLANT._.IN._.SERVICE." hidden="1">{"JURIS_PLT_IN_SERV",#N/A,FALSE,"COSTSTUDY";"OKCLS_PLT_IN_SERV",#N/A,FALSE,"COSTSTUDY"}</definedName>
    <definedName name="wrn.Points_Achieved." localSheetId="11" hidden="1">{"Points=O&amp;M per Customer + per Equiv Employee",#N/A,FALSE,"Points";"Points=Operating Ratio + Return on Net Plant",#N/A,FALSE,"Points";"Points=Revenue per Equivalent Employee",#N/A,FALSE,"Points"}</definedName>
    <definedName name="wrn.Points_Achieved." localSheetId="12" hidden="1">{"Points=O&amp;M per Customer + per Equiv Employee",#N/A,FALSE,"Points";"Points=Operating Ratio + Return on Net Plant",#N/A,FALSE,"Points";"Points=Revenue per Equivalent Employee",#N/A,FALSE,"Points"}</definedName>
    <definedName name="wrn.Points_Achieved." localSheetId="20" hidden="1">{"Points=O&amp;M per Customer + per Equiv Employee",#N/A,FALSE,"Points";"Points=Operating Ratio + Return on Net Plant",#N/A,FALSE,"Points";"Points=Revenue per Equivalent Employee",#N/A,FALSE,"Points"}</definedName>
    <definedName name="wrn.Points_Achieved." localSheetId="21" hidden="1">{"Points=O&amp;M per Customer + per Equiv Employee",#N/A,FALSE,"Points";"Points=Operating Ratio + Return on Net Plant",#N/A,FALSE,"Points";"Points=Revenue per Equivalent Employee",#N/A,FALSE,"Points"}</definedName>
    <definedName name="wrn.Points_Achieved." localSheetId="22" hidden="1">{"Points=O&amp;M per Customer + per Equiv Employee",#N/A,FALSE,"Points";"Points=Operating Ratio + Return on Net Plant",#N/A,FALSE,"Points";"Points=Revenue per Equivalent Employee",#N/A,FALSE,"Points"}</definedName>
    <definedName name="wrn.Points_Achieved." localSheetId="23" hidden="1">{"Points=O&amp;M per Customer + per Equiv Employee",#N/A,FALSE,"Points";"Points=Operating Ratio + Return on Net Plant",#N/A,FALSE,"Points";"Points=Revenue per Equivalent Employee",#N/A,FALSE,"Points"}</definedName>
    <definedName name="wrn.Points_Achieved." hidden="1">{"Points=O&amp;M per Customer + per Equiv Employee",#N/A,FALSE,"Points";"Points=Operating Ratio + Return on Net Plant",#N/A,FALSE,"Points";"Points=Revenue per Equivalent Employee",#N/A,FALSE,"Points"}</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5"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10" hidden="1">{"summary",#N/A,TRUE,"E93ADJ";"detail",#N/A,TRUE,"E93ADJ"}</definedName>
    <definedName name="wrn.PRINT_ALL." localSheetId="11" hidden="1">{"summary",#N/A,TRUE,"E93ADJ";"detail",#N/A,TRUE,"E93ADJ"}</definedName>
    <definedName name="wrn.PRINT_ALL." localSheetId="12" hidden="1">{"summary",#N/A,TRUE,"E93ADJ";"detail",#N/A,TRUE,"E93ADJ"}</definedName>
    <definedName name="wrn.PRINT_ALL." localSheetId="13" hidden="1">{"summary",#N/A,TRUE,"E93ADJ";"detail",#N/A,TRUE,"E93ADJ"}</definedName>
    <definedName name="wrn.PRINT_ALL." localSheetId="14" hidden="1">{"summary",#N/A,TRUE,"E93ADJ";"detail",#N/A,TRUE,"E93ADJ"}</definedName>
    <definedName name="wrn.PRINT_ALL." localSheetId="15" hidden="1">{"summary",#N/A,TRUE,"E93ADJ";"detail",#N/A,TRUE,"E93ADJ"}</definedName>
    <definedName name="wrn.PRINT_ALL." localSheetId="16" hidden="1">{"summary",#N/A,TRUE,"E93ADJ";"detail",#N/A,TRUE,"E93ADJ"}</definedName>
    <definedName name="wrn.PRINT_ALL." localSheetId="17" hidden="1">{"summary",#N/A,TRUE,"E93ADJ";"detail",#N/A,TRUE,"E93ADJ"}</definedName>
    <definedName name="wrn.PRINT_ALL." localSheetId="19" hidden="1">{"summary",#N/A,TRUE,"E93ADJ";"detail",#N/A,TRUE,"E93ADJ"}</definedName>
    <definedName name="wrn.PRINT_ALL." localSheetId="20" hidden="1">{"summary",#N/A,TRUE,"E93ADJ";"detail",#N/A,TRUE,"E93ADJ"}</definedName>
    <definedName name="wrn.PRINT_ALL." localSheetId="21" hidden="1">{"summary",#N/A,TRUE,"E93ADJ";"detail",#N/A,TRUE,"E93ADJ"}</definedName>
    <definedName name="wrn.PRINT_ALL." localSheetId="22" hidden="1">{"summary",#N/A,TRUE,"E93ADJ";"detail",#N/A,TRUE,"E93ADJ"}</definedName>
    <definedName name="wrn.PRINT_ALL." localSheetId="23" hidden="1">{"summary",#N/A,TRUE,"E93ADJ";"detail",#N/A,TRUE,"E93ADJ"}</definedName>
    <definedName name="wrn.PRINT_ALL." localSheetId="24" hidden="1">{"summary",#N/A,TRUE,"E93ADJ";"detail",#N/A,TRUE,"E93ADJ"}</definedName>
    <definedName name="wrn.PRINT_ALL." hidden="1">{"summary",#N/A,TRUE,"E93ADJ";"detail",#N/A,TRUE,"E93ADJ"}</definedName>
    <definedName name="wrn.printtable1." localSheetId="10" hidden="1">{"print1",#N/A,FALSE,"D21CUSTS"}</definedName>
    <definedName name="wrn.printtable1." localSheetId="11" hidden="1">{"print1",#N/A,FALSE,"D21CUSTS"}</definedName>
    <definedName name="wrn.printtable1." localSheetId="12" hidden="1">{"print1",#N/A,FALSE,"D21CUSTS"}</definedName>
    <definedName name="wrn.printtable1." localSheetId="13" hidden="1">{"print1",#N/A,FALSE,"D21CUSTS"}</definedName>
    <definedName name="wrn.printtable1." localSheetId="14" hidden="1">{"print1",#N/A,FALSE,"D21CUSTS"}</definedName>
    <definedName name="wrn.printtable1." localSheetId="15" hidden="1">{"print1",#N/A,FALSE,"D21CUSTS"}</definedName>
    <definedName name="wrn.printtable1." localSheetId="16" hidden="1">{"print1",#N/A,FALSE,"D21CUSTS"}</definedName>
    <definedName name="wrn.printtable1." localSheetId="17" hidden="1">{"print1",#N/A,FALSE,"D21CUSTS"}</definedName>
    <definedName name="wrn.printtable1." localSheetId="19" hidden="1">{"print1",#N/A,FALSE,"D21CUSTS"}</definedName>
    <definedName name="wrn.printtable1." localSheetId="20" hidden="1">{"print1",#N/A,FALSE,"D21CUSTS"}</definedName>
    <definedName name="wrn.printtable1." localSheetId="21" hidden="1">{"print1",#N/A,FALSE,"D21CUSTS"}</definedName>
    <definedName name="wrn.printtable1." localSheetId="22" hidden="1">{"print1",#N/A,FALSE,"D21CUSTS"}</definedName>
    <definedName name="wrn.printtable1." localSheetId="23" hidden="1">{"print1",#N/A,FALSE,"D21CUSTS"}</definedName>
    <definedName name="wrn.printtable1." localSheetId="24" hidden="1">{"print1",#N/A,FALSE,"D21CUSTS"}</definedName>
    <definedName name="wrn.printtable1." hidden="1">{"print1",#N/A,FALSE,"D21CUSTS"}</definedName>
    <definedName name="wrn.printtable2." localSheetId="10" hidden="1">{"print2",#N/A,FALSE,"D21CUSTS"}</definedName>
    <definedName name="wrn.printtable2." localSheetId="11" hidden="1">{"print2",#N/A,FALSE,"D21CUSTS"}</definedName>
    <definedName name="wrn.printtable2." localSheetId="12" hidden="1">{"print2",#N/A,FALSE,"D21CUSTS"}</definedName>
    <definedName name="wrn.printtable2." localSheetId="13" hidden="1">{"print2",#N/A,FALSE,"D21CUSTS"}</definedName>
    <definedName name="wrn.printtable2." localSheetId="14" hidden="1">{"print2",#N/A,FALSE,"D21CUSTS"}</definedName>
    <definedName name="wrn.printtable2." localSheetId="15" hidden="1">{"print2",#N/A,FALSE,"D21CUSTS"}</definedName>
    <definedName name="wrn.printtable2." localSheetId="16" hidden="1">{"print2",#N/A,FALSE,"D21CUSTS"}</definedName>
    <definedName name="wrn.printtable2." localSheetId="17" hidden="1">{"print2",#N/A,FALSE,"D21CUSTS"}</definedName>
    <definedName name="wrn.printtable2." localSheetId="19" hidden="1">{"print2",#N/A,FALSE,"D21CUSTS"}</definedName>
    <definedName name="wrn.printtable2." localSheetId="20" hidden="1">{"print2",#N/A,FALSE,"D21CUSTS"}</definedName>
    <definedName name="wrn.printtable2." localSheetId="21" hidden="1">{"print2",#N/A,FALSE,"D21CUSTS"}</definedName>
    <definedName name="wrn.printtable2." localSheetId="22" hidden="1">{"print2",#N/A,FALSE,"D21CUSTS"}</definedName>
    <definedName name="wrn.printtable2." localSheetId="23" hidden="1">{"print2",#N/A,FALSE,"D21CUSTS"}</definedName>
    <definedName name="wrn.printtable2." localSheetId="24" hidden="1">{"print2",#N/A,FALSE,"D21CUSTS"}</definedName>
    <definedName name="wrn.printtable2." hidden="1">{"print2",#N/A,FALSE,"D21CUSTS"}</definedName>
    <definedName name="wrn.printtable3." localSheetId="10" hidden="1">{"print3",#N/A,FALSE,"D21CUSTS"}</definedName>
    <definedName name="wrn.printtable3." localSheetId="11" hidden="1">{"print3",#N/A,FALSE,"D21CUSTS"}</definedName>
    <definedName name="wrn.printtable3." localSheetId="12" hidden="1">{"print3",#N/A,FALSE,"D21CUSTS"}</definedName>
    <definedName name="wrn.printtable3." localSheetId="13" hidden="1">{"print3",#N/A,FALSE,"D21CUSTS"}</definedName>
    <definedName name="wrn.printtable3." localSheetId="14" hidden="1">{"print3",#N/A,FALSE,"D21CUSTS"}</definedName>
    <definedName name="wrn.printtable3." localSheetId="15" hidden="1">{"print3",#N/A,FALSE,"D21CUSTS"}</definedName>
    <definedName name="wrn.printtable3." localSheetId="16" hidden="1">{"print3",#N/A,FALSE,"D21CUSTS"}</definedName>
    <definedName name="wrn.printtable3." localSheetId="17" hidden="1">{"print3",#N/A,FALSE,"D21CUSTS"}</definedName>
    <definedName name="wrn.printtable3." localSheetId="19" hidden="1">{"print3",#N/A,FALSE,"D21CUSTS"}</definedName>
    <definedName name="wrn.printtable3." localSheetId="20" hidden="1">{"print3",#N/A,FALSE,"D21CUSTS"}</definedName>
    <definedName name="wrn.printtable3." localSheetId="21" hidden="1">{"print3",#N/A,FALSE,"D21CUSTS"}</definedName>
    <definedName name="wrn.printtable3." localSheetId="22" hidden="1">{"print3",#N/A,FALSE,"D21CUSTS"}</definedName>
    <definedName name="wrn.printtable3." localSheetId="23" hidden="1">{"print3",#N/A,FALSE,"D21CUSTS"}</definedName>
    <definedName name="wrn.printtable3." localSheetId="24" hidden="1">{"print3",#N/A,FALSE,"D21CUSTS"}</definedName>
    <definedName name="wrn.printtable3." hidden="1">{"print3",#N/A,FALSE,"D21CUSTS"}</definedName>
    <definedName name="wrn.printtable4." localSheetId="10" hidden="1">{"print4",#N/A,FALSE,"D21CUSTS"}</definedName>
    <definedName name="wrn.printtable4." localSheetId="11" hidden="1">{"print4",#N/A,FALSE,"D21CUSTS"}</definedName>
    <definedName name="wrn.printtable4." localSheetId="12" hidden="1">{"print4",#N/A,FALSE,"D21CUSTS"}</definedName>
    <definedName name="wrn.printtable4." localSheetId="13" hidden="1">{"print4",#N/A,FALSE,"D21CUSTS"}</definedName>
    <definedName name="wrn.printtable4." localSheetId="14" hidden="1">{"print4",#N/A,FALSE,"D21CUSTS"}</definedName>
    <definedName name="wrn.printtable4." localSheetId="15" hidden="1">{"print4",#N/A,FALSE,"D21CUSTS"}</definedName>
    <definedName name="wrn.printtable4." localSheetId="16" hidden="1">{"print4",#N/A,FALSE,"D21CUSTS"}</definedName>
    <definedName name="wrn.printtable4." localSheetId="17" hidden="1">{"print4",#N/A,FALSE,"D21CUSTS"}</definedName>
    <definedName name="wrn.printtable4." localSheetId="19" hidden="1">{"print4",#N/A,FALSE,"D21CUSTS"}</definedName>
    <definedName name="wrn.printtable4." localSheetId="20" hidden="1">{"print4",#N/A,FALSE,"D21CUSTS"}</definedName>
    <definedName name="wrn.printtable4." localSheetId="21" hidden="1">{"print4",#N/A,FALSE,"D21CUSTS"}</definedName>
    <definedName name="wrn.printtable4." localSheetId="22" hidden="1">{"print4",#N/A,FALSE,"D21CUSTS"}</definedName>
    <definedName name="wrn.printtable4." localSheetId="23" hidden="1">{"print4",#N/A,FALSE,"D21CUSTS"}</definedName>
    <definedName name="wrn.printtable4." localSheetId="24" hidden="1">{"print4",#N/A,FALSE,"D21CUSTS"}</definedName>
    <definedName name="wrn.printtable4." hidden="1">{"print4",#N/A,FALSE,"D21CUSTS"}</definedName>
    <definedName name="wrn.Productivity_Ratios." localSheetId="1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12"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0"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2"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3"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Targets." localSheetId="11" hidden="1">{"PT=O&amp;M per Cust + Equiv Employee + OR",#N/A,FALSE,"1999 Targets";"PT=Return on Net Plant &amp; Rev per Customere",#N/A,FALSE,"1999 Targets"}</definedName>
    <definedName name="wrn.Productivity_Targets." localSheetId="12" hidden="1">{"PT=O&amp;M per Cust + Equiv Employee + OR",#N/A,FALSE,"1999 Targets";"PT=Return on Net Plant &amp; Rev per Customere",#N/A,FALSE,"1999 Targets"}</definedName>
    <definedName name="wrn.Productivity_Targets." localSheetId="20" hidden="1">{"PT=O&amp;M per Cust + Equiv Employee + OR",#N/A,FALSE,"1999 Targets";"PT=Return on Net Plant &amp; Rev per Customere",#N/A,FALSE,"1999 Targets"}</definedName>
    <definedName name="wrn.Productivity_Targets." localSheetId="21" hidden="1">{"PT=O&amp;M per Cust + Equiv Employee + OR",#N/A,FALSE,"1999 Targets";"PT=Return on Net Plant &amp; Rev per Customere",#N/A,FALSE,"1999 Targets"}</definedName>
    <definedName name="wrn.Productivity_Targets." localSheetId="22" hidden="1">{"PT=O&amp;M per Cust + Equiv Employee + OR",#N/A,FALSE,"1999 Targets";"PT=Return on Net Plant &amp; Rev per Customere",#N/A,FALSE,"1999 Targets"}</definedName>
    <definedName name="wrn.Productivity_Targets." localSheetId="23" hidden="1">{"PT=O&amp;M per Cust + Equiv Employee + OR",#N/A,FALSE,"1999 Targets";"PT=Return on Net Plant &amp; Rev per Customere",#N/A,FALSE,"1999 Targets"}</definedName>
    <definedName name="wrn.Productivity_Targets." hidden="1">{"PT=O&amp;M per Cust + Equiv Employee + OR",#N/A,FALSE,"1999 Targets";"PT=Return on Net Plant &amp; Rev per Customere",#N/A,FALSE,"1999 Targets"}</definedName>
    <definedName name="wrn.Proforma." localSheetId="11" hidden="1">{#N/A,#N/A,TRUE,"SLDE";#N/A,#N/A,TRUE,"Concession Summary"}</definedName>
    <definedName name="wrn.Proforma." localSheetId="12" hidden="1">{#N/A,#N/A,TRUE,"SLDE";#N/A,#N/A,TRUE,"Concession Summary"}</definedName>
    <definedName name="wrn.Proforma." localSheetId="20" hidden="1">{#N/A,#N/A,TRUE,"SLDE";#N/A,#N/A,TRUE,"Concession Summary"}</definedName>
    <definedName name="wrn.Proforma." localSheetId="21" hidden="1">{#N/A,#N/A,TRUE,"SLDE";#N/A,#N/A,TRUE,"Concession Summary"}</definedName>
    <definedName name="wrn.Proforma." localSheetId="22" hidden="1">{#N/A,#N/A,TRUE,"SLDE";#N/A,#N/A,TRUE,"Concession Summary"}</definedName>
    <definedName name="wrn.Proforma." localSheetId="23" hidden="1">{#N/A,#N/A,TRUE,"SLDE";#N/A,#N/A,TRUE,"Concession Summary"}</definedName>
    <definedName name="wrn.Proforma." hidden="1">{#N/A,#N/A,TRUE,"SLDE";#N/A,#N/A,TRUE,"Concession Summary"}</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2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2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2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2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2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Projected._.Defiency." localSheetId="12" hidden="1">{"caz2",#N/A,FALSE,"Central Arizona 2";"saz2",#N/A,FALSE,"Southern Arizona 2";"snv2",#N/A,FALSE,"Southern Nevada 2";"nnv2",#N/A,FALSE,"Northern Nevada 2";"sca2",#N/A,FALSE,"Southern California 2";"nca2",#N/A,FALSE,"Northern California 2";"pai2",#N/A,FALSE,"Paiute 2"}</definedName>
    <definedName name="wrn.Projected._.Defiency." localSheetId="13" hidden="1">{"caz2",#N/A,FALSE,"Central Arizona 2";"saz2",#N/A,FALSE,"Southern Arizona 2";"snv2",#N/A,FALSE,"Southern Nevada 2";"nnv2",#N/A,FALSE,"Northern Nevada 2";"sca2",#N/A,FALSE,"Southern California 2";"nca2",#N/A,FALSE,"Northern California 2";"pai2",#N/A,FALSE,"Paiute 2"}</definedName>
    <definedName name="wrn.Projected._.Defiency." localSheetId="14" hidden="1">{"caz2",#N/A,FALSE,"Central Arizona 2";"saz2",#N/A,FALSE,"Southern Arizona 2";"snv2",#N/A,FALSE,"Southern Nevada 2";"nnv2",#N/A,FALSE,"Northern Nevada 2";"sca2",#N/A,FALSE,"Southern California 2";"nca2",#N/A,FALSE,"Northern California 2";"pai2",#N/A,FALSE,"Paiute 2"}</definedName>
    <definedName name="wrn.Projected._.Defiency." localSheetId="15" hidden="1">{"caz2",#N/A,FALSE,"Central Arizona 2";"saz2",#N/A,FALSE,"Southern Arizona 2";"snv2",#N/A,FALSE,"Southern Nevada 2";"nnv2",#N/A,FALSE,"Northern Nevada 2";"sca2",#N/A,FALSE,"Southern California 2";"nca2",#N/A,FALSE,"Northern California 2";"pai2",#N/A,FALSE,"Paiute 2"}</definedName>
    <definedName name="wrn.Projected._.Defiency." localSheetId="16" hidden="1">{"caz2",#N/A,FALSE,"Central Arizona 2";"saz2",#N/A,FALSE,"Southern Arizona 2";"snv2",#N/A,FALSE,"Southern Nevada 2";"nnv2",#N/A,FALSE,"Northern Nevada 2";"sca2",#N/A,FALSE,"Southern California 2";"nca2",#N/A,FALSE,"Northern California 2";"pai2",#N/A,FALSE,"Paiute 2"}</definedName>
    <definedName name="wrn.Projected._.Defiency." localSheetId="17" hidden="1">{"caz2",#N/A,FALSE,"Central Arizona 2";"saz2",#N/A,FALSE,"Southern Arizona 2";"snv2",#N/A,FALSE,"Southern Nevada 2";"nnv2",#N/A,FALSE,"Northern Nevada 2";"sca2",#N/A,FALSE,"Southern California 2";"nca2",#N/A,FALSE,"Northern California 2";"pai2",#N/A,FALSE,"Paiute 2"}</definedName>
    <definedName name="wrn.Projected._.Defiency." localSheetId="19" hidden="1">{"caz2",#N/A,FALSE,"Central Arizona 2";"saz2",#N/A,FALSE,"Southern Arizona 2";"snv2",#N/A,FALSE,"Southern Nevada 2";"nnv2",#N/A,FALSE,"Northern Nevada 2";"sca2",#N/A,FALSE,"Southern California 2";"nca2",#N/A,FALSE,"Northern California 2";"pai2",#N/A,FALSE,"Paiute 2"}</definedName>
    <definedName name="wrn.Projected._.Defiency." localSheetId="20" hidden="1">{"caz2",#N/A,FALSE,"Central Arizona 2";"saz2",#N/A,FALSE,"Southern Arizona 2";"snv2",#N/A,FALSE,"Southern Nevada 2";"nnv2",#N/A,FALSE,"Northern Nevada 2";"sca2",#N/A,FALSE,"Southern California 2";"nca2",#N/A,FALSE,"Northern California 2";"pai2",#N/A,FALSE,"Paiute 2"}</definedName>
    <definedName name="wrn.Projected._.Defiency." localSheetId="21" hidden="1">{"caz2",#N/A,FALSE,"Central Arizona 2";"saz2",#N/A,FALSE,"Southern Arizona 2";"snv2",#N/A,FALSE,"Southern Nevada 2";"nnv2",#N/A,FALSE,"Northern Nevada 2";"sca2",#N/A,FALSE,"Southern California 2";"nca2",#N/A,FALSE,"Northern California 2";"pai2",#N/A,FALSE,"Paiute 2"}</definedName>
    <definedName name="wrn.Projected._.Defiency." localSheetId="22" hidden="1">{"caz2",#N/A,FALSE,"Central Arizona 2";"saz2",#N/A,FALSE,"Southern Arizona 2";"snv2",#N/A,FALSE,"Southern Nevada 2";"nnv2",#N/A,FALSE,"Northern Nevada 2";"sca2",#N/A,FALSE,"Southern California 2";"nca2",#N/A,FALSE,"Northern California 2";"pai2",#N/A,FALSE,"Paiute 2"}</definedName>
    <definedName name="wrn.Projected._.Defiency." localSheetId="23" hidden="1">{"caz2",#N/A,FALSE,"Central Arizona 2";"saz2",#N/A,FALSE,"Southern Arizona 2";"snv2",#N/A,FALSE,"Southern Nevada 2";"nnv2",#N/A,FALSE,"Northern Nevada 2";"sca2",#N/A,FALSE,"Southern California 2";"nca2",#N/A,FALSE,"Northern California 2";"pai2",#N/A,FALSE,"Paiute 2"}</definedName>
    <definedName name="wrn.Projected._.Defiency." localSheetId="24" hidden="1">{"caz2",#N/A,FALSE,"Central Arizona 2";"saz2",#N/A,FALSE,"Southern Arizona 2";"snv2",#N/A,FALSE,"Southern Nevada 2";"nnv2",#N/A,FALSE,"Northern Nevada 2";"sca2",#N/A,FALSE,"Southern California 2";"nca2",#N/A,FALSE,"Northern California 2";"pai2",#N/A,FALSE,"Paiute 2"}</definedName>
    <definedName name="wrn.Projected._.Defiency." hidden="1">{"caz2",#N/A,FALSE,"Central Arizona 2";"saz2",#N/A,FALSE,"Southern Arizona 2";"snv2",#N/A,FALSE,"Southern Nevada 2";"nnv2",#N/A,FALSE,"Northern Nevada 2";"sca2",#N/A,FALSE,"Southern California 2";"nca2",#N/A,FALSE,"Northern California 2";"pai2",#N/A,FALSE,"Paiute 2"}</definedName>
    <definedName name="wrn.PSNH_GL." localSheetId="10" hidden="1">{#N/A,#N/A,FALSE,"GLDwnLoad"}</definedName>
    <definedName name="wrn.PSNH_GL." localSheetId="11" hidden="1">{#N/A,#N/A,FALSE,"GLDwnLoad"}</definedName>
    <definedName name="wrn.PSNH_GL." localSheetId="12" hidden="1">{#N/A,#N/A,FALSE,"GLDwnLoad"}</definedName>
    <definedName name="wrn.PSNH_GL." localSheetId="13" hidden="1">{#N/A,#N/A,FALSE,"GLDwnLoad"}</definedName>
    <definedName name="wrn.PSNH_GL." localSheetId="14" hidden="1">{#N/A,#N/A,FALSE,"GLDwnLoad"}</definedName>
    <definedName name="wrn.PSNH_GL." localSheetId="15" hidden="1">{#N/A,#N/A,FALSE,"GLDwnLoad"}</definedName>
    <definedName name="wrn.PSNH_GL." localSheetId="16" hidden="1">{#N/A,#N/A,FALSE,"GLDwnLoad"}</definedName>
    <definedName name="wrn.PSNH_GL." localSheetId="17" hidden="1">{#N/A,#N/A,FALSE,"GLDwnLoad"}</definedName>
    <definedName name="wrn.PSNH_GL." localSheetId="19" hidden="1">{#N/A,#N/A,FALSE,"GLDwnLoad"}</definedName>
    <definedName name="wrn.PSNH_GL." localSheetId="20" hidden="1">{#N/A,#N/A,FALSE,"GLDwnLoad"}</definedName>
    <definedName name="wrn.PSNH_GL." localSheetId="21" hidden="1">{#N/A,#N/A,FALSE,"GLDwnLoad"}</definedName>
    <definedName name="wrn.PSNH_GL." localSheetId="22" hidden="1">{#N/A,#N/A,FALSE,"GLDwnLoad"}</definedName>
    <definedName name="wrn.PSNH_GL." localSheetId="23" hidden="1">{#N/A,#N/A,FALSE,"GLDwnLoad"}</definedName>
    <definedName name="wrn.PSNH_GL." localSheetId="24" hidden="1">{#N/A,#N/A,FALSE,"GLDwnLoad"}</definedName>
    <definedName name="wrn.PSNH_GL." hidden="1">{#N/A,#N/A,FALSE,"GLDwnLoad"}</definedName>
    <definedName name="wrn.PSNH_INPUTS." localSheetId="10" hidden="1">{#N/A,#N/A,FALSE,"OTHERINPUTS";#N/A,#N/A,FALSE,"DITRATEINPUTS";#N/A,#N/A,FALSE,"SUPPLIEDADJINPUT";#N/A,#N/A,FALSE,"TIMINGDIFFINPUTS";#N/A,#N/A,FALSE,"BR&amp;SUPADJ."}</definedName>
    <definedName name="wrn.PSNH_INPUTS." localSheetId="11" hidden="1">{#N/A,#N/A,FALSE,"OTHERINPUTS";#N/A,#N/A,FALSE,"DITRATEINPUTS";#N/A,#N/A,FALSE,"SUPPLIEDADJINPUT";#N/A,#N/A,FALSE,"TIMINGDIFFINPUTS";#N/A,#N/A,FALSE,"BR&amp;SUPADJ."}</definedName>
    <definedName name="wrn.PSNH_INPUTS." localSheetId="12" hidden="1">{#N/A,#N/A,FALSE,"OTHERINPUTS";#N/A,#N/A,FALSE,"DITRATEINPUTS";#N/A,#N/A,FALSE,"SUPPLIEDADJINPUT";#N/A,#N/A,FALSE,"TIMINGDIFFINPUTS";#N/A,#N/A,FALSE,"BR&amp;SUPADJ."}</definedName>
    <definedName name="wrn.PSNH_INPUTS." localSheetId="13" hidden="1">{#N/A,#N/A,FALSE,"OTHERINPUTS";#N/A,#N/A,FALSE,"DITRATEINPUTS";#N/A,#N/A,FALSE,"SUPPLIEDADJINPUT";#N/A,#N/A,FALSE,"TIMINGDIFFINPUTS";#N/A,#N/A,FALSE,"BR&amp;SUPADJ."}</definedName>
    <definedName name="wrn.PSNH_INPUTS." localSheetId="14" hidden="1">{#N/A,#N/A,FALSE,"OTHERINPUTS";#N/A,#N/A,FALSE,"DITRATEINPUTS";#N/A,#N/A,FALSE,"SUPPLIEDADJINPUT";#N/A,#N/A,FALSE,"TIMINGDIFFINPUTS";#N/A,#N/A,FALSE,"BR&amp;SUPADJ."}</definedName>
    <definedName name="wrn.PSNH_INPUTS." localSheetId="15" hidden="1">{#N/A,#N/A,FALSE,"OTHERINPUTS";#N/A,#N/A,FALSE,"DITRATEINPUTS";#N/A,#N/A,FALSE,"SUPPLIEDADJINPUT";#N/A,#N/A,FALSE,"TIMINGDIFFINPUTS";#N/A,#N/A,FALSE,"BR&amp;SUPADJ."}</definedName>
    <definedName name="wrn.PSNH_INPUTS." localSheetId="16" hidden="1">{#N/A,#N/A,FALSE,"OTHERINPUTS";#N/A,#N/A,FALSE,"DITRATEINPUTS";#N/A,#N/A,FALSE,"SUPPLIEDADJINPUT";#N/A,#N/A,FALSE,"TIMINGDIFFINPUTS";#N/A,#N/A,FALSE,"BR&amp;SUPADJ."}</definedName>
    <definedName name="wrn.PSNH_INPUTS." localSheetId="17" hidden="1">{#N/A,#N/A,FALSE,"OTHERINPUTS";#N/A,#N/A,FALSE,"DITRATEINPUTS";#N/A,#N/A,FALSE,"SUPPLIEDADJINPUT";#N/A,#N/A,FALSE,"TIMINGDIFFINPUTS";#N/A,#N/A,FALSE,"BR&amp;SUPADJ."}</definedName>
    <definedName name="wrn.PSNH_INPUTS." localSheetId="19" hidden="1">{#N/A,#N/A,FALSE,"OTHERINPUTS";#N/A,#N/A,FALSE,"DITRATEINPUTS";#N/A,#N/A,FALSE,"SUPPLIEDADJINPUT";#N/A,#N/A,FALSE,"TIMINGDIFFINPUTS";#N/A,#N/A,FALSE,"BR&amp;SUPADJ."}</definedName>
    <definedName name="wrn.PSNH_INPUTS." localSheetId="20" hidden="1">{#N/A,#N/A,FALSE,"OTHERINPUTS";#N/A,#N/A,FALSE,"DITRATEINPUTS";#N/A,#N/A,FALSE,"SUPPLIEDADJINPUT";#N/A,#N/A,FALSE,"TIMINGDIFFINPUTS";#N/A,#N/A,FALSE,"BR&amp;SUPADJ."}</definedName>
    <definedName name="wrn.PSNH_INPUTS." localSheetId="21" hidden="1">{#N/A,#N/A,FALSE,"OTHERINPUTS";#N/A,#N/A,FALSE,"DITRATEINPUTS";#N/A,#N/A,FALSE,"SUPPLIEDADJINPUT";#N/A,#N/A,FALSE,"TIMINGDIFFINPUTS";#N/A,#N/A,FALSE,"BR&amp;SUPADJ."}</definedName>
    <definedName name="wrn.PSNH_INPUTS." localSheetId="22" hidden="1">{#N/A,#N/A,FALSE,"OTHERINPUTS";#N/A,#N/A,FALSE,"DITRATEINPUTS";#N/A,#N/A,FALSE,"SUPPLIEDADJINPUT";#N/A,#N/A,FALSE,"TIMINGDIFFINPUTS";#N/A,#N/A,FALSE,"BR&amp;SUPADJ."}</definedName>
    <definedName name="wrn.PSNH_INPUTS." localSheetId="23" hidden="1">{#N/A,#N/A,FALSE,"OTHERINPUTS";#N/A,#N/A,FALSE,"DITRATEINPUTS";#N/A,#N/A,FALSE,"SUPPLIEDADJINPUT";#N/A,#N/A,FALSE,"TIMINGDIFFINPUTS";#N/A,#N/A,FALSE,"BR&amp;SUPADJ."}</definedName>
    <definedName name="wrn.PSNH_INPUTS." localSheetId="24" hidden="1">{#N/A,#N/A,FALSE,"OTHERINPUTS";#N/A,#N/A,FALSE,"DITRATEINPUTS";#N/A,#N/A,FALSE,"SUPPLIEDADJINPUT";#N/A,#N/A,FALSE,"TIMINGDIFFINPUTS";#N/A,#N/A,FALSE,"BR&amp;SUPADJ."}</definedName>
    <definedName name="wrn.PSNH_INPUTS." hidden="1">{#N/A,#N/A,FALSE,"OTHERINPUTS";#N/A,#N/A,FALSE,"DITRATEINPUTS";#N/A,#N/A,FALSE,"SUPPLIEDADJINPUT";#N/A,#N/A,FALSE,"TIMINGDIFFINPUTS";#N/A,#N/A,FALSE,"BR&amp;SUPADJ."}</definedName>
    <definedName name="wrn.PSNH_PROV." localSheetId="1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2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2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2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2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2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Quarterly._.report." localSheetId="11" hidden="1">{#N/A,#N/A,TRUE,"1 (2)";#N/A,#N/A,TRUE,"2";#N/A,#N/A,TRUE,"3"}</definedName>
    <definedName name="wrn.Quarterly._.report." localSheetId="12" hidden="1">{#N/A,#N/A,TRUE,"1 (2)";#N/A,#N/A,TRUE,"2";#N/A,#N/A,TRUE,"3"}</definedName>
    <definedName name="wrn.Quarterly._.report." localSheetId="20" hidden="1">{#N/A,#N/A,TRUE,"1 (2)";#N/A,#N/A,TRUE,"2";#N/A,#N/A,TRUE,"3"}</definedName>
    <definedName name="wrn.Quarterly._.report." localSheetId="21" hidden="1">{#N/A,#N/A,TRUE,"1 (2)";#N/A,#N/A,TRUE,"2";#N/A,#N/A,TRUE,"3"}</definedName>
    <definedName name="wrn.Quarterly._.report." localSheetId="22" hidden="1">{#N/A,#N/A,TRUE,"1 (2)";#N/A,#N/A,TRUE,"2";#N/A,#N/A,TRUE,"3"}</definedName>
    <definedName name="wrn.Quarterly._.report." localSheetId="23" hidden="1">{#N/A,#N/A,TRUE,"1 (2)";#N/A,#N/A,TRUE,"2";#N/A,#N/A,TRUE,"3"}</definedName>
    <definedName name="wrn.Quarterly._.report." hidden="1">{#N/A,#N/A,TRUE,"1 (2)";#N/A,#N/A,TRUE,"2";#N/A,#N/A,TRUE,"3"}</definedName>
    <definedName name="wrn.Rate._.Design." localSheetId="10"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2"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3"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4"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5"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6"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9"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20"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2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22"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23"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24"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BASE._.ADJUSTMENTS." hidden="1">{"JURIS_RB_ADJS",#N/A,FALSE,"COSTSTUDY";"OKCLS_RB_ADJS",#N/A,FALSE,"COSTSTUDY"}</definedName>
    <definedName name="wrn.Report." localSheetId="11" hidden="1">{#N/A,#N/A,TRUE,"Summary";#N/A,#N/A,TRUE,"Ratios LDE";#N/A,#N/A,TRUE,"Ratios";#N/A,#N/A,TRUE,"Financial Statements"}</definedName>
    <definedName name="wrn.Report." localSheetId="12" hidden="1">{#N/A,#N/A,TRUE,"Summary";#N/A,#N/A,TRUE,"Ratios LDE";#N/A,#N/A,TRUE,"Ratios";#N/A,#N/A,TRUE,"Financial Statements"}</definedName>
    <definedName name="wrn.Report." localSheetId="20" hidden="1">{#N/A,#N/A,TRUE,"Summary";#N/A,#N/A,TRUE,"Ratios LDE";#N/A,#N/A,TRUE,"Ratios";#N/A,#N/A,TRUE,"Financial Statements"}</definedName>
    <definedName name="wrn.Report." localSheetId="21" hidden="1">{#N/A,#N/A,TRUE,"Summary";#N/A,#N/A,TRUE,"Ratios LDE";#N/A,#N/A,TRUE,"Ratios";#N/A,#N/A,TRUE,"Financial Statements"}</definedName>
    <definedName name="wrn.Report." localSheetId="22" hidden="1">{#N/A,#N/A,TRUE,"Summary";#N/A,#N/A,TRUE,"Ratios LDE";#N/A,#N/A,TRUE,"Ratios";#N/A,#N/A,TRUE,"Financial Statements"}</definedName>
    <definedName name="wrn.Report." localSheetId="23" hidden="1">{#N/A,#N/A,TRUE,"Summary";#N/A,#N/A,TRUE,"Ratios LDE";#N/A,#N/A,TRUE,"Ratios";#N/A,#N/A,TRUE,"Financial Statements"}</definedName>
    <definedName name="wrn.Report." hidden="1">{#N/A,#N/A,TRUE,"Summary";#N/A,#N/A,TRUE,"Ratios LDE";#N/A,#N/A,TRUE,"Ratios";#N/A,#N/A,TRUE,"Financial Statements"}</definedName>
    <definedName name="wrn.ROR_MEMO." localSheetId="10" hidden="1">{#N/A,#N/A,FALSE,"RORMEMO";#N/A,#N/A,FALSE,"RORSUMMARY";#N/A,#N/A,FALSE,"RORDETAIL"}</definedName>
    <definedName name="wrn.ROR_MEMO." localSheetId="11" hidden="1">{#N/A,#N/A,FALSE,"RORMEMO";#N/A,#N/A,FALSE,"RORSUMMARY";#N/A,#N/A,FALSE,"RORDETAIL"}</definedName>
    <definedName name="wrn.ROR_MEMO." localSheetId="12" hidden="1">{#N/A,#N/A,FALSE,"RORMEMO";#N/A,#N/A,FALSE,"RORSUMMARY";#N/A,#N/A,FALSE,"RORDETAIL"}</definedName>
    <definedName name="wrn.ROR_MEMO." localSheetId="13" hidden="1">{#N/A,#N/A,FALSE,"RORMEMO";#N/A,#N/A,FALSE,"RORSUMMARY";#N/A,#N/A,FALSE,"RORDETAIL"}</definedName>
    <definedName name="wrn.ROR_MEMO." localSheetId="14" hidden="1">{#N/A,#N/A,FALSE,"RORMEMO";#N/A,#N/A,FALSE,"RORSUMMARY";#N/A,#N/A,FALSE,"RORDETAIL"}</definedName>
    <definedName name="wrn.ROR_MEMO." localSheetId="15" hidden="1">{#N/A,#N/A,FALSE,"RORMEMO";#N/A,#N/A,FALSE,"RORSUMMARY";#N/A,#N/A,FALSE,"RORDETAIL"}</definedName>
    <definedName name="wrn.ROR_MEMO." localSheetId="16" hidden="1">{#N/A,#N/A,FALSE,"RORMEMO";#N/A,#N/A,FALSE,"RORSUMMARY";#N/A,#N/A,FALSE,"RORDETAIL"}</definedName>
    <definedName name="wrn.ROR_MEMO." localSheetId="17" hidden="1">{#N/A,#N/A,FALSE,"RORMEMO";#N/A,#N/A,FALSE,"RORSUMMARY";#N/A,#N/A,FALSE,"RORDETAIL"}</definedName>
    <definedName name="wrn.ROR_MEMO." localSheetId="19" hidden="1">{#N/A,#N/A,FALSE,"RORMEMO";#N/A,#N/A,FALSE,"RORSUMMARY";#N/A,#N/A,FALSE,"RORDETAIL"}</definedName>
    <definedName name="wrn.ROR_MEMO." localSheetId="20" hidden="1">{#N/A,#N/A,FALSE,"RORMEMO";#N/A,#N/A,FALSE,"RORSUMMARY";#N/A,#N/A,FALSE,"RORDETAIL"}</definedName>
    <definedName name="wrn.ROR_MEMO." localSheetId="21" hidden="1">{#N/A,#N/A,FALSE,"RORMEMO";#N/A,#N/A,FALSE,"RORSUMMARY";#N/A,#N/A,FALSE,"RORDETAIL"}</definedName>
    <definedName name="wrn.ROR_MEMO." localSheetId="22" hidden="1">{#N/A,#N/A,FALSE,"RORMEMO";#N/A,#N/A,FALSE,"RORSUMMARY";#N/A,#N/A,FALSE,"RORDETAIL"}</definedName>
    <definedName name="wrn.ROR_MEMO." localSheetId="23" hidden="1">{#N/A,#N/A,FALSE,"RORMEMO";#N/A,#N/A,FALSE,"RORSUMMARY";#N/A,#N/A,FALSE,"RORDETAIL"}</definedName>
    <definedName name="wrn.ROR_MEMO." localSheetId="24" hidden="1">{#N/A,#N/A,FALSE,"RORMEMO";#N/A,#N/A,FALSE,"RORSUMMARY";#N/A,#N/A,FALSE,"RORDETAIL"}</definedName>
    <definedName name="wrn.ROR_MEMO." hidden="1">{#N/A,#N/A,FALSE,"RORMEMO";#N/A,#N/A,FALSE,"RORSUMMARY";#N/A,#N/A,FALSE,"RORDETAIL"}</definedName>
    <definedName name="wrn.SCHEDULE_K_1." hidden="1">{"SCHK1",#N/A,FALSE,"FILING REPORTS"}</definedName>
    <definedName name="wrn.SECTLREPORTS." hidden="1">{"SCHL",#N/A,FALSE,"FILING REPORTS";"SCHL1",#N/A,FALSE,"COSTSTUDY";"SCHL2",#N/A,FALSE,"COSTSTUDY";"SCHL3",#N/A,FALSE,"COSTSTUDY";"SCHL4",#N/A,FALSE,"COSTSTUDY";"SCHL5",#N/A,FALSE,"COSTSTUDY";"SCHL6",#N/A,FALSE,"COSTSTUDY";"SCHL7",#N/A,FALSE,"COSTSTUDY";"SCHL8",#N/A,FALSE,"COSTSTUDY"}</definedName>
    <definedName name="wrn.SELECT_GL." localSheetId="10" hidden="1">{#N/A,#N/A,FALSE,"GLDwnLoad"}</definedName>
    <definedName name="wrn.SELECT_GL." localSheetId="11" hidden="1">{#N/A,#N/A,FALSE,"GLDwnLoad"}</definedName>
    <definedName name="wrn.SELECT_GL." localSheetId="12" hidden="1">{#N/A,#N/A,FALSE,"GLDwnLoad"}</definedName>
    <definedName name="wrn.SELECT_GL." localSheetId="13" hidden="1">{#N/A,#N/A,FALSE,"GLDwnLoad"}</definedName>
    <definedName name="wrn.SELECT_GL." localSheetId="14" hidden="1">{#N/A,#N/A,FALSE,"GLDwnLoad"}</definedName>
    <definedName name="wrn.SELECT_GL." localSheetId="15" hidden="1">{#N/A,#N/A,FALSE,"GLDwnLoad"}</definedName>
    <definedName name="wrn.SELECT_GL." localSheetId="16" hidden="1">{#N/A,#N/A,FALSE,"GLDwnLoad"}</definedName>
    <definedName name="wrn.SELECT_GL." localSheetId="17" hidden="1">{#N/A,#N/A,FALSE,"GLDwnLoad"}</definedName>
    <definedName name="wrn.SELECT_GL." localSheetId="19" hidden="1">{#N/A,#N/A,FALSE,"GLDwnLoad"}</definedName>
    <definedName name="wrn.SELECT_GL." localSheetId="20" hidden="1">{#N/A,#N/A,FALSE,"GLDwnLoad"}</definedName>
    <definedName name="wrn.SELECT_GL." localSheetId="21" hidden="1">{#N/A,#N/A,FALSE,"GLDwnLoad"}</definedName>
    <definedName name="wrn.SELECT_GL." localSheetId="22" hidden="1">{#N/A,#N/A,FALSE,"GLDwnLoad"}</definedName>
    <definedName name="wrn.SELECT_GL." localSheetId="23" hidden="1">{#N/A,#N/A,FALSE,"GLDwnLoad"}</definedName>
    <definedName name="wrn.SELECT_GL." localSheetId="24" hidden="1">{#N/A,#N/A,FALSE,"GLDwnLoad"}</definedName>
    <definedName name="wrn.SELECT_GL." hidden="1">{#N/A,#N/A,FALSE,"GLDwnLoad"}</definedName>
    <definedName name="wrn.SELECT_INPUTS." localSheetId="10" hidden="1">{#N/A,#N/A,FALSE,"OTHERINPUTS";#N/A,#N/A,FALSE,"SUPPLIEDADJINPUT";#N/A,#N/A,FALSE,"BR&amp;SUPADJ."}</definedName>
    <definedName name="wrn.SELECT_INPUTS." localSheetId="11" hidden="1">{#N/A,#N/A,FALSE,"OTHERINPUTS";#N/A,#N/A,FALSE,"SUPPLIEDADJINPUT";#N/A,#N/A,FALSE,"BR&amp;SUPADJ."}</definedName>
    <definedName name="wrn.SELECT_INPUTS." localSheetId="12" hidden="1">{#N/A,#N/A,FALSE,"OTHERINPUTS";#N/A,#N/A,FALSE,"SUPPLIEDADJINPUT";#N/A,#N/A,FALSE,"BR&amp;SUPADJ."}</definedName>
    <definedName name="wrn.SELECT_INPUTS." localSheetId="13" hidden="1">{#N/A,#N/A,FALSE,"OTHERINPUTS";#N/A,#N/A,FALSE,"SUPPLIEDADJINPUT";#N/A,#N/A,FALSE,"BR&amp;SUPADJ."}</definedName>
    <definedName name="wrn.SELECT_INPUTS." localSheetId="14" hidden="1">{#N/A,#N/A,FALSE,"OTHERINPUTS";#N/A,#N/A,FALSE,"SUPPLIEDADJINPUT";#N/A,#N/A,FALSE,"BR&amp;SUPADJ."}</definedName>
    <definedName name="wrn.SELECT_INPUTS." localSheetId="15" hidden="1">{#N/A,#N/A,FALSE,"OTHERINPUTS";#N/A,#N/A,FALSE,"SUPPLIEDADJINPUT";#N/A,#N/A,FALSE,"BR&amp;SUPADJ."}</definedName>
    <definedName name="wrn.SELECT_INPUTS." localSheetId="16" hidden="1">{#N/A,#N/A,FALSE,"OTHERINPUTS";#N/A,#N/A,FALSE,"SUPPLIEDADJINPUT";#N/A,#N/A,FALSE,"BR&amp;SUPADJ."}</definedName>
    <definedName name="wrn.SELECT_INPUTS." localSheetId="17" hidden="1">{#N/A,#N/A,FALSE,"OTHERINPUTS";#N/A,#N/A,FALSE,"SUPPLIEDADJINPUT";#N/A,#N/A,FALSE,"BR&amp;SUPADJ."}</definedName>
    <definedName name="wrn.SELECT_INPUTS." localSheetId="19" hidden="1">{#N/A,#N/A,FALSE,"OTHERINPUTS";#N/A,#N/A,FALSE,"SUPPLIEDADJINPUT";#N/A,#N/A,FALSE,"BR&amp;SUPADJ."}</definedName>
    <definedName name="wrn.SELECT_INPUTS." localSheetId="20" hidden="1">{#N/A,#N/A,FALSE,"OTHERINPUTS";#N/A,#N/A,FALSE,"SUPPLIEDADJINPUT";#N/A,#N/A,FALSE,"BR&amp;SUPADJ."}</definedName>
    <definedName name="wrn.SELECT_INPUTS." localSheetId="21" hidden="1">{#N/A,#N/A,FALSE,"OTHERINPUTS";#N/A,#N/A,FALSE,"SUPPLIEDADJINPUT";#N/A,#N/A,FALSE,"BR&amp;SUPADJ."}</definedName>
    <definedName name="wrn.SELECT_INPUTS." localSheetId="22" hidden="1">{#N/A,#N/A,FALSE,"OTHERINPUTS";#N/A,#N/A,FALSE,"SUPPLIEDADJINPUT";#N/A,#N/A,FALSE,"BR&amp;SUPADJ."}</definedName>
    <definedName name="wrn.SELECT_INPUTS." localSheetId="23" hidden="1">{#N/A,#N/A,FALSE,"OTHERINPUTS";#N/A,#N/A,FALSE,"SUPPLIEDADJINPUT";#N/A,#N/A,FALSE,"BR&amp;SUPADJ."}</definedName>
    <definedName name="wrn.SELECT_INPUTS." localSheetId="24" hidden="1">{#N/A,#N/A,FALSE,"OTHERINPUTS";#N/A,#N/A,FALSE,"SUPPLIEDADJINPUT";#N/A,#N/A,FALSE,"BR&amp;SUPADJ."}</definedName>
    <definedName name="wrn.SELECT_INPUTS." hidden="1">{#N/A,#N/A,FALSE,"OTHERINPUTS";#N/A,#N/A,FALSE,"SUPPLIEDADJINPUT";#N/A,#N/A,FALSE,"BR&amp;SUPADJ."}</definedName>
    <definedName name="wrn.SELECT_PROV." localSheetId="1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2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2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2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2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2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PA._.FAC." localSheetId="10" hidden="1">{"SPA_FAC",#N/A,FALSE,"OMPA SPA FAC"}</definedName>
    <definedName name="wrn.SPA._.FAC." localSheetId="11" hidden="1">{"SPA_FAC",#N/A,FALSE,"OMPA SPA FAC"}</definedName>
    <definedName name="wrn.SPA._.FAC." localSheetId="12" hidden="1">{"SPA_FAC",#N/A,FALSE,"OMPA SPA FAC"}</definedName>
    <definedName name="wrn.SPA._.FAC." localSheetId="13" hidden="1">{"SPA_FAC",#N/A,FALSE,"OMPA SPA FAC"}</definedName>
    <definedName name="wrn.SPA._.FAC." localSheetId="14" hidden="1">{"SPA_FAC",#N/A,FALSE,"OMPA SPA FAC"}</definedName>
    <definedName name="wrn.SPA._.FAC." localSheetId="15" hidden="1">{"SPA_FAC",#N/A,FALSE,"OMPA SPA FAC"}</definedName>
    <definedName name="wrn.SPA._.FAC." localSheetId="16" hidden="1">{"SPA_FAC",#N/A,FALSE,"OMPA SPA FAC"}</definedName>
    <definedName name="wrn.SPA._.FAC." localSheetId="17" hidden="1">{"SPA_FAC",#N/A,FALSE,"OMPA SPA FAC"}</definedName>
    <definedName name="wrn.SPA._.FAC." localSheetId="19" hidden="1">{"SPA_FAC",#N/A,FALSE,"OMPA SPA FAC"}</definedName>
    <definedName name="wrn.SPA._.FAC." localSheetId="20" hidden="1">{"SPA_FAC",#N/A,FALSE,"OMPA SPA FAC"}</definedName>
    <definedName name="wrn.SPA._.FAC." localSheetId="21" hidden="1">{"SPA_FAC",#N/A,FALSE,"OMPA SPA FAC"}</definedName>
    <definedName name="wrn.SPA._.FAC." localSheetId="22" hidden="1">{"SPA_FAC",#N/A,FALSE,"OMPA SPA FAC"}</definedName>
    <definedName name="wrn.SPA._.FAC." localSheetId="23" hidden="1">{"SPA_FAC",#N/A,FALSE,"OMPA SPA FAC"}</definedName>
    <definedName name="wrn.SPA._.FAC." localSheetId="24" hidden="1">{"SPA_FAC",#N/A,FALSE,"OMPA SPA FAC"}</definedName>
    <definedName name="wrn.SPA._.FAC." hidden="1">{"SPA_FAC",#N/A,FALSE,"OMPA SPA FAC"}</definedName>
    <definedName name="wrn.SPA._.Invoice."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UMMARY." hidden="1">{"OKCLS_SUMMARY",#N/A,FALSE,"INTERNAL REPORTS";"JURIS_SUMMARY",#N/A,FALSE,"INTERNAL REPORTS"}</definedName>
    <definedName name="wrn.Summary_GL." localSheetId="10" hidden="1">{#N/A,#N/A,FALSE,"GLDwnLoad"}</definedName>
    <definedName name="wrn.Summary_GL." localSheetId="11" hidden="1">{#N/A,#N/A,FALSE,"GLDwnLoad"}</definedName>
    <definedName name="wrn.Summary_GL." localSheetId="12" hidden="1">{#N/A,#N/A,FALSE,"GLDwnLoad"}</definedName>
    <definedName name="wrn.Summary_GL." localSheetId="13" hidden="1">{#N/A,#N/A,FALSE,"GLDwnLoad"}</definedName>
    <definedName name="wrn.Summary_GL." localSheetId="14" hidden="1">{#N/A,#N/A,FALSE,"GLDwnLoad"}</definedName>
    <definedName name="wrn.Summary_GL." localSheetId="15" hidden="1">{#N/A,#N/A,FALSE,"GLDwnLoad"}</definedName>
    <definedName name="wrn.Summary_GL." localSheetId="16" hidden="1">{#N/A,#N/A,FALSE,"GLDwnLoad"}</definedName>
    <definedName name="wrn.Summary_GL." localSheetId="17" hidden="1">{#N/A,#N/A,FALSE,"GLDwnLoad"}</definedName>
    <definedName name="wrn.Summary_GL." localSheetId="19" hidden="1">{#N/A,#N/A,FALSE,"GLDwnLoad"}</definedName>
    <definedName name="wrn.Summary_GL." localSheetId="20" hidden="1">{#N/A,#N/A,FALSE,"GLDwnLoad"}</definedName>
    <definedName name="wrn.Summary_GL." localSheetId="21" hidden="1">{#N/A,#N/A,FALSE,"GLDwnLoad"}</definedName>
    <definedName name="wrn.Summary_GL." localSheetId="22" hidden="1">{#N/A,#N/A,FALSE,"GLDwnLoad"}</definedName>
    <definedName name="wrn.Summary_GL." localSheetId="23" hidden="1">{#N/A,#N/A,FALSE,"GLDwnLoad"}</definedName>
    <definedName name="wrn.Summary_GL." localSheetId="24" hidden="1">{#N/A,#N/A,FALSE,"GLDwnLoad"}</definedName>
    <definedName name="wrn.Summary_GL." hidden="1">{#N/A,#N/A,FALSE,"GLDwnLoad"}</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ort_Net_Plant." localSheetId="11" hidden="1">{"Support Net Plant=Net Utility Plant",#N/A,FALSE,"Net Plant"}</definedName>
    <definedName name="wrn.Support_Net_Plant." localSheetId="12" hidden="1">{"Support Net Plant=Net Utility Plant",#N/A,FALSE,"Net Plant"}</definedName>
    <definedName name="wrn.Support_Net_Plant." localSheetId="20" hidden="1">{"Support Net Plant=Net Utility Plant",#N/A,FALSE,"Net Plant"}</definedName>
    <definedName name="wrn.Support_Net_Plant." localSheetId="21" hidden="1">{"Support Net Plant=Net Utility Plant",#N/A,FALSE,"Net Plant"}</definedName>
    <definedName name="wrn.Support_Net_Plant." localSheetId="22" hidden="1">{"Support Net Plant=Net Utility Plant",#N/A,FALSE,"Net Plant"}</definedName>
    <definedName name="wrn.Support_Net_Plant." localSheetId="23" hidden="1">{"Support Net Plant=Net Utility Plant",#N/A,FALSE,"Net Plant"}</definedName>
    <definedName name="wrn.Support_Net_Plant." hidden="1">{"Support Net Plant=Net Utility Plant",#N/A,FALSE,"Net Plant"}</definedName>
    <definedName name="wrn.Support_O_M_Cust_Emp." localSheetId="1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12"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0"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2"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3"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Rev_Op_Inc." localSheetId="11" hidden="1">{"Support/Rev Op Inc=Total revenue + OIBT",#N/A,FALSE,"Rev-Op Inc"}</definedName>
    <definedName name="wrn.Support_Rev_Op_Inc." localSheetId="12" hidden="1">{"Support/Rev Op Inc=Total revenue + OIBT",#N/A,FALSE,"Rev-Op Inc"}</definedName>
    <definedName name="wrn.Support_Rev_Op_Inc." localSheetId="20" hidden="1">{"Support/Rev Op Inc=Total revenue + OIBT",#N/A,FALSE,"Rev-Op Inc"}</definedName>
    <definedName name="wrn.Support_Rev_Op_Inc." localSheetId="21" hidden="1">{"Support/Rev Op Inc=Total revenue + OIBT",#N/A,FALSE,"Rev-Op Inc"}</definedName>
    <definedName name="wrn.Support_Rev_Op_Inc." localSheetId="22" hidden="1">{"Support/Rev Op Inc=Total revenue + OIBT",#N/A,FALSE,"Rev-Op Inc"}</definedName>
    <definedName name="wrn.Support_Rev_Op_Inc." localSheetId="23" hidden="1">{"Support/Rev Op Inc=Total revenue + OIBT",#N/A,FALSE,"Rev-Op Inc"}</definedName>
    <definedName name="wrn.Support_Rev_Op_Inc." hidden="1">{"Support/Rev Op Inc=Total revenue + OIBT",#N/A,FALSE,"Rev-Op Inc"}</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ables." localSheetId="12" hidden="1">{"print1",#N/A,FALSE,"D21CUSTS";"print2",#N/A,FALSE,"D21CUSTS";"print3",#N/A,FALSE,"D21CUSTS";"print4",#N/A,FALSE,"D21CUSTS"}</definedName>
    <definedName name="wrn.tables." localSheetId="13" hidden="1">{"print1",#N/A,FALSE,"D21CUSTS";"print2",#N/A,FALSE,"D21CUSTS";"print3",#N/A,FALSE,"D21CUSTS";"print4",#N/A,FALSE,"D21CUSTS"}</definedName>
    <definedName name="wrn.tables." localSheetId="14" hidden="1">{"print1",#N/A,FALSE,"D21CUSTS";"print2",#N/A,FALSE,"D21CUSTS";"print3",#N/A,FALSE,"D21CUSTS";"print4",#N/A,FALSE,"D21CUSTS"}</definedName>
    <definedName name="wrn.tables." localSheetId="15" hidden="1">{"print1",#N/A,FALSE,"D21CUSTS";"print2",#N/A,FALSE,"D21CUSTS";"print3",#N/A,FALSE,"D21CUSTS";"print4",#N/A,FALSE,"D21CUSTS"}</definedName>
    <definedName name="wrn.tables." localSheetId="16" hidden="1">{"print1",#N/A,FALSE,"D21CUSTS";"print2",#N/A,FALSE,"D21CUSTS";"print3",#N/A,FALSE,"D21CUSTS";"print4",#N/A,FALSE,"D21CUSTS"}</definedName>
    <definedName name="wrn.tables." localSheetId="17" hidden="1">{"print1",#N/A,FALSE,"D21CUSTS";"print2",#N/A,FALSE,"D21CUSTS";"print3",#N/A,FALSE,"D21CUSTS";"print4",#N/A,FALSE,"D21CUSTS"}</definedName>
    <definedName name="wrn.tables." localSheetId="19" hidden="1">{"print1",#N/A,FALSE,"D21CUSTS";"print2",#N/A,FALSE,"D21CUSTS";"print3",#N/A,FALSE,"D21CUSTS";"print4",#N/A,FALSE,"D21CUSTS"}</definedName>
    <definedName name="wrn.tables." localSheetId="20" hidden="1">{"print1",#N/A,FALSE,"D21CUSTS";"print2",#N/A,FALSE,"D21CUSTS";"print3",#N/A,FALSE,"D21CUSTS";"print4",#N/A,FALSE,"D21CUSTS"}</definedName>
    <definedName name="wrn.tables." localSheetId="21" hidden="1">{"print1",#N/A,FALSE,"D21CUSTS";"print2",#N/A,FALSE,"D21CUSTS";"print3",#N/A,FALSE,"D21CUSTS";"print4",#N/A,FALSE,"D21CUSTS"}</definedName>
    <definedName name="wrn.tables." localSheetId="22" hidden="1">{"print1",#N/A,FALSE,"D21CUSTS";"print2",#N/A,FALSE,"D21CUSTS";"print3",#N/A,FALSE,"D21CUSTS";"print4",#N/A,FALSE,"D21CUSTS"}</definedName>
    <definedName name="wrn.tables." localSheetId="23" hidden="1">{"print1",#N/A,FALSE,"D21CUSTS";"print2",#N/A,FALSE,"D21CUSTS";"print3",#N/A,FALSE,"D21CUSTS";"print4",#N/A,FALSE,"D21CUSTS"}</definedName>
    <definedName name="wrn.tables." localSheetId="24" hidden="1">{"print1",#N/A,FALSE,"D21CUSTS";"print2",#N/A,FALSE,"D21CUSTS";"print3",#N/A,FALSE,"D21CUSTS";"print4",#N/A,FALSE,"D21CUSTS"}</definedName>
    <definedName name="wrn.tables." hidden="1">{"print1",#N/A,FALSE,"D21CUSTS";"print2",#N/A,FALSE,"D21CUSTS";"print3",#N/A,FALSE,"D21CUSTS";"print4",#N/A,FALSE,"D21CUSTS"}</definedName>
    <definedName name="wrn.TAXES._.OTHER." hidden="1">{"JURIS_TAXES_OTHER",#N/A,FALSE,"COSTSTUDY";"OKCLS_TAXES_OTHER",#N/A,FALSE,"COSTSTUDY"}</definedName>
    <definedName name="wrn.Total._.Report." localSheetId="10" hidden="1">{"Fuel by Type",#N/A,FALSE,"00whfuel";"Fuel by Account",#N/A,FALSE,"00whfuel";"NTEC",#N/A,FALSE,"00whfuel";"Hope",#N/A,FALSE,"00whfuel";"Net Energy Load",#N/A,FALSE,"00whfuel";"Purchased Power",#N/A,FALSE,"00whfuel"}</definedName>
    <definedName name="wrn.Total._.Report." localSheetId="11" hidden="1">{"Fuel by Type",#N/A,FALSE,"00whfuel";"Fuel by Account",#N/A,FALSE,"00whfuel";"NTEC",#N/A,FALSE,"00whfuel";"Hope",#N/A,FALSE,"00whfuel";"Net Energy Load",#N/A,FALSE,"00whfuel";"Purchased Power",#N/A,FALSE,"00whfuel"}</definedName>
    <definedName name="wrn.Total._.Report." localSheetId="12" hidden="1">{"Fuel by Type",#N/A,FALSE,"00whfuel";"Fuel by Account",#N/A,FALSE,"00whfuel";"NTEC",#N/A,FALSE,"00whfuel";"Hope",#N/A,FALSE,"00whfuel";"Net Energy Load",#N/A,FALSE,"00whfuel";"Purchased Power",#N/A,FALSE,"00whfuel"}</definedName>
    <definedName name="wrn.Total._.Report." localSheetId="13" hidden="1">{"Fuel by Type",#N/A,FALSE,"00whfuel";"Fuel by Account",#N/A,FALSE,"00whfuel";"NTEC",#N/A,FALSE,"00whfuel";"Hope",#N/A,FALSE,"00whfuel";"Net Energy Load",#N/A,FALSE,"00whfuel";"Purchased Power",#N/A,FALSE,"00whfuel"}</definedName>
    <definedName name="wrn.Total._.Report." localSheetId="14" hidden="1">{"Fuel by Type",#N/A,FALSE,"00whfuel";"Fuel by Account",#N/A,FALSE,"00whfuel";"NTEC",#N/A,FALSE,"00whfuel";"Hope",#N/A,FALSE,"00whfuel";"Net Energy Load",#N/A,FALSE,"00whfuel";"Purchased Power",#N/A,FALSE,"00whfuel"}</definedName>
    <definedName name="wrn.Total._.Report." localSheetId="15" hidden="1">{"Fuel by Type",#N/A,FALSE,"00whfuel";"Fuel by Account",#N/A,FALSE,"00whfuel";"NTEC",#N/A,FALSE,"00whfuel";"Hope",#N/A,FALSE,"00whfuel";"Net Energy Load",#N/A,FALSE,"00whfuel";"Purchased Power",#N/A,FALSE,"00whfuel"}</definedName>
    <definedName name="wrn.Total._.Report." localSheetId="16" hidden="1">{"Fuel by Type",#N/A,FALSE,"00whfuel";"Fuel by Account",#N/A,FALSE,"00whfuel";"NTEC",#N/A,FALSE,"00whfuel";"Hope",#N/A,FALSE,"00whfuel";"Net Energy Load",#N/A,FALSE,"00whfuel";"Purchased Power",#N/A,FALSE,"00whfuel"}</definedName>
    <definedName name="wrn.Total._.Report." localSheetId="17" hidden="1">{"Fuel by Type",#N/A,FALSE,"00whfuel";"Fuel by Account",#N/A,FALSE,"00whfuel";"NTEC",#N/A,FALSE,"00whfuel";"Hope",#N/A,FALSE,"00whfuel";"Net Energy Load",#N/A,FALSE,"00whfuel";"Purchased Power",#N/A,FALSE,"00whfuel"}</definedName>
    <definedName name="wrn.Total._.Report." localSheetId="19" hidden="1">{"Fuel by Type",#N/A,FALSE,"00whfuel";"Fuel by Account",#N/A,FALSE,"00whfuel";"NTEC",#N/A,FALSE,"00whfuel";"Hope",#N/A,FALSE,"00whfuel";"Net Energy Load",#N/A,FALSE,"00whfuel";"Purchased Power",#N/A,FALSE,"00whfuel"}</definedName>
    <definedName name="wrn.Total._.Report." localSheetId="20" hidden="1">{"Fuel by Type",#N/A,FALSE,"00whfuel";"Fuel by Account",#N/A,FALSE,"00whfuel";"NTEC",#N/A,FALSE,"00whfuel";"Hope",#N/A,FALSE,"00whfuel";"Net Energy Load",#N/A,FALSE,"00whfuel";"Purchased Power",#N/A,FALSE,"00whfuel"}</definedName>
    <definedName name="wrn.Total._.Report." localSheetId="21" hidden="1">{"Fuel by Type",#N/A,FALSE,"00whfuel";"Fuel by Account",#N/A,FALSE,"00whfuel";"NTEC",#N/A,FALSE,"00whfuel";"Hope",#N/A,FALSE,"00whfuel";"Net Energy Load",#N/A,FALSE,"00whfuel";"Purchased Power",#N/A,FALSE,"00whfuel"}</definedName>
    <definedName name="wrn.Total._.Report." localSheetId="22" hidden="1">{"Fuel by Type",#N/A,FALSE,"00whfuel";"Fuel by Account",#N/A,FALSE,"00whfuel";"NTEC",#N/A,FALSE,"00whfuel";"Hope",#N/A,FALSE,"00whfuel";"Net Energy Load",#N/A,FALSE,"00whfuel";"Purchased Power",#N/A,FALSE,"00whfuel"}</definedName>
    <definedName name="wrn.Total._.Report." localSheetId="23" hidden="1">{"Fuel by Type",#N/A,FALSE,"00whfuel";"Fuel by Account",#N/A,FALSE,"00whfuel";"NTEC",#N/A,FALSE,"00whfuel";"Hope",#N/A,FALSE,"00whfuel";"Net Energy Load",#N/A,FALSE,"00whfuel";"Purchased Power",#N/A,FALSE,"00whfuel"}</definedName>
    <definedName name="wrn.Total._.Report." localSheetId="24" hidden="1">{"Fuel by Type",#N/A,FALSE,"00whfuel";"Fuel by Account",#N/A,FALSE,"00whfuel";"NTEC",#N/A,FALSE,"00whfuel";"Hope",#N/A,FALSE,"00whfuel";"Net Energy Load",#N/A,FALSE,"00whfuel";"Purchased Power",#N/A,FALSE,"00whfuel"}</definedName>
    <definedName name="wrn.Total._.Report." hidden="1">{"Fuel by Type",#N/A,FALSE,"00whfuel";"Fuel by Account",#N/A,FALSE,"00whfuel";"NTEC",#N/A,FALSE,"00whfuel";"Hope",#N/A,FALSE,"00whfuel";"Net Energy Load",#N/A,FALSE,"00whfuel";"Purchased Power",#N/A,FALSE,"00whfuel"}</definedName>
    <definedName name="wrn.UWMAC." localSheetId="11" hidden="1">{"UWMACISV",#N/A,FALSE,"Sheet1";"UWMACSAV",#N/A,FALSE,"Sheet1";"UWMACBSV",#N/A,FALSE,"Sheet1";"UWMACSFDV",#N/A,FALSE,"Sheet1"}</definedName>
    <definedName name="wrn.UWMAC." localSheetId="12" hidden="1">{"UWMACISV",#N/A,FALSE,"Sheet1";"UWMACSAV",#N/A,FALSE,"Sheet1";"UWMACBSV",#N/A,FALSE,"Sheet1";"UWMACSFDV",#N/A,FALSE,"Sheet1"}</definedName>
    <definedName name="wrn.UWMAC." localSheetId="20" hidden="1">{"UWMACISV",#N/A,FALSE,"Sheet1";"UWMACSAV",#N/A,FALSE,"Sheet1";"UWMACBSV",#N/A,FALSE,"Sheet1";"UWMACSFDV",#N/A,FALSE,"Sheet1"}</definedName>
    <definedName name="wrn.UWMAC." localSheetId="21" hidden="1">{"UWMACISV",#N/A,FALSE,"Sheet1";"UWMACSAV",#N/A,FALSE,"Sheet1";"UWMACBSV",#N/A,FALSE,"Sheet1";"UWMACSFDV",#N/A,FALSE,"Sheet1"}</definedName>
    <definedName name="wrn.UWMAC." localSheetId="22" hidden="1">{"UWMACISV",#N/A,FALSE,"Sheet1";"UWMACSAV",#N/A,FALSE,"Sheet1";"UWMACBSV",#N/A,FALSE,"Sheet1";"UWMACSFDV",#N/A,FALSE,"Sheet1"}</definedName>
    <definedName name="wrn.UWMAC." localSheetId="23" hidden="1">{"UWMACISV",#N/A,FALSE,"Sheet1";"UWMACSAV",#N/A,FALSE,"Sheet1";"UWMACBSV",#N/A,FALSE,"Sheet1";"UWMACSFDV",#N/A,FALSE,"Sheet1"}</definedName>
    <definedName name="wrn.UWMAC." hidden="1">{"UWMACISV",#N/A,FALSE,"Sheet1";"UWMACSAV",#N/A,FALSE,"Sheet1";"UWMACBSV",#N/A,FALSE,"Sheet1";"UWMACSFDV",#N/A,FALSE,"Sheet1"}</definedName>
    <definedName name="wrn.UWNJ." localSheetId="11" hidden="1">{"UWNJISV",#N/A,FALSE,"Sheet1";"UWNJSAV",#N/A,FALSE,"Sheet1";"UWNJBSV",#N/A,FALSE,"Sheet1";"UWNJSFDV",#N/A,FALSE,"Sheet1"}</definedName>
    <definedName name="wrn.UWNJ." localSheetId="12" hidden="1">{"UWNJISV",#N/A,FALSE,"Sheet1";"UWNJSAV",#N/A,FALSE,"Sheet1";"UWNJBSV",#N/A,FALSE,"Sheet1";"UWNJSFDV",#N/A,FALSE,"Sheet1"}</definedName>
    <definedName name="wrn.UWNJ." localSheetId="20" hidden="1">{"UWNJISV",#N/A,FALSE,"Sheet1";"UWNJSAV",#N/A,FALSE,"Sheet1";"UWNJBSV",#N/A,FALSE,"Sheet1";"UWNJSFDV",#N/A,FALSE,"Sheet1"}</definedName>
    <definedName name="wrn.UWNJ." localSheetId="21" hidden="1">{"UWNJISV",#N/A,FALSE,"Sheet1";"UWNJSAV",#N/A,FALSE,"Sheet1";"UWNJBSV",#N/A,FALSE,"Sheet1";"UWNJSFDV",#N/A,FALSE,"Sheet1"}</definedName>
    <definedName name="wrn.UWNJ." localSheetId="22" hidden="1">{"UWNJISV",#N/A,FALSE,"Sheet1";"UWNJSAV",#N/A,FALSE,"Sheet1";"UWNJBSV",#N/A,FALSE,"Sheet1";"UWNJSFDV",#N/A,FALSE,"Sheet1"}</definedName>
    <definedName name="wrn.UWNJ." localSheetId="23" hidden="1">{"UWNJISV",#N/A,FALSE,"Sheet1";"UWNJSAV",#N/A,FALSE,"Sheet1";"UWNJBSV",#N/A,FALSE,"Sheet1";"UWNJSFDV",#N/A,FALSE,"Sheet1"}</definedName>
    <definedName name="wrn.UWNJ." hidden="1">{"UWNJISV",#N/A,FALSE,"Sheet1";"UWNJSAV",#N/A,FALSE,"Sheet1";"UWNJBSV",#N/A,FALSE,"Sheet1";"UWNJSFDV",#N/A,FALSE,"Sheet1"}</definedName>
    <definedName name="wrn.UWNY." localSheetId="11" hidden="1">{"UWNYISV",#N/A,FALSE,"Sheet1";"UWNYSAV",#N/A,FALSE,"Sheet1";"UWNYBSV",#N/A,FALSE,"Sheet1";"UWNYSFDV",#N/A,FALSE,"Sheet1"}</definedName>
    <definedName name="wrn.UWNY." localSheetId="12" hidden="1">{"UWNYISV",#N/A,FALSE,"Sheet1";"UWNYSAV",#N/A,FALSE,"Sheet1";"UWNYBSV",#N/A,FALSE,"Sheet1";"UWNYSFDV",#N/A,FALSE,"Sheet1"}</definedName>
    <definedName name="wrn.UWNY." localSheetId="20" hidden="1">{"UWNYISV",#N/A,FALSE,"Sheet1";"UWNYSAV",#N/A,FALSE,"Sheet1";"UWNYBSV",#N/A,FALSE,"Sheet1";"UWNYSFDV",#N/A,FALSE,"Sheet1"}</definedName>
    <definedName name="wrn.UWNY." localSheetId="21" hidden="1">{"UWNYISV",#N/A,FALSE,"Sheet1";"UWNYSAV",#N/A,FALSE,"Sheet1";"UWNYBSV",#N/A,FALSE,"Sheet1";"UWNYSFDV",#N/A,FALSE,"Sheet1"}</definedName>
    <definedName name="wrn.UWNY." localSheetId="22" hidden="1">{"UWNYISV",#N/A,FALSE,"Sheet1";"UWNYSAV",#N/A,FALSE,"Sheet1";"UWNYBSV",#N/A,FALSE,"Sheet1";"UWNYSFDV",#N/A,FALSE,"Sheet1"}</definedName>
    <definedName name="wrn.UWNY." localSheetId="23" hidden="1">{"UWNYISV",#N/A,FALSE,"Sheet1";"UWNYSAV",#N/A,FALSE,"Sheet1";"UWNYBSV",#N/A,FALSE,"Sheet1";"UWNYSFDV",#N/A,FALSE,"Sheet1"}</definedName>
    <definedName name="wrn.UWNY." hidden="1">{"UWNYISV",#N/A,FALSE,"Sheet1";"UWNYSAV",#N/A,FALSE,"Sheet1";"UWNYBSV",#N/A,FALSE,"Sheet1";"UWNYSFDV",#N/A,FALSE,"Sheet1"}</definedName>
    <definedName name="wrn.UWW." localSheetId="11" hidden="1">{"UWWISV",#N/A,FALSE,"Sheet1";"UWWSAV",#N/A,FALSE,"Sheet1";"UWWBSV",#N/A,FALSE,"Sheet1";"UWWSFDV",#N/A,FALSE,"Sheet1"}</definedName>
    <definedName name="wrn.UWW." localSheetId="12" hidden="1">{"UWWISV",#N/A,FALSE,"Sheet1";"UWWSAV",#N/A,FALSE,"Sheet1";"UWWBSV",#N/A,FALSE,"Sheet1";"UWWSFDV",#N/A,FALSE,"Sheet1"}</definedName>
    <definedName name="wrn.UWW." localSheetId="20" hidden="1">{"UWWISV",#N/A,FALSE,"Sheet1";"UWWSAV",#N/A,FALSE,"Sheet1";"UWWBSV",#N/A,FALSE,"Sheet1";"UWWSFDV",#N/A,FALSE,"Sheet1"}</definedName>
    <definedName name="wrn.UWW." localSheetId="21" hidden="1">{"UWWISV",#N/A,FALSE,"Sheet1";"UWWSAV",#N/A,FALSE,"Sheet1";"UWWBSV",#N/A,FALSE,"Sheet1";"UWWSFDV",#N/A,FALSE,"Sheet1"}</definedName>
    <definedName name="wrn.UWW." localSheetId="22" hidden="1">{"UWWISV",#N/A,FALSE,"Sheet1";"UWWSAV",#N/A,FALSE,"Sheet1";"UWWBSV",#N/A,FALSE,"Sheet1";"UWWSFDV",#N/A,FALSE,"Sheet1"}</definedName>
    <definedName name="wrn.UWW." localSheetId="23" hidden="1">{"UWWISV",#N/A,FALSE,"Sheet1";"UWWSAV",#N/A,FALSE,"Sheet1";"UWWBSV",#N/A,FALSE,"Sheet1";"UWWSFDV",#N/A,FALSE,"Sheet1"}</definedName>
    <definedName name="wrn.UWW." hidden="1">{"UWWISV",#N/A,FALSE,"Sheet1";"UWWSAV",#N/A,FALSE,"Sheet1";"UWWBSV",#N/A,FALSE,"Sheet1";"UWWSFDV",#N/A,FALSE,"Sheet1"}</definedName>
    <definedName name="wrn.WEATHER._.AND._.YR._.END._.CUST._.ADJ." localSheetId="10" hidden="1">{"WEATHER_CUSTOMERS",#N/A,FALSE,"Ok_Fuel&amp;Rev"}</definedName>
    <definedName name="wrn.WEATHER._.AND._.YR._.END._.CUST._.ADJ." localSheetId="11" hidden="1">{"WEATHER_CUSTOMERS",#N/A,FALSE,"Ok_Fuel&amp;Rev"}</definedName>
    <definedName name="wrn.WEATHER._.AND._.YR._.END._.CUST._.ADJ." localSheetId="12" hidden="1">{"WEATHER_CUSTOMERS",#N/A,FALSE,"Ok_Fuel&amp;Rev"}</definedName>
    <definedName name="wrn.WEATHER._.AND._.YR._.END._.CUST._.ADJ." localSheetId="13" hidden="1">{"WEATHER_CUSTOMERS",#N/A,FALSE,"Ok_Fuel&amp;Rev"}</definedName>
    <definedName name="wrn.WEATHER._.AND._.YR._.END._.CUST._.ADJ." localSheetId="14" hidden="1">{"WEATHER_CUSTOMERS",#N/A,FALSE,"Ok_Fuel&amp;Rev"}</definedName>
    <definedName name="wrn.WEATHER._.AND._.YR._.END._.CUST._.ADJ." localSheetId="15" hidden="1">{"WEATHER_CUSTOMERS",#N/A,FALSE,"Ok_Fuel&amp;Rev"}</definedName>
    <definedName name="wrn.WEATHER._.AND._.YR._.END._.CUST._.ADJ." localSheetId="16" hidden="1">{"WEATHER_CUSTOMERS",#N/A,FALSE,"Ok_Fuel&amp;Rev"}</definedName>
    <definedName name="wrn.WEATHER._.AND._.YR._.END._.CUST._.ADJ." localSheetId="17" hidden="1">{"WEATHER_CUSTOMERS",#N/A,FALSE,"Ok_Fuel&amp;Rev"}</definedName>
    <definedName name="wrn.WEATHER._.AND._.YR._.END._.CUST._.ADJ." localSheetId="19" hidden="1">{"WEATHER_CUSTOMERS",#N/A,FALSE,"Ok_Fuel&amp;Rev"}</definedName>
    <definedName name="wrn.WEATHER._.AND._.YR._.END._.CUST._.ADJ." localSheetId="20" hidden="1">{"WEATHER_CUSTOMERS",#N/A,FALSE,"Ok_Fuel&amp;Rev"}</definedName>
    <definedName name="wrn.WEATHER._.AND._.YR._.END._.CUST._.ADJ." localSheetId="21" hidden="1">{"WEATHER_CUSTOMERS",#N/A,FALSE,"Ok_Fuel&amp;Rev"}</definedName>
    <definedName name="wrn.WEATHER._.AND._.YR._.END._.CUST._.ADJ." localSheetId="22" hidden="1">{"WEATHER_CUSTOMERS",#N/A,FALSE,"Ok_Fuel&amp;Rev"}</definedName>
    <definedName name="wrn.WEATHER._.AND._.YR._.END._.CUST._.ADJ." localSheetId="23" hidden="1">{"WEATHER_CUSTOMERS",#N/A,FALSE,"Ok_Fuel&amp;Rev"}</definedName>
    <definedName name="wrn.WEATHER._.AND._.YR._.END._.CUST._.ADJ." localSheetId="24" hidden="1">{"WEATHER_CUSTOMERS",#N/A,FALSE,"Ok_Fuel&amp;Rev"}</definedName>
    <definedName name="wrn.WEATHER._.AND._.YR._.END._.CUST._.ADJ." hidden="1">{"WEATHER_CUSTOMERS",#N/A,FALSE,"Ok_Fuel&amp;Rev"}</definedName>
    <definedName name="wrn.WMECO_GL." localSheetId="10" hidden="1">{#N/A,#N/A,FALSE,"GLDwnLoad"}</definedName>
    <definedName name="wrn.WMECO_GL." localSheetId="11" hidden="1">{#N/A,#N/A,FALSE,"GLDwnLoad"}</definedName>
    <definedName name="wrn.WMECO_GL." localSheetId="12" hidden="1">{#N/A,#N/A,FALSE,"GLDwnLoad"}</definedName>
    <definedName name="wrn.WMECO_GL." localSheetId="13" hidden="1">{#N/A,#N/A,FALSE,"GLDwnLoad"}</definedName>
    <definedName name="wrn.WMECO_GL." localSheetId="14" hidden="1">{#N/A,#N/A,FALSE,"GLDwnLoad"}</definedName>
    <definedName name="wrn.WMECO_GL." localSheetId="15" hidden="1">{#N/A,#N/A,FALSE,"GLDwnLoad"}</definedName>
    <definedName name="wrn.WMECO_GL." localSheetId="16" hidden="1">{#N/A,#N/A,FALSE,"GLDwnLoad"}</definedName>
    <definedName name="wrn.WMECO_GL." localSheetId="17" hidden="1">{#N/A,#N/A,FALSE,"GLDwnLoad"}</definedName>
    <definedName name="wrn.WMECO_GL." localSheetId="19" hidden="1">{#N/A,#N/A,FALSE,"GLDwnLoad"}</definedName>
    <definedName name="wrn.WMECO_GL." localSheetId="20" hidden="1">{#N/A,#N/A,FALSE,"GLDwnLoad"}</definedName>
    <definedName name="wrn.WMECO_GL." localSheetId="21" hidden="1">{#N/A,#N/A,FALSE,"GLDwnLoad"}</definedName>
    <definedName name="wrn.WMECO_GL." localSheetId="22" hidden="1">{#N/A,#N/A,FALSE,"GLDwnLoad"}</definedName>
    <definedName name="wrn.WMECO_GL." localSheetId="23" hidden="1">{#N/A,#N/A,FALSE,"GLDwnLoad"}</definedName>
    <definedName name="wrn.WMECO_GL." localSheetId="24" hidden="1">{#N/A,#N/A,FALSE,"GLDwnLoad"}</definedName>
    <definedName name="wrn.WMECO_GL." hidden="1">{#N/A,#N/A,FALSE,"GLDwnLoad"}</definedName>
    <definedName name="wrn.WMECO_INPUTS." localSheetId="10" hidden="1">{#N/A,#N/A,FALSE,"OTHERINPUTS";#N/A,#N/A,FALSE,"DITRATEINPUTS";#N/A,#N/A,FALSE,"SUPPLIEDADJINPUT";#N/A,#N/A,FALSE,"TIMINGDIFFINPUTS";#N/A,#N/A,FALSE,"BR&amp;SUPADJ."}</definedName>
    <definedName name="wrn.WMECO_INPUTS." localSheetId="11" hidden="1">{#N/A,#N/A,FALSE,"OTHERINPUTS";#N/A,#N/A,FALSE,"DITRATEINPUTS";#N/A,#N/A,FALSE,"SUPPLIEDADJINPUT";#N/A,#N/A,FALSE,"TIMINGDIFFINPUTS";#N/A,#N/A,FALSE,"BR&amp;SUPADJ."}</definedName>
    <definedName name="wrn.WMECO_INPUTS." localSheetId="12" hidden="1">{#N/A,#N/A,FALSE,"OTHERINPUTS";#N/A,#N/A,FALSE,"DITRATEINPUTS";#N/A,#N/A,FALSE,"SUPPLIEDADJINPUT";#N/A,#N/A,FALSE,"TIMINGDIFFINPUTS";#N/A,#N/A,FALSE,"BR&amp;SUPADJ."}</definedName>
    <definedName name="wrn.WMECO_INPUTS." localSheetId="13" hidden="1">{#N/A,#N/A,FALSE,"OTHERINPUTS";#N/A,#N/A,FALSE,"DITRATEINPUTS";#N/A,#N/A,FALSE,"SUPPLIEDADJINPUT";#N/A,#N/A,FALSE,"TIMINGDIFFINPUTS";#N/A,#N/A,FALSE,"BR&amp;SUPADJ."}</definedName>
    <definedName name="wrn.WMECO_INPUTS." localSheetId="14" hidden="1">{#N/A,#N/A,FALSE,"OTHERINPUTS";#N/A,#N/A,FALSE,"DITRATEINPUTS";#N/A,#N/A,FALSE,"SUPPLIEDADJINPUT";#N/A,#N/A,FALSE,"TIMINGDIFFINPUTS";#N/A,#N/A,FALSE,"BR&amp;SUPADJ."}</definedName>
    <definedName name="wrn.WMECO_INPUTS." localSheetId="15" hidden="1">{#N/A,#N/A,FALSE,"OTHERINPUTS";#N/A,#N/A,FALSE,"DITRATEINPUTS";#N/A,#N/A,FALSE,"SUPPLIEDADJINPUT";#N/A,#N/A,FALSE,"TIMINGDIFFINPUTS";#N/A,#N/A,FALSE,"BR&amp;SUPADJ."}</definedName>
    <definedName name="wrn.WMECO_INPUTS." localSheetId="16" hidden="1">{#N/A,#N/A,FALSE,"OTHERINPUTS";#N/A,#N/A,FALSE,"DITRATEINPUTS";#N/A,#N/A,FALSE,"SUPPLIEDADJINPUT";#N/A,#N/A,FALSE,"TIMINGDIFFINPUTS";#N/A,#N/A,FALSE,"BR&amp;SUPADJ."}</definedName>
    <definedName name="wrn.WMECO_INPUTS." localSheetId="17" hidden="1">{#N/A,#N/A,FALSE,"OTHERINPUTS";#N/A,#N/A,FALSE,"DITRATEINPUTS";#N/A,#N/A,FALSE,"SUPPLIEDADJINPUT";#N/A,#N/A,FALSE,"TIMINGDIFFINPUTS";#N/A,#N/A,FALSE,"BR&amp;SUPADJ."}</definedName>
    <definedName name="wrn.WMECO_INPUTS." localSheetId="19" hidden="1">{#N/A,#N/A,FALSE,"OTHERINPUTS";#N/A,#N/A,FALSE,"DITRATEINPUTS";#N/A,#N/A,FALSE,"SUPPLIEDADJINPUT";#N/A,#N/A,FALSE,"TIMINGDIFFINPUTS";#N/A,#N/A,FALSE,"BR&amp;SUPADJ."}</definedName>
    <definedName name="wrn.WMECO_INPUTS." localSheetId="20" hidden="1">{#N/A,#N/A,FALSE,"OTHERINPUTS";#N/A,#N/A,FALSE,"DITRATEINPUTS";#N/A,#N/A,FALSE,"SUPPLIEDADJINPUT";#N/A,#N/A,FALSE,"TIMINGDIFFINPUTS";#N/A,#N/A,FALSE,"BR&amp;SUPADJ."}</definedName>
    <definedName name="wrn.WMECO_INPUTS." localSheetId="21" hidden="1">{#N/A,#N/A,FALSE,"OTHERINPUTS";#N/A,#N/A,FALSE,"DITRATEINPUTS";#N/A,#N/A,FALSE,"SUPPLIEDADJINPUT";#N/A,#N/A,FALSE,"TIMINGDIFFINPUTS";#N/A,#N/A,FALSE,"BR&amp;SUPADJ."}</definedName>
    <definedName name="wrn.WMECO_INPUTS." localSheetId="22" hidden="1">{#N/A,#N/A,FALSE,"OTHERINPUTS";#N/A,#N/A,FALSE,"DITRATEINPUTS";#N/A,#N/A,FALSE,"SUPPLIEDADJINPUT";#N/A,#N/A,FALSE,"TIMINGDIFFINPUTS";#N/A,#N/A,FALSE,"BR&amp;SUPADJ."}</definedName>
    <definedName name="wrn.WMECO_INPUTS." localSheetId="23" hidden="1">{#N/A,#N/A,FALSE,"OTHERINPUTS";#N/A,#N/A,FALSE,"DITRATEINPUTS";#N/A,#N/A,FALSE,"SUPPLIEDADJINPUT";#N/A,#N/A,FALSE,"TIMINGDIFFINPUTS";#N/A,#N/A,FALSE,"BR&amp;SUPADJ."}</definedName>
    <definedName name="wrn.WMECO_INPUTS." localSheetId="24"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PROV." localSheetId="1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2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2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2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2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2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X" localSheetId="10" hidden="1">#REF!</definedName>
    <definedName name="X" localSheetId="11" hidden="1">#REF!</definedName>
    <definedName name="X" localSheetId="12" hidden="1">#REF!</definedName>
    <definedName name="X" localSheetId="14" hidden="1">#REF!</definedName>
    <definedName name="X" localSheetId="15" hidden="1">#REF!</definedName>
    <definedName name="X" localSheetId="16" hidden="1">#REF!</definedName>
    <definedName name="X" localSheetId="17" hidden="1">#REF!</definedName>
    <definedName name="X" localSheetId="21" hidden="1">#REF!</definedName>
    <definedName name="X" localSheetId="22" hidden="1">#REF!</definedName>
    <definedName name="X" localSheetId="23" hidden="1">#REF!</definedName>
    <definedName name="X" localSheetId="24" hidden="1">#REF!</definedName>
    <definedName name="X" hidden="1">#REF!</definedName>
    <definedName name="xxx" localSheetId="10" hidden="1">{#N/A,#N/A,FALSE,"GLDwnLoad"}</definedName>
    <definedName name="xxx" localSheetId="11" hidden="1">{#N/A,#N/A,FALSE,"GLDwnLoad"}</definedName>
    <definedName name="xxx" localSheetId="12" hidden="1">{#N/A,#N/A,FALSE,"GLDwnLoad"}</definedName>
    <definedName name="xxx" localSheetId="13" hidden="1">{"'Sheet1'!$A$1:$O$40"}</definedName>
    <definedName name="xxx" localSheetId="14" hidden="1">{#N/A,#N/A,FALSE,"GLDwnLoad"}</definedName>
    <definedName name="xxx" localSheetId="15" hidden="1">{#N/A,#N/A,FALSE,"GLDwnLoad"}</definedName>
    <definedName name="xxx" localSheetId="16" hidden="1">{#N/A,#N/A,FALSE,"GLDwnLoad"}</definedName>
    <definedName name="xxx" localSheetId="17" hidden="1">{#N/A,#N/A,FALSE,"GLDwnLoad"}</definedName>
    <definedName name="xxx" localSheetId="19" hidden="1">{#N/A,#N/A,FALSE,"GLDwnLoad"}</definedName>
    <definedName name="xxx" localSheetId="20" hidden="1">{#N/A,#N/A,FALSE,"GLDwnLoad"}</definedName>
    <definedName name="xxx" localSheetId="21" hidden="1">{#N/A,#N/A,FALSE,"GLDwnLoad"}</definedName>
    <definedName name="xxx" localSheetId="22" hidden="1">{#N/A,#N/A,FALSE,"GLDwnLoad"}</definedName>
    <definedName name="xxx" localSheetId="23" hidden="1">{#N/A,#N/A,FALSE,"GLDwnLoad"}</definedName>
    <definedName name="xxx" localSheetId="24" hidden="1">{#N/A,#N/A,FALSE,"GLDwnLoad"}</definedName>
    <definedName name="xxx" hidden="1">{#N/A,#N/A,FALSE,"GLDwnLoad"}</definedName>
    <definedName name="xxxx" localSheetId="1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Y" localSheetId="10" hidden="1">#REF!</definedName>
    <definedName name="Y" localSheetId="11" hidden="1">#REF!</definedName>
    <definedName name="Y" localSheetId="12" hidden="1">#REF!</definedName>
    <definedName name="Y" localSheetId="14" hidden="1">#REF!</definedName>
    <definedName name="Y" localSheetId="15" hidden="1">#REF!</definedName>
    <definedName name="Y" localSheetId="16" hidden="1">#REF!</definedName>
    <definedName name="Y" localSheetId="17" hidden="1">#REF!</definedName>
    <definedName name="Y" localSheetId="21" hidden="1">#REF!</definedName>
    <definedName name="Y" localSheetId="22" hidden="1">#REF!</definedName>
    <definedName name="Y" localSheetId="23" hidden="1">#REF!</definedName>
    <definedName name="Y" localSheetId="24" hidden="1">#REF!</definedName>
    <definedName name="Y" hidden="1">#REF!</definedName>
    <definedName name="yes" localSheetId="10" hidden="1">#REF!</definedName>
    <definedName name="yes" localSheetId="11" hidden="1">#REF!</definedName>
    <definedName name="yes" localSheetId="12" hidden="1">#REF!</definedName>
    <definedName name="yes" localSheetId="14" hidden="1">#REF!</definedName>
    <definedName name="yes" localSheetId="15" hidden="1">#REF!</definedName>
    <definedName name="yes" localSheetId="21" hidden="1">#REF!</definedName>
    <definedName name="yes" localSheetId="22" hidden="1">#REF!</definedName>
    <definedName name="yes" localSheetId="23" hidden="1">#REF!</definedName>
    <definedName name="yes" localSheetId="24" hidden="1">#REF!</definedName>
    <definedName name="yes" hidden="1">#REF!</definedName>
    <definedName name="yesindeed" localSheetId="10" hidden="1">#REF!</definedName>
    <definedName name="yesindeed" localSheetId="11" hidden="1">#REF!</definedName>
    <definedName name="yesindeed" localSheetId="12" hidden="1">#REF!</definedName>
    <definedName name="yesindeed" localSheetId="14" hidden="1">#REF!</definedName>
    <definedName name="yesindeed" localSheetId="15" hidden="1">#REF!</definedName>
    <definedName name="yesindeed" localSheetId="21" hidden="1">#REF!</definedName>
    <definedName name="yesindeed" localSheetId="22" hidden="1">#REF!</definedName>
    <definedName name="yesindeed" localSheetId="23" hidden="1">#REF!</definedName>
    <definedName name="yesindeed" localSheetId="24" hidden="1">#REF!</definedName>
    <definedName name="yesindeed" hidden="1">#REF!</definedName>
    <definedName name="yesir" localSheetId="10" hidden="1">#REF!</definedName>
    <definedName name="yesir" localSheetId="11" hidden="1">#REF!</definedName>
    <definedName name="yesir" localSheetId="12" hidden="1">#REF!</definedName>
    <definedName name="yesir" localSheetId="14" hidden="1">#REF!</definedName>
    <definedName name="yesir" localSheetId="15" hidden="1">#REF!</definedName>
    <definedName name="yesir" localSheetId="21" hidden="1">#REF!</definedName>
    <definedName name="yesir" localSheetId="22" hidden="1">#REF!</definedName>
    <definedName name="yesir" localSheetId="23" hidden="1">#REF!</definedName>
    <definedName name="yesir" localSheetId="24" hidden="1">#REF!</definedName>
    <definedName name="yesir" hidden="1">#REF!</definedName>
    <definedName name="yyyyyy" localSheetId="10" hidden="1">#REF!</definedName>
    <definedName name="yyyyyy" localSheetId="11" hidden="1">#REF!</definedName>
    <definedName name="yyyyyy" localSheetId="12" hidden="1">#REF!</definedName>
    <definedName name="yyyyyy" localSheetId="14" hidden="1">#REF!</definedName>
    <definedName name="yyyyyy" localSheetId="15" hidden="1">#REF!</definedName>
    <definedName name="yyyyyy" localSheetId="21" hidden="1">#REF!</definedName>
    <definedName name="yyyyyy" localSheetId="22" hidden="1">#REF!</definedName>
    <definedName name="yyyyyy" localSheetId="23" hidden="1">#REF!</definedName>
    <definedName name="yyyyyy" localSheetId="24" hidden="1">#REF!</definedName>
    <definedName name="yyyyyy" hidden="1">#REF!</definedName>
    <definedName name="Z" localSheetId="10" hidden="1">#REF!</definedName>
    <definedName name="Z" localSheetId="11" hidden="1">#REF!</definedName>
    <definedName name="Z" localSheetId="12" hidden="1">#REF!</definedName>
    <definedName name="Z" localSheetId="14" hidden="1">#REF!</definedName>
    <definedName name="Z" localSheetId="15" hidden="1">#REF!</definedName>
    <definedName name="Z" localSheetId="21" hidden="1">#REF!</definedName>
    <definedName name="Z" localSheetId="22" hidden="1">#REF!</definedName>
    <definedName name="Z" localSheetId="23" hidden="1">#REF!</definedName>
    <definedName name="Z" localSheetId="24" hidden="1">#REF!</definedName>
    <definedName name="Z" hidden="1">#REF!</definedName>
    <definedName name="Z_23F18827_7997_11D6_8750_00508BD3B3BA_.wvu.Cols" localSheetId="10" hidden="1">#REF!,#REF!</definedName>
    <definedName name="Z_23F18827_7997_11D6_8750_00508BD3B3BA_.wvu.Cols" localSheetId="11" hidden="1">#REF!,#REF!</definedName>
    <definedName name="Z_23F18827_7997_11D6_8750_00508BD3B3BA_.wvu.Cols" localSheetId="12" hidden="1">#REF!,#REF!</definedName>
    <definedName name="Z_23F18827_7997_11D6_8750_00508BD3B3BA_.wvu.Cols" localSheetId="14" hidden="1">#REF!,#REF!</definedName>
    <definedName name="Z_23F18827_7997_11D6_8750_00508BD3B3BA_.wvu.Cols" localSheetId="15" hidden="1">#REF!,#REF!</definedName>
    <definedName name="Z_23F18827_7997_11D6_8750_00508BD3B3BA_.wvu.Cols" localSheetId="16" hidden="1">#REF!,#REF!</definedName>
    <definedName name="Z_23F18827_7997_11D6_8750_00508BD3B3BA_.wvu.Cols" localSheetId="17" hidden="1">#REF!,#REF!</definedName>
    <definedName name="Z_23F18827_7997_11D6_8750_00508BD3B3BA_.wvu.Cols" localSheetId="21" hidden="1">#REF!,#REF!</definedName>
    <definedName name="Z_23F18827_7997_11D6_8750_00508BD3B3BA_.wvu.Cols" localSheetId="22" hidden="1">#REF!,#REF!</definedName>
    <definedName name="Z_23F18827_7997_11D6_8750_00508BD3B3BA_.wvu.Cols" localSheetId="23" hidden="1">#REF!,#REF!</definedName>
    <definedName name="Z_23F18827_7997_11D6_8750_00508BD3B3BA_.wvu.Cols" localSheetId="24" hidden="1">#REF!,#REF!</definedName>
    <definedName name="Z_23F18827_7997_11D6_8750_00508BD3B3BA_.wvu.Cols" hidden="1">#REF!,#REF!</definedName>
    <definedName name="Z_23F18827_7997_11D6_8750_00508BD3B3BA_.wvu.PrintArea" localSheetId="10" hidden="1">#REF!</definedName>
    <definedName name="Z_23F18827_7997_11D6_8750_00508BD3B3BA_.wvu.PrintArea" localSheetId="11" hidden="1">#REF!</definedName>
    <definedName name="Z_23F18827_7997_11D6_8750_00508BD3B3BA_.wvu.PrintArea" localSheetId="12" hidden="1">#REF!</definedName>
    <definedName name="Z_23F18827_7997_11D6_8750_00508BD3B3BA_.wvu.PrintArea" localSheetId="14" hidden="1">#REF!</definedName>
    <definedName name="Z_23F18827_7997_11D6_8750_00508BD3B3BA_.wvu.PrintArea" localSheetId="15" hidden="1">#REF!</definedName>
    <definedName name="Z_23F18827_7997_11D6_8750_00508BD3B3BA_.wvu.PrintArea" localSheetId="16" hidden="1">#REF!</definedName>
    <definedName name="Z_23F18827_7997_11D6_8750_00508BD3B3BA_.wvu.PrintArea" localSheetId="17" hidden="1">#REF!</definedName>
    <definedName name="Z_23F18827_7997_11D6_8750_00508BD3B3BA_.wvu.PrintArea" localSheetId="21" hidden="1">#REF!</definedName>
    <definedName name="Z_23F18827_7997_11D6_8750_00508BD3B3BA_.wvu.PrintArea" localSheetId="22" hidden="1">#REF!</definedName>
    <definedName name="Z_23F18827_7997_11D6_8750_00508BD3B3BA_.wvu.PrintArea" localSheetId="23" hidden="1">#REF!</definedName>
    <definedName name="Z_23F18827_7997_11D6_8750_00508BD3B3BA_.wvu.PrintArea" localSheetId="24" hidden="1">#REF!</definedName>
    <definedName name="Z_23F18827_7997_11D6_8750_00508BD3B3BA_.wvu.PrintArea" hidden="1">#REF!</definedName>
    <definedName name="zdcw" localSheetId="10" hidden="1">#REF!</definedName>
    <definedName name="zdcw" localSheetId="11" hidden="1">#REF!</definedName>
    <definedName name="zdcw" localSheetId="12" hidden="1">#REF!</definedName>
    <definedName name="zdcw" localSheetId="14" hidden="1">#REF!</definedName>
    <definedName name="zdcw" localSheetId="15" hidden="1">#REF!</definedName>
    <definedName name="zdcw" localSheetId="21" hidden="1">#REF!</definedName>
    <definedName name="zdcw" localSheetId="22" hidden="1">#REF!</definedName>
    <definedName name="zdcw" localSheetId="23" hidden="1">#REF!</definedName>
    <definedName name="zdcw" localSheetId="24" hidden="1">#REF!</definedName>
    <definedName name="zdcw" hidden="1">#REF!</definedName>
    <definedName name="zj" localSheetId="10" hidden="1">#REF!</definedName>
    <definedName name="zj" localSheetId="11" hidden="1">#REF!</definedName>
    <definedName name="zj" localSheetId="12" hidden="1">#REF!</definedName>
    <definedName name="zj" localSheetId="14" hidden="1">#REF!</definedName>
    <definedName name="zj" localSheetId="15" hidden="1">#REF!</definedName>
    <definedName name="zj" localSheetId="21" hidden="1">#REF!</definedName>
    <definedName name="zj" localSheetId="22" hidden="1">#REF!</definedName>
    <definedName name="zj" localSheetId="23" hidden="1">#REF!</definedName>
    <definedName name="zj" localSheetId="24" hidden="1">#REF!</definedName>
    <definedName name="zj" hidden="1">#REF!</definedName>
    <definedName name="znh" localSheetId="10" hidden="1">#REF!</definedName>
    <definedName name="znh" localSheetId="11" hidden="1">#REF!</definedName>
    <definedName name="znh" localSheetId="12" hidden="1">#REF!</definedName>
    <definedName name="znh" localSheetId="14" hidden="1">#REF!</definedName>
    <definedName name="znh" localSheetId="15" hidden="1">#REF!</definedName>
    <definedName name="znh" localSheetId="21" hidden="1">#REF!</definedName>
    <definedName name="znh" localSheetId="22" hidden="1">#REF!</definedName>
    <definedName name="znh" localSheetId="23" hidden="1">#REF!</definedName>
    <definedName name="znh" localSheetId="24" hidden="1">#REF!</definedName>
    <definedName name="znh" hidden="1">#REF!</definedName>
    <definedName name="zxcvb" localSheetId="10" hidden="1">#REF!</definedName>
    <definedName name="zxcvb" localSheetId="11" hidden="1">#REF!</definedName>
    <definedName name="zxcvb" localSheetId="12" hidden="1">#REF!</definedName>
    <definedName name="zxcvb" localSheetId="14" hidden="1">#REF!</definedName>
    <definedName name="zxcvb" localSheetId="15" hidden="1">#REF!</definedName>
    <definedName name="zxcvb" localSheetId="21" hidden="1">#REF!</definedName>
    <definedName name="zxcvb" localSheetId="22" hidden="1">#REF!</definedName>
    <definedName name="zxcvb" localSheetId="23" hidden="1">#REF!</definedName>
    <definedName name="zxcvb" localSheetId="24" hidden="1">#REF!</definedName>
    <definedName name="zxcvb" hidden="1">#REF!</definedName>
    <definedName name="zxd" localSheetId="10" hidden="1">#REF!</definedName>
    <definedName name="zxd" localSheetId="11" hidden="1">#REF!</definedName>
    <definedName name="zxd" localSheetId="12" hidden="1">#REF!</definedName>
    <definedName name="zxd" localSheetId="14" hidden="1">#REF!</definedName>
    <definedName name="zxd" localSheetId="15" hidden="1">#REF!</definedName>
    <definedName name="zxd" localSheetId="21" hidden="1">#REF!</definedName>
    <definedName name="zxd" localSheetId="22" hidden="1">#REF!</definedName>
    <definedName name="zxd" localSheetId="23" hidden="1">#REF!</definedName>
    <definedName name="zxd" localSheetId="24" hidden="1">#REF!</definedName>
    <definedName name="zxd" hidden="1">#REF!</definedName>
    <definedName name="ZZ_EVCOMOPTS" hidden="1">10</definedName>
    <definedName name="zzz" localSheetId="10" hidden="1">{"'Sheet1'!$A$1:$O$40"}</definedName>
    <definedName name="zzz" localSheetId="11" hidden="1">{"'Sheet1'!$A$1:$O$40"}</definedName>
    <definedName name="zzz" localSheetId="12" hidden="1">{"'Sheet1'!$A$1:$O$40"}</definedName>
    <definedName name="zzz" localSheetId="13" hidden="1">{"'Sheet1'!$A$1:$O$40"}</definedName>
    <definedName name="zzz" localSheetId="14" hidden="1">{"'Sheet1'!$A$1:$O$40"}</definedName>
    <definedName name="zzz" localSheetId="15" hidden="1">{"'Sheet1'!$A$1:$O$40"}</definedName>
    <definedName name="zzz" localSheetId="16" hidden="1">{"'Sheet1'!$A$1:$O$40"}</definedName>
    <definedName name="zzz" localSheetId="17" hidden="1">{"'Sheet1'!$A$1:$O$40"}</definedName>
    <definedName name="zzz" localSheetId="19" hidden="1">{"'Sheet1'!$A$1:$O$40"}</definedName>
    <definedName name="zzz" localSheetId="20" hidden="1">{"'Sheet1'!$A$1:$O$40"}</definedName>
    <definedName name="zzz" localSheetId="21" hidden="1">{"'Sheet1'!$A$1:$O$40"}</definedName>
    <definedName name="zzz" localSheetId="22" hidden="1">{"'Sheet1'!$A$1:$O$40"}</definedName>
    <definedName name="zzz" localSheetId="23" hidden="1">{"'Sheet1'!$A$1:$O$40"}</definedName>
    <definedName name="zzz" localSheetId="24" hidden="1">{"'Sheet1'!$A$1:$O$40"}</definedName>
    <definedName name="zzz" hidden="1">{"'Sheet1'!$A$1:$O$40"}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2" i="271" l="1"/>
  <c r="C121" i="271"/>
  <c r="C119" i="271"/>
  <c r="C120" i="271"/>
  <c r="Q21" i="287" l="1"/>
  <c r="W68" i="282" l="1"/>
  <c r="J17" i="290" l="1"/>
  <c r="R21" i="277"/>
  <c r="C53" i="273" l="1"/>
  <c r="H124" i="271"/>
  <c r="D20" i="284" l="1"/>
  <c r="B34" i="286"/>
  <c r="B33" i="286"/>
  <c r="B32" i="286"/>
  <c r="D45" i="284" l="1"/>
  <c r="D22" i="284"/>
  <c r="AI42" i="291" l="1"/>
  <c r="AJ42" i="291"/>
  <c r="AI43" i="291"/>
  <c r="AJ43" i="291"/>
  <c r="AI44" i="291"/>
  <c r="AJ44" i="291"/>
  <c r="AI45" i="291"/>
  <c r="AJ45" i="291"/>
  <c r="AI46" i="291"/>
  <c r="AJ46" i="291"/>
  <c r="AI47" i="291"/>
  <c r="AJ47" i="291"/>
  <c r="AJ41" i="291"/>
  <c r="AI41" i="291"/>
  <c r="AJ50" i="291" l="1"/>
  <c r="AI50" i="291"/>
  <c r="I50" i="291"/>
  <c r="H50" i="291"/>
  <c r="G50" i="291"/>
  <c r="AJ49" i="291"/>
  <c r="AI49" i="291"/>
  <c r="I49" i="291"/>
  <c r="H49" i="291"/>
  <c r="G49" i="291"/>
  <c r="AN47" i="291"/>
  <c r="AI26" i="291" s="1"/>
  <c r="AL47" i="291"/>
  <c r="AM47" i="291" s="1"/>
  <c r="X47" i="291"/>
  <c r="V47" i="291"/>
  <c r="U47" i="291"/>
  <c r="AH47" i="291"/>
  <c r="L47" i="291"/>
  <c r="N47" i="291" s="1"/>
  <c r="J47" i="291"/>
  <c r="K47" i="291" s="1"/>
  <c r="F47" i="291"/>
  <c r="AN46" i="291"/>
  <c r="AL46" i="291"/>
  <c r="AM46" i="291" s="1"/>
  <c r="AH46" i="291"/>
  <c r="X46" i="291"/>
  <c r="V46" i="291"/>
  <c r="U46" i="291"/>
  <c r="T46" i="291"/>
  <c r="L46" i="291"/>
  <c r="J46" i="291"/>
  <c r="K46" i="291" s="1"/>
  <c r="F46" i="291"/>
  <c r="M46" i="291" s="1"/>
  <c r="AL45" i="291"/>
  <c r="X45" i="291"/>
  <c r="W45" i="291"/>
  <c r="V45" i="291"/>
  <c r="U45" i="291"/>
  <c r="S45" i="291"/>
  <c r="AG45" i="291" s="1"/>
  <c r="R45" i="291"/>
  <c r="AF45" i="291" s="1"/>
  <c r="L45" i="291"/>
  <c r="J45" i="291"/>
  <c r="K45" i="291" s="1"/>
  <c r="M45" i="291" s="1"/>
  <c r="F45" i="291"/>
  <c r="AL44" i="291"/>
  <c r="X44" i="291"/>
  <c r="W44" i="291"/>
  <c r="AK44" i="291" s="1"/>
  <c r="V44" i="291"/>
  <c r="U44" i="291"/>
  <c r="Z44" i="291" s="1"/>
  <c r="U23" i="291" s="1"/>
  <c r="S44" i="291"/>
  <c r="R44" i="291"/>
  <c r="AF44" i="291" s="1"/>
  <c r="L44" i="291"/>
  <c r="G23" i="291" s="1"/>
  <c r="K23" i="291" s="1"/>
  <c r="J44" i="291"/>
  <c r="K44" i="291" s="1"/>
  <c r="F44" i="291"/>
  <c r="N44" i="291" s="1"/>
  <c r="AL43" i="291"/>
  <c r="X43" i="291"/>
  <c r="W43" i="291"/>
  <c r="V43" i="291"/>
  <c r="U43" i="291"/>
  <c r="S43" i="291"/>
  <c r="R43" i="291"/>
  <c r="AF43" i="291" s="1"/>
  <c r="L43" i="291"/>
  <c r="G22" i="291" s="1"/>
  <c r="J43" i="291"/>
  <c r="K43" i="291" s="1"/>
  <c r="M43" i="291" s="1"/>
  <c r="F43" i="291"/>
  <c r="AL42" i="291"/>
  <c r="X42" i="291"/>
  <c r="W42" i="291"/>
  <c r="AK42" i="291" s="1"/>
  <c r="AN42" i="291" s="1"/>
  <c r="AI21" i="291" s="1"/>
  <c r="V42" i="291"/>
  <c r="Z42" i="291" s="1"/>
  <c r="U21" i="291" s="1"/>
  <c r="Y21" i="291" s="1"/>
  <c r="Z21" i="291" s="1"/>
  <c r="U42" i="291"/>
  <c r="Y42" i="291" s="1"/>
  <c r="S42" i="291"/>
  <c r="T42" i="291" s="1"/>
  <c r="R42" i="291"/>
  <c r="AF42" i="291" s="1"/>
  <c r="N42" i="291"/>
  <c r="L42" i="291"/>
  <c r="J42" i="291"/>
  <c r="K42" i="291" s="1"/>
  <c r="M42" i="291" s="1"/>
  <c r="F42" i="291"/>
  <c r="AL41" i="291"/>
  <c r="X41" i="291"/>
  <c r="W41" i="291"/>
  <c r="V41" i="291"/>
  <c r="U41" i="291"/>
  <c r="U50" i="291" s="1"/>
  <c r="S41" i="291"/>
  <c r="AG41" i="291" s="1"/>
  <c r="R41" i="291"/>
  <c r="AF41" i="291" s="1"/>
  <c r="L41" i="291"/>
  <c r="J41" i="291"/>
  <c r="F41" i="291"/>
  <c r="AJ26" i="291"/>
  <c r="AH26" i="291"/>
  <c r="V26" i="291"/>
  <c r="T26" i="291"/>
  <c r="H26" i="291"/>
  <c r="J26" i="291" s="1"/>
  <c r="F26" i="291"/>
  <c r="AJ25" i="291"/>
  <c r="AI25" i="291"/>
  <c r="AH25" i="291"/>
  <c r="V25" i="291"/>
  <c r="T25" i="291"/>
  <c r="H25" i="291"/>
  <c r="G25" i="291"/>
  <c r="K25" i="291" s="1"/>
  <c r="F25" i="291"/>
  <c r="J25" i="291" s="1"/>
  <c r="AJ24" i="291"/>
  <c r="AH24" i="291"/>
  <c r="V24" i="291"/>
  <c r="T24" i="291"/>
  <c r="X24" i="291" s="1"/>
  <c r="H24" i="291"/>
  <c r="F24" i="291"/>
  <c r="J24" i="291" s="1"/>
  <c r="AL23" i="291"/>
  <c r="AJ23" i="291"/>
  <c r="AH23" i="291"/>
  <c r="V23" i="291"/>
  <c r="X23" i="291" s="1"/>
  <c r="T23" i="291"/>
  <c r="W23" i="291" s="1"/>
  <c r="H23" i="291"/>
  <c r="F23" i="291"/>
  <c r="AJ22" i="291"/>
  <c r="AH22" i="291"/>
  <c r="V22" i="291"/>
  <c r="T22" i="291"/>
  <c r="X22" i="291" s="1"/>
  <c r="H22" i="291"/>
  <c r="F22" i="291"/>
  <c r="AJ21" i="291"/>
  <c r="AL21" i="291" s="1"/>
  <c r="AH21" i="291"/>
  <c r="V21" i="291"/>
  <c r="X21" i="291" s="1"/>
  <c r="T21" i="291"/>
  <c r="H21" i="291"/>
  <c r="G21" i="291"/>
  <c r="K21" i="291" s="1"/>
  <c r="F21" i="291"/>
  <c r="AJ20" i="291"/>
  <c r="AH20" i="291"/>
  <c r="AL20" i="291" s="1"/>
  <c r="V20" i="291"/>
  <c r="T20" i="291"/>
  <c r="H20" i="291"/>
  <c r="F20" i="291"/>
  <c r="AJ15" i="291"/>
  <c r="AI15" i="291"/>
  <c r="V15" i="291"/>
  <c r="U15" i="291"/>
  <c r="H15" i="291"/>
  <c r="G15" i="291"/>
  <c r="AJ14" i="291"/>
  <c r="AI14" i="291"/>
  <c r="V14" i="291"/>
  <c r="U14" i="291"/>
  <c r="H14" i="291"/>
  <c r="G14" i="291"/>
  <c r="AM12" i="291"/>
  <c r="AH12" i="291"/>
  <c r="Y12" i="291"/>
  <c r="T12" i="291"/>
  <c r="X12" i="291" s="1"/>
  <c r="K12" i="291"/>
  <c r="F12" i="291"/>
  <c r="AM11" i="291"/>
  <c r="AH11" i="291"/>
  <c r="AL11" i="291" s="1"/>
  <c r="Y11" i="291"/>
  <c r="T11" i="291"/>
  <c r="K11" i="291"/>
  <c r="F11" i="291"/>
  <c r="J11" i="291" s="1"/>
  <c r="AM10" i="291"/>
  <c r="AH10" i="291"/>
  <c r="AK10" i="291" s="1"/>
  <c r="Y10" i="291"/>
  <c r="X10" i="291"/>
  <c r="T10" i="291"/>
  <c r="K10" i="291"/>
  <c r="F10" i="291"/>
  <c r="J10" i="291" s="1"/>
  <c r="AM9" i="291"/>
  <c r="AK9" i="291"/>
  <c r="AH9" i="291"/>
  <c r="AN9" i="291" s="1"/>
  <c r="Y9" i="291"/>
  <c r="T9" i="291"/>
  <c r="X9" i="291" s="1"/>
  <c r="K9" i="291"/>
  <c r="F9" i="291"/>
  <c r="J9" i="291" s="1"/>
  <c r="AH8" i="291"/>
  <c r="AL8" i="291" s="1"/>
  <c r="T8" i="291"/>
  <c r="X8" i="291" s="1"/>
  <c r="F8" i="291"/>
  <c r="J8" i="291" s="1"/>
  <c r="AM7" i="291"/>
  <c r="AH7" i="291"/>
  <c r="AL7" i="291" s="1"/>
  <c r="Y7" i="291"/>
  <c r="W7" i="291"/>
  <c r="T7" i="291"/>
  <c r="Z7" i="291" s="1"/>
  <c r="K7" i="291"/>
  <c r="J7" i="291"/>
  <c r="F7" i="291"/>
  <c r="F14" i="291" s="1"/>
  <c r="AM6" i="291"/>
  <c r="AK6" i="291"/>
  <c r="AH6" i="291"/>
  <c r="AN6" i="291" s="1"/>
  <c r="Y6" i="291"/>
  <c r="T6" i="291"/>
  <c r="X6" i="291" s="1"/>
  <c r="K6" i="291"/>
  <c r="J6" i="291"/>
  <c r="I6" i="291"/>
  <c r="F6" i="291"/>
  <c r="AM25" i="291" l="1"/>
  <c r="X25" i="291"/>
  <c r="AM26" i="291"/>
  <c r="AN26" i="291" s="1"/>
  <c r="AL50" i="291"/>
  <c r="Y44" i="291"/>
  <c r="T45" i="291"/>
  <c r="N46" i="291"/>
  <c r="Y47" i="291"/>
  <c r="L6" i="291"/>
  <c r="X7" i="291"/>
  <c r="AL9" i="291"/>
  <c r="I10" i="291"/>
  <c r="Z10" i="291"/>
  <c r="AN10" i="291"/>
  <c r="AN12" i="291"/>
  <c r="AJ28" i="291"/>
  <c r="AL22" i="291"/>
  <c r="V49" i="291"/>
  <c r="AM21" i="291"/>
  <c r="AG42" i="291"/>
  <c r="K22" i="291"/>
  <c r="L22" i="291" s="1"/>
  <c r="K14" i="291"/>
  <c r="L10" i="291"/>
  <c r="Y26" i="291"/>
  <c r="Y15" i="291"/>
  <c r="L7" i="291"/>
  <c r="AN7" i="291"/>
  <c r="T29" i="291"/>
  <c r="Z26" i="291"/>
  <c r="AJ29" i="291"/>
  <c r="I7" i="291"/>
  <c r="I9" i="291"/>
  <c r="F29" i="291"/>
  <c r="AL24" i="291"/>
  <c r="G26" i="291"/>
  <c r="I26" i="291" s="1"/>
  <c r="AH41" i="291"/>
  <c r="X49" i="291"/>
  <c r="M44" i="291"/>
  <c r="T44" i="291"/>
  <c r="AA44" i="291" s="1"/>
  <c r="AH45" i="291"/>
  <c r="Z47" i="291"/>
  <c r="U26" i="291" s="1"/>
  <c r="W26" i="291" s="1"/>
  <c r="W12" i="291"/>
  <c r="Z12" i="291"/>
  <c r="AK12" i="291"/>
  <c r="AL12" i="291"/>
  <c r="J14" i="291"/>
  <c r="H28" i="291"/>
  <c r="H29" i="291"/>
  <c r="AM14" i="291"/>
  <c r="Y14" i="291"/>
  <c r="N43" i="291"/>
  <c r="Y43" i="291"/>
  <c r="AK43" i="291"/>
  <c r="AP46" i="291"/>
  <c r="AO46" i="291"/>
  <c r="K15" i="291"/>
  <c r="L9" i="291"/>
  <c r="W10" i="291"/>
  <c r="L11" i="291"/>
  <c r="I11" i="291"/>
  <c r="AK11" i="291"/>
  <c r="W21" i="291"/>
  <c r="I22" i="291"/>
  <c r="Y23" i="291"/>
  <c r="Z23" i="291" s="1"/>
  <c r="AN25" i="291"/>
  <c r="AL25" i="291"/>
  <c r="AK25" i="291"/>
  <c r="V28" i="291"/>
  <c r="T41" i="291"/>
  <c r="L21" i="291"/>
  <c r="J21" i="291"/>
  <c r="I21" i="291"/>
  <c r="AK26" i="291"/>
  <c r="Z45" i="291"/>
  <c r="U24" i="291" s="1"/>
  <c r="W6" i="291"/>
  <c r="W8" i="291"/>
  <c r="W9" i="291"/>
  <c r="AN11" i="291"/>
  <c r="AN15" i="291" s="1"/>
  <c r="T15" i="291"/>
  <c r="AN21" i="291"/>
  <c r="I25" i="291"/>
  <c r="AL26" i="291"/>
  <c r="M47" i="291"/>
  <c r="X20" i="291"/>
  <c r="T28" i="291"/>
  <c r="Z11" i="291"/>
  <c r="J12" i="291"/>
  <c r="J15" i="291" s="1"/>
  <c r="I12" i="291"/>
  <c r="L25" i="291"/>
  <c r="AH28" i="291"/>
  <c r="F50" i="291"/>
  <c r="N41" i="291"/>
  <c r="F49" i="291"/>
  <c r="AB42" i="291"/>
  <c r="AA42" i="291"/>
  <c r="AH42" i="291"/>
  <c r="AB44" i="291"/>
  <c r="Z6" i="291"/>
  <c r="AK7" i="291"/>
  <c r="AK15" i="291" s="1"/>
  <c r="Z9" i="291"/>
  <c r="W11" i="291"/>
  <c r="T14" i="291"/>
  <c r="AK21" i="291"/>
  <c r="J49" i="291"/>
  <c r="AG43" i="291"/>
  <c r="AH43" i="291" s="1"/>
  <c r="T43" i="291"/>
  <c r="Z46" i="291"/>
  <c r="U25" i="291" s="1"/>
  <c r="Y25" i="291" s="1"/>
  <c r="Z25" i="291" s="1"/>
  <c r="Y46" i="291"/>
  <c r="AA46" i="291" s="1"/>
  <c r="J22" i="291"/>
  <c r="AM15" i="291"/>
  <c r="L23" i="291"/>
  <c r="J23" i="291"/>
  <c r="I23" i="291"/>
  <c r="V29" i="291"/>
  <c r="W49" i="291"/>
  <c r="AK41" i="291"/>
  <c r="W50" i="291"/>
  <c r="Y45" i="291"/>
  <c r="AA45" i="291" s="1"/>
  <c r="AK45" i="291"/>
  <c r="AH14" i="291"/>
  <c r="AH15" i="291"/>
  <c r="AL6" i="291"/>
  <c r="AL10" i="291"/>
  <c r="X11" i="291"/>
  <c r="X15" i="291" s="1"/>
  <c r="L12" i="291"/>
  <c r="L15" i="291" s="1"/>
  <c r="F15" i="291"/>
  <c r="J20" i="291"/>
  <c r="AH29" i="291"/>
  <c r="K26" i="291"/>
  <c r="L26" i="291" s="1"/>
  <c r="X26" i="291"/>
  <c r="L50" i="291"/>
  <c r="G20" i="291"/>
  <c r="L49" i="291"/>
  <c r="Z41" i="291"/>
  <c r="AM42" i="291"/>
  <c r="Z43" i="291"/>
  <c r="U22" i="291" s="1"/>
  <c r="N45" i="291"/>
  <c r="G24" i="291"/>
  <c r="AN44" i="291"/>
  <c r="AI23" i="291" s="1"/>
  <c r="AM44" i="291"/>
  <c r="AP47" i="291"/>
  <c r="AO47" i="291"/>
  <c r="AG44" i="291"/>
  <c r="AH44" i="291" s="1"/>
  <c r="AL49" i="291"/>
  <c r="V50" i="291"/>
  <c r="J50" i="291"/>
  <c r="F28" i="291"/>
  <c r="K41" i="291"/>
  <c r="M41" i="291" s="1"/>
  <c r="T47" i="291"/>
  <c r="X50" i="291"/>
  <c r="U49" i="291"/>
  <c r="Y41" i="291"/>
  <c r="AF32" i="273"/>
  <c r="AF31" i="273"/>
  <c r="AF30" i="273"/>
  <c r="AF29" i="273"/>
  <c r="AF28" i="273"/>
  <c r="AF27" i="273"/>
  <c r="AF26" i="273"/>
  <c r="AF25" i="273"/>
  <c r="AF24" i="273"/>
  <c r="AF23" i="273"/>
  <c r="AF22" i="273"/>
  <c r="AF21" i="273"/>
  <c r="AF20" i="273"/>
  <c r="AF19" i="273"/>
  <c r="AF18" i="273"/>
  <c r="AF17" i="273"/>
  <c r="AF16" i="273"/>
  <c r="AF15" i="273"/>
  <c r="AF14" i="273"/>
  <c r="AF13" i="273"/>
  <c r="AF12" i="273"/>
  <c r="AF11" i="273"/>
  <c r="AF10" i="273"/>
  <c r="AF9" i="273"/>
  <c r="AF8" i="273"/>
  <c r="AF7" i="273"/>
  <c r="L14" i="291" l="1"/>
  <c r="W25" i="291"/>
  <c r="I15" i="291"/>
  <c r="AL29" i="291"/>
  <c r="X14" i="291"/>
  <c r="AN14" i="291"/>
  <c r="M50" i="291"/>
  <c r="M49" i="291"/>
  <c r="W14" i="291"/>
  <c r="W15" i="291"/>
  <c r="K24" i="291"/>
  <c r="L24" i="291" s="1"/>
  <c r="I24" i="291"/>
  <c r="AL28" i="291"/>
  <c r="Z15" i="291"/>
  <c r="Z14" i="291"/>
  <c r="Y50" i="291"/>
  <c r="Y49" i="291"/>
  <c r="AB45" i="291"/>
  <c r="W22" i="291"/>
  <c r="Y22" i="291"/>
  <c r="Z22" i="291" s="1"/>
  <c r="AL14" i="291"/>
  <c r="AL15" i="291"/>
  <c r="AK49" i="291"/>
  <c r="AK50" i="291"/>
  <c r="AN41" i="291"/>
  <c r="AM41" i="291"/>
  <c r="AB46" i="291"/>
  <c r="N50" i="291"/>
  <c r="N49" i="291"/>
  <c r="I14" i="291"/>
  <c r="K49" i="291"/>
  <c r="K50" i="291"/>
  <c r="AM23" i="291"/>
  <c r="AN23" i="291" s="1"/>
  <c r="AK23" i="291"/>
  <c r="AN45" i="291"/>
  <c r="AM45" i="291"/>
  <c r="AO45" i="291" s="1"/>
  <c r="AK14" i="291"/>
  <c r="W24" i="291"/>
  <c r="Y24" i="291"/>
  <c r="Z24" i="291" s="1"/>
  <c r="AP44" i="291"/>
  <c r="AO44" i="291"/>
  <c r="AB47" i="291"/>
  <c r="AA47" i="291"/>
  <c r="Z50" i="291"/>
  <c r="U20" i="291"/>
  <c r="Z49" i="291"/>
  <c r="AB43" i="291"/>
  <c r="AA43" i="291"/>
  <c r="X28" i="291"/>
  <c r="X29" i="291"/>
  <c r="AM43" i="291"/>
  <c r="AO43" i="291" s="1"/>
  <c r="AN43" i="291"/>
  <c r="AI22" i="291" s="1"/>
  <c r="AM22" i="291" s="1"/>
  <c r="J28" i="291"/>
  <c r="J29" i="291"/>
  <c r="AO42" i="291"/>
  <c r="AP42" i="291"/>
  <c r="AH49" i="291"/>
  <c r="I20" i="291"/>
  <c r="G28" i="291"/>
  <c r="K20" i="291"/>
  <c r="G29" i="291"/>
  <c r="T50" i="291"/>
  <c r="T49" i="291"/>
  <c r="AB41" i="291"/>
  <c r="AA41" i="291"/>
  <c r="AH50" i="291"/>
  <c r="K29" i="291" l="1"/>
  <c r="K28" i="291"/>
  <c r="L20" i="291"/>
  <c r="AN50" i="291"/>
  <c r="AN49" i="291"/>
  <c r="AI20" i="291"/>
  <c r="AP41" i="291"/>
  <c r="AP43" i="291"/>
  <c r="Y20" i="291"/>
  <c r="U28" i="291"/>
  <c r="U29" i="291"/>
  <c r="W20" i="291"/>
  <c r="I28" i="291"/>
  <c r="I29" i="291"/>
  <c r="AA50" i="291"/>
  <c r="AA49" i="291"/>
  <c r="AI24" i="291"/>
  <c r="AP45" i="291"/>
  <c r="AB50" i="291"/>
  <c r="AB49" i="291"/>
  <c r="AM50" i="291"/>
  <c r="AM49" i="291"/>
  <c r="AO41" i="291"/>
  <c r="F110" i="281"/>
  <c r="G111" i="281"/>
  <c r="F132" i="281"/>
  <c r="G133" i="281" s="1"/>
  <c r="I20" i="281"/>
  <c r="AO50" i="291" l="1"/>
  <c r="AO49" i="291"/>
  <c r="AP50" i="291"/>
  <c r="AP49" i="291"/>
  <c r="AK24" i="291"/>
  <c r="AM24" i="291"/>
  <c r="AN24" i="291" s="1"/>
  <c r="AM20" i="291"/>
  <c r="AI28" i="291"/>
  <c r="AI29" i="291"/>
  <c r="AK20" i="291"/>
  <c r="L29" i="291"/>
  <c r="L28" i="291"/>
  <c r="Y29" i="291"/>
  <c r="Y28" i="291"/>
  <c r="Z20" i="291"/>
  <c r="W28" i="291"/>
  <c r="W29" i="291"/>
  <c r="D37" i="284"/>
  <c r="D8" i="285"/>
  <c r="E8" i="285"/>
  <c r="C6" i="286"/>
  <c r="D6" i="286"/>
  <c r="AK28" i="291" l="1"/>
  <c r="AK29" i="291"/>
  <c r="Z29" i="291"/>
  <c r="Z28" i="291"/>
  <c r="AM28" i="291"/>
  <c r="AM29" i="291"/>
  <c r="AN20" i="291"/>
  <c r="AN28" i="291" s="1"/>
  <c r="E6" i="286"/>
  <c r="AO31" i="291" l="1"/>
  <c r="AN32" i="291"/>
  <c r="AN31" i="291"/>
  <c r="AN33" i="291"/>
  <c r="AN29" i="291"/>
  <c r="F61" i="286"/>
  <c r="B38" i="288" l="1"/>
  <c r="N42" i="290" l="1"/>
  <c r="N43" i="290"/>
  <c r="AE17" i="290"/>
  <c r="AE13" i="290"/>
  <c r="AE12" i="290"/>
  <c r="AG8" i="290"/>
  <c r="AH8" i="290" s="1"/>
  <c r="AI8" i="290" s="1"/>
  <c r="AJ8" i="290" s="1"/>
  <c r="AK8" i="290" s="1"/>
  <c r="AL8" i="290" s="1"/>
  <c r="AM8" i="290" s="1"/>
  <c r="AN8" i="290" s="1"/>
  <c r="AO8" i="290" s="1"/>
  <c r="AP8" i="290" s="1"/>
  <c r="AQ8" i="290" s="1"/>
  <c r="AR8" i="290" s="1"/>
  <c r="AS8" i="290" s="1"/>
  <c r="AT8" i="290" s="1"/>
  <c r="AU8" i="290" s="1"/>
  <c r="AV8" i="290" s="1"/>
  <c r="AW8" i="290" s="1"/>
  <c r="AX8" i="290" s="1"/>
  <c r="AY8" i="290" s="1"/>
  <c r="AZ8" i="290" s="1"/>
  <c r="BA8" i="290" s="1"/>
  <c r="BB8" i="290" s="1"/>
  <c r="BC8" i="290" s="1"/>
  <c r="BD8" i="290" s="1"/>
  <c r="BE8" i="290" s="1"/>
  <c r="BF8" i="290" s="1"/>
  <c r="BG8" i="290" s="1"/>
  <c r="BH8" i="290" s="1"/>
  <c r="BI8" i="290" s="1"/>
  <c r="BJ8" i="290" s="1"/>
  <c r="BK8" i="290" s="1"/>
  <c r="BL8" i="290" s="1"/>
  <c r="BM8" i="290" s="1"/>
  <c r="BN8" i="290" s="1"/>
  <c r="BO8" i="290" s="1"/>
  <c r="BP8" i="290" s="1"/>
  <c r="BQ8" i="290" s="1"/>
  <c r="BR8" i="290" s="1"/>
  <c r="BS8" i="290" s="1"/>
  <c r="BT8" i="290" s="1"/>
  <c r="BU8" i="290" s="1"/>
  <c r="BV8" i="290" s="1"/>
  <c r="BW8" i="290" s="1"/>
  <c r="BX8" i="290" s="1"/>
  <c r="BY8" i="290" s="1"/>
  <c r="BZ8" i="290" s="1"/>
  <c r="CA8" i="290" s="1"/>
  <c r="CB8" i="290" s="1"/>
  <c r="CC8" i="290" s="1"/>
  <c r="CD8" i="290" s="1"/>
  <c r="CE8" i="290" s="1"/>
  <c r="CF8" i="290" s="1"/>
  <c r="CG8" i="290" s="1"/>
  <c r="CH8" i="290" s="1"/>
  <c r="CI8" i="290" s="1"/>
  <c r="CJ8" i="290" s="1"/>
  <c r="CK8" i="290" s="1"/>
  <c r="CL8" i="290" s="1"/>
  <c r="CM8" i="290" s="1"/>
  <c r="CN8" i="290" s="1"/>
  <c r="CO8" i="290" s="1"/>
  <c r="CP8" i="290" s="1"/>
  <c r="CQ8" i="290" s="1"/>
  <c r="CR8" i="290" s="1"/>
  <c r="CS8" i="290" s="1"/>
  <c r="CT8" i="290" s="1"/>
  <c r="CU8" i="290" s="1"/>
  <c r="CV8" i="290" s="1"/>
  <c r="CW8" i="290" s="1"/>
  <c r="CX8" i="290" s="1"/>
  <c r="CY8" i="290" s="1"/>
  <c r="CZ8" i="290" s="1"/>
  <c r="DA8" i="290" s="1"/>
  <c r="DB8" i="290" s="1"/>
  <c r="DC8" i="290" s="1"/>
  <c r="DD8" i="290" s="1"/>
  <c r="DE8" i="290" s="1"/>
  <c r="DF8" i="290" s="1"/>
  <c r="DG8" i="290" s="1"/>
  <c r="DH8" i="290" s="1"/>
  <c r="DI8" i="290" s="1"/>
  <c r="DJ8" i="290" s="1"/>
  <c r="DK8" i="290" s="1"/>
  <c r="DL8" i="290" s="1"/>
  <c r="DM8" i="290" s="1"/>
  <c r="DN8" i="290" s="1"/>
  <c r="DO8" i="290" s="1"/>
  <c r="DP8" i="290" s="1"/>
  <c r="DQ8" i="290" s="1"/>
  <c r="DR8" i="290" s="1"/>
  <c r="DS8" i="290" s="1"/>
  <c r="DT8" i="290" s="1"/>
  <c r="DU8" i="290" s="1"/>
  <c r="DV8" i="290" s="1"/>
  <c r="DW8" i="290" s="1"/>
  <c r="DX8" i="290" s="1"/>
  <c r="DY8" i="290" s="1"/>
  <c r="DZ8" i="290" s="1"/>
  <c r="EA8" i="290" s="1"/>
  <c r="EB8" i="290" s="1"/>
  <c r="EC8" i="290" s="1"/>
  <c r="ED8" i="290" s="1"/>
  <c r="EE8" i="290" s="1"/>
  <c r="EF8" i="290" s="1"/>
  <c r="EG8" i="290" s="1"/>
  <c r="EH8" i="290" s="1"/>
  <c r="EI8" i="290" s="1"/>
  <c r="EJ8" i="290" s="1"/>
  <c r="EK8" i="290" s="1"/>
  <c r="EL8" i="290" s="1"/>
  <c r="EM8" i="290" s="1"/>
  <c r="EN8" i="290" s="1"/>
  <c r="EO8" i="290" s="1"/>
  <c r="EP8" i="290" s="1"/>
  <c r="EQ8" i="290" s="1"/>
  <c r="ER8" i="290" s="1"/>
  <c r="ES8" i="290" s="1"/>
  <c r="ET8" i="290" s="1"/>
  <c r="EU8" i="290" s="1"/>
  <c r="EV8" i="290" s="1"/>
  <c r="EW8" i="290" s="1"/>
  <c r="EX8" i="290" s="1"/>
  <c r="EY8" i="290" s="1"/>
  <c r="EZ8" i="290" s="1"/>
  <c r="FA8" i="290" s="1"/>
  <c r="FB8" i="290" s="1"/>
  <c r="FC8" i="290" s="1"/>
  <c r="FD8" i="290" s="1"/>
  <c r="FE8" i="290" s="1"/>
  <c r="FF8" i="290" s="1"/>
  <c r="FG8" i="290" s="1"/>
  <c r="FH8" i="290" s="1"/>
  <c r="FI8" i="290" s="1"/>
  <c r="FJ8" i="290" s="1"/>
  <c r="FK8" i="290" s="1"/>
  <c r="FL8" i="290" s="1"/>
  <c r="FM8" i="290" s="1"/>
  <c r="FN8" i="290" s="1"/>
  <c r="FO8" i="290" s="1"/>
  <c r="FP8" i="290" s="1"/>
  <c r="FQ8" i="290" s="1"/>
  <c r="FR8" i="290" s="1"/>
  <c r="FS8" i="290" s="1"/>
  <c r="FT8" i="290" s="1"/>
  <c r="FU8" i="290" s="1"/>
  <c r="FV8" i="290" s="1"/>
  <c r="FW8" i="290" s="1"/>
  <c r="FX8" i="290" s="1"/>
  <c r="FY8" i="290" s="1"/>
  <c r="I34" i="290"/>
  <c r="I35" i="290"/>
  <c r="I36" i="290"/>
  <c r="AF13" i="290" s="1"/>
  <c r="I37" i="290"/>
  <c r="I38" i="290"/>
  <c r="AF15" i="290" s="1"/>
  <c r="I39" i="290"/>
  <c r="I40" i="290"/>
  <c r="AF17" i="290" s="1"/>
  <c r="I33" i="290"/>
  <c r="AF10" i="290" s="1"/>
  <c r="H34" i="290"/>
  <c r="AE11" i="290" s="1"/>
  <c r="H35" i="290"/>
  <c r="H36" i="290"/>
  <c r="H37" i="290"/>
  <c r="AE14" i="290" s="1"/>
  <c r="H38" i="290"/>
  <c r="AE15" i="290" s="1"/>
  <c r="H39" i="290"/>
  <c r="AE16" i="290" s="1"/>
  <c r="H40" i="290"/>
  <c r="H33" i="290"/>
  <c r="H42" i="290" s="1"/>
  <c r="G34" i="290"/>
  <c r="G35" i="290"/>
  <c r="G36" i="290"/>
  <c r="G37" i="290"/>
  <c r="G38" i="290"/>
  <c r="G39" i="290"/>
  <c r="G40" i="290"/>
  <c r="G33" i="290"/>
  <c r="F42" i="290"/>
  <c r="F43" i="290"/>
  <c r="E43" i="290"/>
  <c r="E42" i="290"/>
  <c r="G17" i="290"/>
  <c r="H17" i="290" s="1"/>
  <c r="G16" i="290"/>
  <c r="G15" i="290"/>
  <c r="H15" i="290" s="1"/>
  <c r="J15" i="290" s="1"/>
  <c r="K15" i="290" s="1"/>
  <c r="G14" i="290"/>
  <c r="G13" i="290"/>
  <c r="H13" i="290" s="1"/>
  <c r="J13" i="290" s="1"/>
  <c r="G12" i="290"/>
  <c r="G11" i="290"/>
  <c r="H11" i="290" s="1"/>
  <c r="J11" i="290" s="1"/>
  <c r="K11" i="290" s="1"/>
  <c r="M9" i="277"/>
  <c r="M10" i="277"/>
  <c r="M12" i="277"/>
  <c r="M13" i="277"/>
  <c r="M14" i="277"/>
  <c r="M15" i="277"/>
  <c r="I17" i="277"/>
  <c r="J17" i="277"/>
  <c r="K17" i="277"/>
  <c r="I18" i="277"/>
  <c r="J18" i="277"/>
  <c r="K18" i="277"/>
  <c r="G10" i="290"/>
  <c r="A74" i="288"/>
  <c r="A73" i="288"/>
  <c r="A84" i="288"/>
  <c r="A44" i="288"/>
  <c r="B66" i="288"/>
  <c r="D66" i="288" s="1"/>
  <c r="B65" i="288"/>
  <c r="B9" i="288"/>
  <c r="A16" i="288"/>
  <c r="B80" i="288"/>
  <c r="B81" i="288" s="1"/>
  <c r="D49" i="288"/>
  <c r="C49" i="288"/>
  <c r="B70" i="288" s="1"/>
  <c r="B75" i="288" s="1"/>
  <c r="B39" i="288"/>
  <c r="D30" i="288"/>
  <c r="B28" i="288"/>
  <c r="B33" i="288" s="1"/>
  <c r="B26" i="288"/>
  <c r="D14" i="288"/>
  <c r="C14" i="288"/>
  <c r="D28" i="288" s="1"/>
  <c r="D33" i="288" s="1"/>
  <c r="C9" i="288"/>
  <c r="E8" i="288"/>
  <c r="E7" i="288"/>
  <c r="J39" i="290" l="1"/>
  <c r="J35" i="290"/>
  <c r="AF12" i="290"/>
  <c r="I43" i="290"/>
  <c r="J40" i="290"/>
  <c r="J37" i="290"/>
  <c r="K37" i="290" s="1"/>
  <c r="AF16" i="290"/>
  <c r="AG14" i="290"/>
  <c r="M11" i="277"/>
  <c r="L18" i="277"/>
  <c r="AG17" i="290"/>
  <c r="K40" i="290"/>
  <c r="AG16" i="290"/>
  <c r="K39" i="290"/>
  <c r="K35" i="290"/>
  <c r="AG12" i="290"/>
  <c r="B20" i="288"/>
  <c r="B16" i="288"/>
  <c r="B58" i="288" s="1"/>
  <c r="J36" i="290"/>
  <c r="AE10" i="290"/>
  <c r="AF14" i="290"/>
  <c r="H43" i="290"/>
  <c r="I42" i="290"/>
  <c r="J38" i="290"/>
  <c r="J34" i="290"/>
  <c r="AF11" i="290"/>
  <c r="G42" i="290"/>
  <c r="G43" i="290"/>
  <c r="J33" i="290"/>
  <c r="G8" i="288"/>
  <c r="F8" i="288"/>
  <c r="H8" i="288" s="1"/>
  <c r="L17" i="277"/>
  <c r="M8" i="277"/>
  <c r="K17" i="290"/>
  <c r="H12" i="290"/>
  <c r="J12" i="290" s="1"/>
  <c r="I19" i="290"/>
  <c r="G20" i="290"/>
  <c r="G19" i="290"/>
  <c r="H10" i="290"/>
  <c r="H14" i="290"/>
  <c r="J14" i="290" s="1"/>
  <c r="H16" i="290"/>
  <c r="J16" i="290" s="1"/>
  <c r="I20" i="290"/>
  <c r="D24" i="288"/>
  <c r="B51" i="288"/>
  <c r="B62" i="288" s="1"/>
  <c r="D10" i="288"/>
  <c r="D17" i="288" s="1"/>
  <c r="D59" i="288" s="1"/>
  <c r="D62" i="288" s="1"/>
  <c r="D23" i="288"/>
  <c r="D52" i="288"/>
  <c r="D20" i="288"/>
  <c r="C20" i="288" s="1"/>
  <c r="C15" i="288"/>
  <c r="B14" i="288"/>
  <c r="D26" i="288" s="1"/>
  <c r="C26" i="288" s="1"/>
  <c r="E14" i="288"/>
  <c r="E49" i="288"/>
  <c r="D56" i="288"/>
  <c r="E9" i="288"/>
  <c r="B21" i="288" s="1"/>
  <c r="G7" i="288"/>
  <c r="F7" i="288"/>
  <c r="C50" i="288"/>
  <c r="C56" i="288"/>
  <c r="J43" i="290" l="1"/>
  <c r="J42" i="290"/>
  <c r="AG10" i="290"/>
  <c r="K33" i="290"/>
  <c r="K34" i="290"/>
  <c r="AG11" i="290"/>
  <c r="AG15" i="290"/>
  <c r="K38" i="290"/>
  <c r="B49" i="288"/>
  <c r="B68" i="288" s="1"/>
  <c r="AG13" i="290"/>
  <c r="K36" i="290"/>
  <c r="AH12" i="290"/>
  <c r="L35" i="290"/>
  <c r="AH17" i="290"/>
  <c r="L40" i="290"/>
  <c r="L37" i="290"/>
  <c r="AH14" i="290"/>
  <c r="C62" i="288"/>
  <c r="L39" i="290"/>
  <c r="AH16" i="290"/>
  <c r="C23" i="288"/>
  <c r="D65" i="288"/>
  <c r="C65" i="288" s="1"/>
  <c r="H19" i="290"/>
  <c r="J10" i="290"/>
  <c r="H20" i="290"/>
  <c r="G49" i="288"/>
  <c r="F49" i="288"/>
  <c r="B15" i="288"/>
  <c r="E15" i="288"/>
  <c r="E50" i="288"/>
  <c r="C51" i="288"/>
  <c r="B50" i="288"/>
  <c r="C16" i="288"/>
  <c r="F9" i="288"/>
  <c r="H7" i="288"/>
  <c r="H9" i="288" s="1"/>
  <c r="F14" i="288"/>
  <c r="G14" i="288"/>
  <c r="E56" i="288"/>
  <c r="C57" i="288"/>
  <c r="B56" i="288"/>
  <c r="D68" i="288" s="1"/>
  <c r="C68" i="288" s="1"/>
  <c r="D70" i="288"/>
  <c r="D75" i="288" s="1"/>
  <c r="B27" i="288"/>
  <c r="G9" i="288"/>
  <c r="B22" i="288" s="1"/>
  <c r="B25" i="288" s="1"/>
  <c r="AI16" i="290" l="1"/>
  <c r="AJ16" i="290" s="1"/>
  <c r="AK16" i="290" s="1"/>
  <c r="AL16" i="290" s="1"/>
  <c r="AM16" i="290" s="1"/>
  <c r="AN16" i="290" s="1"/>
  <c r="AO16" i="290" s="1"/>
  <c r="AP16" i="290" s="1"/>
  <c r="AQ16" i="290" s="1"/>
  <c r="AR16" i="290" s="1"/>
  <c r="AS16" i="290" s="1"/>
  <c r="AT16" i="290" s="1"/>
  <c r="AU16" i="290" s="1"/>
  <c r="AV16" i="290" s="1"/>
  <c r="AW16" i="290" s="1"/>
  <c r="AX16" i="290" s="1"/>
  <c r="AY16" i="290" s="1"/>
  <c r="AZ16" i="290" s="1"/>
  <c r="BA16" i="290" s="1"/>
  <c r="BB16" i="290" s="1"/>
  <c r="BC16" i="290" s="1"/>
  <c r="BD16" i="290" s="1"/>
  <c r="BE16" i="290" s="1"/>
  <c r="BF16" i="290" s="1"/>
  <c r="BG16" i="290" s="1"/>
  <c r="BH16" i="290" s="1"/>
  <c r="BI16" i="290" s="1"/>
  <c r="BJ16" i="290" s="1"/>
  <c r="BK16" i="290" s="1"/>
  <c r="BL16" i="290" s="1"/>
  <c r="BM16" i="290" s="1"/>
  <c r="BN16" i="290" s="1"/>
  <c r="BO16" i="290" s="1"/>
  <c r="BP16" i="290" s="1"/>
  <c r="BQ16" i="290" s="1"/>
  <c r="BR16" i="290" s="1"/>
  <c r="BS16" i="290" s="1"/>
  <c r="BT16" i="290" s="1"/>
  <c r="BU16" i="290" s="1"/>
  <c r="BV16" i="290" s="1"/>
  <c r="BW16" i="290" s="1"/>
  <c r="BX16" i="290" s="1"/>
  <c r="BY16" i="290" s="1"/>
  <c r="BZ16" i="290" s="1"/>
  <c r="CA16" i="290" s="1"/>
  <c r="CB16" i="290" s="1"/>
  <c r="CC16" i="290" s="1"/>
  <c r="CD16" i="290" s="1"/>
  <c r="CE16" i="290" s="1"/>
  <c r="CF16" i="290" s="1"/>
  <c r="CG16" i="290" s="1"/>
  <c r="CH16" i="290" s="1"/>
  <c r="CI16" i="290" s="1"/>
  <c r="CJ16" i="290" s="1"/>
  <c r="CK16" i="290" s="1"/>
  <c r="CL16" i="290" s="1"/>
  <c r="CM16" i="290" s="1"/>
  <c r="CN16" i="290" s="1"/>
  <c r="CO16" i="290" s="1"/>
  <c r="CP16" i="290" s="1"/>
  <c r="CQ16" i="290" s="1"/>
  <c r="CR16" i="290" s="1"/>
  <c r="CS16" i="290" s="1"/>
  <c r="CT16" i="290" s="1"/>
  <c r="CU16" i="290" s="1"/>
  <c r="CV16" i="290" s="1"/>
  <c r="CW16" i="290" s="1"/>
  <c r="CX16" i="290" s="1"/>
  <c r="CY16" i="290" s="1"/>
  <c r="CZ16" i="290" s="1"/>
  <c r="DA16" i="290" s="1"/>
  <c r="DB16" i="290" s="1"/>
  <c r="DC16" i="290" s="1"/>
  <c r="DD16" i="290" s="1"/>
  <c r="DE16" i="290" s="1"/>
  <c r="DF16" i="290" s="1"/>
  <c r="DG16" i="290" s="1"/>
  <c r="DH16" i="290" s="1"/>
  <c r="DI16" i="290" s="1"/>
  <c r="DJ16" i="290" s="1"/>
  <c r="DK16" i="290" s="1"/>
  <c r="DL16" i="290" s="1"/>
  <c r="DM16" i="290" s="1"/>
  <c r="DN16" i="290" s="1"/>
  <c r="DO16" i="290" s="1"/>
  <c r="DP16" i="290" s="1"/>
  <c r="DQ16" i="290" s="1"/>
  <c r="DR16" i="290" s="1"/>
  <c r="DS16" i="290" s="1"/>
  <c r="DT16" i="290" s="1"/>
  <c r="DU16" i="290" s="1"/>
  <c r="DV16" i="290" s="1"/>
  <c r="DW16" i="290" s="1"/>
  <c r="DX16" i="290" s="1"/>
  <c r="DY16" i="290" s="1"/>
  <c r="DZ16" i="290" s="1"/>
  <c r="EA16" i="290" s="1"/>
  <c r="EB16" i="290" s="1"/>
  <c r="EC16" i="290" s="1"/>
  <c r="ED16" i="290" s="1"/>
  <c r="EE16" i="290" s="1"/>
  <c r="EF16" i="290" s="1"/>
  <c r="EG16" i="290" s="1"/>
  <c r="EH16" i="290" s="1"/>
  <c r="EI16" i="290" s="1"/>
  <c r="EJ16" i="290" s="1"/>
  <c r="EK16" i="290" s="1"/>
  <c r="EL16" i="290" s="1"/>
  <c r="EM16" i="290" s="1"/>
  <c r="EN16" i="290" s="1"/>
  <c r="EO16" i="290" s="1"/>
  <c r="EP16" i="290" s="1"/>
  <c r="EQ16" i="290" s="1"/>
  <c r="ER16" i="290" s="1"/>
  <c r="ES16" i="290" s="1"/>
  <c r="ET16" i="290" s="1"/>
  <c r="EU16" i="290" s="1"/>
  <c r="EV16" i="290" s="1"/>
  <c r="EW16" i="290" s="1"/>
  <c r="EX16" i="290" s="1"/>
  <c r="EY16" i="290" s="1"/>
  <c r="EZ16" i="290" s="1"/>
  <c r="FA16" i="290" s="1"/>
  <c r="FB16" i="290" s="1"/>
  <c r="FC16" i="290" s="1"/>
  <c r="FD16" i="290" s="1"/>
  <c r="FE16" i="290" s="1"/>
  <c r="FF16" i="290" s="1"/>
  <c r="FG16" i="290" s="1"/>
  <c r="FH16" i="290" s="1"/>
  <c r="FI16" i="290" s="1"/>
  <c r="FJ16" i="290" s="1"/>
  <c r="FK16" i="290" s="1"/>
  <c r="FL16" i="290" s="1"/>
  <c r="FM16" i="290" s="1"/>
  <c r="FN16" i="290" s="1"/>
  <c r="FO16" i="290" s="1"/>
  <c r="FP16" i="290" s="1"/>
  <c r="FQ16" i="290" s="1"/>
  <c r="FR16" i="290" s="1"/>
  <c r="FS16" i="290" s="1"/>
  <c r="FT16" i="290" s="1"/>
  <c r="FU16" i="290" s="1"/>
  <c r="FV16" i="290" s="1"/>
  <c r="FW16" i="290" s="1"/>
  <c r="FX16" i="290" s="1"/>
  <c r="FY16" i="290" s="1"/>
  <c r="M39" i="290"/>
  <c r="AI17" i="290"/>
  <c r="AJ17" i="290" s="1"/>
  <c r="AK17" i="290" s="1"/>
  <c r="AL17" i="290" s="1"/>
  <c r="AM17" i="290" s="1"/>
  <c r="AN17" i="290" s="1"/>
  <c r="AO17" i="290" s="1"/>
  <c r="AP17" i="290" s="1"/>
  <c r="AQ17" i="290" s="1"/>
  <c r="AR17" i="290" s="1"/>
  <c r="AS17" i="290" s="1"/>
  <c r="AT17" i="290" s="1"/>
  <c r="AU17" i="290" s="1"/>
  <c r="AV17" i="290" s="1"/>
  <c r="AW17" i="290" s="1"/>
  <c r="AX17" i="290" s="1"/>
  <c r="AY17" i="290" s="1"/>
  <c r="AZ17" i="290" s="1"/>
  <c r="BA17" i="290" s="1"/>
  <c r="BB17" i="290" s="1"/>
  <c r="BC17" i="290" s="1"/>
  <c r="BD17" i="290" s="1"/>
  <c r="BE17" i="290" s="1"/>
  <c r="BF17" i="290" s="1"/>
  <c r="BG17" i="290" s="1"/>
  <c r="BH17" i="290" s="1"/>
  <c r="BI17" i="290" s="1"/>
  <c r="BJ17" i="290" s="1"/>
  <c r="BK17" i="290" s="1"/>
  <c r="BL17" i="290" s="1"/>
  <c r="BM17" i="290" s="1"/>
  <c r="BN17" i="290" s="1"/>
  <c r="BO17" i="290" s="1"/>
  <c r="BP17" i="290" s="1"/>
  <c r="BQ17" i="290" s="1"/>
  <c r="BR17" i="290" s="1"/>
  <c r="BS17" i="290" s="1"/>
  <c r="BT17" i="290" s="1"/>
  <c r="BU17" i="290" s="1"/>
  <c r="BV17" i="290" s="1"/>
  <c r="BW17" i="290" s="1"/>
  <c r="BX17" i="290" s="1"/>
  <c r="BY17" i="290" s="1"/>
  <c r="BZ17" i="290" s="1"/>
  <c r="CA17" i="290" s="1"/>
  <c r="CB17" i="290" s="1"/>
  <c r="CC17" i="290" s="1"/>
  <c r="CD17" i="290" s="1"/>
  <c r="CE17" i="290" s="1"/>
  <c r="CF17" i="290" s="1"/>
  <c r="CG17" i="290" s="1"/>
  <c r="CH17" i="290" s="1"/>
  <c r="CI17" i="290" s="1"/>
  <c r="CJ17" i="290" s="1"/>
  <c r="CK17" i="290" s="1"/>
  <c r="CL17" i="290" s="1"/>
  <c r="CM17" i="290" s="1"/>
  <c r="CN17" i="290" s="1"/>
  <c r="CO17" i="290" s="1"/>
  <c r="CP17" i="290" s="1"/>
  <c r="CQ17" i="290" s="1"/>
  <c r="CR17" i="290" s="1"/>
  <c r="CS17" i="290" s="1"/>
  <c r="CT17" i="290" s="1"/>
  <c r="CU17" i="290" s="1"/>
  <c r="CV17" i="290" s="1"/>
  <c r="CW17" i="290" s="1"/>
  <c r="CX17" i="290" s="1"/>
  <c r="CY17" i="290" s="1"/>
  <c r="CZ17" i="290" s="1"/>
  <c r="DA17" i="290" s="1"/>
  <c r="DB17" i="290" s="1"/>
  <c r="DC17" i="290" s="1"/>
  <c r="DD17" i="290" s="1"/>
  <c r="DE17" i="290" s="1"/>
  <c r="DF17" i="290" s="1"/>
  <c r="DG17" i="290" s="1"/>
  <c r="DH17" i="290" s="1"/>
  <c r="DI17" i="290" s="1"/>
  <c r="DJ17" i="290" s="1"/>
  <c r="DK17" i="290" s="1"/>
  <c r="DL17" i="290" s="1"/>
  <c r="DM17" i="290" s="1"/>
  <c r="DN17" i="290" s="1"/>
  <c r="DO17" i="290" s="1"/>
  <c r="DP17" i="290" s="1"/>
  <c r="DQ17" i="290" s="1"/>
  <c r="DR17" i="290" s="1"/>
  <c r="DS17" i="290" s="1"/>
  <c r="DT17" i="290" s="1"/>
  <c r="DU17" i="290" s="1"/>
  <c r="DV17" i="290" s="1"/>
  <c r="DW17" i="290" s="1"/>
  <c r="DX17" i="290" s="1"/>
  <c r="DY17" i="290" s="1"/>
  <c r="DZ17" i="290" s="1"/>
  <c r="EA17" i="290" s="1"/>
  <c r="EB17" i="290" s="1"/>
  <c r="EC17" i="290" s="1"/>
  <c r="ED17" i="290" s="1"/>
  <c r="EE17" i="290" s="1"/>
  <c r="EF17" i="290" s="1"/>
  <c r="EG17" i="290" s="1"/>
  <c r="EH17" i="290" s="1"/>
  <c r="EI17" i="290" s="1"/>
  <c r="EJ17" i="290" s="1"/>
  <c r="EK17" i="290" s="1"/>
  <c r="EL17" i="290" s="1"/>
  <c r="EM17" i="290" s="1"/>
  <c r="EN17" i="290" s="1"/>
  <c r="EO17" i="290" s="1"/>
  <c r="EP17" i="290" s="1"/>
  <c r="EQ17" i="290" s="1"/>
  <c r="ER17" i="290" s="1"/>
  <c r="ES17" i="290" s="1"/>
  <c r="ET17" i="290" s="1"/>
  <c r="EU17" i="290" s="1"/>
  <c r="EV17" i="290" s="1"/>
  <c r="EW17" i="290" s="1"/>
  <c r="EX17" i="290" s="1"/>
  <c r="EY17" i="290" s="1"/>
  <c r="EZ17" i="290" s="1"/>
  <c r="FA17" i="290" s="1"/>
  <c r="FB17" i="290" s="1"/>
  <c r="FC17" i="290" s="1"/>
  <c r="FD17" i="290" s="1"/>
  <c r="FE17" i="290" s="1"/>
  <c r="FF17" i="290" s="1"/>
  <c r="FG17" i="290" s="1"/>
  <c r="FH17" i="290" s="1"/>
  <c r="FI17" i="290" s="1"/>
  <c r="FJ17" i="290" s="1"/>
  <c r="FK17" i="290" s="1"/>
  <c r="FL17" i="290" s="1"/>
  <c r="FM17" i="290" s="1"/>
  <c r="FN17" i="290" s="1"/>
  <c r="FO17" i="290" s="1"/>
  <c r="FP17" i="290" s="1"/>
  <c r="FQ17" i="290" s="1"/>
  <c r="FR17" i="290" s="1"/>
  <c r="FS17" i="290" s="1"/>
  <c r="FT17" i="290" s="1"/>
  <c r="FU17" i="290" s="1"/>
  <c r="FV17" i="290" s="1"/>
  <c r="FW17" i="290" s="1"/>
  <c r="FX17" i="290" s="1"/>
  <c r="FY17" i="290" s="1"/>
  <c r="M40" i="290"/>
  <c r="L36" i="290"/>
  <c r="AH13" i="290"/>
  <c r="L38" i="290"/>
  <c r="AH15" i="290"/>
  <c r="L33" i="290"/>
  <c r="AH10" i="290"/>
  <c r="K42" i="290"/>
  <c r="K43" i="290"/>
  <c r="AI14" i="290"/>
  <c r="AJ14" i="290" s="1"/>
  <c r="AK14" i="290" s="1"/>
  <c r="AL14" i="290" s="1"/>
  <c r="AM14" i="290" s="1"/>
  <c r="AN14" i="290" s="1"/>
  <c r="AO14" i="290" s="1"/>
  <c r="AP14" i="290" s="1"/>
  <c r="AQ14" i="290" s="1"/>
  <c r="AR14" i="290" s="1"/>
  <c r="AS14" i="290" s="1"/>
  <c r="AT14" i="290" s="1"/>
  <c r="AU14" i="290" s="1"/>
  <c r="AV14" i="290" s="1"/>
  <c r="AW14" i="290" s="1"/>
  <c r="AX14" i="290" s="1"/>
  <c r="AY14" i="290" s="1"/>
  <c r="AZ14" i="290" s="1"/>
  <c r="BA14" i="290" s="1"/>
  <c r="BB14" i="290" s="1"/>
  <c r="BC14" i="290" s="1"/>
  <c r="BD14" i="290" s="1"/>
  <c r="BE14" i="290" s="1"/>
  <c r="BF14" i="290" s="1"/>
  <c r="BG14" i="290" s="1"/>
  <c r="BH14" i="290" s="1"/>
  <c r="BI14" i="290" s="1"/>
  <c r="BJ14" i="290" s="1"/>
  <c r="BK14" i="290" s="1"/>
  <c r="BL14" i="290" s="1"/>
  <c r="BM14" i="290" s="1"/>
  <c r="BN14" i="290" s="1"/>
  <c r="BO14" i="290" s="1"/>
  <c r="BP14" i="290" s="1"/>
  <c r="BQ14" i="290" s="1"/>
  <c r="BR14" i="290" s="1"/>
  <c r="BS14" i="290" s="1"/>
  <c r="BT14" i="290" s="1"/>
  <c r="BU14" i="290" s="1"/>
  <c r="BV14" i="290" s="1"/>
  <c r="BW14" i="290" s="1"/>
  <c r="BX14" i="290" s="1"/>
  <c r="BY14" i="290" s="1"/>
  <c r="BZ14" i="290" s="1"/>
  <c r="CA14" i="290" s="1"/>
  <c r="CB14" i="290" s="1"/>
  <c r="CC14" i="290" s="1"/>
  <c r="CD14" i="290" s="1"/>
  <c r="CE14" i="290" s="1"/>
  <c r="CF14" i="290" s="1"/>
  <c r="CG14" i="290" s="1"/>
  <c r="CH14" i="290" s="1"/>
  <c r="CI14" i="290" s="1"/>
  <c r="CJ14" i="290" s="1"/>
  <c r="CK14" i="290" s="1"/>
  <c r="CL14" i="290" s="1"/>
  <c r="CM14" i="290" s="1"/>
  <c r="CN14" i="290" s="1"/>
  <c r="CO14" i="290" s="1"/>
  <c r="CP14" i="290" s="1"/>
  <c r="CQ14" i="290" s="1"/>
  <c r="CR14" i="290" s="1"/>
  <c r="CS14" i="290" s="1"/>
  <c r="CT14" i="290" s="1"/>
  <c r="CU14" i="290" s="1"/>
  <c r="CV14" i="290" s="1"/>
  <c r="CW14" i="290" s="1"/>
  <c r="CX14" i="290" s="1"/>
  <c r="CY14" i="290" s="1"/>
  <c r="CZ14" i="290" s="1"/>
  <c r="DA14" i="290" s="1"/>
  <c r="DB14" i="290" s="1"/>
  <c r="DC14" i="290" s="1"/>
  <c r="DD14" i="290" s="1"/>
  <c r="DE14" i="290" s="1"/>
  <c r="DF14" i="290" s="1"/>
  <c r="DG14" i="290" s="1"/>
  <c r="DH14" i="290" s="1"/>
  <c r="DI14" i="290" s="1"/>
  <c r="DJ14" i="290" s="1"/>
  <c r="DK14" i="290" s="1"/>
  <c r="DL14" i="290" s="1"/>
  <c r="DM14" i="290" s="1"/>
  <c r="DN14" i="290" s="1"/>
  <c r="DO14" i="290" s="1"/>
  <c r="DP14" i="290" s="1"/>
  <c r="DQ14" i="290" s="1"/>
  <c r="DR14" i="290" s="1"/>
  <c r="DS14" i="290" s="1"/>
  <c r="DT14" i="290" s="1"/>
  <c r="DU14" i="290" s="1"/>
  <c r="DV14" i="290" s="1"/>
  <c r="DW14" i="290" s="1"/>
  <c r="DX14" i="290" s="1"/>
  <c r="DY14" i="290" s="1"/>
  <c r="DZ14" i="290" s="1"/>
  <c r="EA14" i="290" s="1"/>
  <c r="EB14" i="290" s="1"/>
  <c r="EC14" i="290" s="1"/>
  <c r="ED14" i="290" s="1"/>
  <c r="EE14" i="290" s="1"/>
  <c r="EF14" i="290" s="1"/>
  <c r="EG14" i="290" s="1"/>
  <c r="EH14" i="290" s="1"/>
  <c r="EI14" i="290" s="1"/>
  <c r="EJ14" i="290" s="1"/>
  <c r="EK14" i="290" s="1"/>
  <c r="EL14" i="290" s="1"/>
  <c r="EM14" i="290" s="1"/>
  <c r="EN14" i="290" s="1"/>
  <c r="EO14" i="290" s="1"/>
  <c r="EP14" i="290" s="1"/>
  <c r="EQ14" i="290" s="1"/>
  <c r="ER14" i="290" s="1"/>
  <c r="ES14" i="290" s="1"/>
  <c r="ET14" i="290" s="1"/>
  <c r="EU14" i="290" s="1"/>
  <c r="EV14" i="290" s="1"/>
  <c r="EW14" i="290" s="1"/>
  <c r="EX14" i="290" s="1"/>
  <c r="EY14" i="290" s="1"/>
  <c r="EZ14" i="290" s="1"/>
  <c r="FA14" i="290" s="1"/>
  <c r="FB14" i="290" s="1"/>
  <c r="FC14" i="290" s="1"/>
  <c r="FD14" i="290" s="1"/>
  <c r="FE14" i="290" s="1"/>
  <c r="FF14" i="290" s="1"/>
  <c r="FG14" i="290" s="1"/>
  <c r="FH14" i="290" s="1"/>
  <c r="FI14" i="290" s="1"/>
  <c r="FJ14" i="290" s="1"/>
  <c r="FK14" i="290" s="1"/>
  <c r="FL14" i="290" s="1"/>
  <c r="FM14" i="290" s="1"/>
  <c r="FN14" i="290" s="1"/>
  <c r="FO14" i="290" s="1"/>
  <c r="FP14" i="290" s="1"/>
  <c r="FQ14" i="290" s="1"/>
  <c r="FR14" i="290" s="1"/>
  <c r="FS14" i="290" s="1"/>
  <c r="FT14" i="290" s="1"/>
  <c r="FU14" i="290" s="1"/>
  <c r="FV14" i="290" s="1"/>
  <c r="FW14" i="290" s="1"/>
  <c r="FX14" i="290" s="1"/>
  <c r="FY14" i="290" s="1"/>
  <c r="M37" i="290"/>
  <c r="L34" i="290"/>
  <c r="AH11" i="290"/>
  <c r="K10" i="290"/>
  <c r="K19" i="290" s="1"/>
  <c r="J19" i="290"/>
  <c r="M35" i="290"/>
  <c r="AI12" i="290"/>
  <c r="AJ12" i="290" s="1"/>
  <c r="AK12" i="290" s="1"/>
  <c r="AL12" i="290" s="1"/>
  <c r="AM12" i="290" s="1"/>
  <c r="AN12" i="290" s="1"/>
  <c r="AO12" i="290" s="1"/>
  <c r="AP12" i="290" s="1"/>
  <c r="AQ12" i="290" s="1"/>
  <c r="AR12" i="290" s="1"/>
  <c r="AS12" i="290" s="1"/>
  <c r="AT12" i="290" s="1"/>
  <c r="AU12" i="290" s="1"/>
  <c r="AV12" i="290" s="1"/>
  <c r="AW12" i="290" s="1"/>
  <c r="AX12" i="290" s="1"/>
  <c r="AY12" i="290" s="1"/>
  <c r="AZ12" i="290" s="1"/>
  <c r="BA12" i="290" s="1"/>
  <c r="BB12" i="290" s="1"/>
  <c r="BC12" i="290" s="1"/>
  <c r="BD12" i="290" s="1"/>
  <c r="BE12" i="290" s="1"/>
  <c r="BF12" i="290" s="1"/>
  <c r="BG12" i="290" s="1"/>
  <c r="BH12" i="290" s="1"/>
  <c r="BI12" i="290" s="1"/>
  <c r="BJ12" i="290" s="1"/>
  <c r="BK12" i="290" s="1"/>
  <c r="BL12" i="290" s="1"/>
  <c r="BM12" i="290" s="1"/>
  <c r="BN12" i="290" s="1"/>
  <c r="BO12" i="290" s="1"/>
  <c r="BP12" i="290" s="1"/>
  <c r="BQ12" i="290" s="1"/>
  <c r="BR12" i="290" s="1"/>
  <c r="BS12" i="290" s="1"/>
  <c r="BT12" i="290" s="1"/>
  <c r="BU12" i="290" s="1"/>
  <c r="BV12" i="290" s="1"/>
  <c r="BW12" i="290" s="1"/>
  <c r="BX12" i="290" s="1"/>
  <c r="BY12" i="290" s="1"/>
  <c r="BZ12" i="290" s="1"/>
  <c r="CA12" i="290" s="1"/>
  <c r="CB12" i="290" s="1"/>
  <c r="CC12" i="290" s="1"/>
  <c r="CD12" i="290" s="1"/>
  <c r="CE12" i="290" s="1"/>
  <c r="CF12" i="290" s="1"/>
  <c r="CG12" i="290" s="1"/>
  <c r="CH12" i="290" s="1"/>
  <c r="CI12" i="290" s="1"/>
  <c r="CJ12" i="290" s="1"/>
  <c r="CK12" i="290" s="1"/>
  <c r="CL12" i="290" s="1"/>
  <c r="CM12" i="290" s="1"/>
  <c r="CN12" i="290" s="1"/>
  <c r="CO12" i="290" s="1"/>
  <c r="CP12" i="290" s="1"/>
  <c r="CQ12" i="290" s="1"/>
  <c r="CR12" i="290" s="1"/>
  <c r="CS12" i="290" s="1"/>
  <c r="CT12" i="290" s="1"/>
  <c r="CU12" i="290" s="1"/>
  <c r="CV12" i="290" s="1"/>
  <c r="CW12" i="290" s="1"/>
  <c r="CX12" i="290" s="1"/>
  <c r="CY12" i="290" s="1"/>
  <c r="CZ12" i="290" s="1"/>
  <c r="DA12" i="290" s="1"/>
  <c r="DB12" i="290" s="1"/>
  <c r="DC12" i="290" s="1"/>
  <c r="DD12" i="290" s="1"/>
  <c r="DE12" i="290" s="1"/>
  <c r="DF12" i="290" s="1"/>
  <c r="DG12" i="290" s="1"/>
  <c r="DH12" i="290" s="1"/>
  <c r="DI12" i="290" s="1"/>
  <c r="DJ12" i="290" s="1"/>
  <c r="DK12" i="290" s="1"/>
  <c r="DL12" i="290" s="1"/>
  <c r="DM12" i="290" s="1"/>
  <c r="DN12" i="290" s="1"/>
  <c r="DO12" i="290" s="1"/>
  <c r="DP12" i="290" s="1"/>
  <c r="DQ12" i="290" s="1"/>
  <c r="DR12" i="290" s="1"/>
  <c r="DS12" i="290" s="1"/>
  <c r="DT12" i="290" s="1"/>
  <c r="DU12" i="290" s="1"/>
  <c r="DV12" i="290" s="1"/>
  <c r="DW12" i="290" s="1"/>
  <c r="DX12" i="290" s="1"/>
  <c r="DY12" i="290" s="1"/>
  <c r="DZ12" i="290" s="1"/>
  <c r="EA12" i="290" s="1"/>
  <c r="EB12" i="290" s="1"/>
  <c r="EC12" i="290" s="1"/>
  <c r="ED12" i="290" s="1"/>
  <c r="EE12" i="290" s="1"/>
  <c r="EF12" i="290" s="1"/>
  <c r="EG12" i="290" s="1"/>
  <c r="EH12" i="290" s="1"/>
  <c r="EI12" i="290" s="1"/>
  <c r="EJ12" i="290" s="1"/>
  <c r="EK12" i="290" s="1"/>
  <c r="EL12" i="290" s="1"/>
  <c r="EM12" i="290" s="1"/>
  <c r="EN12" i="290" s="1"/>
  <c r="EO12" i="290" s="1"/>
  <c r="EP12" i="290" s="1"/>
  <c r="EQ12" i="290" s="1"/>
  <c r="ER12" i="290" s="1"/>
  <c r="ES12" i="290" s="1"/>
  <c r="ET12" i="290" s="1"/>
  <c r="EU12" i="290" s="1"/>
  <c r="EV12" i="290" s="1"/>
  <c r="EW12" i="290" s="1"/>
  <c r="EX12" i="290" s="1"/>
  <c r="EY12" i="290" s="1"/>
  <c r="EZ12" i="290" s="1"/>
  <c r="FA12" i="290" s="1"/>
  <c r="FB12" i="290" s="1"/>
  <c r="FC12" i="290" s="1"/>
  <c r="FD12" i="290" s="1"/>
  <c r="FE12" i="290" s="1"/>
  <c r="FF12" i="290" s="1"/>
  <c r="FG12" i="290" s="1"/>
  <c r="FH12" i="290" s="1"/>
  <c r="FI12" i="290" s="1"/>
  <c r="FJ12" i="290" s="1"/>
  <c r="FK12" i="290" s="1"/>
  <c r="FL12" i="290" s="1"/>
  <c r="FM12" i="290" s="1"/>
  <c r="FN12" i="290" s="1"/>
  <c r="FO12" i="290" s="1"/>
  <c r="FP12" i="290" s="1"/>
  <c r="FQ12" i="290" s="1"/>
  <c r="FR12" i="290" s="1"/>
  <c r="FS12" i="290" s="1"/>
  <c r="FT12" i="290" s="1"/>
  <c r="FU12" i="290" s="1"/>
  <c r="FV12" i="290" s="1"/>
  <c r="FW12" i="290" s="1"/>
  <c r="FX12" i="290" s="1"/>
  <c r="FY12" i="290" s="1"/>
  <c r="K20" i="290"/>
  <c r="J20" i="290"/>
  <c r="B31" i="288"/>
  <c r="B73" i="288" s="1"/>
  <c r="B32" i="288"/>
  <c r="B74" i="288" s="1"/>
  <c r="B69" i="288"/>
  <c r="E57" i="288"/>
  <c r="E58" i="288" s="1"/>
  <c r="D63" i="288" s="1"/>
  <c r="B57" i="288"/>
  <c r="H49" i="288"/>
  <c r="G56" i="288"/>
  <c r="F56" i="288"/>
  <c r="F15" i="288"/>
  <c r="H15" i="288" s="1"/>
  <c r="G15" i="288"/>
  <c r="G16" i="288" s="1"/>
  <c r="D22" i="288" s="1"/>
  <c r="D27" i="288"/>
  <c r="C27" i="288" s="1"/>
  <c r="E16" i="288"/>
  <c r="D21" i="288" s="1"/>
  <c r="C58" i="288"/>
  <c r="H14" i="288"/>
  <c r="F50" i="288"/>
  <c r="H50" i="288" s="1"/>
  <c r="G50" i="288"/>
  <c r="G51" i="288" s="1"/>
  <c r="B64" i="288" s="1"/>
  <c r="E51" i="288"/>
  <c r="B63" i="288" s="1"/>
  <c r="FZ14" i="290" l="1"/>
  <c r="O37" i="290" s="1"/>
  <c r="AI11" i="290"/>
  <c r="M34" i="290"/>
  <c r="M38" i="290"/>
  <c r="AI15" i="290"/>
  <c r="FZ17" i="290"/>
  <c r="O40" i="290" s="1"/>
  <c r="P40" i="290" s="1"/>
  <c r="L42" i="290"/>
  <c r="L43" i="290"/>
  <c r="M33" i="290"/>
  <c r="AI10" i="290"/>
  <c r="AJ10" i="290" s="1"/>
  <c r="AK10" i="290" s="1"/>
  <c r="AL10" i="290" s="1"/>
  <c r="AM10" i="290" s="1"/>
  <c r="AN10" i="290" s="1"/>
  <c r="AO10" i="290" s="1"/>
  <c r="AP10" i="290" s="1"/>
  <c r="AQ10" i="290" s="1"/>
  <c r="AR10" i="290" s="1"/>
  <c r="AS10" i="290" s="1"/>
  <c r="AT10" i="290" s="1"/>
  <c r="AU10" i="290" s="1"/>
  <c r="AV10" i="290" s="1"/>
  <c r="AW10" i="290" s="1"/>
  <c r="AX10" i="290" s="1"/>
  <c r="AY10" i="290" s="1"/>
  <c r="AZ10" i="290" s="1"/>
  <c r="BA10" i="290" s="1"/>
  <c r="BB10" i="290" s="1"/>
  <c r="BC10" i="290" s="1"/>
  <c r="BD10" i="290" s="1"/>
  <c r="BE10" i="290" s="1"/>
  <c r="BF10" i="290" s="1"/>
  <c r="BG10" i="290" s="1"/>
  <c r="BH10" i="290" s="1"/>
  <c r="BI10" i="290" s="1"/>
  <c r="BJ10" i="290" s="1"/>
  <c r="BK10" i="290" s="1"/>
  <c r="BL10" i="290" s="1"/>
  <c r="BM10" i="290" s="1"/>
  <c r="BN10" i="290" s="1"/>
  <c r="BO10" i="290" s="1"/>
  <c r="BP10" i="290" s="1"/>
  <c r="BQ10" i="290" s="1"/>
  <c r="BR10" i="290" s="1"/>
  <c r="BS10" i="290" s="1"/>
  <c r="BT10" i="290" s="1"/>
  <c r="BU10" i="290" s="1"/>
  <c r="BV10" i="290" s="1"/>
  <c r="BW10" i="290" s="1"/>
  <c r="BX10" i="290" s="1"/>
  <c r="BY10" i="290" s="1"/>
  <c r="BZ10" i="290" s="1"/>
  <c r="CA10" i="290" s="1"/>
  <c r="CB10" i="290" s="1"/>
  <c r="CC10" i="290" s="1"/>
  <c r="CD10" i="290" s="1"/>
  <c r="CE10" i="290" s="1"/>
  <c r="CF10" i="290" s="1"/>
  <c r="CG10" i="290" s="1"/>
  <c r="CH10" i="290" s="1"/>
  <c r="CI10" i="290" s="1"/>
  <c r="CJ10" i="290" s="1"/>
  <c r="CK10" i="290" s="1"/>
  <c r="CL10" i="290" s="1"/>
  <c r="CM10" i="290" s="1"/>
  <c r="CN10" i="290" s="1"/>
  <c r="CO10" i="290" s="1"/>
  <c r="CP10" i="290" s="1"/>
  <c r="CQ10" i="290" s="1"/>
  <c r="CR10" i="290" s="1"/>
  <c r="CS10" i="290" s="1"/>
  <c r="CT10" i="290" s="1"/>
  <c r="CU10" i="290" s="1"/>
  <c r="CV10" i="290" s="1"/>
  <c r="CW10" i="290" s="1"/>
  <c r="CX10" i="290" s="1"/>
  <c r="CY10" i="290" s="1"/>
  <c r="CZ10" i="290" s="1"/>
  <c r="DA10" i="290" s="1"/>
  <c r="DB10" i="290" s="1"/>
  <c r="DC10" i="290" s="1"/>
  <c r="DD10" i="290" s="1"/>
  <c r="DE10" i="290" s="1"/>
  <c r="DF10" i="290" s="1"/>
  <c r="DG10" i="290" s="1"/>
  <c r="DH10" i="290" s="1"/>
  <c r="DI10" i="290" s="1"/>
  <c r="DJ10" i="290" s="1"/>
  <c r="DK10" i="290" s="1"/>
  <c r="DL10" i="290" s="1"/>
  <c r="DM10" i="290" s="1"/>
  <c r="DN10" i="290" s="1"/>
  <c r="DO10" i="290" s="1"/>
  <c r="DP10" i="290" s="1"/>
  <c r="DQ10" i="290" s="1"/>
  <c r="DR10" i="290" s="1"/>
  <c r="DS10" i="290" s="1"/>
  <c r="DT10" i="290" s="1"/>
  <c r="DU10" i="290" s="1"/>
  <c r="DV10" i="290" s="1"/>
  <c r="DW10" i="290" s="1"/>
  <c r="DX10" i="290" s="1"/>
  <c r="DY10" i="290" s="1"/>
  <c r="DZ10" i="290" s="1"/>
  <c r="EA10" i="290" s="1"/>
  <c r="EB10" i="290" s="1"/>
  <c r="EC10" i="290" s="1"/>
  <c r="ED10" i="290" s="1"/>
  <c r="EE10" i="290" s="1"/>
  <c r="EF10" i="290" s="1"/>
  <c r="EG10" i="290" s="1"/>
  <c r="EH10" i="290" s="1"/>
  <c r="EI10" i="290" s="1"/>
  <c r="EJ10" i="290" s="1"/>
  <c r="EK10" i="290" s="1"/>
  <c r="EL10" i="290" s="1"/>
  <c r="EM10" i="290" s="1"/>
  <c r="EN10" i="290" s="1"/>
  <c r="EO10" i="290" s="1"/>
  <c r="EP10" i="290" s="1"/>
  <c r="EQ10" i="290" s="1"/>
  <c r="ER10" i="290" s="1"/>
  <c r="ES10" i="290" s="1"/>
  <c r="ET10" i="290" s="1"/>
  <c r="EU10" i="290" s="1"/>
  <c r="EV10" i="290" s="1"/>
  <c r="EW10" i="290" s="1"/>
  <c r="EX10" i="290" s="1"/>
  <c r="EY10" i="290" s="1"/>
  <c r="EZ10" i="290" s="1"/>
  <c r="FA10" i="290" s="1"/>
  <c r="FB10" i="290" s="1"/>
  <c r="FC10" i="290" s="1"/>
  <c r="FD10" i="290" s="1"/>
  <c r="FE10" i="290" s="1"/>
  <c r="FF10" i="290" s="1"/>
  <c r="FG10" i="290" s="1"/>
  <c r="FH10" i="290" s="1"/>
  <c r="FI10" i="290" s="1"/>
  <c r="FJ10" i="290" s="1"/>
  <c r="FK10" i="290" s="1"/>
  <c r="FL10" i="290" s="1"/>
  <c r="FM10" i="290" s="1"/>
  <c r="FN10" i="290" s="1"/>
  <c r="FO10" i="290" s="1"/>
  <c r="FP10" i="290" s="1"/>
  <c r="FQ10" i="290" s="1"/>
  <c r="FR10" i="290" s="1"/>
  <c r="FS10" i="290" s="1"/>
  <c r="FT10" i="290" s="1"/>
  <c r="FU10" i="290" s="1"/>
  <c r="FV10" i="290" s="1"/>
  <c r="FW10" i="290" s="1"/>
  <c r="FX10" i="290" s="1"/>
  <c r="FY10" i="290" s="1"/>
  <c r="AI13" i="290"/>
  <c r="M36" i="290"/>
  <c r="D25" i="288"/>
  <c r="D32" i="288" s="1"/>
  <c r="FZ12" i="290"/>
  <c r="O35" i="290" s="1"/>
  <c r="B67" i="288"/>
  <c r="FZ16" i="290"/>
  <c r="O39" i="290" s="1"/>
  <c r="D31" i="288"/>
  <c r="H51" i="288"/>
  <c r="H16" i="288"/>
  <c r="F51" i="288"/>
  <c r="C22" i="288"/>
  <c r="H56" i="288"/>
  <c r="F16" i="288"/>
  <c r="D69" i="288"/>
  <c r="C69" i="288" s="1"/>
  <c r="G57" i="288"/>
  <c r="G58" i="288" s="1"/>
  <c r="D64" i="288" s="1"/>
  <c r="F57" i="288"/>
  <c r="H57" i="288" s="1"/>
  <c r="M43" i="290" l="1"/>
  <c r="M42" i="290"/>
  <c r="AJ15" i="290"/>
  <c r="AK15" i="290" s="1"/>
  <c r="AL15" i="290" s="1"/>
  <c r="AM15" i="290" s="1"/>
  <c r="AN15" i="290" s="1"/>
  <c r="AO15" i="290" s="1"/>
  <c r="AP15" i="290" s="1"/>
  <c r="AQ15" i="290" s="1"/>
  <c r="AR15" i="290" s="1"/>
  <c r="AS15" i="290" s="1"/>
  <c r="AT15" i="290" s="1"/>
  <c r="AU15" i="290" s="1"/>
  <c r="AV15" i="290" s="1"/>
  <c r="AW15" i="290" s="1"/>
  <c r="AX15" i="290" s="1"/>
  <c r="AY15" i="290" s="1"/>
  <c r="AZ15" i="290" s="1"/>
  <c r="BA15" i="290" s="1"/>
  <c r="BB15" i="290" s="1"/>
  <c r="BC15" i="290" s="1"/>
  <c r="BD15" i="290" s="1"/>
  <c r="BE15" i="290" s="1"/>
  <c r="BF15" i="290" s="1"/>
  <c r="BG15" i="290" s="1"/>
  <c r="BH15" i="290" s="1"/>
  <c r="BI15" i="290" s="1"/>
  <c r="BJ15" i="290" s="1"/>
  <c r="BK15" i="290" s="1"/>
  <c r="BL15" i="290" s="1"/>
  <c r="BM15" i="290" s="1"/>
  <c r="BN15" i="290" s="1"/>
  <c r="BO15" i="290" s="1"/>
  <c r="BP15" i="290" s="1"/>
  <c r="BQ15" i="290" s="1"/>
  <c r="BR15" i="290" s="1"/>
  <c r="BS15" i="290" s="1"/>
  <c r="BT15" i="290" s="1"/>
  <c r="BU15" i="290" s="1"/>
  <c r="BV15" i="290" s="1"/>
  <c r="BW15" i="290" s="1"/>
  <c r="BX15" i="290" s="1"/>
  <c r="BY15" i="290" s="1"/>
  <c r="BZ15" i="290" s="1"/>
  <c r="CA15" i="290" s="1"/>
  <c r="CB15" i="290" s="1"/>
  <c r="CC15" i="290" s="1"/>
  <c r="CD15" i="290" s="1"/>
  <c r="CE15" i="290" s="1"/>
  <c r="CF15" i="290" s="1"/>
  <c r="CG15" i="290" s="1"/>
  <c r="CH15" i="290" s="1"/>
  <c r="CI15" i="290" s="1"/>
  <c r="CJ15" i="290" s="1"/>
  <c r="CK15" i="290" s="1"/>
  <c r="CL15" i="290" s="1"/>
  <c r="CM15" i="290" s="1"/>
  <c r="CN15" i="290" s="1"/>
  <c r="CO15" i="290" s="1"/>
  <c r="CP15" i="290" s="1"/>
  <c r="CQ15" i="290" s="1"/>
  <c r="CR15" i="290" s="1"/>
  <c r="CS15" i="290" s="1"/>
  <c r="CT15" i="290" s="1"/>
  <c r="CU15" i="290" s="1"/>
  <c r="CV15" i="290" s="1"/>
  <c r="CW15" i="290" s="1"/>
  <c r="CX15" i="290" s="1"/>
  <c r="CY15" i="290" s="1"/>
  <c r="CZ15" i="290" s="1"/>
  <c r="DA15" i="290" s="1"/>
  <c r="DB15" i="290" s="1"/>
  <c r="DC15" i="290" s="1"/>
  <c r="DD15" i="290" s="1"/>
  <c r="DE15" i="290" s="1"/>
  <c r="DF15" i="290" s="1"/>
  <c r="DG15" i="290" s="1"/>
  <c r="DH15" i="290" s="1"/>
  <c r="DI15" i="290" s="1"/>
  <c r="DJ15" i="290" s="1"/>
  <c r="DK15" i="290" s="1"/>
  <c r="DL15" i="290" s="1"/>
  <c r="DM15" i="290" s="1"/>
  <c r="DN15" i="290" s="1"/>
  <c r="DO15" i="290" s="1"/>
  <c r="DP15" i="290" s="1"/>
  <c r="DQ15" i="290" s="1"/>
  <c r="DR15" i="290" s="1"/>
  <c r="DS15" i="290" s="1"/>
  <c r="DT15" i="290" s="1"/>
  <c r="DU15" i="290" s="1"/>
  <c r="DV15" i="290" s="1"/>
  <c r="DW15" i="290" s="1"/>
  <c r="DX15" i="290" s="1"/>
  <c r="DY15" i="290" s="1"/>
  <c r="DZ15" i="290" s="1"/>
  <c r="EA15" i="290" s="1"/>
  <c r="EB15" i="290" s="1"/>
  <c r="EC15" i="290" s="1"/>
  <c r="ED15" i="290" s="1"/>
  <c r="EE15" i="290" s="1"/>
  <c r="EF15" i="290" s="1"/>
  <c r="EG15" i="290" s="1"/>
  <c r="EH15" i="290" s="1"/>
  <c r="EI15" i="290" s="1"/>
  <c r="EJ15" i="290" s="1"/>
  <c r="EK15" i="290" s="1"/>
  <c r="EL15" i="290" s="1"/>
  <c r="EM15" i="290" s="1"/>
  <c r="EN15" i="290" s="1"/>
  <c r="EO15" i="290" s="1"/>
  <c r="EP15" i="290" s="1"/>
  <c r="EQ15" i="290" s="1"/>
  <c r="ER15" i="290" s="1"/>
  <c r="ES15" i="290" s="1"/>
  <c r="ET15" i="290" s="1"/>
  <c r="EU15" i="290" s="1"/>
  <c r="EV15" i="290" s="1"/>
  <c r="EW15" i="290" s="1"/>
  <c r="EX15" i="290" s="1"/>
  <c r="EY15" i="290" s="1"/>
  <c r="EZ15" i="290" s="1"/>
  <c r="FA15" i="290" s="1"/>
  <c r="FB15" i="290" s="1"/>
  <c r="FC15" i="290" s="1"/>
  <c r="FD15" i="290" s="1"/>
  <c r="FE15" i="290" s="1"/>
  <c r="FF15" i="290" s="1"/>
  <c r="FG15" i="290" s="1"/>
  <c r="FH15" i="290" s="1"/>
  <c r="FI15" i="290" s="1"/>
  <c r="FJ15" i="290" s="1"/>
  <c r="FK15" i="290" s="1"/>
  <c r="FL15" i="290" s="1"/>
  <c r="FM15" i="290" s="1"/>
  <c r="FN15" i="290" s="1"/>
  <c r="FO15" i="290" s="1"/>
  <c r="FP15" i="290" s="1"/>
  <c r="FQ15" i="290" s="1"/>
  <c r="FR15" i="290" s="1"/>
  <c r="FS15" i="290" s="1"/>
  <c r="FT15" i="290" s="1"/>
  <c r="FU15" i="290" s="1"/>
  <c r="FV15" i="290" s="1"/>
  <c r="FW15" i="290" s="1"/>
  <c r="FX15" i="290" s="1"/>
  <c r="FY15" i="290" s="1"/>
  <c r="FZ15" i="290"/>
  <c r="O38" i="290" s="1"/>
  <c r="P38" i="290" s="1"/>
  <c r="D67" i="288"/>
  <c r="FZ10" i="290"/>
  <c r="O33" i="290" s="1"/>
  <c r="AJ13" i="290"/>
  <c r="AK13" i="290" s="1"/>
  <c r="AL13" i="290" s="1"/>
  <c r="AM13" i="290" s="1"/>
  <c r="AN13" i="290" s="1"/>
  <c r="AO13" i="290" s="1"/>
  <c r="AP13" i="290" s="1"/>
  <c r="AQ13" i="290" s="1"/>
  <c r="AR13" i="290" s="1"/>
  <c r="AS13" i="290" s="1"/>
  <c r="AT13" i="290" s="1"/>
  <c r="AU13" i="290" s="1"/>
  <c r="AV13" i="290" s="1"/>
  <c r="AW13" i="290" s="1"/>
  <c r="AX13" i="290" s="1"/>
  <c r="AY13" i="290" s="1"/>
  <c r="AZ13" i="290" s="1"/>
  <c r="BA13" i="290" s="1"/>
  <c r="BB13" i="290" s="1"/>
  <c r="BC13" i="290" s="1"/>
  <c r="BD13" i="290" s="1"/>
  <c r="BE13" i="290" s="1"/>
  <c r="BF13" i="290" s="1"/>
  <c r="BG13" i="290" s="1"/>
  <c r="BH13" i="290" s="1"/>
  <c r="BI13" i="290" s="1"/>
  <c r="BJ13" i="290" s="1"/>
  <c r="BK13" i="290" s="1"/>
  <c r="BL13" i="290" s="1"/>
  <c r="BM13" i="290" s="1"/>
  <c r="BN13" i="290" s="1"/>
  <c r="BO13" i="290" s="1"/>
  <c r="BP13" i="290" s="1"/>
  <c r="BQ13" i="290" s="1"/>
  <c r="BR13" i="290" s="1"/>
  <c r="BS13" i="290" s="1"/>
  <c r="BT13" i="290" s="1"/>
  <c r="BU13" i="290" s="1"/>
  <c r="BV13" i="290" s="1"/>
  <c r="BW13" i="290" s="1"/>
  <c r="BX13" i="290" s="1"/>
  <c r="BY13" i="290" s="1"/>
  <c r="BZ13" i="290" s="1"/>
  <c r="CA13" i="290" s="1"/>
  <c r="CB13" i="290" s="1"/>
  <c r="CC13" i="290" s="1"/>
  <c r="CD13" i="290" s="1"/>
  <c r="CE13" i="290" s="1"/>
  <c r="CF13" i="290" s="1"/>
  <c r="CG13" i="290" s="1"/>
  <c r="CH13" i="290" s="1"/>
  <c r="CI13" i="290" s="1"/>
  <c r="CJ13" i="290" s="1"/>
  <c r="CK13" i="290" s="1"/>
  <c r="CL13" i="290" s="1"/>
  <c r="CM13" i="290" s="1"/>
  <c r="CN13" i="290" s="1"/>
  <c r="CO13" i="290" s="1"/>
  <c r="CP13" i="290" s="1"/>
  <c r="CQ13" i="290" s="1"/>
  <c r="CR13" i="290" s="1"/>
  <c r="CS13" i="290" s="1"/>
  <c r="CT13" i="290" s="1"/>
  <c r="CU13" i="290" s="1"/>
  <c r="CV13" i="290" s="1"/>
  <c r="CW13" i="290" s="1"/>
  <c r="CX13" i="290" s="1"/>
  <c r="CY13" i="290" s="1"/>
  <c r="CZ13" i="290" s="1"/>
  <c r="DA13" i="290" s="1"/>
  <c r="DB13" i="290" s="1"/>
  <c r="DC13" i="290" s="1"/>
  <c r="DD13" i="290" s="1"/>
  <c r="DE13" i="290" s="1"/>
  <c r="DF13" i="290" s="1"/>
  <c r="DG13" i="290" s="1"/>
  <c r="DH13" i="290" s="1"/>
  <c r="DI13" i="290" s="1"/>
  <c r="DJ13" i="290" s="1"/>
  <c r="DK13" i="290" s="1"/>
  <c r="DL13" i="290" s="1"/>
  <c r="DM13" i="290" s="1"/>
  <c r="DN13" i="290" s="1"/>
  <c r="DO13" i="290" s="1"/>
  <c r="DP13" i="290" s="1"/>
  <c r="DQ13" i="290" s="1"/>
  <c r="DR13" i="290" s="1"/>
  <c r="DS13" i="290" s="1"/>
  <c r="DT13" i="290" s="1"/>
  <c r="DU13" i="290" s="1"/>
  <c r="DV13" i="290" s="1"/>
  <c r="DW13" i="290" s="1"/>
  <c r="DX13" i="290" s="1"/>
  <c r="DY13" i="290" s="1"/>
  <c r="DZ13" i="290" s="1"/>
  <c r="EA13" i="290" s="1"/>
  <c r="EB13" i="290" s="1"/>
  <c r="EC13" i="290" s="1"/>
  <c r="ED13" i="290" s="1"/>
  <c r="EE13" i="290" s="1"/>
  <c r="EF13" i="290" s="1"/>
  <c r="EG13" i="290" s="1"/>
  <c r="EH13" i="290" s="1"/>
  <c r="EI13" i="290" s="1"/>
  <c r="EJ13" i="290" s="1"/>
  <c r="EK13" i="290" s="1"/>
  <c r="EL13" i="290" s="1"/>
  <c r="EM13" i="290" s="1"/>
  <c r="EN13" i="290" s="1"/>
  <c r="EO13" i="290" s="1"/>
  <c r="EP13" i="290" s="1"/>
  <c r="EQ13" i="290" s="1"/>
  <c r="ER13" i="290" s="1"/>
  <c r="ES13" i="290" s="1"/>
  <c r="ET13" i="290" s="1"/>
  <c r="EU13" i="290" s="1"/>
  <c r="EV13" i="290" s="1"/>
  <c r="EW13" i="290" s="1"/>
  <c r="EX13" i="290" s="1"/>
  <c r="EY13" i="290" s="1"/>
  <c r="EZ13" i="290" s="1"/>
  <c r="FA13" i="290" s="1"/>
  <c r="FB13" i="290" s="1"/>
  <c r="FC13" i="290" s="1"/>
  <c r="FD13" i="290" s="1"/>
  <c r="FE13" i="290" s="1"/>
  <c r="FF13" i="290" s="1"/>
  <c r="FG13" i="290" s="1"/>
  <c r="FH13" i="290" s="1"/>
  <c r="FI13" i="290" s="1"/>
  <c r="FJ13" i="290" s="1"/>
  <c r="FK13" i="290" s="1"/>
  <c r="FL13" i="290" s="1"/>
  <c r="FM13" i="290" s="1"/>
  <c r="FN13" i="290" s="1"/>
  <c r="FO13" i="290" s="1"/>
  <c r="FP13" i="290" s="1"/>
  <c r="FQ13" i="290" s="1"/>
  <c r="FR13" i="290" s="1"/>
  <c r="FS13" i="290" s="1"/>
  <c r="FT13" i="290" s="1"/>
  <c r="FU13" i="290" s="1"/>
  <c r="FV13" i="290" s="1"/>
  <c r="FW13" i="290" s="1"/>
  <c r="FX13" i="290" s="1"/>
  <c r="FY13" i="290" s="1"/>
  <c r="FZ13" i="290"/>
  <c r="O36" i="290" s="1"/>
  <c r="P36" i="290" s="1"/>
  <c r="P42" i="290" s="1"/>
  <c r="AJ11" i="290"/>
  <c r="AK11" i="290" s="1"/>
  <c r="AL11" i="290" s="1"/>
  <c r="AM11" i="290" s="1"/>
  <c r="AN11" i="290" s="1"/>
  <c r="AO11" i="290" s="1"/>
  <c r="AP11" i="290" s="1"/>
  <c r="AQ11" i="290" s="1"/>
  <c r="AR11" i="290" s="1"/>
  <c r="AS11" i="290" s="1"/>
  <c r="AT11" i="290" s="1"/>
  <c r="AU11" i="290" s="1"/>
  <c r="AV11" i="290" s="1"/>
  <c r="AW11" i="290" s="1"/>
  <c r="AX11" i="290" s="1"/>
  <c r="AY11" i="290" s="1"/>
  <c r="AZ11" i="290" s="1"/>
  <c r="BA11" i="290" s="1"/>
  <c r="BB11" i="290" s="1"/>
  <c r="BC11" i="290" s="1"/>
  <c r="BD11" i="290" s="1"/>
  <c r="BE11" i="290" s="1"/>
  <c r="BF11" i="290" s="1"/>
  <c r="BG11" i="290" s="1"/>
  <c r="BH11" i="290" s="1"/>
  <c r="BI11" i="290" s="1"/>
  <c r="BJ11" i="290" s="1"/>
  <c r="BK11" i="290" s="1"/>
  <c r="BL11" i="290" s="1"/>
  <c r="BM11" i="290" s="1"/>
  <c r="BN11" i="290" s="1"/>
  <c r="BO11" i="290" s="1"/>
  <c r="BP11" i="290" s="1"/>
  <c r="BQ11" i="290" s="1"/>
  <c r="BR11" i="290" s="1"/>
  <c r="BS11" i="290" s="1"/>
  <c r="BT11" i="290" s="1"/>
  <c r="BU11" i="290" s="1"/>
  <c r="BV11" i="290" s="1"/>
  <c r="BW11" i="290" s="1"/>
  <c r="BX11" i="290" s="1"/>
  <c r="BY11" i="290" s="1"/>
  <c r="BZ11" i="290" s="1"/>
  <c r="CA11" i="290" s="1"/>
  <c r="CB11" i="290" s="1"/>
  <c r="CC11" i="290" s="1"/>
  <c r="CD11" i="290" s="1"/>
  <c r="CE11" i="290" s="1"/>
  <c r="CF11" i="290" s="1"/>
  <c r="CG11" i="290" s="1"/>
  <c r="CH11" i="290" s="1"/>
  <c r="CI11" i="290" s="1"/>
  <c r="CJ11" i="290" s="1"/>
  <c r="CK11" i="290" s="1"/>
  <c r="CL11" i="290" s="1"/>
  <c r="CM11" i="290" s="1"/>
  <c r="CN11" i="290" s="1"/>
  <c r="CO11" i="290" s="1"/>
  <c r="CP11" i="290" s="1"/>
  <c r="CQ11" i="290" s="1"/>
  <c r="CR11" i="290" s="1"/>
  <c r="CS11" i="290" s="1"/>
  <c r="CT11" i="290" s="1"/>
  <c r="CU11" i="290" s="1"/>
  <c r="CV11" i="290" s="1"/>
  <c r="CW11" i="290" s="1"/>
  <c r="CX11" i="290" s="1"/>
  <c r="CY11" i="290" s="1"/>
  <c r="CZ11" i="290" s="1"/>
  <c r="DA11" i="290" s="1"/>
  <c r="DB11" i="290" s="1"/>
  <c r="DC11" i="290" s="1"/>
  <c r="DD11" i="290" s="1"/>
  <c r="DE11" i="290" s="1"/>
  <c r="DF11" i="290" s="1"/>
  <c r="DG11" i="290" s="1"/>
  <c r="DH11" i="290" s="1"/>
  <c r="DI11" i="290" s="1"/>
  <c r="DJ11" i="290" s="1"/>
  <c r="DK11" i="290" s="1"/>
  <c r="DL11" i="290" s="1"/>
  <c r="DM11" i="290" s="1"/>
  <c r="DN11" i="290" s="1"/>
  <c r="DO11" i="290" s="1"/>
  <c r="DP11" i="290" s="1"/>
  <c r="DQ11" i="290" s="1"/>
  <c r="DR11" i="290" s="1"/>
  <c r="DS11" i="290" s="1"/>
  <c r="DT11" i="290" s="1"/>
  <c r="DU11" i="290" s="1"/>
  <c r="DV11" i="290" s="1"/>
  <c r="DW11" i="290" s="1"/>
  <c r="DX11" i="290" s="1"/>
  <c r="DY11" i="290" s="1"/>
  <c r="DZ11" i="290" s="1"/>
  <c r="EA11" i="290" s="1"/>
  <c r="EB11" i="290" s="1"/>
  <c r="EC11" i="290" s="1"/>
  <c r="ED11" i="290" s="1"/>
  <c r="EE11" i="290" s="1"/>
  <c r="EF11" i="290" s="1"/>
  <c r="EG11" i="290" s="1"/>
  <c r="EH11" i="290" s="1"/>
  <c r="EI11" i="290" s="1"/>
  <c r="EJ11" i="290" s="1"/>
  <c r="EK11" i="290" s="1"/>
  <c r="EL11" i="290" s="1"/>
  <c r="EM11" i="290" s="1"/>
  <c r="EN11" i="290" s="1"/>
  <c r="EO11" i="290" s="1"/>
  <c r="EP11" i="290" s="1"/>
  <c r="EQ11" i="290" s="1"/>
  <c r="ER11" i="290" s="1"/>
  <c r="ES11" i="290" s="1"/>
  <c r="ET11" i="290" s="1"/>
  <c r="EU11" i="290" s="1"/>
  <c r="EV11" i="290" s="1"/>
  <c r="EW11" i="290" s="1"/>
  <c r="EX11" i="290" s="1"/>
  <c r="EY11" i="290" s="1"/>
  <c r="EZ11" i="290" s="1"/>
  <c r="FA11" i="290" s="1"/>
  <c r="FB11" i="290" s="1"/>
  <c r="FC11" i="290" s="1"/>
  <c r="FD11" i="290" s="1"/>
  <c r="FE11" i="290" s="1"/>
  <c r="FF11" i="290" s="1"/>
  <c r="FG11" i="290" s="1"/>
  <c r="FH11" i="290" s="1"/>
  <c r="FI11" i="290" s="1"/>
  <c r="FJ11" i="290" s="1"/>
  <c r="FK11" i="290" s="1"/>
  <c r="FL11" i="290" s="1"/>
  <c r="FM11" i="290" s="1"/>
  <c r="FN11" i="290" s="1"/>
  <c r="FO11" i="290" s="1"/>
  <c r="FP11" i="290" s="1"/>
  <c r="FQ11" i="290" s="1"/>
  <c r="FR11" i="290" s="1"/>
  <c r="FS11" i="290" s="1"/>
  <c r="FT11" i="290" s="1"/>
  <c r="FU11" i="290" s="1"/>
  <c r="FV11" i="290" s="1"/>
  <c r="FW11" i="290" s="1"/>
  <c r="FX11" i="290" s="1"/>
  <c r="FY11" i="290" s="1"/>
  <c r="FZ11" i="290"/>
  <c r="O34" i="290" s="1"/>
  <c r="C25" i="288"/>
  <c r="C64" i="288"/>
  <c r="H58" i="288"/>
  <c r="F58" i="288"/>
  <c r="O43" i="290" l="1"/>
  <c r="O42" i="290"/>
  <c r="P43" i="290"/>
  <c r="D73" i="288"/>
  <c r="D74" i="288"/>
  <c r="C67" i="288"/>
  <c r="H745" i="286" l="1"/>
  <c r="I742" i="286"/>
  <c r="F742" i="286"/>
  <c r="I741" i="286"/>
  <c r="F741" i="286"/>
  <c r="I740" i="286"/>
  <c r="F740" i="286"/>
  <c r="I739" i="286"/>
  <c r="F739" i="286"/>
  <c r="I738" i="286"/>
  <c r="F738" i="286"/>
  <c r="I737" i="286"/>
  <c r="F737" i="286"/>
  <c r="I736" i="286"/>
  <c r="F736" i="286"/>
  <c r="I735" i="286"/>
  <c r="F735" i="286"/>
  <c r="I734" i="286"/>
  <c r="F734" i="286"/>
  <c r="I733" i="286"/>
  <c r="F733" i="286"/>
  <c r="I732" i="286"/>
  <c r="F732" i="286"/>
  <c r="I731" i="286"/>
  <c r="F731" i="286"/>
  <c r="I730" i="286"/>
  <c r="F730" i="286"/>
  <c r="I729" i="286"/>
  <c r="F729" i="286"/>
  <c r="I728" i="286"/>
  <c r="F728" i="286"/>
  <c r="I727" i="286"/>
  <c r="F727" i="286"/>
  <c r="I726" i="286"/>
  <c r="F726" i="286"/>
  <c r="I725" i="286"/>
  <c r="F725" i="286"/>
  <c r="I724" i="286"/>
  <c r="F724" i="286"/>
  <c r="I723" i="286"/>
  <c r="F723" i="286"/>
  <c r="I722" i="286"/>
  <c r="F722" i="286"/>
  <c r="I721" i="286"/>
  <c r="F721" i="286"/>
  <c r="I720" i="286"/>
  <c r="F720" i="286"/>
  <c r="I719" i="286"/>
  <c r="F719" i="286"/>
  <c r="I718" i="286"/>
  <c r="F718" i="286"/>
  <c r="I717" i="286"/>
  <c r="F717" i="286"/>
  <c r="I716" i="286"/>
  <c r="F716" i="286"/>
  <c r="I715" i="286"/>
  <c r="F715" i="286"/>
  <c r="I714" i="286"/>
  <c r="F714" i="286"/>
  <c r="I713" i="286"/>
  <c r="F713" i="286"/>
  <c r="I712" i="286"/>
  <c r="F712" i="286"/>
  <c r="I711" i="286"/>
  <c r="F711" i="286"/>
  <c r="I710" i="286"/>
  <c r="F710" i="286"/>
  <c r="I709" i="286"/>
  <c r="F709" i="286"/>
  <c r="I708" i="286"/>
  <c r="F708" i="286"/>
  <c r="I707" i="286"/>
  <c r="F707" i="286"/>
  <c r="I706" i="286"/>
  <c r="F706" i="286"/>
  <c r="I705" i="286"/>
  <c r="F705" i="286"/>
  <c r="I704" i="286"/>
  <c r="F704" i="286"/>
  <c r="I703" i="286"/>
  <c r="F703" i="286"/>
  <c r="I702" i="286"/>
  <c r="F702" i="286"/>
  <c r="I701" i="286"/>
  <c r="F701" i="286"/>
  <c r="I700" i="286"/>
  <c r="F700" i="286"/>
  <c r="I699" i="286"/>
  <c r="F699" i="286"/>
  <c r="I698" i="286"/>
  <c r="F698" i="286"/>
  <c r="I697" i="286"/>
  <c r="F697" i="286"/>
  <c r="I696" i="286"/>
  <c r="F696" i="286"/>
  <c r="I695" i="286"/>
  <c r="F695" i="286"/>
  <c r="I694" i="286"/>
  <c r="F694" i="286"/>
  <c r="I693" i="286"/>
  <c r="F693" i="286"/>
  <c r="I692" i="286"/>
  <c r="F692" i="286"/>
  <c r="I691" i="286"/>
  <c r="F691" i="286"/>
  <c r="I690" i="286"/>
  <c r="F690" i="286"/>
  <c r="I689" i="286"/>
  <c r="F689" i="286"/>
  <c r="I688" i="286"/>
  <c r="F688" i="286"/>
  <c r="I687" i="286"/>
  <c r="F687" i="286"/>
  <c r="I686" i="286"/>
  <c r="F686" i="286"/>
  <c r="I685" i="286"/>
  <c r="F685" i="286"/>
  <c r="I684" i="286"/>
  <c r="F684" i="286"/>
  <c r="I683" i="286"/>
  <c r="F683" i="286"/>
  <c r="I682" i="286"/>
  <c r="F682" i="286"/>
  <c r="I681" i="286"/>
  <c r="F681" i="286"/>
  <c r="I680" i="286"/>
  <c r="F680" i="286"/>
  <c r="I679" i="286"/>
  <c r="F679" i="286"/>
  <c r="I678" i="286"/>
  <c r="F678" i="286"/>
  <c r="I677" i="286"/>
  <c r="F677" i="286"/>
  <c r="I676" i="286"/>
  <c r="F676" i="286"/>
  <c r="I675" i="286"/>
  <c r="F675" i="286"/>
  <c r="I674" i="286"/>
  <c r="F674" i="286"/>
  <c r="I673" i="286"/>
  <c r="F673" i="286"/>
  <c r="I672" i="286"/>
  <c r="F672" i="286"/>
  <c r="I671" i="286"/>
  <c r="F671" i="286"/>
  <c r="I670" i="286"/>
  <c r="F670" i="286"/>
  <c r="I669" i="286"/>
  <c r="F669" i="286"/>
  <c r="I668" i="286"/>
  <c r="F668" i="286"/>
  <c r="I667" i="286"/>
  <c r="F667" i="286"/>
  <c r="I666" i="286"/>
  <c r="F666" i="286"/>
  <c r="I665" i="286"/>
  <c r="F665" i="286"/>
  <c r="I664" i="286"/>
  <c r="F664" i="286"/>
  <c r="I663" i="286"/>
  <c r="F663" i="286"/>
  <c r="I662" i="286"/>
  <c r="F662" i="286"/>
  <c r="I661" i="286"/>
  <c r="F661" i="286"/>
  <c r="I660" i="286"/>
  <c r="F660" i="286"/>
  <c r="I659" i="286"/>
  <c r="F659" i="286"/>
  <c r="I658" i="286"/>
  <c r="F658" i="286"/>
  <c r="I657" i="286"/>
  <c r="F657" i="286"/>
  <c r="I656" i="286"/>
  <c r="F656" i="286"/>
  <c r="I655" i="286"/>
  <c r="F655" i="286"/>
  <c r="I654" i="286"/>
  <c r="F654" i="286"/>
  <c r="I653" i="286"/>
  <c r="F653" i="286"/>
  <c r="I652" i="286"/>
  <c r="F652" i="286"/>
  <c r="I651" i="286"/>
  <c r="F651" i="286"/>
  <c r="I650" i="286"/>
  <c r="F650" i="286"/>
  <c r="I649" i="286"/>
  <c r="F649" i="286"/>
  <c r="I648" i="286"/>
  <c r="F648" i="286"/>
  <c r="I647" i="286"/>
  <c r="F647" i="286"/>
  <c r="I646" i="286"/>
  <c r="F646" i="286"/>
  <c r="I645" i="286"/>
  <c r="F645" i="286"/>
  <c r="I644" i="286"/>
  <c r="F644" i="286"/>
  <c r="I643" i="286"/>
  <c r="F643" i="286"/>
  <c r="I642" i="286"/>
  <c r="F642" i="286"/>
  <c r="I641" i="286"/>
  <c r="F641" i="286"/>
  <c r="I640" i="286"/>
  <c r="F640" i="286"/>
  <c r="I639" i="286"/>
  <c r="F639" i="286"/>
  <c r="I638" i="286"/>
  <c r="F638" i="286"/>
  <c r="I637" i="286"/>
  <c r="F637" i="286"/>
  <c r="I636" i="286"/>
  <c r="F636" i="286"/>
  <c r="I635" i="286"/>
  <c r="F635" i="286"/>
  <c r="I634" i="286"/>
  <c r="F634" i="286"/>
  <c r="I633" i="286"/>
  <c r="F633" i="286"/>
  <c r="I632" i="286"/>
  <c r="F632" i="286"/>
  <c r="I631" i="286"/>
  <c r="F631" i="286"/>
  <c r="I630" i="286"/>
  <c r="F630" i="286"/>
  <c r="I629" i="286"/>
  <c r="F629" i="286"/>
  <c r="I628" i="286"/>
  <c r="F628" i="286"/>
  <c r="I627" i="286"/>
  <c r="F627" i="286"/>
  <c r="I626" i="286"/>
  <c r="F626" i="286"/>
  <c r="I625" i="286"/>
  <c r="F625" i="286"/>
  <c r="I624" i="286"/>
  <c r="F624" i="286"/>
  <c r="I623" i="286"/>
  <c r="F623" i="286"/>
  <c r="I622" i="286"/>
  <c r="F622" i="286"/>
  <c r="I621" i="286"/>
  <c r="F621" i="286"/>
  <c r="I620" i="286"/>
  <c r="F620" i="286"/>
  <c r="I619" i="286"/>
  <c r="F619" i="286"/>
  <c r="I618" i="286"/>
  <c r="F618" i="286"/>
  <c r="I617" i="286"/>
  <c r="F617" i="286"/>
  <c r="I616" i="286"/>
  <c r="F616" i="286"/>
  <c r="I615" i="286"/>
  <c r="F615" i="286"/>
  <c r="I614" i="286"/>
  <c r="F614" i="286"/>
  <c r="I613" i="286"/>
  <c r="F613" i="286"/>
  <c r="I612" i="286"/>
  <c r="F612" i="286"/>
  <c r="I611" i="286"/>
  <c r="F611" i="286"/>
  <c r="I610" i="286"/>
  <c r="F610" i="286"/>
  <c r="I609" i="286"/>
  <c r="F609" i="286"/>
  <c r="I608" i="286"/>
  <c r="F608" i="286"/>
  <c r="I607" i="286"/>
  <c r="F607" i="286"/>
  <c r="I606" i="286"/>
  <c r="F606" i="286"/>
  <c r="I605" i="286"/>
  <c r="F605" i="286"/>
  <c r="I604" i="286"/>
  <c r="F604" i="286"/>
  <c r="I603" i="286"/>
  <c r="F603" i="286"/>
  <c r="I602" i="286"/>
  <c r="F602" i="286"/>
  <c r="I601" i="286"/>
  <c r="F601" i="286"/>
  <c r="I600" i="286"/>
  <c r="F600" i="286"/>
  <c r="I599" i="286"/>
  <c r="F599" i="286"/>
  <c r="I598" i="286"/>
  <c r="F598" i="286"/>
  <c r="I597" i="286"/>
  <c r="F597" i="286"/>
  <c r="I596" i="286"/>
  <c r="F596" i="286"/>
  <c r="I595" i="286"/>
  <c r="F595" i="286"/>
  <c r="I594" i="286"/>
  <c r="F594" i="286"/>
  <c r="I593" i="286"/>
  <c r="F593" i="286"/>
  <c r="I592" i="286"/>
  <c r="F592" i="286"/>
  <c r="I591" i="286"/>
  <c r="F591" i="286"/>
  <c r="I590" i="286"/>
  <c r="F590" i="286"/>
  <c r="I589" i="286"/>
  <c r="F589" i="286"/>
  <c r="I588" i="286"/>
  <c r="F588" i="286"/>
  <c r="I587" i="286"/>
  <c r="F587" i="286"/>
  <c r="I586" i="286"/>
  <c r="F586" i="286"/>
  <c r="I585" i="286"/>
  <c r="F585" i="286"/>
  <c r="I584" i="286"/>
  <c r="F584" i="286"/>
  <c r="I583" i="286"/>
  <c r="F583" i="286"/>
  <c r="I582" i="286"/>
  <c r="F582" i="286"/>
  <c r="I581" i="286"/>
  <c r="F581" i="286"/>
  <c r="I580" i="286"/>
  <c r="F580" i="286"/>
  <c r="I579" i="286"/>
  <c r="F579" i="286"/>
  <c r="I578" i="286"/>
  <c r="F578" i="286"/>
  <c r="I577" i="286"/>
  <c r="F577" i="286"/>
  <c r="I576" i="286"/>
  <c r="F576" i="286"/>
  <c r="I575" i="286"/>
  <c r="F575" i="286"/>
  <c r="I574" i="286"/>
  <c r="F574" i="286"/>
  <c r="I573" i="286"/>
  <c r="F573" i="286"/>
  <c r="I572" i="286"/>
  <c r="F572" i="286"/>
  <c r="I571" i="286"/>
  <c r="F571" i="286"/>
  <c r="I570" i="286"/>
  <c r="F570" i="286"/>
  <c r="I569" i="286"/>
  <c r="F569" i="286"/>
  <c r="I568" i="286"/>
  <c r="F568" i="286"/>
  <c r="I567" i="286"/>
  <c r="F567" i="286"/>
  <c r="I566" i="286"/>
  <c r="F566" i="286"/>
  <c r="I565" i="286"/>
  <c r="F565" i="286"/>
  <c r="I564" i="286"/>
  <c r="F564" i="286"/>
  <c r="I563" i="286"/>
  <c r="F563" i="286"/>
  <c r="I562" i="286"/>
  <c r="F562" i="286"/>
  <c r="I561" i="286"/>
  <c r="F561" i="286"/>
  <c r="I560" i="286"/>
  <c r="F560" i="286"/>
  <c r="I559" i="286"/>
  <c r="F559" i="286"/>
  <c r="I558" i="286"/>
  <c r="F558" i="286"/>
  <c r="I557" i="286"/>
  <c r="F557" i="286"/>
  <c r="I556" i="286"/>
  <c r="F556" i="286"/>
  <c r="I555" i="286"/>
  <c r="F555" i="286"/>
  <c r="I554" i="286"/>
  <c r="F554" i="286"/>
  <c r="I553" i="286"/>
  <c r="F553" i="286"/>
  <c r="I552" i="286"/>
  <c r="F552" i="286"/>
  <c r="I551" i="286"/>
  <c r="F551" i="286"/>
  <c r="I550" i="286"/>
  <c r="F550" i="286"/>
  <c r="I549" i="286"/>
  <c r="F549" i="286"/>
  <c r="I548" i="286"/>
  <c r="F548" i="286"/>
  <c r="I547" i="286"/>
  <c r="F547" i="286"/>
  <c r="I546" i="286"/>
  <c r="F546" i="286"/>
  <c r="I545" i="286"/>
  <c r="F545" i="286"/>
  <c r="I544" i="286"/>
  <c r="F544" i="286"/>
  <c r="I543" i="286"/>
  <c r="F543" i="286"/>
  <c r="I542" i="286"/>
  <c r="F542" i="286"/>
  <c r="I541" i="286"/>
  <c r="F541" i="286"/>
  <c r="I540" i="286"/>
  <c r="F540" i="286"/>
  <c r="I539" i="286"/>
  <c r="F539" i="286"/>
  <c r="I538" i="286"/>
  <c r="F538" i="286"/>
  <c r="I537" i="286"/>
  <c r="F537" i="286"/>
  <c r="I536" i="286"/>
  <c r="F536" i="286"/>
  <c r="I535" i="286"/>
  <c r="F535" i="286"/>
  <c r="I534" i="286"/>
  <c r="F534" i="286"/>
  <c r="I533" i="286"/>
  <c r="F533" i="286"/>
  <c r="I532" i="286"/>
  <c r="F532" i="286"/>
  <c r="I531" i="286"/>
  <c r="F531" i="286"/>
  <c r="I530" i="286"/>
  <c r="F530" i="286"/>
  <c r="I529" i="286"/>
  <c r="F529" i="286"/>
  <c r="I528" i="286"/>
  <c r="F528" i="286"/>
  <c r="I527" i="286"/>
  <c r="F527" i="286"/>
  <c r="I526" i="286"/>
  <c r="F526" i="286"/>
  <c r="I525" i="286"/>
  <c r="F525" i="286"/>
  <c r="I524" i="286"/>
  <c r="F524" i="286"/>
  <c r="I523" i="286"/>
  <c r="F523" i="286"/>
  <c r="I522" i="286"/>
  <c r="F522" i="286"/>
  <c r="I521" i="286"/>
  <c r="F521" i="286"/>
  <c r="I520" i="286"/>
  <c r="F520" i="286"/>
  <c r="I519" i="286"/>
  <c r="F519" i="286"/>
  <c r="I518" i="286"/>
  <c r="F518" i="286"/>
  <c r="I517" i="286"/>
  <c r="F517" i="286"/>
  <c r="I516" i="286"/>
  <c r="F516" i="286"/>
  <c r="I515" i="286"/>
  <c r="F515" i="286"/>
  <c r="I514" i="286"/>
  <c r="F514" i="286"/>
  <c r="I513" i="286"/>
  <c r="F513" i="286"/>
  <c r="I512" i="286"/>
  <c r="F512" i="286"/>
  <c r="I511" i="286"/>
  <c r="F511" i="286"/>
  <c r="I510" i="286"/>
  <c r="F510" i="286"/>
  <c r="I509" i="286"/>
  <c r="F509" i="286"/>
  <c r="I508" i="286"/>
  <c r="F508" i="286"/>
  <c r="I507" i="286"/>
  <c r="F507" i="286"/>
  <c r="I506" i="286"/>
  <c r="F506" i="286"/>
  <c r="I505" i="286"/>
  <c r="F505" i="286"/>
  <c r="I504" i="286"/>
  <c r="F504" i="286"/>
  <c r="I503" i="286"/>
  <c r="F503" i="286"/>
  <c r="I502" i="286"/>
  <c r="F502" i="286"/>
  <c r="I501" i="286"/>
  <c r="F501" i="286"/>
  <c r="I500" i="286"/>
  <c r="F500" i="286"/>
  <c r="I499" i="286"/>
  <c r="F499" i="286"/>
  <c r="I498" i="286"/>
  <c r="F498" i="286"/>
  <c r="I497" i="286"/>
  <c r="F497" i="286"/>
  <c r="I496" i="286"/>
  <c r="F496" i="286"/>
  <c r="I495" i="286"/>
  <c r="F495" i="286"/>
  <c r="I494" i="286"/>
  <c r="F494" i="286"/>
  <c r="I493" i="286"/>
  <c r="F493" i="286"/>
  <c r="I492" i="286"/>
  <c r="F492" i="286"/>
  <c r="I491" i="286"/>
  <c r="F491" i="286"/>
  <c r="I490" i="286"/>
  <c r="F490" i="286"/>
  <c r="I489" i="286"/>
  <c r="F489" i="286"/>
  <c r="I488" i="286"/>
  <c r="F488" i="286"/>
  <c r="I487" i="286"/>
  <c r="F487" i="286"/>
  <c r="I486" i="286"/>
  <c r="F486" i="286"/>
  <c r="I485" i="286"/>
  <c r="F485" i="286"/>
  <c r="I484" i="286"/>
  <c r="F484" i="286"/>
  <c r="I483" i="286"/>
  <c r="F483" i="286"/>
  <c r="I482" i="286"/>
  <c r="F482" i="286"/>
  <c r="I481" i="286"/>
  <c r="F481" i="286"/>
  <c r="I480" i="286"/>
  <c r="F480" i="286"/>
  <c r="I479" i="286"/>
  <c r="F479" i="286"/>
  <c r="I478" i="286"/>
  <c r="F478" i="286"/>
  <c r="I477" i="286"/>
  <c r="F477" i="286"/>
  <c r="I476" i="286"/>
  <c r="F476" i="286"/>
  <c r="I475" i="286"/>
  <c r="F475" i="286"/>
  <c r="I474" i="286"/>
  <c r="F474" i="286"/>
  <c r="I473" i="286"/>
  <c r="F473" i="286"/>
  <c r="I472" i="286"/>
  <c r="F472" i="286"/>
  <c r="I471" i="286"/>
  <c r="F471" i="286"/>
  <c r="I470" i="286"/>
  <c r="F470" i="286"/>
  <c r="I469" i="286"/>
  <c r="F469" i="286"/>
  <c r="I468" i="286"/>
  <c r="F468" i="286"/>
  <c r="I467" i="286"/>
  <c r="F467" i="286"/>
  <c r="I466" i="286"/>
  <c r="F466" i="286"/>
  <c r="I465" i="286"/>
  <c r="F465" i="286"/>
  <c r="I464" i="286"/>
  <c r="F464" i="286"/>
  <c r="I463" i="286"/>
  <c r="F463" i="286"/>
  <c r="I462" i="286"/>
  <c r="F462" i="286"/>
  <c r="I461" i="286"/>
  <c r="F461" i="286"/>
  <c r="I460" i="286"/>
  <c r="F460" i="286"/>
  <c r="I459" i="286"/>
  <c r="F459" i="286"/>
  <c r="I458" i="286"/>
  <c r="F458" i="286"/>
  <c r="I457" i="286"/>
  <c r="F457" i="286"/>
  <c r="I456" i="286"/>
  <c r="F456" i="286"/>
  <c r="I455" i="286"/>
  <c r="F455" i="286"/>
  <c r="I454" i="286"/>
  <c r="F454" i="286"/>
  <c r="I453" i="286"/>
  <c r="F453" i="286"/>
  <c r="I452" i="286"/>
  <c r="F452" i="286"/>
  <c r="I451" i="286"/>
  <c r="F451" i="286"/>
  <c r="I450" i="286"/>
  <c r="F450" i="286"/>
  <c r="I449" i="286"/>
  <c r="F449" i="286"/>
  <c r="I448" i="286"/>
  <c r="F448" i="286"/>
  <c r="I447" i="286"/>
  <c r="F447" i="286"/>
  <c r="I446" i="286"/>
  <c r="F446" i="286"/>
  <c r="I445" i="286"/>
  <c r="F445" i="286"/>
  <c r="I444" i="286"/>
  <c r="F444" i="286"/>
  <c r="I443" i="286"/>
  <c r="F443" i="286"/>
  <c r="I442" i="286"/>
  <c r="F442" i="286"/>
  <c r="I441" i="286"/>
  <c r="F441" i="286"/>
  <c r="I440" i="286"/>
  <c r="F440" i="286"/>
  <c r="I439" i="286"/>
  <c r="F439" i="286"/>
  <c r="I438" i="286"/>
  <c r="F438" i="286"/>
  <c r="I437" i="286"/>
  <c r="F437" i="286"/>
  <c r="I436" i="286"/>
  <c r="F436" i="286"/>
  <c r="I435" i="286"/>
  <c r="F435" i="286"/>
  <c r="I434" i="286"/>
  <c r="F434" i="286"/>
  <c r="I433" i="286"/>
  <c r="F433" i="286"/>
  <c r="I432" i="286"/>
  <c r="F432" i="286"/>
  <c r="I431" i="286"/>
  <c r="F431" i="286"/>
  <c r="I430" i="286"/>
  <c r="F430" i="286"/>
  <c r="I429" i="286"/>
  <c r="F429" i="286"/>
  <c r="I428" i="286"/>
  <c r="F428" i="286"/>
  <c r="I427" i="286"/>
  <c r="F427" i="286"/>
  <c r="I426" i="286"/>
  <c r="F426" i="286"/>
  <c r="I425" i="286"/>
  <c r="F425" i="286"/>
  <c r="I424" i="286"/>
  <c r="F424" i="286"/>
  <c r="I423" i="286"/>
  <c r="F423" i="286"/>
  <c r="I422" i="286"/>
  <c r="F422" i="286"/>
  <c r="I421" i="286"/>
  <c r="F421" i="286"/>
  <c r="I420" i="286"/>
  <c r="F420" i="286"/>
  <c r="I419" i="286"/>
  <c r="F419" i="286"/>
  <c r="I418" i="286"/>
  <c r="F418" i="286"/>
  <c r="I417" i="286"/>
  <c r="F417" i="286"/>
  <c r="I416" i="286"/>
  <c r="F416" i="286"/>
  <c r="I415" i="286"/>
  <c r="F415" i="286"/>
  <c r="I414" i="286"/>
  <c r="F414" i="286"/>
  <c r="I413" i="286"/>
  <c r="F413" i="286"/>
  <c r="I412" i="286"/>
  <c r="F412" i="286"/>
  <c r="I411" i="286"/>
  <c r="F411" i="286"/>
  <c r="I410" i="286"/>
  <c r="F410" i="286"/>
  <c r="I409" i="286"/>
  <c r="F409" i="286"/>
  <c r="I408" i="286"/>
  <c r="F408" i="286"/>
  <c r="I407" i="286"/>
  <c r="F407" i="286"/>
  <c r="I406" i="286"/>
  <c r="F406" i="286"/>
  <c r="I405" i="286"/>
  <c r="F405" i="286"/>
  <c r="I404" i="286"/>
  <c r="F404" i="286"/>
  <c r="I403" i="286"/>
  <c r="F403" i="286"/>
  <c r="I402" i="286"/>
  <c r="F402" i="286"/>
  <c r="I401" i="286"/>
  <c r="F401" i="286"/>
  <c r="I400" i="286"/>
  <c r="F400" i="286"/>
  <c r="I399" i="286"/>
  <c r="F399" i="286"/>
  <c r="I398" i="286"/>
  <c r="F398" i="286"/>
  <c r="I397" i="286"/>
  <c r="F397" i="286"/>
  <c r="I396" i="286"/>
  <c r="F396" i="286"/>
  <c r="I395" i="286"/>
  <c r="F395" i="286"/>
  <c r="I394" i="286"/>
  <c r="F394" i="286"/>
  <c r="I393" i="286"/>
  <c r="F393" i="286"/>
  <c r="I392" i="286"/>
  <c r="F392" i="286"/>
  <c r="I391" i="286"/>
  <c r="F391" i="286"/>
  <c r="I390" i="286"/>
  <c r="F390" i="286"/>
  <c r="I389" i="286"/>
  <c r="F389" i="286"/>
  <c r="I388" i="286"/>
  <c r="F388" i="286"/>
  <c r="I387" i="286"/>
  <c r="F387" i="286"/>
  <c r="I386" i="286"/>
  <c r="F386" i="286"/>
  <c r="I385" i="286"/>
  <c r="F385" i="286"/>
  <c r="I384" i="286"/>
  <c r="F384" i="286"/>
  <c r="I383" i="286"/>
  <c r="F383" i="286"/>
  <c r="I382" i="286"/>
  <c r="F382" i="286"/>
  <c r="I381" i="286"/>
  <c r="F381" i="286"/>
  <c r="I380" i="286"/>
  <c r="F380" i="286"/>
  <c r="I379" i="286"/>
  <c r="F379" i="286"/>
  <c r="I378" i="286"/>
  <c r="F378" i="286"/>
  <c r="I377" i="286"/>
  <c r="F377" i="286"/>
  <c r="I376" i="286"/>
  <c r="F376" i="286"/>
  <c r="I375" i="286"/>
  <c r="F375" i="286"/>
  <c r="I374" i="286"/>
  <c r="F374" i="286"/>
  <c r="I373" i="286"/>
  <c r="F373" i="286"/>
  <c r="I372" i="286"/>
  <c r="F372" i="286"/>
  <c r="I371" i="286"/>
  <c r="F371" i="286"/>
  <c r="I370" i="286"/>
  <c r="F370" i="286"/>
  <c r="I369" i="286"/>
  <c r="F369" i="286"/>
  <c r="I368" i="286"/>
  <c r="F368" i="286"/>
  <c r="I367" i="286"/>
  <c r="F367" i="286"/>
  <c r="I366" i="286"/>
  <c r="F366" i="286"/>
  <c r="I365" i="286"/>
  <c r="F365" i="286"/>
  <c r="I364" i="286"/>
  <c r="F364" i="286"/>
  <c r="I363" i="286"/>
  <c r="F363" i="286"/>
  <c r="I362" i="286"/>
  <c r="F362" i="286"/>
  <c r="I361" i="286"/>
  <c r="F361" i="286"/>
  <c r="I360" i="286"/>
  <c r="F360" i="286"/>
  <c r="I359" i="286"/>
  <c r="F359" i="286"/>
  <c r="I358" i="286"/>
  <c r="F358" i="286"/>
  <c r="I357" i="286"/>
  <c r="F357" i="286"/>
  <c r="I356" i="286"/>
  <c r="F356" i="286"/>
  <c r="I355" i="286"/>
  <c r="F355" i="286"/>
  <c r="I354" i="286"/>
  <c r="F354" i="286"/>
  <c r="I353" i="286"/>
  <c r="F353" i="286"/>
  <c r="I352" i="286"/>
  <c r="F352" i="286"/>
  <c r="I351" i="286"/>
  <c r="F351" i="286"/>
  <c r="I350" i="286"/>
  <c r="F350" i="286"/>
  <c r="I349" i="286"/>
  <c r="F349" i="286"/>
  <c r="I348" i="286"/>
  <c r="F348" i="286"/>
  <c r="I347" i="286"/>
  <c r="F347" i="286"/>
  <c r="I346" i="286"/>
  <c r="F346" i="286"/>
  <c r="I345" i="286"/>
  <c r="F345" i="286"/>
  <c r="I344" i="286"/>
  <c r="F344" i="286"/>
  <c r="I343" i="286"/>
  <c r="F343" i="286"/>
  <c r="I342" i="286"/>
  <c r="F342" i="286"/>
  <c r="I341" i="286"/>
  <c r="F341" i="286"/>
  <c r="I340" i="286"/>
  <c r="F340" i="286"/>
  <c r="I339" i="286"/>
  <c r="F339" i="286"/>
  <c r="I338" i="286"/>
  <c r="F338" i="286"/>
  <c r="I337" i="286"/>
  <c r="F337" i="286"/>
  <c r="I336" i="286"/>
  <c r="F336" i="286"/>
  <c r="I335" i="286"/>
  <c r="F335" i="286"/>
  <c r="I334" i="286"/>
  <c r="F334" i="286"/>
  <c r="I333" i="286"/>
  <c r="F333" i="286"/>
  <c r="I332" i="286"/>
  <c r="F332" i="286"/>
  <c r="I331" i="286"/>
  <c r="F331" i="286"/>
  <c r="I330" i="286"/>
  <c r="F330" i="286"/>
  <c r="I329" i="286"/>
  <c r="F329" i="286"/>
  <c r="I328" i="286"/>
  <c r="F328" i="286"/>
  <c r="I327" i="286"/>
  <c r="F327" i="286"/>
  <c r="I326" i="286"/>
  <c r="F326" i="286"/>
  <c r="I325" i="286"/>
  <c r="F325" i="286"/>
  <c r="I324" i="286"/>
  <c r="F324" i="286"/>
  <c r="I323" i="286"/>
  <c r="F323" i="286"/>
  <c r="I322" i="286"/>
  <c r="F322" i="286"/>
  <c r="I321" i="286"/>
  <c r="F321" i="286"/>
  <c r="I320" i="286"/>
  <c r="F320" i="286"/>
  <c r="I319" i="286"/>
  <c r="F319" i="286"/>
  <c r="I318" i="286"/>
  <c r="F318" i="286"/>
  <c r="I317" i="286"/>
  <c r="F317" i="286"/>
  <c r="I316" i="286"/>
  <c r="F316" i="286"/>
  <c r="I315" i="286"/>
  <c r="F315" i="286"/>
  <c r="I314" i="286"/>
  <c r="F314" i="286"/>
  <c r="I313" i="286"/>
  <c r="F313" i="286"/>
  <c r="I312" i="286"/>
  <c r="F312" i="286"/>
  <c r="I311" i="286"/>
  <c r="F311" i="286"/>
  <c r="I310" i="286"/>
  <c r="F310" i="286"/>
  <c r="I309" i="286"/>
  <c r="F309" i="286"/>
  <c r="I308" i="286"/>
  <c r="F308" i="286"/>
  <c r="I307" i="286"/>
  <c r="F307" i="286"/>
  <c r="I306" i="286"/>
  <c r="F306" i="286"/>
  <c r="I305" i="286"/>
  <c r="F305" i="286"/>
  <c r="I304" i="286"/>
  <c r="F304" i="286"/>
  <c r="I303" i="286"/>
  <c r="F303" i="286"/>
  <c r="I302" i="286"/>
  <c r="F302" i="286"/>
  <c r="I301" i="286"/>
  <c r="F301" i="286"/>
  <c r="I300" i="286"/>
  <c r="F300" i="286"/>
  <c r="I299" i="286"/>
  <c r="F299" i="286"/>
  <c r="I298" i="286"/>
  <c r="F298" i="286"/>
  <c r="I297" i="286"/>
  <c r="F297" i="286"/>
  <c r="I296" i="286"/>
  <c r="F296" i="286"/>
  <c r="I295" i="286"/>
  <c r="F295" i="286"/>
  <c r="I294" i="286"/>
  <c r="F294" i="286"/>
  <c r="I293" i="286"/>
  <c r="F293" i="286"/>
  <c r="I292" i="286"/>
  <c r="F292" i="286"/>
  <c r="I291" i="286"/>
  <c r="F291" i="286"/>
  <c r="I290" i="286"/>
  <c r="F290" i="286"/>
  <c r="I289" i="286"/>
  <c r="F289" i="286"/>
  <c r="I288" i="286"/>
  <c r="F288" i="286"/>
  <c r="I287" i="286"/>
  <c r="F287" i="286"/>
  <c r="I286" i="286"/>
  <c r="F286" i="286"/>
  <c r="I285" i="286"/>
  <c r="F285" i="286"/>
  <c r="I284" i="286"/>
  <c r="F284" i="286"/>
  <c r="I283" i="286"/>
  <c r="F283" i="286"/>
  <c r="I282" i="286"/>
  <c r="F282" i="286"/>
  <c r="I281" i="286"/>
  <c r="F281" i="286"/>
  <c r="I280" i="286"/>
  <c r="F280" i="286"/>
  <c r="I279" i="286"/>
  <c r="F279" i="286"/>
  <c r="I278" i="286"/>
  <c r="F278" i="286"/>
  <c r="I277" i="286"/>
  <c r="F277" i="286"/>
  <c r="I276" i="286"/>
  <c r="F276" i="286"/>
  <c r="I275" i="286"/>
  <c r="F275" i="286"/>
  <c r="I274" i="286"/>
  <c r="F274" i="286"/>
  <c r="I273" i="286"/>
  <c r="F273" i="286"/>
  <c r="I272" i="286"/>
  <c r="F272" i="286"/>
  <c r="I271" i="286"/>
  <c r="F271" i="286"/>
  <c r="I270" i="286"/>
  <c r="F270" i="286"/>
  <c r="I269" i="286"/>
  <c r="F269" i="286"/>
  <c r="I268" i="286"/>
  <c r="F268" i="286"/>
  <c r="I267" i="286"/>
  <c r="F267" i="286"/>
  <c r="I266" i="286"/>
  <c r="F266" i="286"/>
  <c r="I265" i="286"/>
  <c r="F265" i="286"/>
  <c r="I264" i="286"/>
  <c r="F264" i="286"/>
  <c r="I263" i="286"/>
  <c r="F263" i="286"/>
  <c r="I262" i="286"/>
  <c r="F262" i="286"/>
  <c r="I261" i="286"/>
  <c r="F261" i="286"/>
  <c r="I260" i="286"/>
  <c r="F260" i="286"/>
  <c r="I259" i="286"/>
  <c r="F259" i="286"/>
  <c r="I258" i="286"/>
  <c r="F258" i="286"/>
  <c r="I257" i="286"/>
  <c r="F257" i="286"/>
  <c r="I256" i="286"/>
  <c r="F256" i="286"/>
  <c r="I255" i="286"/>
  <c r="F255" i="286"/>
  <c r="I254" i="286"/>
  <c r="F254" i="286"/>
  <c r="I253" i="286"/>
  <c r="F253" i="286"/>
  <c r="I252" i="286"/>
  <c r="F252" i="286"/>
  <c r="I251" i="286"/>
  <c r="F251" i="286"/>
  <c r="I250" i="286"/>
  <c r="F250" i="286"/>
  <c r="I249" i="286"/>
  <c r="F249" i="286"/>
  <c r="I248" i="286"/>
  <c r="F248" i="286"/>
  <c r="I247" i="286"/>
  <c r="F247" i="286"/>
  <c r="I246" i="286"/>
  <c r="F246" i="286"/>
  <c r="I245" i="286"/>
  <c r="F245" i="286"/>
  <c r="I244" i="286"/>
  <c r="F244" i="286"/>
  <c r="I243" i="286"/>
  <c r="F243" i="286"/>
  <c r="I242" i="286"/>
  <c r="F242" i="286"/>
  <c r="I241" i="286"/>
  <c r="F241" i="286"/>
  <c r="I240" i="286"/>
  <c r="F240" i="286"/>
  <c r="I239" i="286"/>
  <c r="F239" i="286"/>
  <c r="I238" i="286"/>
  <c r="F238" i="286"/>
  <c r="I237" i="286"/>
  <c r="F237" i="286"/>
  <c r="I236" i="286"/>
  <c r="F236" i="286"/>
  <c r="I235" i="286"/>
  <c r="F235" i="286"/>
  <c r="I234" i="286"/>
  <c r="F234" i="286"/>
  <c r="I233" i="286"/>
  <c r="F233" i="286"/>
  <c r="I232" i="286"/>
  <c r="F232" i="286"/>
  <c r="I231" i="286"/>
  <c r="F231" i="286"/>
  <c r="I230" i="286"/>
  <c r="F230" i="286"/>
  <c r="I229" i="286"/>
  <c r="F229" i="286"/>
  <c r="I228" i="286"/>
  <c r="F228" i="286"/>
  <c r="I227" i="286"/>
  <c r="F227" i="286"/>
  <c r="I226" i="286"/>
  <c r="F226" i="286"/>
  <c r="I225" i="286"/>
  <c r="F225" i="286"/>
  <c r="I224" i="286"/>
  <c r="F224" i="286"/>
  <c r="I223" i="286"/>
  <c r="F223" i="286"/>
  <c r="I222" i="286"/>
  <c r="F222" i="286"/>
  <c r="I221" i="286"/>
  <c r="F221" i="286"/>
  <c r="I220" i="286"/>
  <c r="F220" i="286"/>
  <c r="I219" i="286"/>
  <c r="F219" i="286"/>
  <c r="I218" i="286"/>
  <c r="F218" i="286"/>
  <c r="I217" i="286"/>
  <c r="F217" i="286"/>
  <c r="I216" i="286"/>
  <c r="F216" i="286"/>
  <c r="I215" i="286"/>
  <c r="F215" i="286"/>
  <c r="I214" i="286"/>
  <c r="F214" i="286"/>
  <c r="I213" i="286"/>
  <c r="F213" i="286"/>
  <c r="I212" i="286"/>
  <c r="F212" i="286"/>
  <c r="I211" i="286"/>
  <c r="F211" i="286"/>
  <c r="I210" i="286"/>
  <c r="F210" i="286"/>
  <c r="I209" i="286"/>
  <c r="F209" i="286"/>
  <c r="I208" i="286"/>
  <c r="F208" i="286"/>
  <c r="I207" i="286"/>
  <c r="F207" i="286"/>
  <c r="I206" i="286"/>
  <c r="F206" i="286"/>
  <c r="I205" i="286"/>
  <c r="F205" i="286"/>
  <c r="I204" i="286"/>
  <c r="F204" i="286"/>
  <c r="I203" i="286"/>
  <c r="F203" i="286"/>
  <c r="I202" i="286"/>
  <c r="F202" i="286"/>
  <c r="I201" i="286"/>
  <c r="F201" i="286"/>
  <c r="I200" i="286"/>
  <c r="F200" i="286"/>
  <c r="I199" i="286"/>
  <c r="F199" i="286"/>
  <c r="I198" i="286"/>
  <c r="F198" i="286"/>
  <c r="I197" i="286"/>
  <c r="F197" i="286"/>
  <c r="I196" i="286"/>
  <c r="F196" i="286"/>
  <c r="I195" i="286"/>
  <c r="F195" i="286"/>
  <c r="I194" i="286"/>
  <c r="F194" i="286"/>
  <c r="I193" i="286"/>
  <c r="F193" i="286"/>
  <c r="I192" i="286"/>
  <c r="F192" i="286"/>
  <c r="I191" i="286"/>
  <c r="F191" i="286"/>
  <c r="I190" i="286"/>
  <c r="F190" i="286"/>
  <c r="I189" i="286"/>
  <c r="F189" i="286"/>
  <c r="I188" i="286"/>
  <c r="F188" i="286"/>
  <c r="I187" i="286"/>
  <c r="F187" i="286"/>
  <c r="I186" i="286"/>
  <c r="F186" i="286"/>
  <c r="I185" i="286"/>
  <c r="F185" i="286"/>
  <c r="I184" i="286"/>
  <c r="F184" i="286"/>
  <c r="I183" i="286"/>
  <c r="F183" i="286"/>
  <c r="I182" i="286"/>
  <c r="F182" i="286"/>
  <c r="I181" i="286"/>
  <c r="F181" i="286"/>
  <c r="I180" i="286"/>
  <c r="F180" i="286"/>
  <c r="I179" i="286"/>
  <c r="F179" i="286"/>
  <c r="I178" i="286"/>
  <c r="F178" i="286"/>
  <c r="I177" i="286"/>
  <c r="F177" i="286"/>
  <c r="I176" i="286"/>
  <c r="F176" i="286"/>
  <c r="I175" i="286"/>
  <c r="F175" i="286"/>
  <c r="I174" i="286"/>
  <c r="F174" i="286"/>
  <c r="I173" i="286"/>
  <c r="F173" i="286"/>
  <c r="I172" i="286"/>
  <c r="F172" i="286"/>
  <c r="I171" i="286"/>
  <c r="F171" i="286"/>
  <c r="I170" i="286"/>
  <c r="F170" i="286"/>
  <c r="I169" i="286"/>
  <c r="F169" i="286"/>
  <c r="I168" i="286"/>
  <c r="F168" i="286"/>
  <c r="I167" i="286"/>
  <c r="F167" i="286"/>
  <c r="I166" i="286"/>
  <c r="F166" i="286"/>
  <c r="I165" i="286"/>
  <c r="F165" i="286"/>
  <c r="I164" i="286"/>
  <c r="F164" i="286"/>
  <c r="I163" i="286"/>
  <c r="F163" i="286"/>
  <c r="I162" i="286"/>
  <c r="F162" i="286"/>
  <c r="I161" i="286"/>
  <c r="F161" i="286"/>
  <c r="I160" i="286"/>
  <c r="F160" i="286"/>
  <c r="I159" i="286"/>
  <c r="F159" i="286"/>
  <c r="I158" i="286"/>
  <c r="F158" i="286"/>
  <c r="I157" i="286"/>
  <c r="F157" i="286"/>
  <c r="I156" i="286"/>
  <c r="F156" i="286"/>
  <c r="I155" i="286"/>
  <c r="F155" i="286"/>
  <c r="I154" i="286"/>
  <c r="F154" i="286"/>
  <c r="I153" i="286"/>
  <c r="F153" i="286"/>
  <c r="I152" i="286"/>
  <c r="F152" i="286"/>
  <c r="I151" i="286"/>
  <c r="F151" i="286"/>
  <c r="I150" i="286"/>
  <c r="F150" i="286"/>
  <c r="I149" i="286"/>
  <c r="G149" i="286"/>
  <c r="F149" i="286"/>
  <c r="I148" i="286"/>
  <c r="G148" i="286"/>
  <c r="F148" i="286"/>
  <c r="I147" i="286"/>
  <c r="G147" i="286"/>
  <c r="F147" i="286"/>
  <c r="I146" i="286"/>
  <c r="G146" i="286"/>
  <c r="F146" i="286"/>
  <c r="I145" i="286"/>
  <c r="G145" i="286"/>
  <c r="F145" i="286"/>
  <c r="I144" i="286"/>
  <c r="G144" i="286"/>
  <c r="F144" i="286"/>
  <c r="I143" i="286"/>
  <c r="G143" i="286"/>
  <c r="F143" i="286"/>
  <c r="I142" i="286"/>
  <c r="G142" i="286"/>
  <c r="F142" i="286"/>
  <c r="I141" i="286"/>
  <c r="G141" i="286"/>
  <c r="F141" i="286"/>
  <c r="I140" i="286"/>
  <c r="G140" i="286"/>
  <c r="F140" i="286"/>
  <c r="I139" i="286"/>
  <c r="G139" i="286"/>
  <c r="F139" i="286"/>
  <c r="I138" i="286"/>
  <c r="G138" i="286"/>
  <c r="F138" i="286"/>
  <c r="I137" i="286"/>
  <c r="G137" i="286"/>
  <c r="F137" i="286"/>
  <c r="I136" i="286"/>
  <c r="G136" i="286"/>
  <c r="F136" i="286"/>
  <c r="I135" i="286"/>
  <c r="G135" i="286"/>
  <c r="F135" i="286"/>
  <c r="I134" i="286"/>
  <c r="G134" i="286"/>
  <c r="F134" i="286"/>
  <c r="I133" i="286"/>
  <c r="G133" i="286"/>
  <c r="F133" i="286"/>
  <c r="I132" i="286"/>
  <c r="G132" i="286"/>
  <c r="F132" i="286"/>
  <c r="I131" i="286"/>
  <c r="G131" i="286"/>
  <c r="F131" i="286"/>
  <c r="I130" i="286"/>
  <c r="G130" i="286"/>
  <c r="F130" i="286"/>
  <c r="I129" i="286"/>
  <c r="G129" i="286"/>
  <c r="F129" i="286"/>
  <c r="I128" i="286"/>
  <c r="G128" i="286"/>
  <c r="F128" i="286"/>
  <c r="I127" i="286"/>
  <c r="G127" i="286"/>
  <c r="F127" i="286"/>
  <c r="I126" i="286"/>
  <c r="G126" i="286"/>
  <c r="F126" i="286"/>
  <c r="I125" i="286"/>
  <c r="G125" i="286"/>
  <c r="F125" i="286"/>
  <c r="I124" i="286"/>
  <c r="G124" i="286"/>
  <c r="F124" i="286"/>
  <c r="I123" i="286"/>
  <c r="G123" i="286"/>
  <c r="F123" i="286"/>
  <c r="I122" i="286"/>
  <c r="G122" i="286"/>
  <c r="F122" i="286"/>
  <c r="I121" i="286"/>
  <c r="G121" i="286"/>
  <c r="F121" i="286"/>
  <c r="I120" i="286"/>
  <c r="G120" i="286"/>
  <c r="F120" i="286"/>
  <c r="I119" i="286"/>
  <c r="G119" i="286"/>
  <c r="F119" i="286"/>
  <c r="I118" i="286"/>
  <c r="G118" i="286"/>
  <c r="F118" i="286"/>
  <c r="I117" i="286"/>
  <c r="G117" i="286"/>
  <c r="F117" i="286"/>
  <c r="I116" i="286"/>
  <c r="G116" i="286"/>
  <c r="F116" i="286"/>
  <c r="I115" i="286"/>
  <c r="G115" i="286"/>
  <c r="F115" i="286"/>
  <c r="I114" i="286"/>
  <c r="G114" i="286"/>
  <c r="F114" i="286"/>
  <c r="I113" i="286"/>
  <c r="G113" i="286"/>
  <c r="F113" i="286"/>
  <c r="I112" i="286"/>
  <c r="G112" i="286"/>
  <c r="F112" i="286"/>
  <c r="I111" i="286"/>
  <c r="G111" i="286"/>
  <c r="F111" i="286"/>
  <c r="I110" i="286"/>
  <c r="G110" i="286"/>
  <c r="F110" i="286"/>
  <c r="I109" i="286"/>
  <c r="G109" i="286"/>
  <c r="F109" i="286"/>
  <c r="I108" i="286"/>
  <c r="G108" i="286"/>
  <c r="F108" i="286"/>
  <c r="I107" i="286"/>
  <c r="G107" i="286"/>
  <c r="F107" i="286"/>
  <c r="I106" i="286"/>
  <c r="G106" i="286"/>
  <c r="F106" i="286"/>
  <c r="I105" i="286"/>
  <c r="G105" i="286"/>
  <c r="F105" i="286"/>
  <c r="I104" i="286"/>
  <c r="G104" i="286"/>
  <c r="F104" i="286"/>
  <c r="I103" i="286"/>
  <c r="G103" i="286"/>
  <c r="F103" i="286"/>
  <c r="I102" i="286"/>
  <c r="G102" i="286"/>
  <c r="F102" i="286"/>
  <c r="I101" i="286"/>
  <c r="G101" i="286"/>
  <c r="F101" i="286"/>
  <c r="I100" i="286"/>
  <c r="G100" i="286"/>
  <c r="F100" i="286"/>
  <c r="I99" i="286"/>
  <c r="G99" i="286"/>
  <c r="F99" i="286"/>
  <c r="I98" i="286"/>
  <c r="G98" i="286"/>
  <c r="F98" i="286"/>
  <c r="I97" i="286"/>
  <c r="G97" i="286"/>
  <c r="F97" i="286"/>
  <c r="I96" i="286"/>
  <c r="G96" i="286"/>
  <c r="F96" i="286"/>
  <c r="I95" i="286"/>
  <c r="G95" i="286"/>
  <c r="F95" i="286"/>
  <c r="I94" i="286"/>
  <c r="G94" i="286"/>
  <c r="F94" i="286"/>
  <c r="I93" i="286"/>
  <c r="G93" i="286"/>
  <c r="F93" i="286"/>
  <c r="I92" i="286"/>
  <c r="G92" i="286"/>
  <c r="F92" i="286"/>
  <c r="I91" i="286"/>
  <c r="G91" i="286"/>
  <c r="F91" i="286"/>
  <c r="I90" i="286"/>
  <c r="G90" i="286"/>
  <c r="F90" i="286"/>
  <c r="I89" i="286"/>
  <c r="G89" i="286"/>
  <c r="F89" i="286"/>
  <c r="I88" i="286"/>
  <c r="G88" i="286"/>
  <c r="F88" i="286"/>
  <c r="I87" i="286"/>
  <c r="G87" i="286"/>
  <c r="F87" i="286"/>
  <c r="I86" i="286"/>
  <c r="G86" i="286"/>
  <c r="F86" i="286"/>
  <c r="I85" i="286"/>
  <c r="G85" i="286"/>
  <c r="F85" i="286"/>
  <c r="I84" i="286"/>
  <c r="G84" i="286"/>
  <c r="F84" i="286"/>
  <c r="I83" i="286"/>
  <c r="G83" i="286"/>
  <c r="F83" i="286"/>
  <c r="I82" i="286"/>
  <c r="G82" i="286"/>
  <c r="F82" i="286"/>
  <c r="I81" i="286"/>
  <c r="G81" i="286"/>
  <c r="F81" i="286"/>
  <c r="I80" i="286"/>
  <c r="G80" i="286"/>
  <c r="F80" i="286"/>
  <c r="I79" i="286"/>
  <c r="G79" i="286"/>
  <c r="F79" i="286"/>
  <c r="I78" i="286"/>
  <c r="G78" i="286"/>
  <c r="F78" i="286"/>
  <c r="I77" i="286"/>
  <c r="G77" i="286"/>
  <c r="F77" i="286"/>
  <c r="I76" i="286"/>
  <c r="G76" i="286"/>
  <c r="F76" i="286"/>
  <c r="I75" i="286"/>
  <c r="G75" i="286"/>
  <c r="F75" i="286"/>
  <c r="I74" i="286"/>
  <c r="G74" i="286"/>
  <c r="F74" i="286"/>
  <c r="I73" i="286"/>
  <c r="G73" i="286"/>
  <c r="F73" i="286"/>
  <c r="I72" i="286"/>
  <c r="G72" i="286"/>
  <c r="F72" i="286"/>
  <c r="I71" i="286"/>
  <c r="G71" i="286"/>
  <c r="F71" i="286"/>
  <c r="I70" i="286"/>
  <c r="G70" i="286"/>
  <c r="F70" i="286"/>
  <c r="I69" i="286"/>
  <c r="G69" i="286"/>
  <c r="F69" i="286"/>
  <c r="I68" i="286"/>
  <c r="G68" i="286"/>
  <c r="F68" i="286"/>
  <c r="I67" i="286"/>
  <c r="G67" i="286"/>
  <c r="F67" i="286"/>
  <c r="I66" i="286"/>
  <c r="G66" i="286"/>
  <c r="F66" i="286"/>
  <c r="I65" i="286"/>
  <c r="G65" i="286"/>
  <c r="F65" i="286"/>
  <c r="I64" i="286"/>
  <c r="G64" i="286"/>
  <c r="F64" i="286"/>
  <c r="I63" i="286"/>
  <c r="G63" i="286"/>
  <c r="F63" i="286"/>
  <c r="I62" i="286"/>
  <c r="G62" i="286"/>
  <c r="F62" i="286"/>
  <c r="I61" i="286"/>
  <c r="G61" i="286"/>
  <c r="I60" i="286"/>
  <c r="G60" i="286"/>
  <c r="F60" i="286"/>
  <c r="F7" i="286"/>
  <c r="F6" i="286"/>
  <c r="F9" i="285"/>
  <c r="B9" i="285"/>
  <c r="D9" i="285" s="1"/>
  <c r="H8" i="285"/>
  <c r="G8" i="285"/>
  <c r="I8" i="285" s="1"/>
  <c r="F8" i="285"/>
  <c r="C8" i="285"/>
  <c r="G90" i="284"/>
  <c r="B81" i="284"/>
  <c r="B78" i="284"/>
  <c r="G76" i="284"/>
  <c r="F76" i="284"/>
  <c r="E76" i="284"/>
  <c r="G67" i="284"/>
  <c r="F67" i="284"/>
  <c r="F90" i="284" s="1"/>
  <c r="E67" i="284"/>
  <c r="E90" i="284" s="1"/>
  <c r="B67" i="284"/>
  <c r="B90" i="284" s="1"/>
  <c r="D66" i="284"/>
  <c r="D89" i="284" s="1"/>
  <c r="F53" i="284"/>
  <c r="G53" i="284" s="1"/>
  <c r="E53" i="284"/>
  <c r="I46" i="284"/>
  <c r="I69" i="284" s="1"/>
  <c r="I92" i="284" s="1"/>
  <c r="G46" i="284"/>
  <c r="G69" i="284" s="1"/>
  <c r="G92" i="284" s="1"/>
  <c r="F46" i="284"/>
  <c r="F69" i="284" s="1"/>
  <c r="F92" i="284" s="1"/>
  <c r="E46" i="284"/>
  <c r="E69" i="284" s="1"/>
  <c r="E92" i="284" s="1"/>
  <c r="B46" i="284"/>
  <c r="B69" i="284" s="1"/>
  <c r="B92" i="284" s="1"/>
  <c r="I45" i="284"/>
  <c r="I68" i="284" s="1"/>
  <c r="I91" i="284" s="1"/>
  <c r="G45" i="284"/>
  <c r="G68" i="284" s="1"/>
  <c r="G91" i="284" s="1"/>
  <c r="F45" i="284"/>
  <c r="F68" i="284" s="1"/>
  <c r="F91" i="284" s="1"/>
  <c r="E45" i="284"/>
  <c r="E68" i="284" s="1"/>
  <c r="E91" i="284" s="1"/>
  <c r="B45" i="284"/>
  <c r="B68" i="284" s="1"/>
  <c r="B91" i="284" s="1"/>
  <c r="I44" i="284"/>
  <c r="I67" i="284" s="1"/>
  <c r="I90" i="284" s="1"/>
  <c r="B44" i="284"/>
  <c r="I43" i="284"/>
  <c r="I66" i="284" s="1"/>
  <c r="I89" i="284" s="1"/>
  <c r="B43" i="284"/>
  <c r="B66" i="284" s="1"/>
  <c r="B89" i="284" s="1"/>
  <c r="I41" i="284"/>
  <c r="I64" i="284" s="1"/>
  <c r="I87" i="284" s="1"/>
  <c r="B41" i="284"/>
  <c r="B64" i="284" s="1"/>
  <c r="B87" i="284" s="1"/>
  <c r="M40" i="284"/>
  <c r="M61" i="284" s="1"/>
  <c r="M81" i="284" s="1"/>
  <c r="I40" i="284"/>
  <c r="I63" i="284" s="1"/>
  <c r="I86" i="284" s="1"/>
  <c r="B40" i="284"/>
  <c r="B63" i="284" s="1"/>
  <c r="B86" i="284" s="1"/>
  <c r="I39" i="284"/>
  <c r="I62" i="284" s="1"/>
  <c r="I85" i="284" s="1"/>
  <c r="D39" i="284"/>
  <c r="D62" i="284" s="1"/>
  <c r="D85" i="284" s="1"/>
  <c r="B39" i="284"/>
  <c r="B62" i="284" s="1"/>
  <c r="B85" i="284" s="1"/>
  <c r="I38" i="284"/>
  <c r="I61" i="284" s="1"/>
  <c r="I84" i="284" s="1"/>
  <c r="B38" i="284"/>
  <c r="B61" i="284" s="1"/>
  <c r="B84" i="284" s="1"/>
  <c r="I37" i="284"/>
  <c r="I60" i="284" s="1"/>
  <c r="I83" i="284" s="1"/>
  <c r="D60" i="284"/>
  <c r="D83" i="284" s="1"/>
  <c r="B37" i="284"/>
  <c r="B60" i="284" s="1"/>
  <c r="B83" i="284" s="1"/>
  <c r="I36" i="284"/>
  <c r="I59" i="284" s="1"/>
  <c r="I82" i="284" s="1"/>
  <c r="B36" i="284"/>
  <c r="B59" i="284" s="1"/>
  <c r="B82" i="284" s="1"/>
  <c r="I35" i="284"/>
  <c r="I58" i="284" s="1"/>
  <c r="I81" i="284" s="1"/>
  <c r="B35" i="284"/>
  <c r="B58" i="284" s="1"/>
  <c r="K34" i="284"/>
  <c r="K57" i="284" s="1"/>
  <c r="K77" i="284" s="1"/>
  <c r="M77" i="284" s="1"/>
  <c r="D79" i="284" s="1"/>
  <c r="I34" i="284"/>
  <c r="I57" i="284" s="1"/>
  <c r="I80" i="284" s="1"/>
  <c r="B34" i="284"/>
  <c r="B57" i="284" s="1"/>
  <c r="B80" i="284" s="1"/>
  <c r="L33" i="284"/>
  <c r="M33" i="284" s="1"/>
  <c r="K33" i="284"/>
  <c r="K56" i="284" s="1"/>
  <c r="K76" i="284" s="1"/>
  <c r="I33" i="284"/>
  <c r="I56" i="284" s="1"/>
  <c r="I79" i="284" s="1"/>
  <c r="B33" i="284"/>
  <c r="B56" i="284" s="1"/>
  <c r="B79" i="284" s="1"/>
  <c r="A33" i="284"/>
  <c r="A34" i="284" s="1"/>
  <c r="A35" i="284" s="1"/>
  <c r="A36" i="284" s="1"/>
  <c r="A37" i="284" s="1"/>
  <c r="A38" i="284" s="1"/>
  <c r="A39" i="284" s="1"/>
  <c r="A40" i="284" s="1"/>
  <c r="A41" i="284" s="1"/>
  <c r="A43" i="284" s="1"/>
  <c r="A44" i="284" s="1"/>
  <c r="A45" i="284" s="1"/>
  <c r="A46" i="284" s="1"/>
  <c r="I32" i="284"/>
  <c r="I55" i="284" s="1"/>
  <c r="I78" i="284" s="1"/>
  <c r="D32" i="284"/>
  <c r="B32" i="284"/>
  <c r="B55" i="284" s="1"/>
  <c r="E30" i="284"/>
  <c r="F30" i="284" s="1"/>
  <c r="G30" i="284" s="1"/>
  <c r="E28" i="284"/>
  <c r="E51" i="284" s="1"/>
  <c r="E74" i="284" s="1"/>
  <c r="D15" i="284"/>
  <c r="D38" i="284" s="1"/>
  <c r="D61" i="284" s="1"/>
  <c r="D84" i="284" s="1"/>
  <c r="K12" i="284"/>
  <c r="M11" i="284"/>
  <c r="D10" i="284" s="1"/>
  <c r="D12" i="284" s="1"/>
  <c r="D17" i="284" s="1"/>
  <c r="M10" i="284"/>
  <c r="A10" i="284"/>
  <c r="A11" i="284" s="1"/>
  <c r="A12" i="284" s="1"/>
  <c r="A13" i="284" s="1"/>
  <c r="A14" i="284" s="1"/>
  <c r="A15" i="284" s="1"/>
  <c r="A16" i="284" s="1"/>
  <c r="A17" i="284" s="1"/>
  <c r="A18" i="284" s="1"/>
  <c r="A20" i="284" s="1"/>
  <c r="A21" i="284" s="1"/>
  <c r="A22" i="284" s="1"/>
  <c r="A23" i="284" s="1"/>
  <c r="E7" i="284"/>
  <c r="F7" i="284" s="1"/>
  <c r="G7" i="284" s="1"/>
  <c r="D119" i="283"/>
  <c r="C119" i="283"/>
  <c r="D118" i="283"/>
  <c r="C118" i="283"/>
  <c r="F117" i="283"/>
  <c r="F116" i="283"/>
  <c r="F115" i="283"/>
  <c r="F114" i="283"/>
  <c r="F113" i="283"/>
  <c r="F112" i="283"/>
  <c r="F111" i="283"/>
  <c r="F110" i="283"/>
  <c r="F109" i="283"/>
  <c r="F108" i="283"/>
  <c r="F107" i="283"/>
  <c r="F106" i="283"/>
  <c r="F105" i="283"/>
  <c r="F104" i="283"/>
  <c r="F103" i="283"/>
  <c r="F102" i="283"/>
  <c r="F101" i="283"/>
  <c r="F100" i="283"/>
  <c r="F99" i="283"/>
  <c r="F98" i="283"/>
  <c r="F97" i="283"/>
  <c r="F96" i="283"/>
  <c r="F95" i="283"/>
  <c r="F94" i="283"/>
  <c r="F93" i="283"/>
  <c r="F92" i="283"/>
  <c r="F91" i="283"/>
  <c r="F90" i="283"/>
  <c r="F89" i="283"/>
  <c r="F88" i="283"/>
  <c r="F87" i="283"/>
  <c r="F86" i="283"/>
  <c r="F85" i="283"/>
  <c r="F84" i="283"/>
  <c r="F83" i="283"/>
  <c r="F82" i="283"/>
  <c r="F81" i="283"/>
  <c r="F80" i="283"/>
  <c r="F79" i="283"/>
  <c r="K78" i="283"/>
  <c r="F78" i="283"/>
  <c r="K77" i="283"/>
  <c r="J77" i="283"/>
  <c r="F77" i="283"/>
  <c r="K76" i="283"/>
  <c r="J76" i="283"/>
  <c r="F76" i="283"/>
  <c r="F75" i="283"/>
  <c r="F74" i="283"/>
  <c r="F73" i="283"/>
  <c r="F72" i="283"/>
  <c r="F71" i="283"/>
  <c r="F70" i="283"/>
  <c r="F69" i="283"/>
  <c r="F68" i="283"/>
  <c r="F67" i="283"/>
  <c r="F66" i="283"/>
  <c r="F65" i="283"/>
  <c r="F64" i="283"/>
  <c r="F63" i="283"/>
  <c r="F62" i="283"/>
  <c r="F61" i="283"/>
  <c r="F60" i="283"/>
  <c r="F59" i="283"/>
  <c r="F58" i="283"/>
  <c r="F57" i="283"/>
  <c r="F56" i="283"/>
  <c r="F55" i="283"/>
  <c r="F54" i="283"/>
  <c r="F53" i="283"/>
  <c r="F52" i="283"/>
  <c r="F51" i="283"/>
  <c r="F50" i="283"/>
  <c r="F49" i="283"/>
  <c r="F48" i="283"/>
  <c r="F47" i="283"/>
  <c r="F46" i="283"/>
  <c r="F45" i="283"/>
  <c r="F44" i="283"/>
  <c r="F43" i="283"/>
  <c r="F42" i="283"/>
  <c r="F41" i="283"/>
  <c r="F40" i="283"/>
  <c r="F39" i="283"/>
  <c r="F38" i="283"/>
  <c r="F37" i="283"/>
  <c r="F36" i="283"/>
  <c r="F35" i="283"/>
  <c r="F34" i="283"/>
  <c r="F33" i="283"/>
  <c r="F32" i="283"/>
  <c r="F31" i="283"/>
  <c r="F30" i="283"/>
  <c r="F29" i="283"/>
  <c r="F28" i="283"/>
  <c r="F27" i="283"/>
  <c r="F26" i="283"/>
  <c r="F25" i="283"/>
  <c r="F118" i="283" s="1"/>
  <c r="AG66" i="282"/>
  <c r="AF66" i="282"/>
  <c r="W66" i="282"/>
  <c r="Y66" i="282" s="1"/>
  <c r="Q66" i="282"/>
  <c r="P66" i="282"/>
  <c r="W65" i="282"/>
  <c r="X66" i="282" s="1"/>
  <c r="AG61" i="282"/>
  <c r="AF61" i="282"/>
  <c r="Y61" i="282"/>
  <c r="X61" i="282"/>
  <c r="Q61" i="282"/>
  <c r="P61" i="282"/>
  <c r="AG60" i="282"/>
  <c r="AF60" i="282"/>
  <c r="Y60" i="282"/>
  <c r="X60" i="282"/>
  <c r="Q60" i="282"/>
  <c r="P60" i="282"/>
  <c r="AG59" i="282"/>
  <c r="AF59" i="282"/>
  <c r="Y59" i="282"/>
  <c r="X59" i="282"/>
  <c r="Q59" i="282"/>
  <c r="P59" i="282"/>
  <c r="AG58" i="282"/>
  <c r="AF58" i="282"/>
  <c r="Y58" i="282"/>
  <c r="X58" i="282"/>
  <c r="Q58" i="282"/>
  <c r="P58" i="282"/>
  <c r="AG57" i="282"/>
  <c r="AF57" i="282"/>
  <c r="Y57" i="282"/>
  <c r="X57" i="282"/>
  <c r="Q57" i="282"/>
  <c r="P57" i="282"/>
  <c r="AG56" i="282"/>
  <c r="AF56" i="282"/>
  <c r="Y56" i="282"/>
  <c r="X56" i="282"/>
  <c r="Q56" i="282"/>
  <c r="P56" i="282"/>
  <c r="AG55" i="282"/>
  <c r="AF55" i="282"/>
  <c r="Y55" i="282"/>
  <c r="X55" i="282"/>
  <c r="Q55" i="282"/>
  <c r="P55" i="282"/>
  <c r="AG54" i="282"/>
  <c r="AF54" i="282"/>
  <c r="Y54" i="282"/>
  <c r="X54" i="282"/>
  <c r="Q54" i="282"/>
  <c r="P54" i="282"/>
  <c r="AG53" i="282"/>
  <c r="AF53" i="282"/>
  <c r="Y53" i="282"/>
  <c r="X53" i="282"/>
  <c r="Q53" i="282"/>
  <c r="P53" i="282"/>
  <c r="AG52" i="282"/>
  <c r="AF52" i="282"/>
  <c r="Y52" i="282"/>
  <c r="X52" i="282"/>
  <c r="Q52" i="282"/>
  <c r="P52" i="282"/>
  <c r="AG51" i="282"/>
  <c r="AF51" i="282"/>
  <c r="Y51" i="282"/>
  <c r="X51" i="282"/>
  <c r="Q51" i="282"/>
  <c r="P51" i="282"/>
  <c r="AG50" i="282"/>
  <c r="AF50" i="282"/>
  <c r="Y50" i="282"/>
  <c r="X50" i="282"/>
  <c r="Q50" i="282"/>
  <c r="P50" i="282"/>
  <c r="AG49" i="282"/>
  <c r="AF49" i="282"/>
  <c r="Y49" i="282"/>
  <c r="X49" i="282"/>
  <c r="Q49" i="282"/>
  <c r="P49" i="282"/>
  <c r="AG48" i="282"/>
  <c r="AF48" i="282"/>
  <c r="Y48" i="282"/>
  <c r="X48" i="282"/>
  <c r="Q48" i="282"/>
  <c r="P48" i="282"/>
  <c r="AG47" i="282"/>
  <c r="AF47" i="282"/>
  <c r="Y47" i="282"/>
  <c r="X47" i="282"/>
  <c r="Q47" i="282"/>
  <c r="P47" i="282"/>
  <c r="AG46" i="282"/>
  <c r="AF46" i="282"/>
  <c r="Y46" i="282"/>
  <c r="X46" i="282"/>
  <c r="Q46" i="282"/>
  <c r="P46" i="282"/>
  <c r="AG45" i="282"/>
  <c r="AF45" i="282"/>
  <c r="Y45" i="282"/>
  <c r="X45" i="282"/>
  <c r="Q45" i="282"/>
  <c r="P45" i="282"/>
  <c r="AG44" i="282"/>
  <c r="AF44" i="282"/>
  <c r="Y44" i="282"/>
  <c r="X44" i="282"/>
  <c r="Q44" i="282"/>
  <c r="P44" i="282"/>
  <c r="AG43" i="282"/>
  <c r="AF43" i="282"/>
  <c r="Y43" i="282"/>
  <c r="X43" i="282"/>
  <c r="Q43" i="282"/>
  <c r="P43" i="282"/>
  <c r="AG42" i="282"/>
  <c r="AF42" i="282"/>
  <c r="Y42" i="282"/>
  <c r="X42" i="282"/>
  <c r="Q42" i="282"/>
  <c r="P42" i="282"/>
  <c r="AG41" i="282"/>
  <c r="AF41" i="282"/>
  <c r="Y41" i="282"/>
  <c r="X41" i="282"/>
  <c r="Q41" i="282"/>
  <c r="P41" i="282"/>
  <c r="AG40" i="282"/>
  <c r="AF40" i="282"/>
  <c r="Y40" i="282"/>
  <c r="X40" i="282"/>
  <c r="Q40" i="282"/>
  <c r="P40" i="282"/>
  <c r="AG39" i="282"/>
  <c r="AF39" i="282"/>
  <c r="Y39" i="282"/>
  <c r="X39" i="282"/>
  <c r="Q39" i="282"/>
  <c r="P39" i="282"/>
  <c r="AG38" i="282"/>
  <c r="AF38" i="282"/>
  <c r="Y38" i="282"/>
  <c r="X38" i="282"/>
  <c r="Q38" i="282"/>
  <c r="P38" i="282"/>
  <c r="AG37" i="282"/>
  <c r="AF37" i="282"/>
  <c r="Y37" i="282"/>
  <c r="X37" i="282"/>
  <c r="Q37" i="282"/>
  <c r="P37" i="282"/>
  <c r="E37" i="282"/>
  <c r="J37" i="282" s="1"/>
  <c r="D37" i="282"/>
  <c r="C37" i="282"/>
  <c r="I37" i="282" s="1"/>
  <c r="AG36" i="282"/>
  <c r="AF36" i="282"/>
  <c r="Y36" i="282"/>
  <c r="X36" i="282"/>
  <c r="Q36" i="282"/>
  <c r="P36" i="282"/>
  <c r="E36" i="282"/>
  <c r="J36" i="282" s="1"/>
  <c r="D36" i="282"/>
  <c r="C36" i="282"/>
  <c r="AG35" i="282"/>
  <c r="AF35" i="282"/>
  <c r="Y35" i="282"/>
  <c r="X35" i="282"/>
  <c r="Q35" i="282"/>
  <c r="P35" i="282"/>
  <c r="E35" i="282"/>
  <c r="J35" i="282" s="1"/>
  <c r="D35" i="282"/>
  <c r="C35" i="282"/>
  <c r="AG34" i="282"/>
  <c r="AF34" i="282"/>
  <c r="Y34" i="282"/>
  <c r="X34" i="282"/>
  <c r="Q34" i="282"/>
  <c r="P34" i="282"/>
  <c r="E34" i="282"/>
  <c r="J34" i="282" s="1"/>
  <c r="D34" i="282"/>
  <c r="C34" i="282"/>
  <c r="AG33" i="282"/>
  <c r="AF33" i="282"/>
  <c r="Y33" i="282"/>
  <c r="X33" i="282"/>
  <c r="Q33" i="282"/>
  <c r="P33" i="282"/>
  <c r="E33" i="282"/>
  <c r="J33" i="282" s="1"/>
  <c r="D33" i="282"/>
  <c r="C33" i="282"/>
  <c r="AG32" i="282"/>
  <c r="AF32" i="282"/>
  <c r="Y32" i="282"/>
  <c r="X32" i="282"/>
  <c r="Q32" i="282"/>
  <c r="P32" i="282"/>
  <c r="E32" i="282"/>
  <c r="J32" i="282" s="1"/>
  <c r="D32" i="282"/>
  <c r="F32" i="282" s="1"/>
  <c r="K32" i="282" s="1"/>
  <c r="C32" i="282"/>
  <c r="AG31" i="282"/>
  <c r="AF31" i="282"/>
  <c r="Y31" i="282"/>
  <c r="X31" i="282"/>
  <c r="Q31" i="282"/>
  <c r="P31" i="282"/>
  <c r="J31" i="282"/>
  <c r="E31" i="282"/>
  <c r="D31" i="282"/>
  <c r="F31" i="282" s="1"/>
  <c r="K31" i="282" s="1"/>
  <c r="C31" i="282"/>
  <c r="AG30" i="282"/>
  <c r="AF30" i="282"/>
  <c r="Y30" i="282"/>
  <c r="X30" i="282"/>
  <c r="Q30" i="282"/>
  <c r="P30" i="282"/>
  <c r="E30" i="282"/>
  <c r="J30" i="282" s="1"/>
  <c r="D30" i="282"/>
  <c r="C30" i="282"/>
  <c r="I30" i="282" s="1"/>
  <c r="AG29" i="282"/>
  <c r="AF29" i="282"/>
  <c r="Y29" i="282"/>
  <c r="X29" i="282"/>
  <c r="Q29" i="282"/>
  <c r="P29" i="282"/>
  <c r="E29" i="282"/>
  <c r="J29" i="282" s="1"/>
  <c r="D29" i="282"/>
  <c r="C29" i="282"/>
  <c r="E28" i="282"/>
  <c r="F28" i="282" s="1"/>
  <c r="K28" i="282" s="1"/>
  <c r="D28" i="282"/>
  <c r="C28" i="282"/>
  <c r="E27" i="282"/>
  <c r="J27" i="282" s="1"/>
  <c r="D27" i="282"/>
  <c r="C27" i="282"/>
  <c r="E26" i="282"/>
  <c r="J26" i="282" s="1"/>
  <c r="D26" i="282"/>
  <c r="C26" i="282"/>
  <c r="E25" i="282"/>
  <c r="J25" i="282" s="1"/>
  <c r="D25" i="282"/>
  <c r="C25" i="282"/>
  <c r="J24" i="282"/>
  <c r="E24" i="282"/>
  <c r="D24" i="282"/>
  <c r="C24" i="282"/>
  <c r="I24" i="282" s="1"/>
  <c r="E23" i="282"/>
  <c r="J23" i="282" s="1"/>
  <c r="D23" i="282"/>
  <c r="C23" i="282"/>
  <c r="E22" i="282"/>
  <c r="D22" i="282"/>
  <c r="C22" i="282"/>
  <c r="E21" i="282"/>
  <c r="J21" i="282" s="1"/>
  <c r="D21" i="282"/>
  <c r="C21" i="282"/>
  <c r="E20" i="282"/>
  <c r="J20" i="282" s="1"/>
  <c r="D20" i="282"/>
  <c r="C20" i="282"/>
  <c r="E19" i="282"/>
  <c r="J19" i="282" s="1"/>
  <c r="D19" i="282"/>
  <c r="C19" i="282"/>
  <c r="J18" i="282"/>
  <c r="E18" i="282"/>
  <c r="D18" i="282"/>
  <c r="C18" i="282"/>
  <c r="I18" i="282" s="1"/>
  <c r="E17" i="282"/>
  <c r="J17" i="282" s="1"/>
  <c r="D17" i="282"/>
  <c r="C17" i="282"/>
  <c r="I17" i="282" s="1"/>
  <c r="E16" i="282"/>
  <c r="F16" i="282" s="1"/>
  <c r="K16" i="282" s="1"/>
  <c r="D16" i="282"/>
  <c r="C16" i="282"/>
  <c r="E15" i="282"/>
  <c r="J15" i="282" s="1"/>
  <c r="D15" i="282"/>
  <c r="C15" i="282"/>
  <c r="E14" i="282"/>
  <c r="D14" i="282"/>
  <c r="C14" i="282"/>
  <c r="E13" i="282"/>
  <c r="J13" i="282" s="1"/>
  <c r="D13" i="282"/>
  <c r="C13" i="282"/>
  <c r="E12" i="282"/>
  <c r="D12" i="282"/>
  <c r="C12" i="282"/>
  <c r="E11" i="282"/>
  <c r="J11" i="282" s="1"/>
  <c r="D11" i="282"/>
  <c r="C11" i="282"/>
  <c r="I11" i="282" s="1"/>
  <c r="E10" i="282"/>
  <c r="J10" i="282" s="1"/>
  <c r="D10" i="282"/>
  <c r="C10" i="282"/>
  <c r="E9" i="282"/>
  <c r="J9" i="282" s="1"/>
  <c r="D9" i="282"/>
  <c r="C9" i="282"/>
  <c r="E8" i="282"/>
  <c r="J8" i="282" s="1"/>
  <c r="D8" i="282"/>
  <c r="C8" i="282"/>
  <c r="I8" i="282" s="1"/>
  <c r="E7" i="282"/>
  <c r="J7" i="282" s="1"/>
  <c r="D7" i="282"/>
  <c r="C7" i="282"/>
  <c r="E6" i="282"/>
  <c r="F6" i="282" s="1"/>
  <c r="K6" i="282" s="1"/>
  <c r="D6" i="282"/>
  <c r="C6" i="282"/>
  <c r="I6" i="282" s="1"/>
  <c r="E5" i="282"/>
  <c r="J5" i="282" s="1"/>
  <c r="D5" i="282"/>
  <c r="C5" i="282"/>
  <c r="E4" i="282"/>
  <c r="J4" i="282" s="1"/>
  <c r="D4" i="282"/>
  <c r="C4" i="282"/>
  <c r="G135" i="281"/>
  <c r="B105" i="281"/>
  <c r="D97" i="281"/>
  <c r="I95" i="281"/>
  <c r="F95" i="281"/>
  <c r="C95" i="281"/>
  <c r="E95" i="281" s="1"/>
  <c r="I94" i="281"/>
  <c r="F94" i="281"/>
  <c r="C94" i="281"/>
  <c r="E94" i="281" s="1"/>
  <c r="I93" i="281"/>
  <c r="F93" i="281"/>
  <c r="C93" i="281"/>
  <c r="E93" i="281" s="1"/>
  <c r="I92" i="281"/>
  <c r="F92" i="281"/>
  <c r="C92" i="281"/>
  <c r="E92" i="281" s="1"/>
  <c r="I91" i="281"/>
  <c r="F91" i="281"/>
  <c r="C91" i="281"/>
  <c r="E91" i="281" s="1"/>
  <c r="I90" i="281"/>
  <c r="F90" i="281"/>
  <c r="E90" i="281"/>
  <c r="C90" i="281"/>
  <c r="I89" i="281"/>
  <c r="F89" i="281"/>
  <c r="C89" i="281"/>
  <c r="E89" i="281" s="1"/>
  <c r="I88" i="281"/>
  <c r="F88" i="281"/>
  <c r="C88" i="281"/>
  <c r="E88" i="281" s="1"/>
  <c r="I87" i="281"/>
  <c r="F87" i="281"/>
  <c r="C87" i="281"/>
  <c r="E87" i="281" s="1"/>
  <c r="I86" i="281"/>
  <c r="F86" i="281"/>
  <c r="C86" i="281"/>
  <c r="E86" i="281" s="1"/>
  <c r="I85" i="281"/>
  <c r="F85" i="281"/>
  <c r="C85" i="281"/>
  <c r="E85" i="281" s="1"/>
  <c r="I84" i="281"/>
  <c r="F84" i="281"/>
  <c r="C84" i="281"/>
  <c r="E84" i="281" s="1"/>
  <c r="I83" i="281"/>
  <c r="F83" i="281"/>
  <c r="C83" i="281"/>
  <c r="E83" i="281" s="1"/>
  <c r="I82" i="281"/>
  <c r="F82" i="281"/>
  <c r="E82" i="281"/>
  <c r="C82" i="281"/>
  <c r="I81" i="281"/>
  <c r="F81" i="281"/>
  <c r="C81" i="281"/>
  <c r="E81" i="281" s="1"/>
  <c r="I80" i="281"/>
  <c r="F80" i="281"/>
  <c r="C80" i="281"/>
  <c r="E80" i="281" s="1"/>
  <c r="I79" i="281"/>
  <c r="F79" i="281"/>
  <c r="C79" i="281"/>
  <c r="E79" i="281" s="1"/>
  <c r="I78" i="281"/>
  <c r="F78" i="281"/>
  <c r="C78" i="281"/>
  <c r="E78" i="281" s="1"/>
  <c r="I77" i="281"/>
  <c r="F77" i="281"/>
  <c r="C77" i="281"/>
  <c r="E77" i="281" s="1"/>
  <c r="I76" i="281"/>
  <c r="F76" i="281"/>
  <c r="C76" i="281"/>
  <c r="E76" i="281" s="1"/>
  <c r="I75" i="281"/>
  <c r="F75" i="281"/>
  <c r="C75" i="281"/>
  <c r="E75" i="281" s="1"/>
  <c r="I74" i="281"/>
  <c r="F74" i="281"/>
  <c r="E74" i="281"/>
  <c r="C74" i="281"/>
  <c r="I73" i="281"/>
  <c r="F73" i="281"/>
  <c r="C73" i="281"/>
  <c r="E73" i="281" s="1"/>
  <c r="I72" i="281"/>
  <c r="F72" i="281"/>
  <c r="C72" i="281"/>
  <c r="E72" i="281" s="1"/>
  <c r="I71" i="281"/>
  <c r="F71" i="281"/>
  <c r="C71" i="281"/>
  <c r="E71" i="281" s="1"/>
  <c r="F70" i="281"/>
  <c r="C70" i="281"/>
  <c r="E70" i="281" s="1"/>
  <c r="F69" i="281"/>
  <c r="E69" i="281"/>
  <c r="C69" i="281"/>
  <c r="F68" i="281"/>
  <c r="C68" i="281"/>
  <c r="E68" i="281" s="1"/>
  <c r="F67" i="281"/>
  <c r="C67" i="281"/>
  <c r="E67" i="281" s="1"/>
  <c r="F66" i="281"/>
  <c r="C66" i="281"/>
  <c r="E66" i="281" s="1"/>
  <c r="C65" i="281"/>
  <c r="E65" i="281" s="1"/>
  <c r="C64" i="281"/>
  <c r="E64" i="281" s="1"/>
  <c r="C63" i="281"/>
  <c r="E63" i="281" s="1"/>
  <c r="C62" i="281"/>
  <c r="E62" i="281" s="1"/>
  <c r="J60" i="281"/>
  <c r="I60" i="281"/>
  <c r="B53" i="281"/>
  <c r="D46" i="281"/>
  <c r="C46" i="281"/>
  <c r="I44" i="281"/>
  <c r="F44" i="281"/>
  <c r="E44" i="281"/>
  <c r="I43" i="281"/>
  <c r="F43" i="281"/>
  <c r="E43" i="281"/>
  <c r="I42" i="281"/>
  <c r="F42" i="281"/>
  <c r="E42" i="281"/>
  <c r="I41" i="281"/>
  <c r="F41" i="281"/>
  <c r="E41" i="281"/>
  <c r="I40" i="281"/>
  <c r="F40" i="281"/>
  <c r="E40" i="281"/>
  <c r="I39" i="281"/>
  <c r="F39" i="281"/>
  <c r="E39" i="281"/>
  <c r="I38" i="281"/>
  <c r="F38" i="281"/>
  <c r="E38" i="281"/>
  <c r="I37" i="281"/>
  <c r="F37" i="281"/>
  <c r="E37" i="281"/>
  <c r="I36" i="281"/>
  <c r="F36" i="281"/>
  <c r="E36" i="281"/>
  <c r="I35" i="281"/>
  <c r="F35" i="281"/>
  <c r="E35" i="281"/>
  <c r="I34" i="281"/>
  <c r="F34" i="281"/>
  <c r="E34" i="281"/>
  <c r="I33" i="281"/>
  <c r="F33" i="281"/>
  <c r="E33" i="281"/>
  <c r="G37" i="281" s="1"/>
  <c r="I32" i="281"/>
  <c r="F32" i="281"/>
  <c r="E32" i="281"/>
  <c r="I31" i="281"/>
  <c r="F31" i="281"/>
  <c r="E31" i="281"/>
  <c r="I30" i="281"/>
  <c r="F30" i="281"/>
  <c r="E30" i="281"/>
  <c r="I29" i="281"/>
  <c r="F29" i="281"/>
  <c r="E29" i="281"/>
  <c r="I28" i="281"/>
  <c r="F28" i="281"/>
  <c r="E28" i="281"/>
  <c r="I27" i="281"/>
  <c r="F27" i="281"/>
  <c r="E27" i="281"/>
  <c r="I26" i="281"/>
  <c r="F26" i="281"/>
  <c r="E26" i="281"/>
  <c r="I25" i="281"/>
  <c r="F25" i="281"/>
  <c r="E25" i="281"/>
  <c r="G29" i="281" s="1"/>
  <c r="I24" i="281"/>
  <c r="F24" i="281"/>
  <c r="E24" i="281"/>
  <c r="I23" i="281"/>
  <c r="F23" i="281"/>
  <c r="E23" i="281"/>
  <c r="I22" i="281"/>
  <c r="F22" i="281"/>
  <c r="E22" i="281"/>
  <c r="I21" i="281"/>
  <c r="F21" i="281"/>
  <c r="E21" i="281"/>
  <c r="F20" i="281"/>
  <c r="E20" i="281"/>
  <c r="F19" i="281"/>
  <c r="E19" i="281"/>
  <c r="G23" i="281" s="1"/>
  <c r="F18" i="281"/>
  <c r="E18" i="281"/>
  <c r="F17" i="281"/>
  <c r="E17" i="281"/>
  <c r="F16" i="281"/>
  <c r="E16" i="281"/>
  <c r="F15" i="281"/>
  <c r="E15" i="281"/>
  <c r="G19" i="281" s="1"/>
  <c r="E14" i="281"/>
  <c r="E13" i="281"/>
  <c r="E12" i="281"/>
  <c r="E11" i="281"/>
  <c r="J9" i="281"/>
  <c r="I9" i="281"/>
  <c r="L56" i="284" l="1"/>
  <c r="L76" i="284" s="1"/>
  <c r="M76" i="284" s="1"/>
  <c r="J23" i="281"/>
  <c r="F12" i="282"/>
  <c r="K12" i="282" s="1"/>
  <c r="I15" i="282"/>
  <c r="F18" i="282"/>
  <c r="K18" i="282" s="1"/>
  <c r="I22" i="282"/>
  <c r="I27" i="282"/>
  <c r="Q62" i="282"/>
  <c r="AG62" i="282"/>
  <c r="AE64" i="282" s="1"/>
  <c r="AE67" i="282" s="1"/>
  <c r="I32" i="282"/>
  <c r="AF62" i="282"/>
  <c r="M57" i="284"/>
  <c r="D56" i="284" s="1"/>
  <c r="I745" i="286"/>
  <c r="G40" i="281"/>
  <c r="F14" i="282"/>
  <c r="K14" i="282" s="1"/>
  <c r="J16" i="282"/>
  <c r="F22" i="282"/>
  <c r="K22" i="282" s="1"/>
  <c r="H30" i="282"/>
  <c r="G31" i="281"/>
  <c r="G39" i="281"/>
  <c r="J14" i="282"/>
  <c r="P62" i="282"/>
  <c r="O64" i="282" s="1"/>
  <c r="J75" i="281"/>
  <c r="J71" i="281"/>
  <c r="G71" i="281"/>
  <c r="J77" i="281"/>
  <c r="G68" i="281"/>
  <c r="J79" i="281"/>
  <c r="G75" i="281"/>
  <c r="G77" i="281"/>
  <c r="G79" i="281"/>
  <c r="G81" i="281"/>
  <c r="J88" i="281"/>
  <c r="J90" i="281"/>
  <c r="G87" i="281"/>
  <c r="J95" i="281"/>
  <c r="G92" i="281"/>
  <c r="G93" i="281"/>
  <c r="G95" i="281"/>
  <c r="I5" i="282"/>
  <c r="I12" i="282"/>
  <c r="I21" i="282"/>
  <c r="I28" i="282"/>
  <c r="I36" i="282"/>
  <c r="J31" i="281"/>
  <c r="J39" i="281"/>
  <c r="I10" i="282"/>
  <c r="I19" i="282"/>
  <c r="I26" i="282"/>
  <c r="F36" i="282"/>
  <c r="K36" i="282" s="1"/>
  <c r="G20" i="281"/>
  <c r="G27" i="281"/>
  <c r="G35" i="281"/>
  <c r="G43" i="281"/>
  <c r="I4" i="282"/>
  <c r="F8" i="282"/>
  <c r="K8" i="282" s="1"/>
  <c r="I13" i="282"/>
  <c r="I20" i="282"/>
  <c r="F24" i="282"/>
  <c r="K24" i="282" s="1"/>
  <c r="I29" i="282"/>
  <c r="I33" i="282"/>
  <c r="C97" i="281"/>
  <c r="J12" i="282"/>
  <c r="F26" i="282"/>
  <c r="K26" i="282" s="1"/>
  <c r="J28" i="282"/>
  <c r="E46" i="281"/>
  <c r="G21" i="281"/>
  <c r="I48" i="281"/>
  <c r="J35" i="281"/>
  <c r="J43" i="281"/>
  <c r="H32" i="282"/>
  <c r="G24" i="281"/>
  <c r="F10" i="282"/>
  <c r="K10" i="282" s="1"/>
  <c r="J20" i="281"/>
  <c r="G25" i="281"/>
  <c r="G41" i="281"/>
  <c r="I97" i="281"/>
  <c r="I98" i="281"/>
  <c r="F4" i="282"/>
  <c r="K4" i="282" s="1"/>
  <c r="J6" i="282"/>
  <c r="I9" i="282"/>
  <c r="I16" i="282"/>
  <c r="F20" i="282"/>
  <c r="K20" i="282" s="1"/>
  <c r="J22" i="282"/>
  <c r="I25" i="282"/>
  <c r="F30" i="282"/>
  <c r="K30" i="282" s="1"/>
  <c r="F33" i="282"/>
  <c r="K33" i="282" s="1"/>
  <c r="H34" i="282"/>
  <c r="G32" i="281"/>
  <c r="H36" i="282"/>
  <c r="G33" i="281"/>
  <c r="G17" i="281"/>
  <c r="J27" i="281"/>
  <c r="G28" i="281"/>
  <c r="G36" i="281"/>
  <c r="G44" i="281"/>
  <c r="I7" i="282"/>
  <c r="I14" i="282"/>
  <c r="I23" i="282"/>
  <c r="I31" i="282"/>
  <c r="F34" i="282"/>
  <c r="K34" i="282" s="1"/>
  <c r="I35" i="282"/>
  <c r="O68" i="282"/>
  <c r="O67" i="282"/>
  <c r="AE68" i="282"/>
  <c r="G18" i="281"/>
  <c r="G26" i="281"/>
  <c r="J28" i="281"/>
  <c r="J32" i="281"/>
  <c r="G34" i="281"/>
  <c r="J36" i="281"/>
  <c r="G38" i="281"/>
  <c r="J40" i="281"/>
  <c r="G69" i="281"/>
  <c r="J76" i="281"/>
  <c r="J78" i="281"/>
  <c r="J80" i="281"/>
  <c r="J82" i="281"/>
  <c r="J84" i="281"/>
  <c r="J86" i="281"/>
  <c r="G89" i="281"/>
  <c r="G91" i="281"/>
  <c r="J92" i="281"/>
  <c r="J94" i="281"/>
  <c r="G15" i="281"/>
  <c r="J21" i="281"/>
  <c r="J25" i="281"/>
  <c r="J29" i="281"/>
  <c r="J33" i="281"/>
  <c r="J37" i="281"/>
  <c r="J41" i="281"/>
  <c r="I99" i="281"/>
  <c r="E97" i="281"/>
  <c r="F99" i="281"/>
  <c r="F5" i="282"/>
  <c r="K5" i="282" s="1"/>
  <c r="F7" i="282"/>
  <c r="K7" i="282" s="1"/>
  <c r="F9" i="282"/>
  <c r="K9" i="282" s="1"/>
  <c r="F11" i="282"/>
  <c r="K11" i="282" s="1"/>
  <c r="F13" i="282"/>
  <c r="K13" i="282" s="1"/>
  <c r="F15" i="282"/>
  <c r="K15" i="282" s="1"/>
  <c r="F17" i="282"/>
  <c r="K17" i="282" s="1"/>
  <c r="F19" i="282"/>
  <c r="K19" i="282" s="1"/>
  <c r="F21" i="282"/>
  <c r="K21" i="282" s="1"/>
  <c r="F23" i="282"/>
  <c r="K23" i="282" s="1"/>
  <c r="F25" i="282"/>
  <c r="K25" i="282" s="1"/>
  <c r="F27" i="282"/>
  <c r="K27" i="282" s="1"/>
  <c r="F29" i="282"/>
  <c r="K29" i="282" s="1"/>
  <c r="F37" i="282"/>
  <c r="K37" i="282" s="1"/>
  <c r="M12" i="284"/>
  <c r="N10" i="284"/>
  <c r="G22" i="281"/>
  <c r="G30" i="281"/>
  <c r="G42" i="281"/>
  <c r="J44" i="281"/>
  <c r="G67" i="281"/>
  <c r="G70" i="281"/>
  <c r="J72" i="281"/>
  <c r="J74" i="281"/>
  <c r="D55" i="284"/>
  <c r="N33" i="284"/>
  <c r="G16" i="281"/>
  <c r="J22" i="281"/>
  <c r="K15" i="281" s="1"/>
  <c r="J26" i="281"/>
  <c r="J30" i="281"/>
  <c r="J34" i="281"/>
  <c r="J38" i="281"/>
  <c r="J42" i="281"/>
  <c r="I46" i="281"/>
  <c r="I47" i="281"/>
  <c r="G66" i="281"/>
  <c r="G72" i="281"/>
  <c r="J73" i="281"/>
  <c r="G74" i="281"/>
  <c r="G76" i="281"/>
  <c r="G78" i="281"/>
  <c r="G80" i="281"/>
  <c r="J81" i="281"/>
  <c r="G82" i="281"/>
  <c r="J83" i="281"/>
  <c r="G84" i="281"/>
  <c r="J85" i="281"/>
  <c r="G86" i="281"/>
  <c r="J87" i="281"/>
  <c r="G88" i="281"/>
  <c r="J89" i="281"/>
  <c r="G90" i="281"/>
  <c r="J91" i="281"/>
  <c r="J93" i="281"/>
  <c r="G94" i="281"/>
  <c r="F97" i="281"/>
  <c r="F98" i="281"/>
  <c r="X62" i="282"/>
  <c r="F35" i="282"/>
  <c r="K35" i="282" s="1"/>
  <c r="K72" i="283"/>
  <c r="L72" i="283" s="1"/>
  <c r="J26" i="283" a="1"/>
  <c r="N11" i="284"/>
  <c r="J24" i="281"/>
  <c r="F46" i="281"/>
  <c r="F47" i="281"/>
  <c r="F48" i="281"/>
  <c r="G73" i="281"/>
  <c r="G83" i="281"/>
  <c r="G85" i="281"/>
  <c r="I34" i="282"/>
  <c r="Y62" i="282"/>
  <c r="H4" i="282"/>
  <c r="H5" i="282"/>
  <c r="H6" i="282"/>
  <c r="H7" i="282"/>
  <c r="H8" i="282"/>
  <c r="H9" i="282"/>
  <c r="H10" i="282"/>
  <c r="H11" i="282"/>
  <c r="H12" i="282"/>
  <c r="H13" i="282"/>
  <c r="H14" i="282"/>
  <c r="H15" i="282"/>
  <c r="H16" i="282"/>
  <c r="H17" i="282"/>
  <c r="H18" i="282"/>
  <c r="H19" i="282"/>
  <c r="H20" i="282"/>
  <c r="H21" i="282"/>
  <c r="H22" i="282"/>
  <c r="H23" i="282"/>
  <c r="H24" i="282"/>
  <c r="H25" i="282"/>
  <c r="H26" i="282"/>
  <c r="H27" i="282"/>
  <c r="H28" i="282"/>
  <c r="H29" i="282"/>
  <c r="H31" i="282"/>
  <c r="H33" i="282"/>
  <c r="H35" i="282"/>
  <c r="H37" i="282"/>
  <c r="F119" i="283"/>
  <c r="G9" i="285"/>
  <c r="C9" i="285"/>
  <c r="B10" i="285"/>
  <c r="D10" i="285" s="1"/>
  <c r="M34" i="284"/>
  <c r="N77" i="284"/>
  <c r="E9" i="285"/>
  <c r="I746" i="286"/>
  <c r="N57" i="284" l="1"/>
  <c r="M56" i="284"/>
  <c r="J99" i="281"/>
  <c r="J48" i="281"/>
  <c r="G98" i="281"/>
  <c r="G97" i="281"/>
  <c r="G99" i="281"/>
  <c r="G10" i="285"/>
  <c r="C10" i="285"/>
  <c r="E10" i="285"/>
  <c r="B11" i="285"/>
  <c r="D11" i="285" s="1"/>
  <c r="F10" i="285"/>
  <c r="N76" i="284"/>
  <c r="N78" i="284" s="1"/>
  <c r="D80" i="284" s="1"/>
  <c r="M78" i="284"/>
  <c r="J46" i="281"/>
  <c r="J97" i="281"/>
  <c r="D33" i="284"/>
  <c r="N34" i="284"/>
  <c r="N35" i="284" s="1"/>
  <c r="D34" i="284" s="1"/>
  <c r="N56" i="284"/>
  <c r="N58" i="284" s="1"/>
  <c r="D57" i="284" s="1"/>
  <c r="D59" i="284" s="1"/>
  <c r="M58" i="284"/>
  <c r="H66" i="281"/>
  <c r="K66" i="281"/>
  <c r="W64" i="282"/>
  <c r="D58" i="284"/>
  <c r="D63" i="284" s="1"/>
  <c r="D68" i="284" s="1"/>
  <c r="D78" i="284"/>
  <c r="G48" i="281"/>
  <c r="G47" i="281"/>
  <c r="G46" i="281"/>
  <c r="J47" i="281"/>
  <c r="J98" i="281"/>
  <c r="H9" i="285"/>
  <c r="I9" i="285"/>
  <c r="J67" i="283"/>
  <c r="J63" i="283"/>
  <c r="J59" i="283"/>
  <c r="J55" i="283"/>
  <c r="J51" i="283"/>
  <c r="J47" i="283"/>
  <c r="J43" i="283"/>
  <c r="J39" i="283"/>
  <c r="J35" i="283"/>
  <c r="J31" i="283"/>
  <c r="J27" i="283"/>
  <c r="J66" i="283"/>
  <c r="J62" i="283"/>
  <c r="J58" i="283"/>
  <c r="J54" i="283"/>
  <c r="J50" i="283"/>
  <c r="J46" i="283"/>
  <c r="J42" i="283"/>
  <c r="J38" i="283"/>
  <c r="J34" i="283"/>
  <c r="J30" i="283"/>
  <c r="J26" i="283"/>
  <c r="J65" i="283"/>
  <c r="J61" i="283"/>
  <c r="J57" i="283"/>
  <c r="J53" i="283"/>
  <c r="J49" i="283"/>
  <c r="J45" i="283"/>
  <c r="J41" i="283"/>
  <c r="J37" i="283"/>
  <c r="J33" i="283"/>
  <c r="J29" i="283"/>
  <c r="J60" i="283"/>
  <c r="J44" i="283"/>
  <c r="J28" i="283"/>
  <c r="J56" i="283"/>
  <c r="J40" i="283"/>
  <c r="J64" i="283"/>
  <c r="J48" i="283"/>
  <c r="J32" i="283"/>
  <c r="J52" i="283"/>
  <c r="J36" i="283"/>
  <c r="M35" i="284"/>
  <c r="N12" i="284"/>
  <c r="D11" i="284" s="1"/>
  <c r="D13" i="284" s="1"/>
  <c r="D18" i="284" s="1"/>
  <c r="D21" i="284" s="1"/>
  <c r="H15" i="281"/>
  <c r="D36" i="284" l="1"/>
  <c r="D41" i="284" s="1"/>
  <c r="D44" i="284" s="1"/>
  <c r="D64" i="284"/>
  <c r="D67" i="284" s="1"/>
  <c r="D35" i="284"/>
  <c r="D40" i="284" s="1"/>
  <c r="J69" i="283"/>
  <c r="W67" i="282"/>
  <c r="G11" i="285"/>
  <c r="C11" i="285"/>
  <c r="E11" i="285"/>
  <c r="B12" i="285"/>
  <c r="D12" i="285" s="1"/>
  <c r="F11" i="285"/>
  <c r="D81" i="284"/>
  <c r="D86" i="284" s="1"/>
  <c r="D91" i="284" s="1"/>
  <c r="D82" i="284"/>
  <c r="H10" i="285"/>
  <c r="I10" i="285"/>
  <c r="D87" i="284" l="1"/>
  <c r="D90" i="284" s="1"/>
  <c r="G12" i="285"/>
  <c r="C12" i="285"/>
  <c r="E12" i="285"/>
  <c r="B13" i="285"/>
  <c r="D13" i="285" s="1"/>
  <c r="F12" i="285"/>
  <c r="H11" i="285"/>
  <c r="I11" i="285"/>
  <c r="K67" i="283"/>
  <c r="K65" i="283"/>
  <c r="K63" i="283"/>
  <c r="K61" i="283"/>
  <c r="K59" i="283"/>
  <c r="K57" i="283"/>
  <c r="K55" i="283"/>
  <c r="K53" i="283"/>
  <c r="K51" i="283"/>
  <c r="K49" i="283"/>
  <c r="K47" i="283"/>
  <c r="K45" i="283"/>
  <c r="K43" i="283"/>
  <c r="K41" i="283"/>
  <c r="K39" i="283"/>
  <c r="K37" i="283"/>
  <c r="K35" i="283"/>
  <c r="K33" i="283"/>
  <c r="K31" i="283"/>
  <c r="K29" i="283"/>
  <c r="K27" i="283"/>
  <c r="K62" i="283"/>
  <c r="K54" i="283"/>
  <c r="K46" i="283"/>
  <c r="K38" i="283"/>
  <c r="K30" i="283"/>
  <c r="K64" i="283"/>
  <c r="K56" i="283"/>
  <c r="K48" i="283"/>
  <c r="K40" i="283"/>
  <c r="K32" i="283"/>
  <c r="K60" i="283"/>
  <c r="K52" i="283"/>
  <c r="K44" i="283"/>
  <c r="K36" i="283"/>
  <c r="K28" i="283"/>
  <c r="K66" i="283"/>
  <c r="K58" i="283"/>
  <c r="K50" i="283"/>
  <c r="K42" i="283"/>
  <c r="K34" i="283"/>
  <c r="K26" i="283"/>
  <c r="H12" i="285" l="1"/>
  <c r="I12" i="285"/>
  <c r="G13" i="285"/>
  <c r="C13" i="285"/>
  <c r="E13" i="285"/>
  <c r="B14" i="285"/>
  <c r="D14" i="285" s="1"/>
  <c r="F13" i="285"/>
  <c r="G14" i="285" l="1"/>
  <c r="C14" i="285"/>
  <c r="E14" i="285"/>
  <c r="B15" i="285"/>
  <c r="D15" i="285" s="1"/>
  <c r="F14" i="285"/>
  <c r="H13" i="285"/>
  <c r="I13" i="285"/>
  <c r="H14" i="285" l="1"/>
  <c r="I14" i="285"/>
  <c r="G15" i="285"/>
  <c r="C15" i="285"/>
  <c r="E15" i="285"/>
  <c r="B16" i="285"/>
  <c r="D16" i="285" s="1"/>
  <c r="F15" i="285"/>
  <c r="H15" i="285" l="1"/>
  <c r="I15" i="285"/>
  <c r="G16" i="285"/>
  <c r="C16" i="285"/>
  <c r="E16" i="285"/>
  <c r="B17" i="285"/>
  <c r="D17" i="285" s="1"/>
  <c r="F16" i="285"/>
  <c r="H16" i="285" l="1"/>
  <c r="I16" i="285"/>
  <c r="G17" i="285"/>
  <c r="C17" i="285"/>
  <c r="E17" i="285"/>
  <c r="B18" i="285"/>
  <c r="D18" i="285" s="1"/>
  <c r="F17" i="285"/>
  <c r="G18" i="285" l="1"/>
  <c r="C18" i="285"/>
  <c r="E18" i="285"/>
  <c r="B19" i="285"/>
  <c r="D19" i="285" s="1"/>
  <c r="F18" i="285"/>
  <c r="H17" i="285"/>
  <c r="I17" i="285"/>
  <c r="H18" i="285" l="1"/>
  <c r="I18" i="285"/>
  <c r="G19" i="285"/>
  <c r="C19" i="285"/>
  <c r="E19" i="285"/>
  <c r="B20" i="285"/>
  <c r="D20" i="285" s="1"/>
  <c r="F19" i="285"/>
  <c r="H19" i="285" l="1"/>
  <c r="I19" i="285"/>
  <c r="G20" i="285"/>
  <c r="C20" i="285"/>
  <c r="E20" i="285"/>
  <c r="B21" i="285"/>
  <c r="D21" i="285" s="1"/>
  <c r="F20" i="285"/>
  <c r="H20" i="285" l="1"/>
  <c r="I20" i="285"/>
  <c r="G21" i="285"/>
  <c r="C21" i="285"/>
  <c r="E21" i="285"/>
  <c r="B22" i="285"/>
  <c r="D22" i="285" s="1"/>
  <c r="F21" i="285"/>
  <c r="H21" i="285" l="1"/>
  <c r="I21" i="285"/>
  <c r="G22" i="285"/>
  <c r="C22" i="285"/>
  <c r="E22" i="285"/>
  <c r="B23" i="285"/>
  <c r="D23" i="285" s="1"/>
  <c r="F22" i="285"/>
  <c r="H22" i="285" l="1"/>
  <c r="I22" i="285"/>
  <c r="G23" i="285"/>
  <c r="C23" i="285"/>
  <c r="E23" i="285"/>
  <c r="B24" i="285"/>
  <c r="D24" i="285" s="1"/>
  <c r="F23" i="285"/>
  <c r="G24" i="285" l="1"/>
  <c r="C24" i="285"/>
  <c r="E24" i="285"/>
  <c r="B25" i="285"/>
  <c r="D25" i="285" s="1"/>
  <c r="F24" i="285"/>
  <c r="H23" i="285"/>
  <c r="I23" i="285"/>
  <c r="H24" i="285" l="1"/>
  <c r="I24" i="285"/>
  <c r="G25" i="285"/>
  <c r="C25" i="285"/>
  <c r="E25" i="285"/>
  <c r="B26" i="285"/>
  <c r="D26" i="285" s="1"/>
  <c r="F25" i="285"/>
  <c r="H25" i="285" l="1"/>
  <c r="I25" i="285"/>
  <c r="G26" i="285"/>
  <c r="C26" i="285"/>
  <c r="E26" i="285"/>
  <c r="B27" i="285"/>
  <c r="D27" i="285" s="1"/>
  <c r="F26" i="285"/>
  <c r="B41" i="280"/>
  <c r="B42" i="280" s="1"/>
  <c r="B43" i="280" s="1"/>
  <c r="B44" i="280" s="1"/>
  <c r="B45" i="280" s="1"/>
  <c r="B46" i="280" s="1"/>
  <c r="B47" i="280" s="1"/>
  <c r="B48" i="280" s="1"/>
  <c r="B40" i="280"/>
  <c r="C33" i="280"/>
  <c r="C32" i="280"/>
  <c r="C31" i="280"/>
  <c r="F39" i="280" s="1"/>
  <c r="C30" i="280"/>
  <c r="C39" i="280" s="1"/>
  <c r="C40" i="280" s="1"/>
  <c r="C29" i="280"/>
  <c r="B16" i="280"/>
  <c r="B17" i="280" s="1"/>
  <c r="B18" i="280" s="1"/>
  <c r="B19" i="280" s="1"/>
  <c r="B20" i="280" s="1"/>
  <c r="B21" i="280" s="1"/>
  <c r="B22" i="280" s="1"/>
  <c r="B23" i="280" s="1"/>
  <c r="B24" i="280" s="1"/>
  <c r="F15" i="280"/>
  <c r="I15" i="280" s="1"/>
  <c r="C15" i="280"/>
  <c r="E15" i="280" s="1"/>
  <c r="H15" i="280" s="1"/>
  <c r="D16" i="280" s="1"/>
  <c r="C10" i="280"/>
  <c r="G15" i="280" l="1"/>
  <c r="H26" i="285"/>
  <c r="I26" i="285"/>
  <c r="G27" i="285"/>
  <c r="C27" i="285"/>
  <c r="E27" i="285"/>
  <c r="B28" i="285"/>
  <c r="D28" i="285" s="1"/>
  <c r="F27" i="285"/>
  <c r="J15" i="280"/>
  <c r="C41" i="280"/>
  <c r="G39" i="280"/>
  <c r="I39" i="280"/>
  <c r="C16" i="280"/>
  <c r="E39" i="280"/>
  <c r="C34" i="280"/>
  <c r="H27" i="285" l="1"/>
  <c r="I27" i="285"/>
  <c r="G28" i="285"/>
  <c r="C28" i="285"/>
  <c r="E28" i="285"/>
  <c r="B29" i="285"/>
  <c r="D29" i="285" s="1"/>
  <c r="F28" i="285"/>
  <c r="E16" i="280"/>
  <c r="C17" i="280"/>
  <c r="C42" i="280"/>
  <c r="H39" i="280"/>
  <c r="D40" i="280" s="1"/>
  <c r="J39" i="280" l="1"/>
  <c r="H28" i="285"/>
  <c r="I28" i="285"/>
  <c r="G29" i="285"/>
  <c r="C29" i="285"/>
  <c r="E29" i="285"/>
  <c r="B30" i="285"/>
  <c r="D30" i="285" s="1"/>
  <c r="F29" i="285"/>
  <c r="C43" i="280"/>
  <c r="E40" i="280"/>
  <c r="C18" i="280"/>
  <c r="H16" i="280"/>
  <c r="F16" i="280"/>
  <c r="G30" i="285" l="1"/>
  <c r="C30" i="285"/>
  <c r="E30" i="285"/>
  <c r="B31" i="285"/>
  <c r="D31" i="285" s="1"/>
  <c r="F30" i="285"/>
  <c r="H29" i="285"/>
  <c r="I29" i="285"/>
  <c r="F40" i="280"/>
  <c r="H40" i="280"/>
  <c r="I16" i="280"/>
  <c r="J16" i="280" s="1"/>
  <c r="G16" i="280"/>
  <c r="C19" i="280"/>
  <c r="C44" i="280"/>
  <c r="H30" i="285" l="1"/>
  <c r="I30" i="285"/>
  <c r="G31" i="285"/>
  <c r="C31" i="285"/>
  <c r="E31" i="285"/>
  <c r="B32" i="285"/>
  <c r="D32" i="285" s="1"/>
  <c r="F31" i="285"/>
  <c r="D17" i="280"/>
  <c r="C20" i="280"/>
  <c r="C45" i="280"/>
  <c r="I40" i="280"/>
  <c r="J40" i="280" s="1"/>
  <c r="G40" i="280"/>
  <c r="H31" i="285" l="1"/>
  <c r="I31" i="285"/>
  <c r="G32" i="285"/>
  <c r="C32" i="285"/>
  <c r="E32" i="285"/>
  <c r="B33" i="285"/>
  <c r="D33" i="285" s="1"/>
  <c r="F32" i="285"/>
  <c r="C46" i="280"/>
  <c r="D41" i="280"/>
  <c r="C21" i="280"/>
  <c r="E17" i="280"/>
  <c r="H32" i="285" l="1"/>
  <c r="I32" i="285"/>
  <c r="G33" i="285"/>
  <c r="C33" i="285"/>
  <c r="E33" i="285"/>
  <c r="B34" i="285"/>
  <c r="D34" i="285" s="1"/>
  <c r="F33" i="285"/>
  <c r="E41" i="280"/>
  <c r="C47" i="280"/>
  <c r="H17" i="280"/>
  <c r="F17" i="280"/>
  <c r="C22" i="280"/>
  <c r="H33" i="285" l="1"/>
  <c r="I33" i="285"/>
  <c r="G34" i="285"/>
  <c r="C34" i="285"/>
  <c r="E34" i="285"/>
  <c r="B35" i="285"/>
  <c r="D35" i="285" s="1"/>
  <c r="F34" i="285"/>
  <c r="C23" i="280"/>
  <c r="C48" i="280"/>
  <c r="G17" i="280"/>
  <c r="I17" i="280"/>
  <c r="J17" i="280" s="1"/>
  <c r="H41" i="280"/>
  <c r="F41" i="280"/>
  <c r="H34" i="285" l="1"/>
  <c r="I34" i="285"/>
  <c r="G35" i="285"/>
  <c r="C35" i="285"/>
  <c r="E35" i="285"/>
  <c r="B36" i="285"/>
  <c r="D36" i="285" s="1"/>
  <c r="F35" i="285"/>
  <c r="I41" i="280"/>
  <c r="J41" i="280" s="1"/>
  <c r="G41" i="280"/>
  <c r="D18" i="280"/>
  <c r="C24" i="280"/>
  <c r="D42" i="280" l="1"/>
  <c r="H35" i="285"/>
  <c r="I35" i="285"/>
  <c r="G36" i="285"/>
  <c r="C36" i="285"/>
  <c r="E36" i="285"/>
  <c r="B37" i="285"/>
  <c r="D37" i="285" s="1"/>
  <c r="F36" i="285"/>
  <c r="E42" i="280"/>
  <c r="E18" i="280"/>
  <c r="H36" i="285" l="1"/>
  <c r="I36" i="285"/>
  <c r="G37" i="285"/>
  <c r="C37" i="285"/>
  <c r="E37" i="285"/>
  <c r="B38" i="285"/>
  <c r="D38" i="285" s="1"/>
  <c r="F37" i="285"/>
  <c r="H42" i="280"/>
  <c r="F42" i="280"/>
  <c r="H18" i="280"/>
  <c r="F18" i="280"/>
  <c r="G38" i="285" l="1"/>
  <c r="C38" i="285"/>
  <c r="E38" i="285"/>
  <c r="B39" i="285"/>
  <c r="D39" i="285" s="1"/>
  <c r="F38" i="285"/>
  <c r="H37" i="285"/>
  <c r="I37" i="285"/>
  <c r="G18" i="280"/>
  <c r="I18" i="280"/>
  <c r="J18" i="280" s="1"/>
  <c r="G42" i="280"/>
  <c r="I42" i="280"/>
  <c r="J42" i="280" s="1"/>
  <c r="D43" i="280"/>
  <c r="H38" i="285" l="1"/>
  <c r="I38" i="285"/>
  <c r="G39" i="285"/>
  <c r="C39" i="285"/>
  <c r="E39" i="285"/>
  <c r="B40" i="285"/>
  <c r="D40" i="285" s="1"/>
  <c r="F39" i="285"/>
  <c r="E43" i="280"/>
  <c r="D19" i="280"/>
  <c r="G40" i="285" l="1"/>
  <c r="C40" i="285"/>
  <c r="E40" i="285"/>
  <c r="B41" i="285"/>
  <c r="D41" i="285" s="1"/>
  <c r="F40" i="285"/>
  <c r="H39" i="285"/>
  <c r="I39" i="285"/>
  <c r="E19" i="280"/>
  <c r="F43" i="280"/>
  <c r="H43" i="280"/>
  <c r="H40" i="285" l="1"/>
  <c r="I40" i="285"/>
  <c r="G41" i="285"/>
  <c r="C41" i="285"/>
  <c r="E41" i="285"/>
  <c r="B42" i="285"/>
  <c r="D42" i="285" s="1"/>
  <c r="F41" i="285"/>
  <c r="G43" i="280"/>
  <c r="I43" i="280"/>
  <c r="J43" i="280" s="1"/>
  <c r="F19" i="280"/>
  <c r="H19" i="280"/>
  <c r="H41" i="285" l="1"/>
  <c r="I41" i="285"/>
  <c r="G42" i="285"/>
  <c r="C42" i="285"/>
  <c r="E42" i="285"/>
  <c r="B43" i="285"/>
  <c r="D43" i="285" s="1"/>
  <c r="F42" i="285"/>
  <c r="I19" i="280"/>
  <c r="J19" i="280" s="1"/>
  <c r="G19" i="280"/>
  <c r="D44" i="280"/>
  <c r="D20" i="280" l="1"/>
  <c r="H42" i="285"/>
  <c r="I42" i="285"/>
  <c r="G43" i="285"/>
  <c r="C43" i="285"/>
  <c r="E43" i="285"/>
  <c r="B44" i="285"/>
  <c r="D44" i="285" s="1"/>
  <c r="F43" i="285"/>
  <c r="E44" i="280"/>
  <c r="E20" i="280"/>
  <c r="H43" i="285" l="1"/>
  <c r="I43" i="285"/>
  <c r="G44" i="285"/>
  <c r="C44" i="285"/>
  <c r="E44" i="285"/>
  <c r="B45" i="285"/>
  <c r="D45" i="285" s="1"/>
  <c r="F44" i="285"/>
  <c r="H20" i="280"/>
  <c r="F20" i="280"/>
  <c r="F44" i="280"/>
  <c r="H44" i="280"/>
  <c r="H44" i="285" l="1"/>
  <c r="I44" i="285"/>
  <c r="G45" i="285"/>
  <c r="C45" i="285"/>
  <c r="E45" i="285"/>
  <c r="B46" i="285"/>
  <c r="D46" i="285" s="1"/>
  <c r="F45" i="285"/>
  <c r="G44" i="280"/>
  <c r="I44" i="280"/>
  <c r="J44" i="280" s="1"/>
  <c r="I20" i="280"/>
  <c r="J20" i="280" s="1"/>
  <c r="G20" i="280"/>
  <c r="H45" i="285" l="1"/>
  <c r="I45" i="285"/>
  <c r="G46" i="285"/>
  <c r="C46" i="285"/>
  <c r="E46" i="285"/>
  <c r="B47" i="285"/>
  <c r="D47" i="285" s="1"/>
  <c r="F46" i="285"/>
  <c r="D21" i="280"/>
  <c r="D45" i="280"/>
  <c r="H46" i="285" l="1"/>
  <c r="I46" i="285"/>
  <c r="G47" i="285"/>
  <c r="C47" i="285"/>
  <c r="E47" i="285"/>
  <c r="B48" i="285"/>
  <c r="D48" i="285" s="1"/>
  <c r="F47" i="285"/>
  <c r="E45" i="280"/>
  <c r="E21" i="280"/>
  <c r="G48" i="285" l="1"/>
  <c r="C48" i="285"/>
  <c r="E48" i="285"/>
  <c r="B49" i="285"/>
  <c r="D49" i="285" s="1"/>
  <c r="F48" i="285"/>
  <c r="H47" i="285"/>
  <c r="I47" i="285"/>
  <c r="H21" i="280"/>
  <c r="F21" i="280"/>
  <c r="H45" i="280"/>
  <c r="F45" i="280"/>
  <c r="H48" i="285" l="1"/>
  <c r="I48" i="285"/>
  <c r="G49" i="285"/>
  <c r="C49" i="285"/>
  <c r="E49" i="285"/>
  <c r="B50" i="285"/>
  <c r="D50" i="285" s="1"/>
  <c r="F49" i="285"/>
  <c r="G21" i="280"/>
  <c r="I21" i="280"/>
  <c r="J21" i="280" s="1"/>
  <c r="I45" i="280"/>
  <c r="J45" i="280" s="1"/>
  <c r="G45" i="280"/>
  <c r="H49" i="285" l="1"/>
  <c r="I49" i="285"/>
  <c r="G50" i="285"/>
  <c r="C50" i="285"/>
  <c r="E50" i="285"/>
  <c r="B51" i="285"/>
  <c r="D51" i="285" s="1"/>
  <c r="F50" i="285"/>
  <c r="D22" i="280"/>
  <c r="D46" i="280"/>
  <c r="G51" i="285" l="1"/>
  <c r="C51" i="285"/>
  <c r="E51" i="285"/>
  <c r="B52" i="285"/>
  <c r="D52" i="285" s="1"/>
  <c r="F51" i="285"/>
  <c r="H50" i="285"/>
  <c r="I50" i="285"/>
  <c r="E46" i="280"/>
  <c r="E22" i="280"/>
  <c r="H51" i="285" l="1"/>
  <c r="I51" i="285"/>
  <c r="G52" i="285"/>
  <c r="C52" i="285"/>
  <c r="E52" i="285"/>
  <c r="B53" i="285"/>
  <c r="D53" i="285" s="1"/>
  <c r="F52" i="285"/>
  <c r="H22" i="280"/>
  <c r="F22" i="280"/>
  <c r="H46" i="280"/>
  <c r="F46" i="280"/>
  <c r="H52" i="285" l="1"/>
  <c r="I52" i="285"/>
  <c r="G53" i="285"/>
  <c r="C53" i="285"/>
  <c r="E53" i="285"/>
  <c r="B54" i="285"/>
  <c r="D54" i="285" s="1"/>
  <c r="F53" i="285"/>
  <c r="I46" i="280"/>
  <c r="J46" i="280" s="1"/>
  <c r="G46" i="280"/>
  <c r="G22" i="280"/>
  <c r="I22" i="280"/>
  <c r="J22" i="280" s="1"/>
  <c r="H53" i="285" l="1"/>
  <c r="I53" i="285"/>
  <c r="G54" i="285"/>
  <c r="C54" i="285"/>
  <c r="E54" i="285"/>
  <c r="B55" i="285"/>
  <c r="D55" i="285" s="1"/>
  <c r="F54" i="285"/>
  <c r="D47" i="280"/>
  <c r="D23" i="280"/>
  <c r="H54" i="285" l="1"/>
  <c r="I54" i="285"/>
  <c r="G55" i="285"/>
  <c r="C55" i="285"/>
  <c r="E55" i="285"/>
  <c r="B56" i="285"/>
  <c r="D56" i="285" s="1"/>
  <c r="F55" i="285"/>
  <c r="E23" i="280"/>
  <c r="E47" i="280"/>
  <c r="H55" i="285" l="1"/>
  <c r="I55" i="285"/>
  <c r="G56" i="285"/>
  <c r="C56" i="285"/>
  <c r="E56" i="285"/>
  <c r="B57" i="285"/>
  <c r="D57" i="285" s="1"/>
  <c r="F56" i="285"/>
  <c r="F47" i="280"/>
  <c r="H47" i="280"/>
  <c r="F23" i="280"/>
  <c r="H23" i="280"/>
  <c r="H56" i="285" l="1"/>
  <c r="I56" i="285"/>
  <c r="G57" i="285"/>
  <c r="C57" i="285"/>
  <c r="E57" i="285"/>
  <c r="B58" i="285"/>
  <c r="D58" i="285" s="1"/>
  <c r="F57" i="285"/>
  <c r="I23" i="280"/>
  <c r="J23" i="280" s="1"/>
  <c r="G23" i="280"/>
  <c r="G47" i="280"/>
  <c r="I47" i="280"/>
  <c r="J47" i="280" s="1"/>
  <c r="D48" i="280" l="1"/>
  <c r="E48" i="280" s="1"/>
  <c r="H57" i="285"/>
  <c r="I57" i="285"/>
  <c r="G58" i="285"/>
  <c r="C58" i="285"/>
  <c r="E58" i="285"/>
  <c r="B59" i="285"/>
  <c r="D59" i="285" s="1"/>
  <c r="F58" i="285"/>
  <c r="F48" i="280"/>
  <c r="E49" i="280"/>
  <c r="H48" i="280"/>
  <c r="H49" i="280" s="1"/>
  <c r="C36" i="280" s="1"/>
  <c r="D24" i="280"/>
  <c r="E24" i="280" s="1"/>
  <c r="H58" i="285" l="1"/>
  <c r="I58" i="285"/>
  <c r="G59" i="285"/>
  <c r="C59" i="285"/>
  <c r="E59" i="285"/>
  <c r="B60" i="285"/>
  <c r="D60" i="285" s="1"/>
  <c r="F59" i="285"/>
  <c r="H24" i="280"/>
  <c r="H25" i="280" s="1"/>
  <c r="C12" i="280" s="1"/>
  <c r="E25" i="280"/>
  <c r="F24" i="280"/>
  <c r="I48" i="280"/>
  <c r="F49" i="280"/>
  <c r="G48" i="280"/>
  <c r="H59" i="285" l="1"/>
  <c r="I59" i="285"/>
  <c r="G60" i="285"/>
  <c r="C60" i="285"/>
  <c r="E60" i="285"/>
  <c r="B61" i="285"/>
  <c r="D61" i="285" s="1"/>
  <c r="F60" i="285"/>
  <c r="I49" i="280"/>
  <c r="J48" i="280"/>
  <c r="I24" i="280"/>
  <c r="F25" i="280"/>
  <c r="G24" i="280"/>
  <c r="G61" i="285" l="1"/>
  <c r="C61" i="285"/>
  <c r="E61" i="285"/>
  <c r="B62" i="285"/>
  <c r="D62" i="285" s="1"/>
  <c r="F61" i="285"/>
  <c r="H60" i="285"/>
  <c r="I60" i="285"/>
  <c r="J24" i="280"/>
  <c r="I25" i="280"/>
  <c r="H61" i="285" l="1"/>
  <c r="I61" i="285"/>
  <c r="G62" i="285"/>
  <c r="C62" i="285"/>
  <c r="E62" i="285"/>
  <c r="B63" i="285"/>
  <c r="D63" i="285" s="1"/>
  <c r="F62" i="285"/>
  <c r="G63" i="285" l="1"/>
  <c r="C63" i="285"/>
  <c r="E63" i="285"/>
  <c r="B64" i="285"/>
  <c r="D64" i="285" s="1"/>
  <c r="F63" i="285"/>
  <c r="H62" i="285"/>
  <c r="I62" i="285"/>
  <c r="H63" i="285" l="1"/>
  <c r="I63" i="285"/>
  <c r="G64" i="285"/>
  <c r="C64" i="285"/>
  <c r="E64" i="285"/>
  <c r="B65" i="285"/>
  <c r="D65" i="285" s="1"/>
  <c r="F64" i="285"/>
  <c r="G65" i="285" l="1"/>
  <c r="C65" i="285"/>
  <c r="B66" i="285"/>
  <c r="D66" i="285" s="1"/>
  <c r="F65" i="285"/>
  <c r="E65" i="285"/>
  <c r="I64" i="285"/>
  <c r="H64" i="285"/>
  <c r="G66" i="285" l="1"/>
  <c r="C66" i="285"/>
  <c r="B67" i="285"/>
  <c r="D67" i="285" s="1"/>
  <c r="F66" i="285"/>
  <c r="E66" i="285"/>
  <c r="H65" i="285"/>
  <c r="I65" i="285"/>
  <c r="F117" i="271"/>
  <c r="G67" i="285" l="1"/>
  <c r="C67" i="285"/>
  <c r="B68" i="285"/>
  <c r="D68" i="285" s="1"/>
  <c r="F67" i="285"/>
  <c r="E67" i="285"/>
  <c r="I66" i="285"/>
  <c r="H66" i="285"/>
  <c r="G15" i="277"/>
  <c r="G14" i="277"/>
  <c r="Q14" i="277" s="1"/>
  <c r="G13" i="277"/>
  <c r="O13" i="277" s="1"/>
  <c r="G12" i="277"/>
  <c r="Q12" i="277" s="1"/>
  <c r="G11" i="277"/>
  <c r="G10" i="277"/>
  <c r="Q10" i="277" s="1"/>
  <c r="G9" i="277"/>
  <c r="G8" i="277"/>
  <c r="H8" i="277" s="1"/>
  <c r="O15" i="277" l="1"/>
  <c r="Q15" i="277"/>
  <c r="Q8" i="277"/>
  <c r="O8" i="277"/>
  <c r="O9" i="277"/>
  <c r="Q9" i="277"/>
  <c r="G68" i="285"/>
  <c r="C68" i="285"/>
  <c r="B69" i="285"/>
  <c r="D69" i="285" s="1"/>
  <c r="F68" i="285"/>
  <c r="E68" i="285"/>
  <c r="H67" i="285"/>
  <c r="I67" i="285"/>
  <c r="H11" i="277"/>
  <c r="H13" i="277"/>
  <c r="P13" i="277" s="1"/>
  <c r="H15" i="277"/>
  <c r="P15" i="277" s="1"/>
  <c r="H9" i="277"/>
  <c r="P9" i="277" s="1"/>
  <c r="H14" i="277"/>
  <c r="H12" i="277"/>
  <c r="P12" i="277" s="1"/>
  <c r="H10" i="277"/>
  <c r="P10" i="277" s="1"/>
  <c r="G18" i="277"/>
  <c r="G17" i="277"/>
  <c r="Q18" i="277" l="1"/>
  <c r="Q17" i="277"/>
  <c r="M18" i="277"/>
  <c r="G69" i="285"/>
  <c r="C69" i="285"/>
  <c r="B70" i="285"/>
  <c r="D70" i="285" s="1"/>
  <c r="F69" i="285"/>
  <c r="E69" i="285"/>
  <c r="I68" i="285"/>
  <c r="H68" i="285"/>
  <c r="P8" i="277"/>
  <c r="O18" i="277"/>
  <c r="O17" i="277"/>
  <c r="R17" i="277" s="1"/>
  <c r="M17" i="277"/>
  <c r="R18" i="277" l="1"/>
  <c r="R19" i="277" s="1"/>
  <c r="G70" i="285"/>
  <c r="C70" i="285"/>
  <c r="B71" i="285"/>
  <c r="D71" i="285" s="1"/>
  <c r="F70" i="285"/>
  <c r="E70" i="285"/>
  <c r="H69" i="285"/>
  <c r="I69" i="285"/>
  <c r="H17" i="277"/>
  <c r="H18" i="277"/>
  <c r="P17" i="277"/>
  <c r="P18" i="277"/>
  <c r="G71" i="285" l="1"/>
  <c r="C71" i="285"/>
  <c r="B72" i="285"/>
  <c r="D72" i="285" s="1"/>
  <c r="F71" i="285"/>
  <c r="E71" i="285"/>
  <c r="I70" i="285"/>
  <c r="H70" i="285"/>
  <c r="G72" i="285" l="1"/>
  <c r="C72" i="285"/>
  <c r="B73" i="285"/>
  <c r="D73" i="285" s="1"/>
  <c r="F72" i="285"/>
  <c r="E72" i="285"/>
  <c r="I71" i="285"/>
  <c r="H71" i="285"/>
  <c r="G73" i="285" l="1"/>
  <c r="C73" i="285"/>
  <c r="B74" i="285"/>
  <c r="D74" i="285" s="1"/>
  <c r="F73" i="285"/>
  <c r="E73" i="285"/>
  <c r="I72" i="285"/>
  <c r="H72" i="285"/>
  <c r="G74" i="285" l="1"/>
  <c r="C74" i="285"/>
  <c r="B75" i="285"/>
  <c r="D75" i="285" s="1"/>
  <c r="F74" i="285"/>
  <c r="E74" i="285"/>
  <c r="I73" i="285"/>
  <c r="H73" i="285"/>
  <c r="G75" i="285" l="1"/>
  <c r="C75" i="285"/>
  <c r="B76" i="285"/>
  <c r="D76" i="285" s="1"/>
  <c r="F75" i="285"/>
  <c r="E75" i="285"/>
  <c r="I74" i="285"/>
  <c r="H74" i="285"/>
  <c r="G76" i="285" l="1"/>
  <c r="C76" i="285"/>
  <c r="B77" i="285"/>
  <c r="D77" i="285" s="1"/>
  <c r="F76" i="285"/>
  <c r="E76" i="285"/>
  <c r="I75" i="285"/>
  <c r="H75" i="285"/>
  <c r="G77" i="285" l="1"/>
  <c r="C77" i="285"/>
  <c r="F77" i="285"/>
  <c r="B78" i="285"/>
  <c r="D78" i="285" s="1"/>
  <c r="E77" i="285"/>
  <c r="I76" i="285"/>
  <c r="H76" i="285"/>
  <c r="G78" i="285" l="1"/>
  <c r="C78" i="285"/>
  <c r="B79" i="285"/>
  <c r="D79" i="285" s="1"/>
  <c r="E78" i="285"/>
  <c r="F78" i="285"/>
  <c r="H77" i="285"/>
  <c r="I77" i="285"/>
  <c r="G79" i="285" l="1"/>
  <c r="C79" i="285"/>
  <c r="F79" i="285"/>
  <c r="B80" i="285"/>
  <c r="D80" i="285" s="1"/>
  <c r="E79" i="285"/>
  <c r="I78" i="285"/>
  <c r="H78" i="285"/>
  <c r="G80" i="285" l="1"/>
  <c r="C80" i="285"/>
  <c r="B81" i="285"/>
  <c r="D81" i="285" s="1"/>
  <c r="E80" i="285"/>
  <c r="F80" i="285"/>
  <c r="H79" i="285"/>
  <c r="I79" i="285"/>
  <c r="G81" i="285" l="1"/>
  <c r="C81" i="285"/>
  <c r="F81" i="285"/>
  <c r="B82" i="285"/>
  <c r="D82" i="285" s="1"/>
  <c r="E81" i="285"/>
  <c r="I80" i="285"/>
  <c r="H80" i="285"/>
  <c r="G82" i="285" l="1"/>
  <c r="C82" i="285"/>
  <c r="B83" i="285"/>
  <c r="D83" i="285" s="1"/>
  <c r="E82" i="285"/>
  <c r="F82" i="285"/>
  <c r="H81" i="285"/>
  <c r="I81" i="285"/>
  <c r="G83" i="285" l="1"/>
  <c r="C83" i="285"/>
  <c r="F83" i="285"/>
  <c r="B84" i="285"/>
  <c r="D84" i="285" s="1"/>
  <c r="E83" i="285"/>
  <c r="I82" i="285"/>
  <c r="H82" i="285"/>
  <c r="G84" i="285" l="1"/>
  <c r="C84" i="285"/>
  <c r="B85" i="285"/>
  <c r="D85" i="285" s="1"/>
  <c r="E84" i="285"/>
  <c r="F84" i="285"/>
  <c r="H83" i="285"/>
  <c r="I83" i="285"/>
  <c r="G85" i="285" l="1"/>
  <c r="C85" i="285"/>
  <c r="F85" i="285"/>
  <c r="B86" i="285"/>
  <c r="D86" i="285" s="1"/>
  <c r="E85" i="285"/>
  <c r="I84" i="285"/>
  <c r="H84" i="285"/>
  <c r="G86" i="285" l="1"/>
  <c r="C86" i="285"/>
  <c r="B87" i="285"/>
  <c r="D87" i="285" s="1"/>
  <c r="E86" i="285"/>
  <c r="F86" i="285"/>
  <c r="H85" i="285"/>
  <c r="I85" i="285"/>
  <c r="G87" i="285" l="1"/>
  <c r="C87" i="285"/>
  <c r="F87" i="285"/>
  <c r="B88" i="285"/>
  <c r="D88" i="285" s="1"/>
  <c r="E87" i="285"/>
  <c r="I86" i="285"/>
  <c r="H86" i="285"/>
  <c r="G88" i="285" l="1"/>
  <c r="C88" i="285"/>
  <c r="B89" i="285"/>
  <c r="D89" i="285" s="1"/>
  <c r="E88" i="285"/>
  <c r="F88" i="285"/>
  <c r="H87" i="285"/>
  <c r="I87" i="285"/>
  <c r="G89" i="285" l="1"/>
  <c r="C89" i="285"/>
  <c r="F89" i="285"/>
  <c r="B90" i="285"/>
  <c r="D90" i="285" s="1"/>
  <c r="E89" i="285"/>
  <c r="I88" i="285"/>
  <c r="H88" i="285"/>
  <c r="G90" i="285" l="1"/>
  <c r="C90" i="285"/>
  <c r="E90" i="285"/>
  <c r="B91" i="285"/>
  <c r="D91" i="285" s="1"/>
  <c r="F90" i="285"/>
  <c r="H89" i="285"/>
  <c r="I89" i="285"/>
  <c r="G91" i="285" l="1"/>
  <c r="C91" i="285"/>
  <c r="E91" i="285"/>
  <c r="B92" i="285"/>
  <c r="D92" i="285" s="1"/>
  <c r="F91" i="285"/>
  <c r="I90" i="285"/>
  <c r="H90" i="285"/>
  <c r="G92" i="285" l="1"/>
  <c r="C92" i="285"/>
  <c r="E92" i="285"/>
  <c r="B93" i="285"/>
  <c r="D93" i="285" s="1"/>
  <c r="F92" i="285"/>
  <c r="I91" i="285"/>
  <c r="H91" i="285"/>
  <c r="G93" i="285" l="1"/>
  <c r="C93" i="285"/>
  <c r="E93" i="285"/>
  <c r="B94" i="285"/>
  <c r="D94" i="285" s="1"/>
  <c r="F93" i="285"/>
  <c r="I92" i="285"/>
  <c r="H92" i="285"/>
  <c r="G94" i="285" l="1"/>
  <c r="C94" i="285"/>
  <c r="E94" i="285"/>
  <c r="B95" i="285"/>
  <c r="D95" i="285" s="1"/>
  <c r="F94" i="285"/>
  <c r="I93" i="285"/>
  <c r="H93" i="285"/>
  <c r="G95" i="285" l="1"/>
  <c r="C95" i="285"/>
  <c r="E95" i="285"/>
  <c r="B96" i="285"/>
  <c r="D96" i="285" s="1"/>
  <c r="F95" i="285"/>
  <c r="I94" i="285"/>
  <c r="H94" i="285"/>
  <c r="G96" i="285" l="1"/>
  <c r="C96" i="285"/>
  <c r="E96" i="285"/>
  <c r="B97" i="285"/>
  <c r="D97" i="285" s="1"/>
  <c r="F96" i="285"/>
  <c r="I95" i="285"/>
  <c r="H95" i="285"/>
  <c r="G97" i="285" l="1"/>
  <c r="C97" i="285"/>
  <c r="E97" i="285"/>
  <c r="B98" i="285"/>
  <c r="D98" i="285" s="1"/>
  <c r="F97" i="285"/>
  <c r="I96" i="285"/>
  <c r="H96" i="285"/>
  <c r="G98" i="285" l="1"/>
  <c r="C98" i="285"/>
  <c r="E98" i="285"/>
  <c r="B99" i="285"/>
  <c r="D99" i="285" s="1"/>
  <c r="F98" i="285"/>
  <c r="I97" i="285"/>
  <c r="H97" i="285"/>
  <c r="G99" i="285" l="1"/>
  <c r="C99" i="285"/>
  <c r="E99" i="285"/>
  <c r="B100" i="285"/>
  <c r="D100" i="285" s="1"/>
  <c r="F99" i="285"/>
  <c r="I98" i="285"/>
  <c r="H98" i="285"/>
  <c r="G100" i="285" l="1"/>
  <c r="C100" i="285"/>
  <c r="E100" i="285"/>
  <c r="B101" i="285"/>
  <c r="D101" i="285" s="1"/>
  <c r="F100" i="285"/>
  <c r="I99" i="285"/>
  <c r="H99" i="285"/>
  <c r="G101" i="285" l="1"/>
  <c r="C101" i="285"/>
  <c r="E101" i="285"/>
  <c r="B102" i="285"/>
  <c r="D102" i="285" s="1"/>
  <c r="F101" i="285"/>
  <c r="I100" i="285"/>
  <c r="H100" i="285"/>
  <c r="G102" i="285" l="1"/>
  <c r="C102" i="285"/>
  <c r="E102" i="285"/>
  <c r="B103" i="285"/>
  <c r="D103" i="285" s="1"/>
  <c r="F102" i="285"/>
  <c r="I101" i="285"/>
  <c r="H101" i="285"/>
  <c r="G103" i="285" l="1"/>
  <c r="C103" i="285"/>
  <c r="E103" i="285"/>
  <c r="B104" i="285"/>
  <c r="D104" i="285" s="1"/>
  <c r="F103" i="285"/>
  <c r="I102" i="285"/>
  <c r="H102" i="285"/>
  <c r="G104" i="285" l="1"/>
  <c r="C104" i="285"/>
  <c r="E104" i="285"/>
  <c r="B105" i="285"/>
  <c r="D105" i="285" s="1"/>
  <c r="F104" i="285"/>
  <c r="I103" i="285"/>
  <c r="H103" i="285"/>
  <c r="G105" i="285" l="1"/>
  <c r="C105" i="285"/>
  <c r="E105" i="285"/>
  <c r="B106" i="285"/>
  <c r="D106" i="285" s="1"/>
  <c r="F105" i="285"/>
  <c r="I104" i="285"/>
  <c r="H104" i="285"/>
  <c r="G106" i="285" l="1"/>
  <c r="C106" i="285"/>
  <c r="E106" i="285"/>
  <c r="B107" i="285"/>
  <c r="D107" i="285" s="1"/>
  <c r="F106" i="285"/>
  <c r="I105" i="285"/>
  <c r="H105" i="285"/>
  <c r="G107" i="285" l="1"/>
  <c r="C107" i="285"/>
  <c r="E107" i="285"/>
  <c r="B108" i="285"/>
  <c r="D108" i="285" s="1"/>
  <c r="F107" i="285"/>
  <c r="I106" i="285"/>
  <c r="H106" i="285"/>
  <c r="G108" i="285" l="1"/>
  <c r="C108" i="285"/>
  <c r="E108" i="285"/>
  <c r="B109" i="285"/>
  <c r="D109" i="285" s="1"/>
  <c r="F108" i="285"/>
  <c r="I107" i="285"/>
  <c r="H107" i="285"/>
  <c r="G109" i="285" l="1"/>
  <c r="C109" i="285"/>
  <c r="E109" i="285"/>
  <c r="B110" i="285"/>
  <c r="D110" i="285" s="1"/>
  <c r="F109" i="285"/>
  <c r="I108" i="285"/>
  <c r="H108" i="285"/>
  <c r="G110" i="285" l="1"/>
  <c r="C110" i="285"/>
  <c r="E110" i="285"/>
  <c r="B111" i="285"/>
  <c r="D111" i="285" s="1"/>
  <c r="F110" i="285"/>
  <c r="I109" i="285"/>
  <c r="H109" i="285"/>
  <c r="G111" i="285" l="1"/>
  <c r="C111" i="285"/>
  <c r="E111" i="285"/>
  <c r="B112" i="285"/>
  <c r="D112" i="285" s="1"/>
  <c r="F111" i="285"/>
  <c r="I110" i="285"/>
  <c r="H110" i="285"/>
  <c r="G112" i="285" l="1"/>
  <c r="C112" i="285"/>
  <c r="E112" i="285"/>
  <c r="B113" i="285"/>
  <c r="D113" i="285" s="1"/>
  <c r="F112" i="285"/>
  <c r="I111" i="285"/>
  <c r="H111" i="285"/>
  <c r="G113" i="285" l="1"/>
  <c r="C113" i="285"/>
  <c r="E113" i="285"/>
  <c r="B114" i="285"/>
  <c r="D114" i="285" s="1"/>
  <c r="F113" i="285"/>
  <c r="I112" i="285"/>
  <c r="H112" i="285"/>
  <c r="G114" i="285" l="1"/>
  <c r="C114" i="285"/>
  <c r="E114" i="285"/>
  <c r="B115" i="285"/>
  <c r="D115" i="285" s="1"/>
  <c r="F114" i="285"/>
  <c r="I113" i="285"/>
  <c r="H113" i="285"/>
  <c r="G115" i="285" l="1"/>
  <c r="C115" i="285"/>
  <c r="E115" i="285"/>
  <c r="B116" i="285"/>
  <c r="D116" i="285" s="1"/>
  <c r="F115" i="285"/>
  <c r="I114" i="285"/>
  <c r="H114" i="285"/>
  <c r="G116" i="285" l="1"/>
  <c r="C116" i="285"/>
  <c r="E116" i="285"/>
  <c r="B117" i="285"/>
  <c r="D117" i="285" s="1"/>
  <c r="F116" i="285"/>
  <c r="I115" i="285"/>
  <c r="H115" i="285"/>
  <c r="G117" i="285" l="1"/>
  <c r="C117" i="285"/>
  <c r="E117" i="285"/>
  <c r="B118" i="285"/>
  <c r="D118" i="285" s="1"/>
  <c r="F117" i="285"/>
  <c r="I116" i="285"/>
  <c r="H116" i="285"/>
  <c r="G118" i="285" l="1"/>
  <c r="C118" i="285"/>
  <c r="E118" i="285"/>
  <c r="B119" i="285"/>
  <c r="D119" i="285" s="1"/>
  <c r="F118" i="285"/>
  <c r="I117" i="285"/>
  <c r="H117" i="285"/>
  <c r="B120" i="285" l="1"/>
  <c r="D120" i="285" s="1"/>
  <c r="G119" i="285"/>
  <c r="C119" i="285"/>
  <c r="E119" i="285"/>
  <c r="F119" i="285"/>
  <c r="I118" i="285"/>
  <c r="H118" i="285"/>
  <c r="I119" i="285" l="1"/>
  <c r="H119" i="285"/>
  <c r="B121" i="285"/>
  <c r="D121" i="285" s="1"/>
  <c r="F120" i="285"/>
  <c r="G120" i="285"/>
  <c r="E120" i="285"/>
  <c r="C120" i="285"/>
  <c r="I120" i="285" l="1"/>
  <c r="H120" i="285"/>
  <c r="B122" i="285"/>
  <c r="D122" i="285" s="1"/>
  <c r="F121" i="285"/>
  <c r="G121" i="285"/>
  <c r="E121" i="285"/>
  <c r="C121" i="285"/>
  <c r="B123" i="285" l="1"/>
  <c r="D123" i="285" s="1"/>
  <c r="F122" i="285"/>
  <c r="G122" i="285"/>
  <c r="E122" i="285"/>
  <c r="C122" i="285"/>
  <c r="I121" i="285"/>
  <c r="H121" i="285"/>
  <c r="I122" i="285" l="1"/>
  <c r="H122" i="285"/>
  <c r="B124" i="285"/>
  <c r="D124" i="285" s="1"/>
  <c r="F123" i="285"/>
  <c r="E123" i="285"/>
  <c r="G123" i="285"/>
  <c r="C123" i="285"/>
  <c r="I123" i="285" l="1"/>
  <c r="H123" i="285"/>
  <c r="B125" i="285"/>
  <c r="D125" i="285" s="1"/>
  <c r="F124" i="285"/>
  <c r="E124" i="285"/>
  <c r="G124" i="285"/>
  <c r="C124" i="285"/>
  <c r="I124" i="285" l="1"/>
  <c r="H124" i="285"/>
  <c r="B126" i="285"/>
  <c r="D126" i="285" s="1"/>
  <c r="F125" i="285"/>
  <c r="E125" i="285"/>
  <c r="G125" i="285"/>
  <c r="C125" i="285"/>
  <c r="B127" i="285" l="1"/>
  <c r="D127" i="285" s="1"/>
  <c r="F126" i="285"/>
  <c r="E126" i="285"/>
  <c r="G126" i="285"/>
  <c r="C126" i="285"/>
  <c r="I125" i="285"/>
  <c r="H125" i="285"/>
  <c r="I126" i="285" l="1"/>
  <c r="H126" i="285"/>
  <c r="B128" i="285"/>
  <c r="D128" i="285" s="1"/>
  <c r="F127" i="285"/>
  <c r="E127" i="285"/>
  <c r="G127" i="285"/>
  <c r="C127" i="285"/>
  <c r="I127" i="285" l="1"/>
  <c r="H127" i="285"/>
  <c r="B129" i="285"/>
  <c r="D129" i="285" s="1"/>
  <c r="F128" i="285"/>
  <c r="E128" i="285"/>
  <c r="G128" i="285"/>
  <c r="C128" i="285"/>
  <c r="I128" i="285" l="1"/>
  <c r="H128" i="285"/>
  <c r="B130" i="285"/>
  <c r="D130" i="285" s="1"/>
  <c r="F129" i="285"/>
  <c r="E129" i="285"/>
  <c r="G129" i="285"/>
  <c r="C129" i="285"/>
  <c r="I129" i="285" l="1"/>
  <c r="H129" i="285"/>
  <c r="B131" i="285"/>
  <c r="D131" i="285" s="1"/>
  <c r="F130" i="285"/>
  <c r="E130" i="285"/>
  <c r="G130" i="285"/>
  <c r="C130" i="285"/>
  <c r="I130" i="285" l="1"/>
  <c r="H130" i="285"/>
  <c r="B132" i="285"/>
  <c r="D132" i="285" s="1"/>
  <c r="F131" i="285"/>
  <c r="E131" i="285"/>
  <c r="G131" i="285"/>
  <c r="C131" i="285"/>
  <c r="B133" i="285" l="1"/>
  <c r="D133" i="285" s="1"/>
  <c r="F132" i="285"/>
  <c r="E132" i="285"/>
  <c r="G132" i="285"/>
  <c r="C132" i="285"/>
  <c r="I131" i="285"/>
  <c r="H131" i="285"/>
  <c r="I132" i="285" l="1"/>
  <c r="H132" i="285"/>
  <c r="B134" i="285"/>
  <c r="D134" i="285" s="1"/>
  <c r="F133" i="285"/>
  <c r="E133" i="285"/>
  <c r="G133" i="285"/>
  <c r="C133" i="285"/>
  <c r="B135" i="285" l="1"/>
  <c r="D135" i="285" s="1"/>
  <c r="F134" i="285"/>
  <c r="E134" i="285"/>
  <c r="G134" i="285"/>
  <c r="C134" i="285"/>
  <c r="I133" i="285"/>
  <c r="H133" i="285"/>
  <c r="I134" i="285" l="1"/>
  <c r="H134" i="285"/>
  <c r="B136" i="285"/>
  <c r="D136" i="285" s="1"/>
  <c r="F135" i="285"/>
  <c r="E135" i="285"/>
  <c r="G135" i="285"/>
  <c r="C135" i="285"/>
  <c r="I135" i="285" l="1"/>
  <c r="H135" i="285"/>
  <c r="B137" i="285"/>
  <c r="D137" i="285" s="1"/>
  <c r="F136" i="285"/>
  <c r="E136" i="285"/>
  <c r="G136" i="285"/>
  <c r="C136" i="285"/>
  <c r="I136" i="285" l="1"/>
  <c r="H136" i="285"/>
  <c r="B138" i="285"/>
  <c r="D138" i="285" s="1"/>
  <c r="F137" i="285"/>
  <c r="E137" i="285"/>
  <c r="G137" i="285"/>
  <c r="C137" i="285"/>
  <c r="I137" i="285" l="1"/>
  <c r="H137" i="285"/>
  <c r="B139" i="285"/>
  <c r="D139" i="285" s="1"/>
  <c r="F138" i="285"/>
  <c r="E138" i="285"/>
  <c r="G138" i="285"/>
  <c r="C138" i="285"/>
  <c r="B140" i="285" l="1"/>
  <c r="D140" i="285" s="1"/>
  <c r="F139" i="285"/>
  <c r="E139" i="285"/>
  <c r="G139" i="285"/>
  <c r="C139" i="285"/>
  <c r="I138" i="285"/>
  <c r="H138" i="285"/>
  <c r="I139" i="285" l="1"/>
  <c r="H139" i="285"/>
  <c r="B141" i="285"/>
  <c r="D141" i="285" s="1"/>
  <c r="F140" i="285"/>
  <c r="E140" i="285"/>
  <c r="G140" i="285"/>
  <c r="C140" i="285"/>
  <c r="I140" i="285" l="1"/>
  <c r="H140" i="285"/>
  <c r="B142" i="285"/>
  <c r="D142" i="285" s="1"/>
  <c r="F141" i="285"/>
  <c r="E141" i="285"/>
  <c r="G141" i="285"/>
  <c r="C141" i="285"/>
  <c r="I141" i="285" l="1"/>
  <c r="H141" i="285"/>
  <c r="B143" i="285"/>
  <c r="D143" i="285" s="1"/>
  <c r="F142" i="285"/>
  <c r="E142" i="285"/>
  <c r="G142" i="285"/>
  <c r="C142" i="285"/>
  <c r="B144" i="285" l="1"/>
  <c r="D144" i="285" s="1"/>
  <c r="F143" i="285"/>
  <c r="E143" i="285"/>
  <c r="G143" i="285"/>
  <c r="C143" i="285"/>
  <c r="I142" i="285"/>
  <c r="H142" i="285"/>
  <c r="I143" i="285" l="1"/>
  <c r="H143" i="285"/>
  <c r="B145" i="285"/>
  <c r="D145" i="285" s="1"/>
  <c r="F144" i="285"/>
  <c r="E144" i="285"/>
  <c r="G144" i="285"/>
  <c r="C144" i="285"/>
  <c r="I144" i="285" l="1"/>
  <c r="H144" i="285"/>
  <c r="B146" i="285"/>
  <c r="D146" i="285" s="1"/>
  <c r="F145" i="285"/>
  <c r="E145" i="285"/>
  <c r="G145" i="285"/>
  <c r="C145" i="285"/>
  <c r="B147" i="285" l="1"/>
  <c r="D147" i="285" s="1"/>
  <c r="F146" i="285"/>
  <c r="E146" i="285"/>
  <c r="G146" i="285"/>
  <c r="C146" i="285"/>
  <c r="I145" i="285"/>
  <c r="H145" i="285"/>
  <c r="I146" i="285" l="1"/>
  <c r="H146" i="285"/>
  <c r="B148" i="285"/>
  <c r="D148" i="285" s="1"/>
  <c r="F147" i="285"/>
  <c r="E147" i="285"/>
  <c r="G147" i="285"/>
  <c r="C147" i="285"/>
  <c r="B149" i="285" l="1"/>
  <c r="D149" i="285" s="1"/>
  <c r="F148" i="285"/>
  <c r="E148" i="285"/>
  <c r="G148" i="285"/>
  <c r="C148" i="285"/>
  <c r="I147" i="285"/>
  <c r="H147" i="285"/>
  <c r="I148" i="285" l="1"/>
  <c r="H148" i="285"/>
  <c r="B150" i="285"/>
  <c r="D150" i="285" s="1"/>
  <c r="F149" i="285"/>
  <c r="E149" i="285"/>
  <c r="G149" i="285"/>
  <c r="C149" i="285"/>
  <c r="I149" i="285" l="1"/>
  <c r="H149" i="285"/>
  <c r="B151" i="285"/>
  <c r="D151" i="285" s="1"/>
  <c r="F150" i="285"/>
  <c r="E150" i="285"/>
  <c r="G150" i="285"/>
  <c r="C150" i="285"/>
  <c r="I150" i="285" l="1"/>
  <c r="H150" i="285"/>
  <c r="B152" i="285"/>
  <c r="D152" i="285" s="1"/>
  <c r="F151" i="285"/>
  <c r="E151" i="285"/>
  <c r="G151" i="285"/>
  <c r="C151" i="285"/>
  <c r="B153" i="285" l="1"/>
  <c r="D153" i="285" s="1"/>
  <c r="F152" i="285"/>
  <c r="E152" i="285"/>
  <c r="G152" i="285"/>
  <c r="C152" i="285"/>
  <c r="I151" i="285"/>
  <c r="H151" i="285"/>
  <c r="I152" i="285" l="1"/>
  <c r="H152" i="285"/>
  <c r="B154" i="285"/>
  <c r="D154" i="285" s="1"/>
  <c r="F153" i="285"/>
  <c r="E153" i="285"/>
  <c r="G153" i="285"/>
  <c r="C153" i="285"/>
  <c r="B155" i="285" l="1"/>
  <c r="D155" i="285" s="1"/>
  <c r="F154" i="285"/>
  <c r="E154" i="285"/>
  <c r="G154" i="285"/>
  <c r="C154" i="285"/>
  <c r="I153" i="285"/>
  <c r="H153" i="285"/>
  <c r="I154" i="285" l="1"/>
  <c r="H154" i="285"/>
  <c r="B156" i="285"/>
  <c r="D156" i="285" s="1"/>
  <c r="F155" i="285"/>
  <c r="E155" i="285"/>
  <c r="G155" i="285"/>
  <c r="C155" i="285"/>
  <c r="I155" i="285" l="1"/>
  <c r="H155" i="285"/>
  <c r="B157" i="285"/>
  <c r="D157" i="285" s="1"/>
  <c r="F156" i="285"/>
  <c r="E156" i="285"/>
  <c r="G156" i="285"/>
  <c r="C156" i="285"/>
  <c r="I156" i="285" l="1"/>
  <c r="H156" i="285"/>
  <c r="B158" i="285"/>
  <c r="D158" i="285" s="1"/>
  <c r="F157" i="285"/>
  <c r="E157" i="285"/>
  <c r="G157" i="285"/>
  <c r="C157" i="285"/>
  <c r="I157" i="285" l="1"/>
  <c r="H157" i="285"/>
  <c r="F158" i="285"/>
  <c r="E158" i="285"/>
  <c r="G158" i="285"/>
  <c r="C158" i="285"/>
  <c r="I158" i="285" l="1"/>
  <c r="H158" i="285"/>
  <c r="H125" i="271" l="1"/>
  <c r="H126" i="271"/>
  <c r="H123" i="271"/>
  <c r="F122" i="271" l="1"/>
  <c r="F120" i="271"/>
  <c r="F119" i="271" l="1"/>
  <c r="F118" i="271"/>
  <c r="B21" i="274" l="1"/>
  <c r="C22" i="274" l="1"/>
  <c r="K21" i="274"/>
  <c r="J21" i="274"/>
  <c r="J22" i="274" s="1"/>
  <c r="I21" i="274"/>
  <c r="I24" i="274" s="1"/>
  <c r="I25" i="274" s="1"/>
  <c r="I26" i="274" s="1"/>
  <c r="I27" i="274" s="1"/>
  <c r="I28" i="274" s="1"/>
  <c r="I29" i="274" s="1"/>
  <c r="I30" i="274" s="1"/>
  <c r="I31" i="274" s="1"/>
  <c r="I32" i="274" s="1"/>
  <c r="I33" i="274" s="1"/>
  <c r="I34" i="274" s="1"/>
  <c r="I35" i="274" s="1"/>
  <c r="I36" i="274" s="1"/>
  <c r="I37" i="274" s="1"/>
  <c r="I38" i="274" s="1"/>
  <c r="I39" i="274" s="1"/>
  <c r="I40" i="274" s="1"/>
  <c r="I41" i="274" s="1"/>
  <c r="I42" i="274" s="1"/>
  <c r="I43" i="274" s="1"/>
  <c r="I44" i="274" s="1"/>
  <c r="I45" i="274" s="1"/>
  <c r="I46" i="274" s="1"/>
  <c r="I47" i="274" s="1"/>
  <c r="I48" i="274" s="1"/>
  <c r="I49" i="274" s="1"/>
  <c r="I50" i="274" s="1"/>
  <c r="I51" i="274" s="1"/>
  <c r="I52" i="274" s="1"/>
  <c r="I53" i="274" s="1"/>
  <c r="I54" i="274" s="1"/>
  <c r="I55" i="274" s="1"/>
  <c r="I56" i="274" s="1"/>
  <c r="I57" i="274" s="1"/>
  <c r="I58" i="274" s="1"/>
  <c r="I59" i="274" s="1"/>
  <c r="I60" i="274" s="1"/>
  <c r="I61" i="274" s="1"/>
  <c r="I62" i="274" s="1"/>
  <c r="I63" i="274" s="1"/>
  <c r="I64" i="274" s="1"/>
  <c r="I65" i="274" s="1"/>
  <c r="I66" i="274" s="1"/>
  <c r="I67" i="274" s="1"/>
  <c r="I68" i="274" s="1"/>
  <c r="I69" i="274" s="1"/>
  <c r="I70" i="274" s="1"/>
  <c r="I71" i="274" s="1"/>
  <c r="I72" i="274" s="1"/>
  <c r="I73" i="274" s="1"/>
  <c r="I74" i="274" s="1"/>
  <c r="I75" i="274" s="1"/>
  <c r="I76" i="274" s="1"/>
  <c r="I77" i="274" s="1"/>
  <c r="I78" i="274" s="1"/>
  <c r="I79" i="274" s="1"/>
  <c r="I80" i="274" s="1"/>
  <c r="I81" i="274" s="1"/>
  <c r="I82" i="274" s="1"/>
  <c r="I83" i="274" s="1"/>
  <c r="I84" i="274" s="1"/>
  <c r="I85" i="274" s="1"/>
  <c r="I86" i="274" s="1"/>
  <c r="I87" i="274" s="1"/>
  <c r="I88" i="274" s="1"/>
  <c r="I89" i="274" s="1"/>
  <c r="I90" i="274" s="1"/>
  <c r="I91" i="274" s="1"/>
  <c r="I92" i="274" s="1"/>
  <c r="I93" i="274" s="1"/>
  <c r="I94" i="274" s="1"/>
  <c r="I95" i="274" s="1"/>
  <c r="I96" i="274" s="1"/>
  <c r="I97" i="274" s="1"/>
  <c r="I98" i="274" s="1"/>
  <c r="I99" i="274" s="1"/>
  <c r="I100" i="274" s="1"/>
  <c r="I101" i="274" s="1"/>
  <c r="I102" i="274" s="1"/>
  <c r="I103" i="274" s="1"/>
  <c r="I104" i="274" s="1"/>
  <c r="I105" i="274" s="1"/>
  <c r="I106" i="274" s="1"/>
  <c r="I107" i="274" s="1"/>
  <c r="I108" i="274" s="1"/>
  <c r="I109" i="274" s="1"/>
  <c r="I110" i="274" s="1"/>
  <c r="I111" i="274" s="1"/>
  <c r="I112" i="274" s="1"/>
  <c r="I113" i="274" s="1"/>
  <c r="I114" i="274" s="1"/>
  <c r="I115" i="274" s="1"/>
  <c r="I116" i="274" s="1"/>
  <c r="I117" i="274" s="1"/>
  <c r="I118" i="274" s="1"/>
  <c r="I119" i="274" s="1"/>
  <c r="I120" i="274" s="1"/>
  <c r="I121" i="274" s="1"/>
  <c r="I122" i="274" s="1"/>
  <c r="I123" i="274" s="1"/>
  <c r="I124" i="274" s="1"/>
  <c r="I125" i="274" s="1"/>
  <c r="I126" i="274" s="1"/>
  <c r="I127" i="274" s="1"/>
  <c r="I128" i="274" s="1"/>
  <c r="I129" i="274" s="1"/>
  <c r="I130" i="274" s="1"/>
  <c r="I131" i="274" s="1"/>
  <c r="I132" i="274" s="1"/>
  <c r="I133" i="274" s="1"/>
  <c r="I134" i="274" s="1"/>
  <c r="I135" i="274" s="1"/>
  <c r="I136" i="274" s="1"/>
  <c r="I137" i="274" s="1"/>
  <c r="I138" i="274" s="1"/>
  <c r="I139" i="274" s="1"/>
  <c r="I140" i="274" s="1"/>
  <c r="I141" i="274" s="1"/>
  <c r="I142" i="274" s="1"/>
  <c r="I143" i="274" s="1"/>
  <c r="I144" i="274" s="1"/>
  <c r="I145" i="274" s="1"/>
  <c r="I146" i="274" s="1"/>
  <c r="I147" i="274" s="1"/>
  <c r="I148" i="274" s="1"/>
  <c r="I149" i="274" s="1"/>
  <c r="I150" i="274" s="1"/>
  <c r="I151" i="274" s="1"/>
  <c r="I152" i="274" s="1"/>
  <c r="I153" i="274" s="1"/>
  <c r="I154" i="274" s="1"/>
  <c r="I155" i="274" s="1"/>
  <c r="I156" i="274" s="1"/>
  <c r="I157" i="274" s="1"/>
  <c r="I158" i="274" s="1"/>
  <c r="I159" i="274" s="1"/>
  <c r="I160" i="274" s="1"/>
  <c r="I161" i="274" s="1"/>
  <c r="I162" i="274" s="1"/>
  <c r="I163" i="274" s="1"/>
  <c r="I164" i="274" s="1"/>
  <c r="I165" i="274" s="1"/>
  <c r="I166" i="274" s="1"/>
  <c r="I167" i="274" s="1"/>
  <c r="I168" i="274" s="1"/>
  <c r="I169" i="274" s="1"/>
  <c r="I170" i="274" s="1"/>
  <c r="H21" i="274"/>
  <c r="G21" i="274"/>
  <c r="F21" i="274"/>
  <c r="E21" i="274"/>
  <c r="D21" i="274"/>
  <c r="D22" i="274" s="1"/>
  <c r="K20" i="274"/>
  <c r="J20" i="274"/>
  <c r="I20" i="274"/>
  <c r="H20" i="274"/>
  <c r="G20" i="274"/>
  <c r="F20" i="274"/>
  <c r="E20" i="274"/>
  <c r="D20" i="274"/>
  <c r="K19" i="274"/>
  <c r="J19" i="274"/>
  <c r="I19" i="274"/>
  <c r="H19" i="274"/>
  <c r="G19" i="274"/>
  <c r="F19" i="274"/>
  <c r="E19" i="274"/>
  <c r="D19" i="274"/>
  <c r="C23" i="274" l="1"/>
  <c r="D24" i="274"/>
  <c r="D25" i="274" s="1"/>
  <c r="D26" i="274" s="1"/>
  <c r="D27" i="274" s="1"/>
  <c r="D28" i="274" s="1"/>
  <c r="D29" i="274" s="1"/>
  <c r="D30" i="274" s="1"/>
  <c r="D31" i="274" s="1"/>
  <c r="D32" i="274" s="1"/>
  <c r="D33" i="274" s="1"/>
  <c r="D34" i="274" s="1"/>
  <c r="D35" i="274" s="1"/>
  <c r="D36" i="274" s="1"/>
  <c r="D37" i="274" s="1"/>
  <c r="D38" i="274" s="1"/>
  <c r="D39" i="274" s="1"/>
  <c r="D40" i="274" s="1"/>
  <c r="D41" i="274" s="1"/>
  <c r="D42" i="274" s="1"/>
  <c r="D43" i="274" s="1"/>
  <c r="D44" i="274" s="1"/>
  <c r="D45" i="274" s="1"/>
  <c r="D46" i="274" s="1"/>
  <c r="D47" i="274" s="1"/>
  <c r="D48" i="274" s="1"/>
  <c r="D49" i="274" s="1"/>
  <c r="D50" i="274" s="1"/>
  <c r="D51" i="274" s="1"/>
  <c r="D52" i="274" s="1"/>
  <c r="D53" i="274" s="1"/>
  <c r="D54" i="274" s="1"/>
  <c r="D55" i="274" s="1"/>
  <c r="D56" i="274" s="1"/>
  <c r="D57" i="274" s="1"/>
  <c r="D58" i="274" s="1"/>
  <c r="D59" i="274" s="1"/>
  <c r="D60" i="274" s="1"/>
  <c r="D61" i="274" s="1"/>
  <c r="D62" i="274" s="1"/>
  <c r="D63" i="274" s="1"/>
  <c r="D64" i="274" s="1"/>
  <c r="D65" i="274" s="1"/>
  <c r="D66" i="274" s="1"/>
  <c r="D67" i="274" s="1"/>
  <c r="D68" i="274" s="1"/>
  <c r="D69" i="274" s="1"/>
  <c r="D70" i="274" s="1"/>
  <c r="D71" i="274" s="1"/>
  <c r="D72" i="274" s="1"/>
  <c r="D73" i="274" s="1"/>
  <c r="D74" i="274" s="1"/>
  <c r="D75" i="274" s="1"/>
  <c r="D76" i="274" s="1"/>
  <c r="D77" i="274" s="1"/>
  <c r="D78" i="274" s="1"/>
  <c r="D79" i="274" s="1"/>
  <c r="D80" i="274" s="1"/>
  <c r="D81" i="274" s="1"/>
  <c r="D82" i="274" s="1"/>
  <c r="D83" i="274" s="1"/>
  <c r="D84" i="274" s="1"/>
  <c r="D85" i="274" s="1"/>
  <c r="D86" i="274" s="1"/>
  <c r="D87" i="274" s="1"/>
  <c r="D88" i="274" s="1"/>
  <c r="D89" i="274" s="1"/>
  <c r="D90" i="274" s="1"/>
  <c r="D91" i="274" s="1"/>
  <c r="D92" i="274" s="1"/>
  <c r="D93" i="274" s="1"/>
  <c r="D94" i="274" s="1"/>
  <c r="D95" i="274" s="1"/>
  <c r="D96" i="274" s="1"/>
  <c r="D97" i="274" s="1"/>
  <c r="D98" i="274" s="1"/>
  <c r="D99" i="274" s="1"/>
  <c r="D100" i="274" s="1"/>
  <c r="D101" i="274" s="1"/>
  <c r="D102" i="274" s="1"/>
  <c r="D103" i="274" s="1"/>
  <c r="D104" i="274" s="1"/>
  <c r="D105" i="274" s="1"/>
  <c r="D106" i="274" s="1"/>
  <c r="D107" i="274" s="1"/>
  <c r="D108" i="274" s="1"/>
  <c r="D109" i="274" s="1"/>
  <c r="D110" i="274" s="1"/>
  <c r="D111" i="274" s="1"/>
  <c r="D112" i="274" s="1"/>
  <c r="D113" i="274" s="1"/>
  <c r="D114" i="274" s="1"/>
  <c r="D115" i="274" s="1"/>
  <c r="D116" i="274" s="1"/>
  <c r="D117" i="274" s="1"/>
  <c r="D118" i="274" s="1"/>
  <c r="D119" i="274" s="1"/>
  <c r="D120" i="274" s="1"/>
  <c r="D121" i="274" s="1"/>
  <c r="D122" i="274" s="1"/>
  <c r="D123" i="274" s="1"/>
  <c r="D124" i="274" s="1"/>
  <c r="D125" i="274" s="1"/>
  <c r="D126" i="274" s="1"/>
  <c r="D127" i="274" s="1"/>
  <c r="D128" i="274" s="1"/>
  <c r="D129" i="274" s="1"/>
  <c r="D130" i="274" s="1"/>
  <c r="D131" i="274" s="1"/>
  <c r="D132" i="274" s="1"/>
  <c r="D133" i="274" s="1"/>
  <c r="D134" i="274" s="1"/>
  <c r="D135" i="274" s="1"/>
  <c r="D136" i="274" s="1"/>
  <c r="D137" i="274" s="1"/>
  <c r="D138" i="274" s="1"/>
  <c r="D139" i="274" s="1"/>
  <c r="D140" i="274" s="1"/>
  <c r="D141" i="274" s="1"/>
  <c r="D142" i="274" s="1"/>
  <c r="D143" i="274" s="1"/>
  <c r="D144" i="274" s="1"/>
  <c r="D145" i="274" s="1"/>
  <c r="D146" i="274" s="1"/>
  <c r="D147" i="274" s="1"/>
  <c r="D148" i="274" s="1"/>
  <c r="D149" i="274" s="1"/>
  <c r="D150" i="274" s="1"/>
  <c r="D151" i="274" s="1"/>
  <c r="D152" i="274" s="1"/>
  <c r="D153" i="274" s="1"/>
  <c r="D154" i="274" s="1"/>
  <c r="D155" i="274" s="1"/>
  <c r="D156" i="274" s="1"/>
  <c r="D157" i="274" s="1"/>
  <c r="D158" i="274" s="1"/>
  <c r="D159" i="274" s="1"/>
  <c r="D160" i="274" s="1"/>
  <c r="D161" i="274" s="1"/>
  <c r="D162" i="274" s="1"/>
  <c r="D163" i="274" s="1"/>
  <c r="D164" i="274" s="1"/>
  <c r="D165" i="274" s="1"/>
  <c r="D166" i="274" s="1"/>
  <c r="D167" i="274" s="1"/>
  <c r="D168" i="274" s="1"/>
  <c r="D169" i="274" s="1"/>
  <c r="D170" i="274" s="1"/>
  <c r="H24" i="274"/>
  <c r="H25" i="274" s="1"/>
  <c r="H26" i="274" s="1"/>
  <c r="H27" i="274" s="1"/>
  <c r="H28" i="274" s="1"/>
  <c r="H29" i="274" s="1"/>
  <c r="H30" i="274" s="1"/>
  <c r="H31" i="274" s="1"/>
  <c r="H32" i="274" s="1"/>
  <c r="H33" i="274" s="1"/>
  <c r="H34" i="274" s="1"/>
  <c r="H35" i="274" s="1"/>
  <c r="H36" i="274" s="1"/>
  <c r="H37" i="274" s="1"/>
  <c r="H38" i="274" s="1"/>
  <c r="H39" i="274" s="1"/>
  <c r="H40" i="274" s="1"/>
  <c r="H41" i="274" s="1"/>
  <c r="H42" i="274" s="1"/>
  <c r="H43" i="274" s="1"/>
  <c r="H44" i="274" s="1"/>
  <c r="H45" i="274" s="1"/>
  <c r="H46" i="274" s="1"/>
  <c r="H47" i="274" s="1"/>
  <c r="H48" i="274" s="1"/>
  <c r="H49" i="274" s="1"/>
  <c r="H50" i="274" s="1"/>
  <c r="H51" i="274" s="1"/>
  <c r="H52" i="274" s="1"/>
  <c r="H53" i="274" s="1"/>
  <c r="H54" i="274" s="1"/>
  <c r="H55" i="274" s="1"/>
  <c r="H56" i="274" s="1"/>
  <c r="H57" i="274" s="1"/>
  <c r="H58" i="274" s="1"/>
  <c r="H59" i="274" s="1"/>
  <c r="H60" i="274" s="1"/>
  <c r="H61" i="274" s="1"/>
  <c r="H62" i="274" s="1"/>
  <c r="H63" i="274" s="1"/>
  <c r="H64" i="274" s="1"/>
  <c r="H65" i="274" s="1"/>
  <c r="H66" i="274" s="1"/>
  <c r="H67" i="274" s="1"/>
  <c r="H68" i="274" s="1"/>
  <c r="H69" i="274" s="1"/>
  <c r="H70" i="274" s="1"/>
  <c r="H71" i="274" s="1"/>
  <c r="H72" i="274" s="1"/>
  <c r="H73" i="274" s="1"/>
  <c r="H74" i="274" s="1"/>
  <c r="H75" i="274" s="1"/>
  <c r="H76" i="274" s="1"/>
  <c r="H77" i="274" s="1"/>
  <c r="H78" i="274" s="1"/>
  <c r="H79" i="274" s="1"/>
  <c r="H80" i="274" s="1"/>
  <c r="H81" i="274" s="1"/>
  <c r="H82" i="274" s="1"/>
  <c r="H83" i="274" s="1"/>
  <c r="H84" i="274" s="1"/>
  <c r="H85" i="274" s="1"/>
  <c r="H86" i="274" s="1"/>
  <c r="H87" i="274" s="1"/>
  <c r="H88" i="274" s="1"/>
  <c r="H89" i="274" s="1"/>
  <c r="H90" i="274" s="1"/>
  <c r="H91" i="274" s="1"/>
  <c r="H92" i="274" s="1"/>
  <c r="H93" i="274" s="1"/>
  <c r="H94" i="274" s="1"/>
  <c r="H95" i="274" s="1"/>
  <c r="H96" i="274" s="1"/>
  <c r="H97" i="274" s="1"/>
  <c r="H98" i="274" s="1"/>
  <c r="H99" i="274" s="1"/>
  <c r="H100" i="274" s="1"/>
  <c r="H101" i="274" s="1"/>
  <c r="H102" i="274" s="1"/>
  <c r="H103" i="274" s="1"/>
  <c r="H104" i="274" s="1"/>
  <c r="H105" i="274" s="1"/>
  <c r="H106" i="274" s="1"/>
  <c r="H107" i="274" s="1"/>
  <c r="H108" i="274" s="1"/>
  <c r="H109" i="274" s="1"/>
  <c r="H110" i="274" s="1"/>
  <c r="H111" i="274" s="1"/>
  <c r="H112" i="274" s="1"/>
  <c r="H113" i="274" s="1"/>
  <c r="H114" i="274" s="1"/>
  <c r="H115" i="274" s="1"/>
  <c r="H116" i="274" s="1"/>
  <c r="H117" i="274" s="1"/>
  <c r="H118" i="274" s="1"/>
  <c r="H119" i="274" s="1"/>
  <c r="H120" i="274" s="1"/>
  <c r="H121" i="274" s="1"/>
  <c r="H122" i="274" s="1"/>
  <c r="H123" i="274" s="1"/>
  <c r="H124" i="274" s="1"/>
  <c r="H125" i="274" s="1"/>
  <c r="H126" i="274" s="1"/>
  <c r="H127" i="274" s="1"/>
  <c r="H128" i="274" s="1"/>
  <c r="H129" i="274" s="1"/>
  <c r="H130" i="274" s="1"/>
  <c r="H131" i="274" s="1"/>
  <c r="H132" i="274" s="1"/>
  <c r="H133" i="274" s="1"/>
  <c r="H134" i="274" s="1"/>
  <c r="H135" i="274" s="1"/>
  <c r="H136" i="274" s="1"/>
  <c r="H137" i="274" s="1"/>
  <c r="H138" i="274" s="1"/>
  <c r="H139" i="274" s="1"/>
  <c r="H140" i="274" s="1"/>
  <c r="H141" i="274" s="1"/>
  <c r="H142" i="274" s="1"/>
  <c r="H143" i="274" s="1"/>
  <c r="H144" i="274" s="1"/>
  <c r="H145" i="274" s="1"/>
  <c r="H146" i="274" s="1"/>
  <c r="H147" i="274" s="1"/>
  <c r="H148" i="274" s="1"/>
  <c r="H149" i="274" s="1"/>
  <c r="H150" i="274" s="1"/>
  <c r="H151" i="274" s="1"/>
  <c r="H152" i="274" s="1"/>
  <c r="H153" i="274" s="1"/>
  <c r="H154" i="274" s="1"/>
  <c r="H155" i="274" s="1"/>
  <c r="H156" i="274" s="1"/>
  <c r="H157" i="274" s="1"/>
  <c r="H158" i="274" s="1"/>
  <c r="H159" i="274" s="1"/>
  <c r="H160" i="274" s="1"/>
  <c r="H161" i="274" s="1"/>
  <c r="H162" i="274" s="1"/>
  <c r="H163" i="274" s="1"/>
  <c r="H164" i="274" s="1"/>
  <c r="H165" i="274" s="1"/>
  <c r="H166" i="274" s="1"/>
  <c r="H167" i="274" s="1"/>
  <c r="H168" i="274" s="1"/>
  <c r="H169" i="274" s="1"/>
  <c r="H170" i="274" s="1"/>
  <c r="J24" i="274"/>
  <c r="J25" i="274" s="1"/>
  <c r="J26" i="274" s="1"/>
  <c r="J27" i="274" s="1"/>
  <c r="J28" i="274" s="1"/>
  <c r="J29" i="274" s="1"/>
  <c r="J30" i="274" s="1"/>
  <c r="J31" i="274" s="1"/>
  <c r="J32" i="274" s="1"/>
  <c r="J33" i="274" s="1"/>
  <c r="J34" i="274" s="1"/>
  <c r="J35" i="274" s="1"/>
  <c r="J36" i="274" s="1"/>
  <c r="J37" i="274" s="1"/>
  <c r="J38" i="274" s="1"/>
  <c r="J39" i="274" s="1"/>
  <c r="J40" i="274" s="1"/>
  <c r="J41" i="274" s="1"/>
  <c r="J42" i="274" s="1"/>
  <c r="J43" i="274" s="1"/>
  <c r="J44" i="274" s="1"/>
  <c r="J45" i="274" s="1"/>
  <c r="J46" i="274" s="1"/>
  <c r="J47" i="274" s="1"/>
  <c r="J48" i="274" s="1"/>
  <c r="J49" i="274" s="1"/>
  <c r="J50" i="274" s="1"/>
  <c r="J51" i="274" s="1"/>
  <c r="J52" i="274" s="1"/>
  <c r="J53" i="274" s="1"/>
  <c r="J54" i="274" s="1"/>
  <c r="J55" i="274" s="1"/>
  <c r="J56" i="274" s="1"/>
  <c r="J57" i="274" s="1"/>
  <c r="J58" i="274" s="1"/>
  <c r="J59" i="274" s="1"/>
  <c r="J60" i="274" s="1"/>
  <c r="J61" i="274" s="1"/>
  <c r="J62" i="274" s="1"/>
  <c r="J63" i="274" s="1"/>
  <c r="J64" i="274" s="1"/>
  <c r="J65" i="274" s="1"/>
  <c r="J66" i="274" s="1"/>
  <c r="J67" i="274" s="1"/>
  <c r="J68" i="274" s="1"/>
  <c r="J69" i="274" s="1"/>
  <c r="J70" i="274" s="1"/>
  <c r="J71" i="274" s="1"/>
  <c r="J72" i="274" s="1"/>
  <c r="J73" i="274" s="1"/>
  <c r="J74" i="274" s="1"/>
  <c r="J75" i="274" s="1"/>
  <c r="J76" i="274" s="1"/>
  <c r="J77" i="274" s="1"/>
  <c r="J78" i="274" s="1"/>
  <c r="J79" i="274" s="1"/>
  <c r="J80" i="274" s="1"/>
  <c r="J81" i="274" s="1"/>
  <c r="J82" i="274" s="1"/>
  <c r="J83" i="274" s="1"/>
  <c r="J84" i="274" s="1"/>
  <c r="J85" i="274" s="1"/>
  <c r="J86" i="274" s="1"/>
  <c r="J87" i="274" s="1"/>
  <c r="J88" i="274" s="1"/>
  <c r="J89" i="274" s="1"/>
  <c r="J90" i="274" s="1"/>
  <c r="J91" i="274" s="1"/>
  <c r="J92" i="274" s="1"/>
  <c r="J93" i="274" s="1"/>
  <c r="J94" i="274" s="1"/>
  <c r="J95" i="274" s="1"/>
  <c r="J96" i="274" s="1"/>
  <c r="J97" i="274" s="1"/>
  <c r="J98" i="274" s="1"/>
  <c r="J99" i="274" s="1"/>
  <c r="J100" i="274" s="1"/>
  <c r="J101" i="274" s="1"/>
  <c r="J102" i="274" s="1"/>
  <c r="J103" i="274" s="1"/>
  <c r="J104" i="274" s="1"/>
  <c r="J105" i="274" s="1"/>
  <c r="J106" i="274" s="1"/>
  <c r="J107" i="274" s="1"/>
  <c r="J108" i="274" s="1"/>
  <c r="J109" i="274" s="1"/>
  <c r="J110" i="274" s="1"/>
  <c r="J111" i="274" s="1"/>
  <c r="J112" i="274" s="1"/>
  <c r="J113" i="274" s="1"/>
  <c r="J114" i="274" s="1"/>
  <c r="J115" i="274" s="1"/>
  <c r="J116" i="274" s="1"/>
  <c r="J117" i="274" s="1"/>
  <c r="J118" i="274" s="1"/>
  <c r="J119" i="274" s="1"/>
  <c r="J120" i="274" s="1"/>
  <c r="J121" i="274" s="1"/>
  <c r="J122" i="274" s="1"/>
  <c r="J123" i="274" s="1"/>
  <c r="J124" i="274" s="1"/>
  <c r="J125" i="274" s="1"/>
  <c r="J126" i="274" s="1"/>
  <c r="J127" i="274" s="1"/>
  <c r="J128" i="274" s="1"/>
  <c r="J129" i="274" s="1"/>
  <c r="J130" i="274" s="1"/>
  <c r="J131" i="274" s="1"/>
  <c r="J132" i="274" s="1"/>
  <c r="J133" i="274" s="1"/>
  <c r="J134" i="274" s="1"/>
  <c r="J135" i="274" s="1"/>
  <c r="J136" i="274" s="1"/>
  <c r="J137" i="274" s="1"/>
  <c r="J138" i="274" s="1"/>
  <c r="J139" i="274" s="1"/>
  <c r="J140" i="274" s="1"/>
  <c r="J141" i="274" s="1"/>
  <c r="J142" i="274" s="1"/>
  <c r="J143" i="274" s="1"/>
  <c r="J144" i="274" s="1"/>
  <c r="J145" i="274" s="1"/>
  <c r="J146" i="274" s="1"/>
  <c r="J147" i="274" s="1"/>
  <c r="J148" i="274" s="1"/>
  <c r="J149" i="274" s="1"/>
  <c r="J150" i="274" s="1"/>
  <c r="J151" i="274" s="1"/>
  <c r="J152" i="274" s="1"/>
  <c r="J153" i="274" s="1"/>
  <c r="J154" i="274" s="1"/>
  <c r="J155" i="274" s="1"/>
  <c r="J156" i="274" s="1"/>
  <c r="J157" i="274" s="1"/>
  <c r="J158" i="274" s="1"/>
  <c r="J159" i="274" s="1"/>
  <c r="J160" i="274" s="1"/>
  <c r="J161" i="274" s="1"/>
  <c r="J162" i="274" s="1"/>
  <c r="J163" i="274" s="1"/>
  <c r="J164" i="274" s="1"/>
  <c r="J165" i="274" s="1"/>
  <c r="J166" i="274" s="1"/>
  <c r="J167" i="274" s="1"/>
  <c r="J168" i="274" s="1"/>
  <c r="J169" i="274" s="1"/>
  <c r="J170" i="274" s="1"/>
  <c r="E23" i="274"/>
  <c r="I23" i="274"/>
  <c r="E22" i="274"/>
  <c r="F23" i="274"/>
  <c r="J23" i="274"/>
  <c r="F22" i="274"/>
  <c r="E24" i="274"/>
  <c r="E25" i="274" s="1"/>
  <c r="E26" i="274" s="1"/>
  <c r="E27" i="274" s="1"/>
  <c r="E28" i="274" s="1"/>
  <c r="E29" i="274" s="1"/>
  <c r="E30" i="274" s="1"/>
  <c r="E31" i="274" s="1"/>
  <c r="E32" i="274" s="1"/>
  <c r="E33" i="274" s="1"/>
  <c r="E34" i="274" s="1"/>
  <c r="E35" i="274" s="1"/>
  <c r="E36" i="274" s="1"/>
  <c r="E37" i="274" s="1"/>
  <c r="E38" i="274" s="1"/>
  <c r="E39" i="274" s="1"/>
  <c r="E40" i="274" s="1"/>
  <c r="E41" i="274" s="1"/>
  <c r="E42" i="274" s="1"/>
  <c r="E43" i="274" s="1"/>
  <c r="E44" i="274" s="1"/>
  <c r="E45" i="274" s="1"/>
  <c r="E46" i="274" s="1"/>
  <c r="E47" i="274" s="1"/>
  <c r="E48" i="274" s="1"/>
  <c r="E49" i="274" s="1"/>
  <c r="E50" i="274" s="1"/>
  <c r="E51" i="274" s="1"/>
  <c r="E52" i="274" s="1"/>
  <c r="E53" i="274" s="1"/>
  <c r="E54" i="274" s="1"/>
  <c r="E55" i="274" s="1"/>
  <c r="E56" i="274" s="1"/>
  <c r="E57" i="274" s="1"/>
  <c r="E58" i="274" s="1"/>
  <c r="E59" i="274" s="1"/>
  <c r="E60" i="274" s="1"/>
  <c r="E61" i="274" s="1"/>
  <c r="E62" i="274" s="1"/>
  <c r="E63" i="274" s="1"/>
  <c r="E64" i="274" s="1"/>
  <c r="E65" i="274" s="1"/>
  <c r="E66" i="274" s="1"/>
  <c r="E67" i="274" s="1"/>
  <c r="E68" i="274" s="1"/>
  <c r="E69" i="274" s="1"/>
  <c r="E70" i="274" s="1"/>
  <c r="E71" i="274" s="1"/>
  <c r="E72" i="274" s="1"/>
  <c r="E73" i="274" s="1"/>
  <c r="E74" i="274" s="1"/>
  <c r="E75" i="274" s="1"/>
  <c r="E76" i="274" s="1"/>
  <c r="E77" i="274" s="1"/>
  <c r="E78" i="274" s="1"/>
  <c r="E79" i="274" s="1"/>
  <c r="E80" i="274" s="1"/>
  <c r="E81" i="274" s="1"/>
  <c r="E82" i="274" s="1"/>
  <c r="E83" i="274" s="1"/>
  <c r="E84" i="274" s="1"/>
  <c r="E85" i="274" s="1"/>
  <c r="E86" i="274" s="1"/>
  <c r="E87" i="274" s="1"/>
  <c r="E88" i="274" s="1"/>
  <c r="E89" i="274" s="1"/>
  <c r="E90" i="274" s="1"/>
  <c r="E91" i="274" s="1"/>
  <c r="E92" i="274" s="1"/>
  <c r="E93" i="274" s="1"/>
  <c r="E94" i="274" s="1"/>
  <c r="E95" i="274" s="1"/>
  <c r="E96" i="274" s="1"/>
  <c r="E97" i="274" s="1"/>
  <c r="E98" i="274" s="1"/>
  <c r="E99" i="274" s="1"/>
  <c r="E100" i="274" s="1"/>
  <c r="E101" i="274" s="1"/>
  <c r="E102" i="274" s="1"/>
  <c r="E103" i="274" s="1"/>
  <c r="E104" i="274" s="1"/>
  <c r="E105" i="274" s="1"/>
  <c r="E106" i="274" s="1"/>
  <c r="E107" i="274" s="1"/>
  <c r="E108" i="274" s="1"/>
  <c r="E109" i="274" s="1"/>
  <c r="E110" i="274" s="1"/>
  <c r="E111" i="274" s="1"/>
  <c r="E112" i="274" s="1"/>
  <c r="E113" i="274" s="1"/>
  <c r="E114" i="274" s="1"/>
  <c r="E115" i="274" s="1"/>
  <c r="E116" i="274" s="1"/>
  <c r="E117" i="274" s="1"/>
  <c r="E118" i="274" s="1"/>
  <c r="E119" i="274" s="1"/>
  <c r="E120" i="274" s="1"/>
  <c r="E121" i="274" s="1"/>
  <c r="E122" i="274" s="1"/>
  <c r="E123" i="274" s="1"/>
  <c r="E124" i="274" s="1"/>
  <c r="E125" i="274" s="1"/>
  <c r="E126" i="274" s="1"/>
  <c r="E127" i="274" s="1"/>
  <c r="E128" i="274" s="1"/>
  <c r="E129" i="274" s="1"/>
  <c r="E130" i="274" s="1"/>
  <c r="E131" i="274" s="1"/>
  <c r="E132" i="274" s="1"/>
  <c r="E133" i="274" s="1"/>
  <c r="E134" i="274" s="1"/>
  <c r="E135" i="274" s="1"/>
  <c r="E136" i="274" s="1"/>
  <c r="E137" i="274" s="1"/>
  <c r="E138" i="274" s="1"/>
  <c r="E139" i="274" s="1"/>
  <c r="E140" i="274" s="1"/>
  <c r="E141" i="274" s="1"/>
  <c r="E142" i="274" s="1"/>
  <c r="E143" i="274" s="1"/>
  <c r="E144" i="274" s="1"/>
  <c r="E145" i="274" s="1"/>
  <c r="E146" i="274" s="1"/>
  <c r="E147" i="274" s="1"/>
  <c r="E148" i="274" s="1"/>
  <c r="E149" i="274" s="1"/>
  <c r="E150" i="274" s="1"/>
  <c r="E151" i="274" s="1"/>
  <c r="E152" i="274" s="1"/>
  <c r="E153" i="274" s="1"/>
  <c r="E154" i="274" s="1"/>
  <c r="E155" i="274" s="1"/>
  <c r="E156" i="274" s="1"/>
  <c r="E157" i="274" s="1"/>
  <c r="E158" i="274" s="1"/>
  <c r="E159" i="274" s="1"/>
  <c r="E160" i="274" s="1"/>
  <c r="E161" i="274" s="1"/>
  <c r="E162" i="274" s="1"/>
  <c r="E163" i="274" s="1"/>
  <c r="E164" i="274" s="1"/>
  <c r="E165" i="274" s="1"/>
  <c r="E166" i="274" s="1"/>
  <c r="E167" i="274" s="1"/>
  <c r="E168" i="274" s="1"/>
  <c r="E169" i="274" s="1"/>
  <c r="E170" i="274" s="1"/>
  <c r="G23" i="274"/>
  <c r="K23" i="274"/>
  <c r="I22" i="274"/>
  <c r="I12" i="274" s="1"/>
  <c r="F24" i="274"/>
  <c r="F25" i="274" s="1"/>
  <c r="F26" i="274" s="1"/>
  <c r="F27" i="274" s="1"/>
  <c r="F28" i="274" s="1"/>
  <c r="F29" i="274" s="1"/>
  <c r="F30" i="274" s="1"/>
  <c r="F31" i="274" s="1"/>
  <c r="F32" i="274" s="1"/>
  <c r="F33" i="274" s="1"/>
  <c r="F34" i="274" s="1"/>
  <c r="F35" i="274" s="1"/>
  <c r="F36" i="274" s="1"/>
  <c r="F37" i="274" s="1"/>
  <c r="F38" i="274" s="1"/>
  <c r="F39" i="274" s="1"/>
  <c r="F40" i="274" s="1"/>
  <c r="F41" i="274" s="1"/>
  <c r="F42" i="274" s="1"/>
  <c r="F43" i="274" s="1"/>
  <c r="F44" i="274" s="1"/>
  <c r="F45" i="274" s="1"/>
  <c r="F46" i="274" s="1"/>
  <c r="F47" i="274" s="1"/>
  <c r="F48" i="274" s="1"/>
  <c r="F49" i="274" s="1"/>
  <c r="F50" i="274" s="1"/>
  <c r="F51" i="274" s="1"/>
  <c r="F52" i="274" s="1"/>
  <c r="F53" i="274" s="1"/>
  <c r="F54" i="274" s="1"/>
  <c r="F55" i="274" s="1"/>
  <c r="F56" i="274" s="1"/>
  <c r="F57" i="274" s="1"/>
  <c r="F58" i="274" s="1"/>
  <c r="F59" i="274" s="1"/>
  <c r="F60" i="274" s="1"/>
  <c r="F61" i="274" s="1"/>
  <c r="F62" i="274" s="1"/>
  <c r="F63" i="274" s="1"/>
  <c r="F64" i="274" s="1"/>
  <c r="F65" i="274" s="1"/>
  <c r="F66" i="274" s="1"/>
  <c r="F67" i="274" s="1"/>
  <c r="F68" i="274" s="1"/>
  <c r="F69" i="274" s="1"/>
  <c r="F70" i="274" s="1"/>
  <c r="F71" i="274" s="1"/>
  <c r="F72" i="274" s="1"/>
  <c r="F73" i="274" s="1"/>
  <c r="F74" i="274" s="1"/>
  <c r="F75" i="274" s="1"/>
  <c r="F76" i="274" s="1"/>
  <c r="F77" i="274" s="1"/>
  <c r="F78" i="274" s="1"/>
  <c r="F79" i="274" s="1"/>
  <c r="F80" i="274" s="1"/>
  <c r="F81" i="274" s="1"/>
  <c r="F82" i="274" s="1"/>
  <c r="F83" i="274" s="1"/>
  <c r="F84" i="274" s="1"/>
  <c r="F85" i="274" s="1"/>
  <c r="F86" i="274" s="1"/>
  <c r="F87" i="274" s="1"/>
  <c r="F88" i="274" s="1"/>
  <c r="F89" i="274" s="1"/>
  <c r="F90" i="274" s="1"/>
  <c r="F91" i="274" s="1"/>
  <c r="F92" i="274" s="1"/>
  <c r="F93" i="274" s="1"/>
  <c r="F94" i="274" s="1"/>
  <c r="F95" i="274" s="1"/>
  <c r="F96" i="274" s="1"/>
  <c r="F97" i="274" s="1"/>
  <c r="F98" i="274" s="1"/>
  <c r="F99" i="274" s="1"/>
  <c r="F100" i="274" s="1"/>
  <c r="F101" i="274" s="1"/>
  <c r="F102" i="274" s="1"/>
  <c r="F103" i="274" s="1"/>
  <c r="F104" i="274" s="1"/>
  <c r="F105" i="274" s="1"/>
  <c r="F106" i="274" s="1"/>
  <c r="F107" i="274" s="1"/>
  <c r="F108" i="274" s="1"/>
  <c r="F109" i="274" s="1"/>
  <c r="F110" i="274" s="1"/>
  <c r="F111" i="274" s="1"/>
  <c r="F112" i="274" s="1"/>
  <c r="F113" i="274" s="1"/>
  <c r="F114" i="274" s="1"/>
  <c r="F115" i="274" s="1"/>
  <c r="F116" i="274" s="1"/>
  <c r="F117" i="274" s="1"/>
  <c r="F118" i="274" s="1"/>
  <c r="F119" i="274" s="1"/>
  <c r="F120" i="274" s="1"/>
  <c r="F121" i="274" s="1"/>
  <c r="F122" i="274" s="1"/>
  <c r="F123" i="274" s="1"/>
  <c r="F124" i="274" s="1"/>
  <c r="F125" i="274" s="1"/>
  <c r="F126" i="274" s="1"/>
  <c r="F127" i="274" s="1"/>
  <c r="F128" i="274" s="1"/>
  <c r="F129" i="274" s="1"/>
  <c r="F130" i="274" s="1"/>
  <c r="F131" i="274" s="1"/>
  <c r="F132" i="274" s="1"/>
  <c r="F133" i="274" s="1"/>
  <c r="F134" i="274" s="1"/>
  <c r="F135" i="274" s="1"/>
  <c r="F136" i="274" s="1"/>
  <c r="F137" i="274" s="1"/>
  <c r="F138" i="274" s="1"/>
  <c r="F139" i="274" s="1"/>
  <c r="F140" i="274" s="1"/>
  <c r="F141" i="274" s="1"/>
  <c r="F142" i="274" s="1"/>
  <c r="F143" i="274" s="1"/>
  <c r="F144" i="274" s="1"/>
  <c r="F145" i="274" s="1"/>
  <c r="F146" i="274" s="1"/>
  <c r="F147" i="274" s="1"/>
  <c r="F148" i="274" s="1"/>
  <c r="F149" i="274" s="1"/>
  <c r="F150" i="274" s="1"/>
  <c r="F151" i="274" s="1"/>
  <c r="F152" i="274" s="1"/>
  <c r="F153" i="274" s="1"/>
  <c r="F154" i="274" s="1"/>
  <c r="F155" i="274" s="1"/>
  <c r="F156" i="274" s="1"/>
  <c r="F157" i="274" s="1"/>
  <c r="F158" i="274" s="1"/>
  <c r="F159" i="274" s="1"/>
  <c r="F160" i="274" s="1"/>
  <c r="F161" i="274" s="1"/>
  <c r="F162" i="274" s="1"/>
  <c r="F163" i="274" s="1"/>
  <c r="F164" i="274" s="1"/>
  <c r="F165" i="274" s="1"/>
  <c r="F166" i="274" s="1"/>
  <c r="F167" i="274" s="1"/>
  <c r="F168" i="274" s="1"/>
  <c r="F169" i="274" s="1"/>
  <c r="F170" i="274" s="1"/>
  <c r="G22" i="274"/>
  <c r="K22" i="274"/>
  <c r="C24" i="274"/>
  <c r="C25" i="274" s="1"/>
  <c r="C26" i="274" s="1"/>
  <c r="C27" i="274" s="1"/>
  <c r="C28" i="274" s="1"/>
  <c r="C29" i="274" s="1"/>
  <c r="C30" i="274" s="1"/>
  <c r="C31" i="274" s="1"/>
  <c r="C32" i="274" s="1"/>
  <c r="C33" i="274" s="1"/>
  <c r="C34" i="274" s="1"/>
  <c r="C35" i="274" s="1"/>
  <c r="C36" i="274" s="1"/>
  <c r="C37" i="274" s="1"/>
  <c r="C38" i="274" s="1"/>
  <c r="C39" i="274" s="1"/>
  <c r="C40" i="274" s="1"/>
  <c r="C41" i="274" s="1"/>
  <c r="C42" i="274" s="1"/>
  <c r="C43" i="274" s="1"/>
  <c r="C44" i="274" s="1"/>
  <c r="C45" i="274" s="1"/>
  <c r="C46" i="274" s="1"/>
  <c r="C47" i="274" s="1"/>
  <c r="C48" i="274" s="1"/>
  <c r="C49" i="274" s="1"/>
  <c r="C50" i="274" s="1"/>
  <c r="C51" i="274" s="1"/>
  <c r="C52" i="274" s="1"/>
  <c r="C53" i="274" s="1"/>
  <c r="C54" i="274" s="1"/>
  <c r="C55" i="274" s="1"/>
  <c r="C56" i="274" s="1"/>
  <c r="C57" i="274" s="1"/>
  <c r="C58" i="274" s="1"/>
  <c r="C59" i="274" s="1"/>
  <c r="C60" i="274" s="1"/>
  <c r="C61" i="274" s="1"/>
  <c r="C62" i="274" s="1"/>
  <c r="C63" i="274" s="1"/>
  <c r="C64" i="274" s="1"/>
  <c r="C65" i="274" s="1"/>
  <c r="C66" i="274" s="1"/>
  <c r="C67" i="274" s="1"/>
  <c r="C68" i="274" s="1"/>
  <c r="C69" i="274" s="1"/>
  <c r="C70" i="274" s="1"/>
  <c r="C71" i="274" s="1"/>
  <c r="C72" i="274" s="1"/>
  <c r="C73" i="274" s="1"/>
  <c r="C74" i="274" s="1"/>
  <c r="C75" i="274" s="1"/>
  <c r="C76" i="274" s="1"/>
  <c r="C77" i="274" s="1"/>
  <c r="C78" i="274" s="1"/>
  <c r="C79" i="274" s="1"/>
  <c r="C80" i="274" s="1"/>
  <c r="C81" i="274" s="1"/>
  <c r="C82" i="274" s="1"/>
  <c r="C83" i="274" s="1"/>
  <c r="C84" i="274" s="1"/>
  <c r="C85" i="274" s="1"/>
  <c r="C86" i="274" s="1"/>
  <c r="C87" i="274" s="1"/>
  <c r="C88" i="274" s="1"/>
  <c r="C89" i="274" s="1"/>
  <c r="C90" i="274" s="1"/>
  <c r="C91" i="274" s="1"/>
  <c r="C92" i="274" s="1"/>
  <c r="C93" i="274" s="1"/>
  <c r="C94" i="274" s="1"/>
  <c r="C95" i="274" s="1"/>
  <c r="C96" i="274" s="1"/>
  <c r="C97" i="274" s="1"/>
  <c r="C98" i="274" s="1"/>
  <c r="C99" i="274" s="1"/>
  <c r="C100" i="274" s="1"/>
  <c r="C101" i="274" s="1"/>
  <c r="C102" i="274" s="1"/>
  <c r="C103" i="274" s="1"/>
  <c r="C104" i="274" s="1"/>
  <c r="C105" i="274" s="1"/>
  <c r="C106" i="274" s="1"/>
  <c r="C107" i="274" s="1"/>
  <c r="C108" i="274" s="1"/>
  <c r="C109" i="274" s="1"/>
  <c r="C110" i="274" s="1"/>
  <c r="C111" i="274" s="1"/>
  <c r="C112" i="274" s="1"/>
  <c r="C113" i="274" s="1"/>
  <c r="C114" i="274" s="1"/>
  <c r="C115" i="274" s="1"/>
  <c r="C116" i="274" s="1"/>
  <c r="C117" i="274" s="1"/>
  <c r="C118" i="274" s="1"/>
  <c r="C119" i="274" s="1"/>
  <c r="C120" i="274" s="1"/>
  <c r="C121" i="274" s="1"/>
  <c r="C122" i="274" s="1"/>
  <c r="C123" i="274" s="1"/>
  <c r="C124" i="274" s="1"/>
  <c r="C125" i="274" s="1"/>
  <c r="C126" i="274" s="1"/>
  <c r="C127" i="274" s="1"/>
  <c r="C128" i="274" s="1"/>
  <c r="C129" i="274" s="1"/>
  <c r="C130" i="274" s="1"/>
  <c r="C131" i="274" s="1"/>
  <c r="C132" i="274" s="1"/>
  <c r="C133" i="274" s="1"/>
  <c r="C134" i="274" s="1"/>
  <c r="C135" i="274" s="1"/>
  <c r="C136" i="274" s="1"/>
  <c r="C137" i="274" s="1"/>
  <c r="C138" i="274" s="1"/>
  <c r="C139" i="274" s="1"/>
  <c r="C140" i="274" s="1"/>
  <c r="C141" i="274" s="1"/>
  <c r="C142" i="274" s="1"/>
  <c r="C143" i="274" s="1"/>
  <c r="C144" i="274" s="1"/>
  <c r="C145" i="274" s="1"/>
  <c r="C146" i="274" s="1"/>
  <c r="C147" i="274" s="1"/>
  <c r="C148" i="274" s="1"/>
  <c r="C149" i="274" s="1"/>
  <c r="C150" i="274" s="1"/>
  <c r="C151" i="274" s="1"/>
  <c r="C152" i="274" s="1"/>
  <c r="C153" i="274" s="1"/>
  <c r="C154" i="274" s="1"/>
  <c r="C155" i="274" s="1"/>
  <c r="C156" i="274" s="1"/>
  <c r="C157" i="274" s="1"/>
  <c r="C158" i="274" s="1"/>
  <c r="C159" i="274" s="1"/>
  <c r="C160" i="274" s="1"/>
  <c r="C161" i="274" s="1"/>
  <c r="C162" i="274" s="1"/>
  <c r="C163" i="274" s="1"/>
  <c r="C164" i="274" s="1"/>
  <c r="C165" i="274" s="1"/>
  <c r="C166" i="274" s="1"/>
  <c r="C167" i="274" s="1"/>
  <c r="C168" i="274" s="1"/>
  <c r="C169" i="274" s="1"/>
  <c r="C170" i="274" s="1"/>
  <c r="G24" i="274"/>
  <c r="G25" i="274" s="1"/>
  <c r="G26" i="274" s="1"/>
  <c r="G27" i="274" s="1"/>
  <c r="G28" i="274" s="1"/>
  <c r="G29" i="274" s="1"/>
  <c r="G30" i="274" s="1"/>
  <c r="G31" i="274" s="1"/>
  <c r="G32" i="274" s="1"/>
  <c r="G33" i="274" s="1"/>
  <c r="G34" i="274" s="1"/>
  <c r="G35" i="274" s="1"/>
  <c r="G36" i="274" s="1"/>
  <c r="G37" i="274" s="1"/>
  <c r="G38" i="274" s="1"/>
  <c r="G39" i="274" s="1"/>
  <c r="G40" i="274" s="1"/>
  <c r="G41" i="274" s="1"/>
  <c r="G42" i="274" s="1"/>
  <c r="G43" i="274" s="1"/>
  <c r="G44" i="274" s="1"/>
  <c r="G45" i="274" s="1"/>
  <c r="G46" i="274" s="1"/>
  <c r="G47" i="274" s="1"/>
  <c r="G48" i="274" s="1"/>
  <c r="G49" i="274" s="1"/>
  <c r="G50" i="274" s="1"/>
  <c r="G51" i="274" s="1"/>
  <c r="G52" i="274" s="1"/>
  <c r="G53" i="274" s="1"/>
  <c r="G54" i="274" s="1"/>
  <c r="G55" i="274" s="1"/>
  <c r="G56" i="274" s="1"/>
  <c r="G57" i="274" s="1"/>
  <c r="G58" i="274" s="1"/>
  <c r="G59" i="274" s="1"/>
  <c r="G60" i="274" s="1"/>
  <c r="G61" i="274" s="1"/>
  <c r="G62" i="274" s="1"/>
  <c r="G63" i="274" s="1"/>
  <c r="G64" i="274" s="1"/>
  <c r="G65" i="274" s="1"/>
  <c r="G66" i="274" s="1"/>
  <c r="G67" i="274" s="1"/>
  <c r="G68" i="274" s="1"/>
  <c r="G69" i="274" s="1"/>
  <c r="G70" i="274" s="1"/>
  <c r="G71" i="274" s="1"/>
  <c r="G72" i="274" s="1"/>
  <c r="G73" i="274" s="1"/>
  <c r="G74" i="274" s="1"/>
  <c r="G75" i="274" s="1"/>
  <c r="G76" i="274" s="1"/>
  <c r="G77" i="274" s="1"/>
  <c r="G78" i="274" s="1"/>
  <c r="G79" i="274" s="1"/>
  <c r="G80" i="274" s="1"/>
  <c r="G81" i="274" s="1"/>
  <c r="G82" i="274" s="1"/>
  <c r="G83" i="274" s="1"/>
  <c r="G84" i="274" s="1"/>
  <c r="G85" i="274" s="1"/>
  <c r="G86" i="274" s="1"/>
  <c r="G87" i="274" s="1"/>
  <c r="G88" i="274" s="1"/>
  <c r="G89" i="274" s="1"/>
  <c r="G90" i="274" s="1"/>
  <c r="G91" i="274" s="1"/>
  <c r="G92" i="274" s="1"/>
  <c r="G93" i="274" s="1"/>
  <c r="G94" i="274" s="1"/>
  <c r="G95" i="274" s="1"/>
  <c r="G96" i="274" s="1"/>
  <c r="G97" i="274" s="1"/>
  <c r="G98" i="274" s="1"/>
  <c r="G99" i="274" s="1"/>
  <c r="G100" i="274" s="1"/>
  <c r="G101" i="274" s="1"/>
  <c r="G102" i="274" s="1"/>
  <c r="G103" i="274" s="1"/>
  <c r="G104" i="274" s="1"/>
  <c r="G105" i="274" s="1"/>
  <c r="G106" i="274" s="1"/>
  <c r="G107" i="274" s="1"/>
  <c r="G108" i="274" s="1"/>
  <c r="G109" i="274" s="1"/>
  <c r="G110" i="274" s="1"/>
  <c r="G111" i="274" s="1"/>
  <c r="G112" i="274" s="1"/>
  <c r="G113" i="274" s="1"/>
  <c r="G114" i="274" s="1"/>
  <c r="G115" i="274" s="1"/>
  <c r="G116" i="274" s="1"/>
  <c r="G117" i="274" s="1"/>
  <c r="G118" i="274" s="1"/>
  <c r="G119" i="274" s="1"/>
  <c r="G120" i="274" s="1"/>
  <c r="G121" i="274" s="1"/>
  <c r="G122" i="274" s="1"/>
  <c r="G123" i="274" s="1"/>
  <c r="G124" i="274" s="1"/>
  <c r="G125" i="274" s="1"/>
  <c r="G126" i="274" s="1"/>
  <c r="G127" i="274" s="1"/>
  <c r="G128" i="274" s="1"/>
  <c r="G129" i="274" s="1"/>
  <c r="G130" i="274" s="1"/>
  <c r="G131" i="274" s="1"/>
  <c r="G132" i="274" s="1"/>
  <c r="G133" i="274" s="1"/>
  <c r="G134" i="274" s="1"/>
  <c r="G135" i="274" s="1"/>
  <c r="G136" i="274" s="1"/>
  <c r="G137" i="274" s="1"/>
  <c r="G138" i="274" s="1"/>
  <c r="G139" i="274" s="1"/>
  <c r="G140" i="274" s="1"/>
  <c r="G141" i="274" s="1"/>
  <c r="G142" i="274" s="1"/>
  <c r="G143" i="274" s="1"/>
  <c r="G144" i="274" s="1"/>
  <c r="G145" i="274" s="1"/>
  <c r="G146" i="274" s="1"/>
  <c r="G147" i="274" s="1"/>
  <c r="G148" i="274" s="1"/>
  <c r="G149" i="274" s="1"/>
  <c r="G150" i="274" s="1"/>
  <c r="G151" i="274" s="1"/>
  <c r="G152" i="274" s="1"/>
  <c r="G153" i="274" s="1"/>
  <c r="G154" i="274" s="1"/>
  <c r="G155" i="274" s="1"/>
  <c r="G156" i="274" s="1"/>
  <c r="G157" i="274" s="1"/>
  <c r="G158" i="274" s="1"/>
  <c r="G159" i="274" s="1"/>
  <c r="G160" i="274" s="1"/>
  <c r="G161" i="274" s="1"/>
  <c r="G162" i="274" s="1"/>
  <c r="G163" i="274" s="1"/>
  <c r="G164" i="274" s="1"/>
  <c r="G165" i="274" s="1"/>
  <c r="G166" i="274" s="1"/>
  <c r="G167" i="274" s="1"/>
  <c r="G168" i="274" s="1"/>
  <c r="G169" i="274" s="1"/>
  <c r="G170" i="274" s="1"/>
  <c r="K24" i="274"/>
  <c r="K25" i="274" s="1"/>
  <c r="K26" i="274" s="1"/>
  <c r="K27" i="274" s="1"/>
  <c r="K28" i="274" s="1"/>
  <c r="K29" i="274" s="1"/>
  <c r="K30" i="274" s="1"/>
  <c r="K31" i="274" s="1"/>
  <c r="K32" i="274" s="1"/>
  <c r="K33" i="274" s="1"/>
  <c r="K34" i="274" s="1"/>
  <c r="K35" i="274" s="1"/>
  <c r="K36" i="274" s="1"/>
  <c r="K37" i="274" s="1"/>
  <c r="K38" i="274" s="1"/>
  <c r="K39" i="274" s="1"/>
  <c r="K40" i="274" s="1"/>
  <c r="K41" i="274" s="1"/>
  <c r="K42" i="274" s="1"/>
  <c r="K43" i="274" s="1"/>
  <c r="K44" i="274" s="1"/>
  <c r="K45" i="274" s="1"/>
  <c r="K46" i="274" s="1"/>
  <c r="K47" i="274" s="1"/>
  <c r="K48" i="274" s="1"/>
  <c r="K49" i="274" s="1"/>
  <c r="K50" i="274" s="1"/>
  <c r="K51" i="274" s="1"/>
  <c r="K52" i="274" s="1"/>
  <c r="K53" i="274" s="1"/>
  <c r="K54" i="274" s="1"/>
  <c r="K55" i="274" s="1"/>
  <c r="K56" i="274" s="1"/>
  <c r="K57" i="274" s="1"/>
  <c r="K58" i="274" s="1"/>
  <c r="K59" i="274" s="1"/>
  <c r="K60" i="274" s="1"/>
  <c r="K61" i="274" s="1"/>
  <c r="K62" i="274" s="1"/>
  <c r="K63" i="274" s="1"/>
  <c r="K64" i="274" s="1"/>
  <c r="K65" i="274" s="1"/>
  <c r="K66" i="274" s="1"/>
  <c r="K67" i="274" s="1"/>
  <c r="K68" i="274" s="1"/>
  <c r="K69" i="274" s="1"/>
  <c r="K70" i="274" s="1"/>
  <c r="K71" i="274" s="1"/>
  <c r="K72" i="274" s="1"/>
  <c r="K73" i="274" s="1"/>
  <c r="K74" i="274" s="1"/>
  <c r="K75" i="274" s="1"/>
  <c r="K76" i="274" s="1"/>
  <c r="K77" i="274" s="1"/>
  <c r="K78" i="274" s="1"/>
  <c r="K79" i="274" s="1"/>
  <c r="K80" i="274" s="1"/>
  <c r="K81" i="274" s="1"/>
  <c r="K82" i="274" s="1"/>
  <c r="K83" i="274" s="1"/>
  <c r="K84" i="274" s="1"/>
  <c r="K85" i="274" s="1"/>
  <c r="K86" i="274" s="1"/>
  <c r="K87" i="274" s="1"/>
  <c r="K88" i="274" s="1"/>
  <c r="K89" i="274" s="1"/>
  <c r="K90" i="274" s="1"/>
  <c r="K91" i="274" s="1"/>
  <c r="K92" i="274" s="1"/>
  <c r="K93" i="274" s="1"/>
  <c r="K94" i="274" s="1"/>
  <c r="K95" i="274" s="1"/>
  <c r="K96" i="274" s="1"/>
  <c r="K97" i="274" s="1"/>
  <c r="K98" i="274" s="1"/>
  <c r="K99" i="274" s="1"/>
  <c r="K100" i="274" s="1"/>
  <c r="K101" i="274" s="1"/>
  <c r="K102" i="274" s="1"/>
  <c r="K103" i="274" s="1"/>
  <c r="K104" i="274" s="1"/>
  <c r="K105" i="274" s="1"/>
  <c r="K106" i="274" s="1"/>
  <c r="K107" i="274" s="1"/>
  <c r="K108" i="274" s="1"/>
  <c r="K109" i="274" s="1"/>
  <c r="K110" i="274" s="1"/>
  <c r="K111" i="274" s="1"/>
  <c r="K112" i="274" s="1"/>
  <c r="K113" i="274" s="1"/>
  <c r="K114" i="274" s="1"/>
  <c r="K115" i="274" s="1"/>
  <c r="K116" i="274" s="1"/>
  <c r="K117" i="274" s="1"/>
  <c r="K118" i="274" s="1"/>
  <c r="K119" i="274" s="1"/>
  <c r="K120" i="274" s="1"/>
  <c r="K121" i="274" s="1"/>
  <c r="K122" i="274" s="1"/>
  <c r="K123" i="274" s="1"/>
  <c r="K124" i="274" s="1"/>
  <c r="K125" i="274" s="1"/>
  <c r="K126" i="274" s="1"/>
  <c r="K127" i="274" s="1"/>
  <c r="K128" i="274" s="1"/>
  <c r="K129" i="274" s="1"/>
  <c r="K130" i="274" s="1"/>
  <c r="K131" i="274" s="1"/>
  <c r="K132" i="274" s="1"/>
  <c r="K133" i="274" s="1"/>
  <c r="K134" i="274" s="1"/>
  <c r="K135" i="274" s="1"/>
  <c r="K136" i="274" s="1"/>
  <c r="K137" i="274" s="1"/>
  <c r="K138" i="274" s="1"/>
  <c r="K139" i="274" s="1"/>
  <c r="K140" i="274" s="1"/>
  <c r="K141" i="274" s="1"/>
  <c r="K142" i="274" s="1"/>
  <c r="K143" i="274" s="1"/>
  <c r="K144" i="274" s="1"/>
  <c r="K145" i="274" s="1"/>
  <c r="K146" i="274" s="1"/>
  <c r="K147" i="274" s="1"/>
  <c r="K148" i="274" s="1"/>
  <c r="K149" i="274" s="1"/>
  <c r="K150" i="274" s="1"/>
  <c r="K151" i="274" s="1"/>
  <c r="K152" i="274" s="1"/>
  <c r="K153" i="274" s="1"/>
  <c r="K154" i="274" s="1"/>
  <c r="K155" i="274" s="1"/>
  <c r="K156" i="274" s="1"/>
  <c r="K157" i="274" s="1"/>
  <c r="K158" i="274" s="1"/>
  <c r="K159" i="274" s="1"/>
  <c r="K160" i="274" s="1"/>
  <c r="K161" i="274" s="1"/>
  <c r="K162" i="274" s="1"/>
  <c r="K163" i="274" s="1"/>
  <c r="K164" i="274" s="1"/>
  <c r="K165" i="274" s="1"/>
  <c r="K166" i="274" s="1"/>
  <c r="K167" i="274" s="1"/>
  <c r="K168" i="274" s="1"/>
  <c r="K169" i="274" s="1"/>
  <c r="K170" i="274" s="1"/>
  <c r="B22" i="274"/>
  <c r="D23" i="274"/>
  <c r="H23" i="274"/>
  <c r="H22" i="274"/>
  <c r="AJ34" i="273"/>
  <c r="AB34" i="273"/>
  <c r="T34" i="273"/>
  <c r="P34" i="273"/>
  <c r="L34" i="273"/>
  <c r="H34" i="273"/>
  <c r="D34" i="273"/>
  <c r="AJ33" i="273"/>
  <c r="AB33" i="273"/>
  <c r="T33" i="273"/>
  <c r="P33" i="273"/>
  <c r="L33" i="273"/>
  <c r="H33" i="273"/>
  <c r="D33" i="273"/>
  <c r="AJ32" i="273"/>
  <c r="AB32" i="273"/>
  <c r="T32" i="273"/>
  <c r="P32" i="273"/>
  <c r="L32" i="273"/>
  <c r="H32" i="273"/>
  <c r="D32" i="273"/>
  <c r="AJ31" i="273"/>
  <c r="AB31" i="273"/>
  <c r="T31" i="273"/>
  <c r="P31" i="273"/>
  <c r="L31" i="273"/>
  <c r="H31" i="273"/>
  <c r="D31" i="273"/>
  <c r="AN30" i="273"/>
  <c r="AJ30" i="273"/>
  <c r="AB30" i="273"/>
  <c r="T30" i="273"/>
  <c r="P30" i="273"/>
  <c r="L30" i="273"/>
  <c r="H30" i="273"/>
  <c r="D30" i="273"/>
  <c r="AN29" i="273"/>
  <c r="AJ29" i="273"/>
  <c r="AB29" i="273"/>
  <c r="T29" i="273"/>
  <c r="P29" i="273"/>
  <c r="L29" i="273"/>
  <c r="H29" i="273"/>
  <c r="D29" i="273"/>
  <c r="AN28" i="273"/>
  <c r="AJ28" i="273"/>
  <c r="AB28" i="273"/>
  <c r="T28" i="273"/>
  <c r="P28" i="273"/>
  <c r="L28" i="273"/>
  <c r="H28" i="273"/>
  <c r="D28" i="273"/>
  <c r="AN27" i="273"/>
  <c r="AJ27" i="273"/>
  <c r="AB27" i="273"/>
  <c r="T27" i="273"/>
  <c r="P27" i="273"/>
  <c r="L27" i="273"/>
  <c r="H27" i="273"/>
  <c r="D27" i="273"/>
  <c r="AN26" i="273"/>
  <c r="AJ26" i="273"/>
  <c r="AB26" i="273"/>
  <c r="T26" i="273"/>
  <c r="P26" i="273"/>
  <c r="L26" i="273"/>
  <c r="H26" i="273"/>
  <c r="D26" i="273"/>
  <c r="AN25" i="273"/>
  <c r="AJ25" i="273"/>
  <c r="AB25" i="273"/>
  <c r="T25" i="273"/>
  <c r="P25" i="273"/>
  <c r="L25" i="273"/>
  <c r="H25" i="273"/>
  <c r="D25" i="273"/>
  <c r="AN24" i="273"/>
  <c r="AJ24" i="273"/>
  <c r="AB24" i="273"/>
  <c r="T24" i="273"/>
  <c r="P24" i="273"/>
  <c r="L24" i="273"/>
  <c r="H24" i="273"/>
  <c r="D24" i="273"/>
  <c r="AN23" i="273"/>
  <c r="AJ23" i="273"/>
  <c r="AB23" i="273"/>
  <c r="T23" i="273"/>
  <c r="P23" i="273"/>
  <c r="L23" i="273"/>
  <c r="H23" i="273"/>
  <c r="D23" i="273"/>
  <c r="AN22" i="273"/>
  <c r="AJ22" i="273"/>
  <c r="AB22" i="273"/>
  <c r="T22" i="273"/>
  <c r="P22" i="273"/>
  <c r="L22" i="273"/>
  <c r="H22" i="273"/>
  <c r="D22" i="273"/>
  <c r="AN21" i="273"/>
  <c r="AJ21" i="273"/>
  <c r="AB21" i="273"/>
  <c r="T21" i="273"/>
  <c r="P21" i="273"/>
  <c r="L21" i="273"/>
  <c r="H21" i="273"/>
  <c r="D21" i="273"/>
  <c r="AN20" i="273"/>
  <c r="AJ20" i="273"/>
  <c r="AB20" i="273"/>
  <c r="T20" i="273"/>
  <c r="P20" i="273"/>
  <c r="L20" i="273"/>
  <c r="H20" i="273"/>
  <c r="D20" i="273"/>
  <c r="AN19" i="273"/>
  <c r="AJ19" i="273"/>
  <c r="AB19" i="273"/>
  <c r="T19" i="273"/>
  <c r="P19" i="273"/>
  <c r="L19" i="273"/>
  <c r="H19" i="273"/>
  <c r="D19" i="273"/>
  <c r="AN18" i="273"/>
  <c r="AJ18" i="273"/>
  <c r="AB18" i="273"/>
  <c r="T18" i="273"/>
  <c r="P18" i="273"/>
  <c r="L18" i="273"/>
  <c r="H18" i="273"/>
  <c r="D18" i="273"/>
  <c r="AN17" i="273"/>
  <c r="AJ17" i="273"/>
  <c r="AB17" i="273"/>
  <c r="T17" i="273"/>
  <c r="P17" i="273"/>
  <c r="L17" i="273"/>
  <c r="H17" i="273"/>
  <c r="D17" i="273"/>
  <c r="AN16" i="273"/>
  <c r="AJ16" i="273"/>
  <c r="AB16" i="273"/>
  <c r="T16" i="273"/>
  <c r="L16" i="273"/>
  <c r="H16" i="273"/>
  <c r="D16" i="273"/>
  <c r="AN15" i="273"/>
  <c r="AJ15" i="273"/>
  <c r="AB15" i="273"/>
  <c r="T15" i="273"/>
  <c r="P15" i="273"/>
  <c r="L15" i="273"/>
  <c r="H15" i="273"/>
  <c r="D15" i="273"/>
  <c r="AN14" i="273"/>
  <c r="AJ14" i="273"/>
  <c r="AB14" i="273"/>
  <c r="T14" i="273"/>
  <c r="P14" i="273"/>
  <c r="L14" i="273"/>
  <c r="H14" i="273"/>
  <c r="D14" i="273"/>
  <c r="AN13" i="273"/>
  <c r="AJ13" i="273"/>
  <c r="AB13" i="273"/>
  <c r="T13" i="273"/>
  <c r="P13" i="273"/>
  <c r="L13" i="273"/>
  <c r="H13" i="273"/>
  <c r="D13" i="273"/>
  <c r="AN12" i="273"/>
  <c r="AJ12" i="273"/>
  <c r="AB12" i="273"/>
  <c r="T12" i="273"/>
  <c r="P12" i="273"/>
  <c r="L12" i="273"/>
  <c r="H12" i="273"/>
  <c r="D12" i="273"/>
  <c r="AN11" i="273"/>
  <c r="AJ11" i="273"/>
  <c r="AB11" i="273"/>
  <c r="X11" i="273"/>
  <c r="T11" i="273"/>
  <c r="P11" i="273"/>
  <c r="L11" i="273"/>
  <c r="H11" i="273"/>
  <c r="D11" i="273"/>
  <c r="AN10" i="273"/>
  <c r="AJ10" i="273"/>
  <c r="AB10" i="273"/>
  <c r="X10" i="273"/>
  <c r="T10" i="273"/>
  <c r="P10" i="273"/>
  <c r="L10" i="273"/>
  <c r="H10" i="273"/>
  <c r="D10" i="273"/>
  <c r="AN9" i="273"/>
  <c r="AJ9" i="273"/>
  <c r="AB9" i="273"/>
  <c r="X9" i="273"/>
  <c r="T9" i="273"/>
  <c r="P9" i="273"/>
  <c r="L9" i="273"/>
  <c r="H9" i="273"/>
  <c r="D9" i="273"/>
  <c r="AN8" i="273"/>
  <c r="AJ8" i="273"/>
  <c r="AB8" i="273"/>
  <c r="X8" i="273"/>
  <c r="T8" i="273"/>
  <c r="P8" i="273"/>
  <c r="L8" i="273"/>
  <c r="H8" i="273"/>
  <c r="D8" i="273"/>
  <c r="AN7" i="273"/>
  <c r="AJ7" i="273"/>
  <c r="AB7" i="273"/>
  <c r="X7" i="273"/>
  <c r="T7" i="273"/>
  <c r="P7" i="273"/>
  <c r="L7" i="273"/>
  <c r="H7" i="273"/>
  <c r="D7" i="273"/>
  <c r="AN6" i="273"/>
  <c r="AJ6" i="273"/>
  <c r="AF6" i="273"/>
  <c r="AF36" i="273" s="1"/>
  <c r="AB6" i="273"/>
  <c r="T6" i="273"/>
  <c r="P6" i="273"/>
  <c r="L6" i="273"/>
  <c r="H6" i="273"/>
  <c r="D6" i="273"/>
  <c r="P36" i="273" l="1"/>
  <c r="L36" i="273"/>
  <c r="X36" i="273"/>
  <c r="D36" i="273"/>
  <c r="T36" i="273"/>
  <c r="AN36" i="273"/>
  <c r="D12" i="274"/>
  <c r="E13" i="274"/>
  <c r="D13" i="274"/>
  <c r="E12" i="274"/>
  <c r="J12" i="274"/>
  <c r="F12" i="274"/>
  <c r="H13" i="274"/>
  <c r="G12" i="274"/>
  <c r="B23" i="274"/>
  <c r="B24" i="274" s="1"/>
  <c r="B25" i="274" s="1"/>
  <c r="B26" i="274" s="1"/>
  <c r="B27" i="274" s="1"/>
  <c r="B28" i="274" s="1"/>
  <c r="B29" i="274" s="1"/>
  <c r="B30" i="274" s="1"/>
  <c r="B31" i="274" s="1"/>
  <c r="B32" i="274" s="1"/>
  <c r="B33" i="274" s="1"/>
  <c r="B34" i="274" s="1"/>
  <c r="B35" i="274" s="1"/>
  <c r="B36" i="274" s="1"/>
  <c r="B37" i="274" s="1"/>
  <c r="B38" i="274" s="1"/>
  <c r="B39" i="274" s="1"/>
  <c r="B40" i="274" s="1"/>
  <c r="B41" i="274" s="1"/>
  <c r="B42" i="274" s="1"/>
  <c r="B43" i="274" s="1"/>
  <c r="B44" i="274" s="1"/>
  <c r="B45" i="274" s="1"/>
  <c r="B46" i="274" s="1"/>
  <c r="B47" i="274" s="1"/>
  <c r="B48" i="274" s="1"/>
  <c r="B49" i="274" s="1"/>
  <c r="B50" i="274" s="1"/>
  <c r="B51" i="274" s="1"/>
  <c r="B52" i="274" s="1"/>
  <c r="B53" i="274" s="1"/>
  <c r="B54" i="274" s="1"/>
  <c r="B55" i="274" s="1"/>
  <c r="B56" i="274" s="1"/>
  <c r="B57" i="274" s="1"/>
  <c r="B58" i="274" s="1"/>
  <c r="B59" i="274" s="1"/>
  <c r="B60" i="274" s="1"/>
  <c r="B61" i="274" s="1"/>
  <c r="B62" i="274" s="1"/>
  <c r="B63" i="274" s="1"/>
  <c r="B64" i="274" s="1"/>
  <c r="B65" i="274" s="1"/>
  <c r="B66" i="274" s="1"/>
  <c r="B67" i="274" s="1"/>
  <c r="B68" i="274" s="1"/>
  <c r="B69" i="274" s="1"/>
  <c r="B70" i="274" s="1"/>
  <c r="B71" i="274" s="1"/>
  <c r="B72" i="274" s="1"/>
  <c r="B73" i="274" s="1"/>
  <c r="B74" i="274" s="1"/>
  <c r="B75" i="274" s="1"/>
  <c r="B76" i="274" s="1"/>
  <c r="B77" i="274" s="1"/>
  <c r="B78" i="274" s="1"/>
  <c r="B79" i="274" s="1"/>
  <c r="B80" i="274" s="1"/>
  <c r="B81" i="274" s="1"/>
  <c r="B82" i="274" s="1"/>
  <c r="B83" i="274" s="1"/>
  <c r="B84" i="274" s="1"/>
  <c r="B85" i="274" s="1"/>
  <c r="B86" i="274" s="1"/>
  <c r="B87" i="274" s="1"/>
  <c r="B88" i="274" s="1"/>
  <c r="B89" i="274" s="1"/>
  <c r="B90" i="274" s="1"/>
  <c r="B91" i="274" s="1"/>
  <c r="B92" i="274" s="1"/>
  <c r="B93" i="274" s="1"/>
  <c r="B94" i="274" s="1"/>
  <c r="B95" i="274" s="1"/>
  <c r="B96" i="274" s="1"/>
  <c r="B97" i="274" s="1"/>
  <c r="B98" i="274" s="1"/>
  <c r="B99" i="274" s="1"/>
  <c r="B100" i="274" s="1"/>
  <c r="B101" i="274" s="1"/>
  <c r="B102" i="274" s="1"/>
  <c r="B103" i="274" s="1"/>
  <c r="B104" i="274" s="1"/>
  <c r="B105" i="274" s="1"/>
  <c r="B106" i="274" s="1"/>
  <c r="B107" i="274" s="1"/>
  <c r="B108" i="274" s="1"/>
  <c r="B109" i="274" s="1"/>
  <c r="B110" i="274" s="1"/>
  <c r="B111" i="274" s="1"/>
  <c r="B112" i="274" s="1"/>
  <c r="B113" i="274" s="1"/>
  <c r="B114" i="274" s="1"/>
  <c r="B115" i="274" s="1"/>
  <c r="B116" i="274" s="1"/>
  <c r="B117" i="274" s="1"/>
  <c r="B118" i="274" s="1"/>
  <c r="B119" i="274" s="1"/>
  <c r="B120" i="274" s="1"/>
  <c r="B121" i="274" s="1"/>
  <c r="B122" i="274" s="1"/>
  <c r="B123" i="274" s="1"/>
  <c r="B124" i="274" s="1"/>
  <c r="B125" i="274" s="1"/>
  <c r="B126" i="274" s="1"/>
  <c r="B127" i="274" s="1"/>
  <c r="B128" i="274" s="1"/>
  <c r="B129" i="274" s="1"/>
  <c r="B130" i="274" s="1"/>
  <c r="B131" i="274" s="1"/>
  <c r="B132" i="274" s="1"/>
  <c r="B133" i="274" s="1"/>
  <c r="B134" i="274" s="1"/>
  <c r="B135" i="274" s="1"/>
  <c r="B136" i="274" s="1"/>
  <c r="B137" i="274" s="1"/>
  <c r="B138" i="274" s="1"/>
  <c r="B139" i="274" s="1"/>
  <c r="B140" i="274" s="1"/>
  <c r="B141" i="274" s="1"/>
  <c r="B142" i="274" s="1"/>
  <c r="B143" i="274" s="1"/>
  <c r="B144" i="274" s="1"/>
  <c r="B145" i="274" s="1"/>
  <c r="B146" i="274" s="1"/>
  <c r="B147" i="274" s="1"/>
  <c r="B148" i="274" s="1"/>
  <c r="B149" i="274" s="1"/>
  <c r="B150" i="274" s="1"/>
  <c r="B151" i="274" s="1"/>
  <c r="B152" i="274" s="1"/>
  <c r="B153" i="274" s="1"/>
  <c r="B154" i="274" s="1"/>
  <c r="B155" i="274" s="1"/>
  <c r="B156" i="274" s="1"/>
  <c r="B157" i="274" s="1"/>
  <c r="B158" i="274" s="1"/>
  <c r="B159" i="274" s="1"/>
  <c r="B160" i="274" s="1"/>
  <c r="B161" i="274" s="1"/>
  <c r="B162" i="274" s="1"/>
  <c r="B163" i="274" s="1"/>
  <c r="B164" i="274" s="1"/>
  <c r="B165" i="274" s="1"/>
  <c r="B166" i="274" s="1"/>
  <c r="B167" i="274" s="1"/>
  <c r="B168" i="274" s="1"/>
  <c r="B169" i="274" s="1"/>
  <c r="B170" i="274" s="1"/>
  <c r="G13" i="274"/>
  <c r="F13" i="274"/>
  <c r="J13" i="274"/>
  <c r="H12" i="274"/>
  <c r="K12" i="274"/>
  <c r="K13" i="274"/>
  <c r="I13" i="274"/>
  <c r="AB36" i="273"/>
  <c r="H36" i="273"/>
  <c r="AJ36" i="273"/>
  <c r="M16" i="274" l="1"/>
  <c r="N16" i="274"/>
  <c r="D14" i="274"/>
  <c r="E14" i="274"/>
  <c r="F38" i="273"/>
  <c r="N12" i="274"/>
  <c r="N13" i="274"/>
  <c r="M12" i="274"/>
  <c r="M13" i="274"/>
  <c r="I14" i="274"/>
  <c r="H14" i="274"/>
  <c r="G14" i="274"/>
  <c r="J14" i="274"/>
  <c r="F14" i="274"/>
  <c r="K14" i="274"/>
  <c r="M17" i="274" l="1"/>
  <c r="C8" i="272"/>
  <c r="C55" i="273"/>
  <c r="N17" i="274"/>
  <c r="N18" i="274" s="1"/>
  <c r="M18" i="274"/>
  <c r="N14" i="274"/>
  <c r="N15" i="274" s="1"/>
  <c r="M14" i="274"/>
  <c r="M15" i="274" s="1"/>
  <c r="D28" i="272" l="1"/>
  <c r="C14" i="272"/>
  <c r="C16" i="272" s="1"/>
  <c r="F13" i="272"/>
  <c r="F28" i="272" s="1"/>
  <c r="E13" i="272"/>
  <c r="E28" i="272" s="1"/>
  <c r="C5" i="272"/>
  <c r="G13" i="272" l="1"/>
  <c r="D14" i="272"/>
  <c r="C18" i="272"/>
  <c r="C19" i="272"/>
  <c r="C24" i="272" s="1"/>
  <c r="D16" i="272" l="1"/>
  <c r="D15" i="272"/>
  <c r="E14" i="272"/>
  <c r="C26" i="272"/>
  <c r="C23" i="272"/>
  <c r="G28" i="272"/>
  <c r="H13" i="272"/>
  <c r="C21" i="272"/>
  <c r="H28" i="272" l="1"/>
  <c r="I13" i="272"/>
  <c r="E15" i="272"/>
  <c r="F14" i="272"/>
  <c r="E16" i="272"/>
  <c r="D19" i="272"/>
  <c r="D21" i="272" s="1"/>
  <c r="D22" i="272" s="1"/>
  <c r="D17" i="272"/>
  <c r="D18" i="272"/>
  <c r="F15" i="272" l="1"/>
  <c r="F16" i="272"/>
  <c r="G14" i="272"/>
  <c r="I28" i="272"/>
  <c r="J13" i="272"/>
  <c r="D24" i="272"/>
  <c r="D20" i="272"/>
  <c r="D33" i="272"/>
  <c r="D39" i="272"/>
  <c r="E17" i="272"/>
  <c r="E18" i="272"/>
  <c r="E19" i="272"/>
  <c r="E21" i="272" s="1"/>
  <c r="E22" i="272" s="1"/>
  <c r="G15" i="272" l="1"/>
  <c r="G16" i="272"/>
  <c r="H14" i="272"/>
  <c r="F17" i="272"/>
  <c r="F18" i="272"/>
  <c r="F19" i="272"/>
  <c r="D23" i="272"/>
  <c r="D26" i="272"/>
  <c r="E24" i="272"/>
  <c r="E20" i="272"/>
  <c r="E39" i="272"/>
  <c r="E48" i="272" s="1"/>
  <c r="E33" i="272"/>
  <c r="D48" i="272"/>
  <c r="J28" i="272"/>
  <c r="K13" i="272"/>
  <c r="K28" i="272" l="1"/>
  <c r="L13" i="272"/>
  <c r="G18" i="272"/>
  <c r="G19" i="272"/>
  <c r="G21" i="272" s="1"/>
  <c r="G17" i="272"/>
  <c r="F24" i="272"/>
  <c r="F20" i="272"/>
  <c r="F39" i="272"/>
  <c r="F48" i="272" s="1"/>
  <c r="F33" i="272"/>
  <c r="H16" i="272"/>
  <c r="H15" i="272"/>
  <c r="I14" i="272"/>
  <c r="E26" i="272"/>
  <c r="E23" i="272"/>
  <c r="F21" i="272"/>
  <c r="F22" i="272" s="1"/>
  <c r="G22" i="272" l="1"/>
  <c r="L28" i="272"/>
  <c r="M13" i="272"/>
  <c r="F26" i="272"/>
  <c r="F23" i="272"/>
  <c r="G24" i="272"/>
  <c r="G20" i="272"/>
  <c r="G33" i="272"/>
  <c r="G39" i="272"/>
  <c r="H19" i="272"/>
  <c r="H17" i="272"/>
  <c r="H18" i="272"/>
  <c r="I15" i="272"/>
  <c r="J14" i="272"/>
  <c r="I16" i="272"/>
  <c r="H24" i="272" l="1"/>
  <c r="H20" i="272"/>
  <c r="H33" i="272"/>
  <c r="H39" i="272"/>
  <c r="H48" i="272" s="1"/>
  <c r="M28" i="272"/>
  <c r="N13" i="272"/>
  <c r="J15" i="272"/>
  <c r="J16" i="272"/>
  <c r="K14" i="272"/>
  <c r="G48" i="272"/>
  <c r="H21" i="272"/>
  <c r="H22" i="272" s="1"/>
  <c r="I17" i="272"/>
  <c r="I18" i="272"/>
  <c r="I19" i="272"/>
  <c r="G26" i="272"/>
  <c r="G23" i="272"/>
  <c r="I24" i="272" l="1"/>
  <c r="I20" i="272"/>
  <c r="I33" i="272"/>
  <c r="I39" i="272"/>
  <c r="J17" i="272"/>
  <c r="J18" i="272"/>
  <c r="J19" i="272"/>
  <c r="J21" i="272" s="1"/>
  <c r="D50" i="272"/>
  <c r="N28" i="272"/>
  <c r="O13" i="272"/>
  <c r="I21" i="272"/>
  <c r="I22" i="272" s="1"/>
  <c r="K15" i="272"/>
  <c r="K16" i="272"/>
  <c r="L14" i="272"/>
  <c r="H49" i="272"/>
  <c r="D51" i="272" s="1"/>
  <c r="H26" i="272"/>
  <c r="H23" i="272"/>
  <c r="L16" i="272" l="1"/>
  <c r="M14" i="272"/>
  <c r="L15" i="272"/>
  <c r="O28" i="272"/>
  <c r="P13" i="272"/>
  <c r="J24" i="272"/>
  <c r="J20" i="272"/>
  <c r="J33" i="272"/>
  <c r="J39" i="272"/>
  <c r="K18" i="272"/>
  <c r="K19" i="272"/>
  <c r="K21" i="272" s="1"/>
  <c r="K22" i="272" s="1"/>
  <c r="K17" i="272"/>
  <c r="J22" i="272"/>
  <c r="D52" i="272"/>
  <c r="I26" i="272"/>
  <c r="I23" i="272"/>
  <c r="J26" i="272" l="1"/>
  <c r="J23" i="272"/>
  <c r="M15" i="272"/>
  <c r="M16" i="272"/>
  <c r="N14" i="272"/>
  <c r="K24" i="272"/>
  <c r="K20" i="272"/>
  <c r="K33" i="272"/>
  <c r="K39" i="272"/>
  <c r="P28" i="272"/>
  <c r="Q13" i="272"/>
  <c r="L19" i="272"/>
  <c r="L17" i="272"/>
  <c r="L18" i="272"/>
  <c r="Q28" i="272" l="1"/>
  <c r="R13" i="272"/>
  <c r="L24" i="272"/>
  <c r="L20" i="272"/>
  <c r="L33" i="272"/>
  <c r="L39" i="272"/>
  <c r="K26" i="272"/>
  <c r="K23" i="272"/>
  <c r="N15" i="272"/>
  <c r="N16" i="272"/>
  <c r="O14" i="272"/>
  <c r="L21" i="272"/>
  <c r="L22" i="272" s="1"/>
  <c r="M17" i="272"/>
  <c r="M18" i="272"/>
  <c r="M19" i="272"/>
  <c r="M21" i="272" s="1"/>
  <c r="M22" i="272" l="1"/>
  <c r="L26" i="272"/>
  <c r="L23" i="272"/>
  <c r="R28" i="272"/>
  <c r="S13" i="272"/>
  <c r="O15" i="272"/>
  <c r="O16" i="272"/>
  <c r="P14" i="272"/>
  <c r="N17" i="272"/>
  <c r="N18" i="272"/>
  <c r="N19" i="272"/>
  <c r="M24" i="272"/>
  <c r="M20" i="272"/>
  <c r="M33" i="272"/>
  <c r="M39" i="272"/>
  <c r="D41" i="272" s="1"/>
  <c r="S28" i="272" l="1"/>
  <c r="T13" i="272"/>
  <c r="N24" i="272"/>
  <c r="N20" i="272"/>
  <c r="N33" i="272"/>
  <c r="P16" i="272"/>
  <c r="Q14" i="272"/>
  <c r="P15" i="272"/>
  <c r="M26" i="272"/>
  <c r="C25" i="272"/>
  <c r="D25" i="272" s="1"/>
  <c r="M23" i="272"/>
  <c r="M40" i="272"/>
  <c r="D42" i="272" s="1"/>
  <c r="D43" i="272" s="1"/>
  <c r="N21" i="272"/>
  <c r="N22" i="272" s="1"/>
  <c r="O18" i="272"/>
  <c r="O19" i="272"/>
  <c r="O21" i="272" s="1"/>
  <c r="O17" i="272"/>
  <c r="O22" i="272" l="1"/>
  <c r="P19" i="272"/>
  <c r="P17" i="272"/>
  <c r="P18" i="272"/>
  <c r="T28" i="272"/>
  <c r="U13" i="272"/>
  <c r="Q15" i="272"/>
  <c r="R14" i="272"/>
  <c r="Q16" i="272"/>
  <c r="N26" i="272"/>
  <c r="N23" i="272"/>
  <c r="O24" i="272"/>
  <c r="O20" i="272"/>
  <c r="O33" i="272"/>
  <c r="O23" i="272" l="1"/>
  <c r="O26" i="272"/>
  <c r="R15" i="272"/>
  <c r="R16" i="272"/>
  <c r="S14" i="272"/>
  <c r="U28" i="272"/>
  <c r="V13" i="272"/>
  <c r="P24" i="272"/>
  <c r="P20" i="272"/>
  <c r="P33" i="272"/>
  <c r="Q17" i="272"/>
  <c r="Q18" i="272"/>
  <c r="Q19" i="272"/>
  <c r="Q21" i="272" s="1"/>
  <c r="P21" i="272"/>
  <c r="P22" i="272" s="1"/>
  <c r="P26" i="272" l="1"/>
  <c r="P23" i="272"/>
  <c r="R17" i="272"/>
  <c r="R18" i="272"/>
  <c r="R19" i="272"/>
  <c r="R21" i="272" s="1"/>
  <c r="R22" i="272" s="1"/>
  <c r="Q22" i="272"/>
  <c r="V28" i="272"/>
  <c r="W13" i="272"/>
  <c r="Q24" i="272"/>
  <c r="Q20" i="272"/>
  <c r="Q33" i="272"/>
  <c r="S15" i="272"/>
  <c r="S16" i="272"/>
  <c r="T14" i="272"/>
  <c r="T16" i="272" l="1"/>
  <c r="T15" i="272"/>
  <c r="U14" i="272"/>
  <c r="Q26" i="272"/>
  <c r="Q23" i="272"/>
  <c r="R24" i="272"/>
  <c r="R20" i="272"/>
  <c r="R33" i="272"/>
  <c r="S18" i="272"/>
  <c r="S19" i="272"/>
  <c r="S17" i="272"/>
  <c r="W28" i="272"/>
  <c r="X13" i="272"/>
  <c r="S24" i="272" l="1"/>
  <c r="S20" i="272"/>
  <c r="S33" i="272"/>
  <c r="X28" i="272"/>
  <c r="Y13" i="272"/>
  <c r="R26" i="272"/>
  <c r="R23" i="272"/>
  <c r="U15" i="272"/>
  <c r="V14" i="272"/>
  <c r="U16" i="272"/>
  <c r="S21" i="272"/>
  <c r="S22" i="272" s="1"/>
  <c r="T19" i="272"/>
  <c r="T17" i="272"/>
  <c r="T18" i="272"/>
  <c r="T24" i="272" l="1"/>
  <c r="T20" i="272"/>
  <c r="T33" i="272"/>
  <c r="U17" i="272"/>
  <c r="U18" i="272"/>
  <c r="U19" i="272"/>
  <c r="U21" i="272" s="1"/>
  <c r="T21" i="272"/>
  <c r="T22" i="272" s="1"/>
  <c r="V15" i="272"/>
  <c r="V16" i="272"/>
  <c r="W14" i="272"/>
  <c r="Y28" i="272"/>
  <c r="Z13" i="272"/>
  <c r="S26" i="272"/>
  <c r="S23" i="272"/>
  <c r="U22" i="272" l="1"/>
  <c r="U24" i="272"/>
  <c r="U20" i="272"/>
  <c r="U33" i="272"/>
  <c r="Z28" i="272"/>
  <c r="AA13" i="272"/>
  <c r="W15" i="272"/>
  <c r="W16" i="272"/>
  <c r="X14" i="272"/>
  <c r="V17" i="272"/>
  <c r="V18" i="272"/>
  <c r="V19" i="272"/>
  <c r="T26" i="272"/>
  <c r="T23" i="272"/>
  <c r="V24" i="272" l="1"/>
  <c r="V20" i="272"/>
  <c r="V33" i="272"/>
  <c r="X16" i="272"/>
  <c r="X15" i="272"/>
  <c r="Y14" i="272"/>
  <c r="W21" i="272"/>
  <c r="W18" i="272"/>
  <c r="W19" i="272"/>
  <c r="W17" i="272"/>
  <c r="V21" i="272"/>
  <c r="V22" i="272" s="1"/>
  <c r="AA28" i="272"/>
  <c r="AB13" i="272"/>
  <c r="U26" i="272"/>
  <c r="U23" i="272"/>
  <c r="W22" i="272" l="1"/>
  <c r="X19" i="272"/>
  <c r="X17" i="272"/>
  <c r="X18" i="272"/>
  <c r="Y15" i="272"/>
  <c r="Z14" i="272"/>
  <c r="Y16" i="272"/>
  <c r="AB28" i="272"/>
  <c r="AC13" i="272"/>
  <c r="W24" i="272"/>
  <c r="W20" i="272"/>
  <c r="W33" i="272"/>
  <c r="V26" i="272"/>
  <c r="V23" i="272"/>
  <c r="W26" i="272" l="1"/>
  <c r="W23" i="272"/>
  <c r="Z15" i="272"/>
  <c r="Z16" i="272"/>
  <c r="AA14" i="272"/>
  <c r="X24" i="272"/>
  <c r="X20" i="272"/>
  <c r="X33" i="272"/>
  <c r="Y17" i="272"/>
  <c r="Y18" i="272"/>
  <c r="Y19" i="272"/>
  <c r="Y21" i="272" s="1"/>
  <c r="AC28" i="272"/>
  <c r="AD13" i="272"/>
  <c r="X21" i="272"/>
  <c r="X22" i="272" s="1"/>
  <c r="Z17" i="272" l="1"/>
  <c r="Z18" i="272"/>
  <c r="Z19" i="272"/>
  <c r="Z21" i="272" s="1"/>
  <c r="Z22" i="272" s="1"/>
  <c r="X26" i="272"/>
  <c r="X23" i="272"/>
  <c r="AD28" i="272"/>
  <c r="AE13" i="272"/>
  <c r="Y22" i="272"/>
  <c r="Y24" i="272"/>
  <c r="Y20" i="272"/>
  <c r="Y33" i="272"/>
  <c r="AA15" i="272"/>
  <c r="AA16" i="272"/>
  <c r="AB14" i="272"/>
  <c r="AB16" i="272" l="1"/>
  <c r="AC14" i="272"/>
  <c r="AB15" i="272"/>
  <c r="AA18" i="272"/>
  <c r="AA19" i="272"/>
  <c r="AA17" i="272"/>
  <c r="Y26" i="272"/>
  <c r="Y23" i="272"/>
  <c r="Z24" i="272"/>
  <c r="Z20" i="272"/>
  <c r="Z33" i="272"/>
  <c r="AE28" i="272"/>
  <c r="AF13" i="272"/>
  <c r="AF28" i="272" l="1"/>
  <c r="AG13" i="272"/>
  <c r="AA24" i="272"/>
  <c r="AA20" i="272"/>
  <c r="AA33" i="272"/>
  <c r="Z26" i="272"/>
  <c r="Z23" i="272"/>
  <c r="AC15" i="272"/>
  <c r="AC16" i="272"/>
  <c r="AD14" i="272"/>
  <c r="AA21" i="272"/>
  <c r="AA22" i="272" s="1"/>
  <c r="AB19" i="272"/>
  <c r="AB17" i="272"/>
  <c r="AB18" i="272"/>
  <c r="AD15" i="272" l="1"/>
  <c r="AD16" i="272"/>
  <c r="AE14" i="272"/>
  <c r="AA23" i="272"/>
  <c r="AA26" i="272"/>
  <c r="AB24" i="272"/>
  <c r="AB20" i="272"/>
  <c r="AB33" i="272"/>
  <c r="AC17" i="272"/>
  <c r="AC18" i="272"/>
  <c r="AC19" i="272"/>
  <c r="AG28" i="272"/>
  <c r="AH13" i="272"/>
  <c r="AB21" i="272"/>
  <c r="AB22" i="272" s="1"/>
  <c r="AE15" i="272" l="1"/>
  <c r="AE16" i="272"/>
  <c r="AF14" i="272"/>
  <c r="AC24" i="272"/>
  <c r="AC20" i="272"/>
  <c r="AC33" i="272"/>
  <c r="AB26" i="272"/>
  <c r="AB23" i="272"/>
  <c r="AD17" i="272"/>
  <c r="AD18" i="272"/>
  <c r="AD19" i="272"/>
  <c r="AH28" i="272"/>
  <c r="AI13" i="272"/>
  <c r="AC21" i="272"/>
  <c r="AC22" i="272" s="1"/>
  <c r="AD24" i="272" l="1"/>
  <c r="AD20" i="272"/>
  <c r="AD33" i="272"/>
  <c r="AE18" i="272"/>
  <c r="AE19" i="272"/>
  <c r="AE21" i="272" s="1"/>
  <c r="AE17" i="272"/>
  <c r="AC26" i="272"/>
  <c r="AC23" i="272"/>
  <c r="AD21" i="272"/>
  <c r="AD22" i="272" s="1"/>
  <c r="AF16" i="272"/>
  <c r="AG14" i="272"/>
  <c r="AF15" i="272"/>
  <c r="AI28" i="272"/>
  <c r="AJ13" i="272"/>
  <c r="AE22" i="272" l="1"/>
  <c r="AJ28" i="272"/>
  <c r="AK13" i="272"/>
  <c r="AF19" i="272"/>
  <c r="AF21" i="272" s="1"/>
  <c r="AF22" i="272" s="1"/>
  <c r="AF17" i="272"/>
  <c r="AF18" i="272"/>
  <c r="AE24" i="272"/>
  <c r="AE20" i="272"/>
  <c r="AE33" i="272"/>
  <c r="AG15" i="272"/>
  <c r="AH14" i="272"/>
  <c r="AG16" i="272"/>
  <c r="AD26" i="272"/>
  <c r="AD23" i="272"/>
  <c r="AE23" i="272" l="1"/>
  <c r="AE26" i="272"/>
  <c r="AK28" i="272"/>
  <c r="AL13" i="272"/>
  <c r="AH15" i="272"/>
  <c r="AH16" i="272"/>
  <c r="AI14" i="272"/>
  <c r="AF24" i="272"/>
  <c r="AF20" i="272"/>
  <c r="AF33" i="272"/>
  <c r="AG17" i="272"/>
  <c r="AG18" i="272"/>
  <c r="AG19" i="272"/>
  <c r="AG21" i="272" s="1"/>
  <c r="AG22" i="272" s="1"/>
  <c r="AF26" i="272" l="1"/>
  <c r="AF23" i="272"/>
  <c r="AI15" i="272"/>
  <c r="AI16" i="272"/>
  <c r="AJ14" i="272"/>
  <c r="AG24" i="272"/>
  <c r="AG20" i="272"/>
  <c r="AG33" i="272"/>
  <c r="AH17" i="272"/>
  <c r="AH18" i="272"/>
  <c r="AH19" i="272"/>
  <c r="AL28" i="272"/>
  <c r="AM13" i="272"/>
  <c r="AH24" i="272" l="1"/>
  <c r="AH20" i="272"/>
  <c r="AH33" i="272"/>
  <c r="AI18" i="272"/>
  <c r="AI19" i="272"/>
  <c r="AI21" i="272" s="1"/>
  <c r="AI17" i="272"/>
  <c r="AM28" i="272"/>
  <c r="AN13" i="272"/>
  <c r="AH21" i="272"/>
  <c r="AH22" i="272" s="1"/>
  <c r="AG26" i="272"/>
  <c r="AG23" i="272"/>
  <c r="AJ16" i="272"/>
  <c r="AJ15" i="272"/>
  <c r="AK14" i="272"/>
  <c r="AI22" i="272" l="1"/>
  <c r="AI24" i="272"/>
  <c r="AI20" i="272"/>
  <c r="AI33" i="272"/>
  <c r="AK15" i="272"/>
  <c r="AL14" i="272"/>
  <c r="AK16" i="272"/>
  <c r="AJ19" i="272"/>
  <c r="AJ21" i="272" s="1"/>
  <c r="AJ22" i="272" s="1"/>
  <c r="AJ17" i="272"/>
  <c r="AJ18" i="272"/>
  <c r="AN28" i="272"/>
  <c r="AO13" i="272"/>
  <c r="AH26" i="272"/>
  <c r="AH23" i="272"/>
  <c r="AK17" i="272" l="1"/>
  <c r="AK18" i="272"/>
  <c r="AK19" i="272"/>
  <c r="AK21" i="272" s="1"/>
  <c r="AK22" i="272" s="1"/>
  <c r="AL15" i="272"/>
  <c r="AL16" i="272"/>
  <c r="AM14" i="272"/>
  <c r="AI26" i="272"/>
  <c r="AI23" i="272"/>
  <c r="AO28" i="272"/>
  <c r="AP13" i="272"/>
  <c r="AJ24" i="272"/>
  <c r="AJ20" i="272"/>
  <c r="AJ33" i="272"/>
  <c r="AP28" i="272" l="1"/>
  <c r="AQ13" i="272"/>
  <c r="AM15" i="272"/>
  <c r="AM16" i="272"/>
  <c r="AN14" i="272"/>
  <c r="AL17" i="272"/>
  <c r="AL18" i="272"/>
  <c r="AL19" i="272"/>
  <c r="AL21" i="272" s="1"/>
  <c r="AL22" i="272" s="1"/>
  <c r="AJ23" i="272"/>
  <c r="AJ26" i="272"/>
  <c r="AK24" i="272"/>
  <c r="AK20" i="272"/>
  <c r="AK33" i="272"/>
  <c r="AL24" i="272" l="1"/>
  <c r="AL20" i="272"/>
  <c r="AL33" i="272"/>
  <c r="AN16" i="272"/>
  <c r="AN15" i="272"/>
  <c r="AO14" i="272"/>
  <c r="AQ28" i="272"/>
  <c r="AR13" i="272"/>
  <c r="AK26" i="272"/>
  <c r="AK23" i="272"/>
  <c r="AM18" i="272"/>
  <c r="AM19" i="272"/>
  <c r="AM21" i="272" s="1"/>
  <c r="AM22" i="272" s="1"/>
  <c r="AM17" i="272"/>
  <c r="AR28" i="272" l="1"/>
  <c r="AS13" i="272"/>
  <c r="AO15" i="272"/>
  <c r="AP14" i="272"/>
  <c r="AO16" i="272"/>
  <c r="AN19" i="272"/>
  <c r="AN21" i="272" s="1"/>
  <c r="AN22" i="272" s="1"/>
  <c r="AN17" i="272"/>
  <c r="AN18" i="272"/>
  <c r="AM24" i="272"/>
  <c r="AM20" i="272"/>
  <c r="AM33" i="272"/>
  <c r="AL26" i="272"/>
  <c r="AL23" i="272"/>
  <c r="AP15" i="272" l="1"/>
  <c r="AP16" i="272"/>
  <c r="AQ14" i="272"/>
  <c r="AS28" i="272"/>
  <c r="AT13" i="272"/>
  <c r="AM26" i="272"/>
  <c r="AM23" i="272"/>
  <c r="AN24" i="272"/>
  <c r="AN20" i="272"/>
  <c r="AN33" i="272"/>
  <c r="AO17" i="272"/>
  <c r="AO18" i="272"/>
  <c r="AO19" i="272"/>
  <c r="AO21" i="272" s="1"/>
  <c r="AO22" i="272" s="1"/>
  <c r="AO24" i="272" l="1"/>
  <c r="AO20" i="272"/>
  <c r="AO33" i="272"/>
  <c r="AP17" i="272"/>
  <c r="AP18" i="272"/>
  <c r="AP19" i="272"/>
  <c r="AP21" i="272" s="1"/>
  <c r="AP22" i="272" s="1"/>
  <c r="AN26" i="272"/>
  <c r="AN23" i="272"/>
  <c r="AQ15" i="272"/>
  <c r="AQ16" i="272"/>
  <c r="AR14" i="272"/>
  <c r="AT28" i="272"/>
  <c r="AU13" i="272"/>
  <c r="AP24" i="272" l="1"/>
  <c r="AP20" i="272"/>
  <c r="AP33" i="272"/>
  <c r="AQ18" i="272"/>
  <c r="AQ19" i="272"/>
  <c r="AQ21" i="272" s="1"/>
  <c r="AQ22" i="272" s="1"/>
  <c r="AQ17" i="272"/>
  <c r="AO26" i="272"/>
  <c r="AO23" i="272"/>
  <c r="AU28" i="272"/>
  <c r="AV13" i="272"/>
  <c r="AR16" i="272"/>
  <c r="AS14" i="272"/>
  <c r="AR15" i="272"/>
  <c r="AV28" i="272" l="1"/>
  <c r="AW13" i="272"/>
  <c r="AS15" i="272"/>
  <c r="AS16" i="272"/>
  <c r="AT14" i="272"/>
  <c r="AQ24" i="272"/>
  <c r="AQ20" i="272"/>
  <c r="AQ33" i="272"/>
  <c r="AR19" i="272"/>
  <c r="AR17" i="272"/>
  <c r="AR18" i="272"/>
  <c r="AP26" i="272"/>
  <c r="AP23" i="272"/>
  <c r="AS17" i="272" l="1"/>
  <c r="AS18" i="272"/>
  <c r="AS19" i="272"/>
  <c r="AR24" i="272"/>
  <c r="AR20" i="272"/>
  <c r="AR33" i="272"/>
  <c r="AR21" i="272"/>
  <c r="AR22" i="272" s="1"/>
  <c r="AQ26" i="272"/>
  <c r="AQ23" i="272"/>
  <c r="AW28" i="272"/>
  <c r="AX13" i="272"/>
  <c r="AT15" i="272"/>
  <c r="AT16" i="272"/>
  <c r="AU14" i="272"/>
  <c r="AX28" i="272" l="1"/>
  <c r="AY13" i="272"/>
  <c r="AS24" i="272"/>
  <c r="AS20" i="272"/>
  <c r="AS33" i="272"/>
  <c r="AT17" i="272"/>
  <c r="AT18" i="272"/>
  <c r="AT19" i="272"/>
  <c r="AU15" i="272"/>
  <c r="AU16" i="272"/>
  <c r="AV14" i="272"/>
  <c r="AR26" i="272"/>
  <c r="AR23" i="272"/>
  <c r="AS21" i="272"/>
  <c r="AS22" i="272" s="1"/>
  <c r="AU18" i="272" l="1"/>
  <c r="AU19" i="272"/>
  <c r="AU17" i="272"/>
  <c r="AS26" i="272"/>
  <c r="AS23" i="272"/>
  <c r="AY28" i="272"/>
  <c r="AZ13" i="272"/>
  <c r="AT24" i="272"/>
  <c r="AT20" i="272"/>
  <c r="AT33" i="272"/>
  <c r="AV16" i="272"/>
  <c r="AW14" i="272"/>
  <c r="AV15" i="272"/>
  <c r="AT21" i="272"/>
  <c r="AT22" i="272" s="1"/>
  <c r="AT26" i="272" l="1"/>
  <c r="AT23" i="272"/>
  <c r="AU24" i="272"/>
  <c r="AU20" i="272"/>
  <c r="AU33" i="272"/>
  <c r="AW15" i="272"/>
  <c r="AX14" i="272"/>
  <c r="AW16" i="272"/>
  <c r="AV19" i="272"/>
  <c r="AV21" i="272" s="1"/>
  <c r="AV17" i="272"/>
  <c r="AV18" i="272"/>
  <c r="AZ28" i="272"/>
  <c r="BA13" i="272"/>
  <c r="AU21" i="272"/>
  <c r="AU22" i="272" s="1"/>
  <c r="AV22" i="272" l="1"/>
  <c r="AU23" i="272"/>
  <c r="AU26" i="272"/>
  <c r="AX15" i="272"/>
  <c r="AX16" i="272"/>
  <c r="AY14" i="272"/>
  <c r="BA28" i="272"/>
  <c r="BB13" i="272"/>
  <c r="AV24" i="272"/>
  <c r="AV20" i="272"/>
  <c r="AV33" i="272"/>
  <c r="AW17" i="272"/>
  <c r="AW18" i="272"/>
  <c r="AW19" i="272"/>
  <c r="AW21" i="272" s="1"/>
  <c r="AW22" i="272" s="1"/>
  <c r="BB28" i="272" l="1"/>
  <c r="BC13" i="272"/>
  <c r="AW24" i="272"/>
  <c r="AW20" i="272"/>
  <c r="AW33" i="272"/>
  <c r="AY15" i="272"/>
  <c r="AY16" i="272"/>
  <c r="AZ14" i="272"/>
  <c r="AV26" i="272"/>
  <c r="AV23" i="272"/>
  <c r="AX17" i="272"/>
  <c r="AX18" i="272"/>
  <c r="AX19" i="272"/>
  <c r="AY18" i="272" l="1"/>
  <c r="AY19" i="272"/>
  <c r="AY17" i="272"/>
  <c r="AX24" i="272"/>
  <c r="AX20" i="272"/>
  <c r="AX33" i="272"/>
  <c r="BC28" i="272"/>
  <c r="BD13" i="272"/>
  <c r="AW26" i="272"/>
  <c r="AW23" i="272"/>
  <c r="AX21" i="272"/>
  <c r="AX22" i="272" s="1"/>
  <c r="AZ16" i="272"/>
  <c r="AZ15" i="272"/>
  <c r="BA14" i="272"/>
  <c r="BA15" i="272" l="1"/>
  <c r="BB14" i="272"/>
  <c r="BA16" i="272"/>
  <c r="AY24" i="272"/>
  <c r="AY20" i="272"/>
  <c r="AY33" i="272"/>
  <c r="AZ19" i="272"/>
  <c r="AZ21" i="272" s="1"/>
  <c r="AZ17" i="272"/>
  <c r="AZ18" i="272"/>
  <c r="BD28" i="272"/>
  <c r="BE13" i="272"/>
  <c r="AX26" i="272"/>
  <c r="AX23" i="272"/>
  <c r="AY21" i="272"/>
  <c r="AY22" i="272" s="1"/>
  <c r="BB15" i="272" l="1"/>
  <c r="BB16" i="272"/>
  <c r="BC14" i="272"/>
  <c r="AZ22" i="272"/>
  <c r="BA17" i="272"/>
  <c r="BA18" i="272"/>
  <c r="BA19" i="272"/>
  <c r="BA21" i="272" s="1"/>
  <c r="BA22" i="272" s="1"/>
  <c r="BE28" i="272"/>
  <c r="BF13" i="272"/>
  <c r="AZ24" i="272"/>
  <c r="AZ20" i="272"/>
  <c r="AZ33" i="272"/>
  <c r="AY26" i="272"/>
  <c r="AY23" i="272"/>
  <c r="BC15" i="272" l="1"/>
  <c r="BC16" i="272"/>
  <c r="BD14" i="272"/>
  <c r="BF28" i="272"/>
  <c r="BG13" i="272"/>
  <c r="BB17" i="272"/>
  <c r="BB18" i="272"/>
  <c r="BB19" i="272"/>
  <c r="BB21" i="272" s="1"/>
  <c r="BB22" i="272" s="1"/>
  <c r="AZ26" i="272"/>
  <c r="AZ23" i="272"/>
  <c r="BA24" i="272"/>
  <c r="BA20" i="272"/>
  <c r="BA33" i="272"/>
  <c r="BD16" i="272" l="1"/>
  <c r="BD15" i="272"/>
  <c r="BE14" i="272"/>
  <c r="BC18" i="272"/>
  <c r="BC19" i="272"/>
  <c r="BC21" i="272" s="1"/>
  <c r="BC22" i="272" s="1"/>
  <c r="BC17" i="272"/>
  <c r="BA26" i="272"/>
  <c r="BA23" i="272"/>
  <c r="BB24" i="272"/>
  <c r="BB20" i="272"/>
  <c r="BB33" i="272"/>
  <c r="BG28" i="272"/>
  <c r="BH13" i="272"/>
  <c r="BH28" i="272" l="1"/>
  <c r="BI13" i="272"/>
  <c r="BE15" i="272"/>
  <c r="BF14" i="272"/>
  <c r="BE16" i="272"/>
  <c r="BB26" i="272"/>
  <c r="BB23" i="272"/>
  <c r="BC24" i="272"/>
  <c r="BC20" i="272"/>
  <c r="BC33" i="272"/>
  <c r="BD19" i="272"/>
  <c r="BD21" i="272" s="1"/>
  <c r="BD22" i="272" s="1"/>
  <c r="BD17" i="272"/>
  <c r="BD18" i="272"/>
  <c r="BF15" i="272" l="1"/>
  <c r="BF16" i="272"/>
  <c r="BG14" i="272"/>
  <c r="BI28" i="272"/>
  <c r="BJ13" i="272"/>
  <c r="BC26" i="272"/>
  <c r="BC23" i="272"/>
  <c r="BD24" i="272"/>
  <c r="BD20" i="272"/>
  <c r="BD33" i="272"/>
  <c r="BE17" i="272"/>
  <c r="BE18" i="272"/>
  <c r="BE19" i="272"/>
  <c r="BE21" i="272" s="1"/>
  <c r="BE22" i="272" s="1"/>
  <c r="BD26" i="272" l="1"/>
  <c r="BD23" i="272"/>
  <c r="BG15" i="272"/>
  <c r="BG16" i="272"/>
  <c r="BH14" i="272"/>
  <c r="BE24" i="272"/>
  <c r="BE20" i="272"/>
  <c r="BE33" i="272"/>
  <c r="BF17" i="272"/>
  <c r="BF18" i="272"/>
  <c r="BF19" i="272"/>
  <c r="BF21" i="272"/>
  <c r="BF22" i="272" s="1"/>
  <c r="BJ28" i="272"/>
  <c r="BK13" i="272"/>
  <c r="BF24" i="272" l="1"/>
  <c r="BF20" i="272"/>
  <c r="BF33" i="272"/>
  <c r="BG18" i="272"/>
  <c r="BG19" i="272"/>
  <c r="BG21" i="272" s="1"/>
  <c r="BG22" i="272" s="1"/>
  <c r="BG17" i="272"/>
  <c r="BE26" i="272"/>
  <c r="BE23" i="272"/>
  <c r="BK28" i="272"/>
  <c r="BL13" i="272"/>
  <c r="BH16" i="272"/>
  <c r="BI14" i="272"/>
  <c r="BH15" i="272"/>
  <c r="BL28" i="272" l="1"/>
  <c r="BM13" i="272"/>
  <c r="BI15" i="272"/>
  <c r="BI16" i="272"/>
  <c r="BJ14" i="272"/>
  <c r="BG24" i="272"/>
  <c r="BG20" i="272"/>
  <c r="BG33" i="272"/>
  <c r="BH19" i="272"/>
  <c r="BH17" i="272"/>
  <c r="BH18" i="272"/>
  <c r="BF26" i="272"/>
  <c r="BF23" i="272"/>
  <c r="BM28" i="272" l="1"/>
  <c r="BN13" i="272"/>
  <c r="BH24" i="272"/>
  <c r="BH20" i="272"/>
  <c r="BH33" i="272"/>
  <c r="BG23" i="272"/>
  <c r="BG26" i="272"/>
  <c r="BH21" i="272"/>
  <c r="BH22" i="272" s="1"/>
  <c r="BJ15" i="272"/>
  <c r="BJ16" i="272"/>
  <c r="BK14" i="272"/>
  <c r="BI17" i="272"/>
  <c r="BI18" i="272"/>
  <c r="BI19" i="272"/>
  <c r="BJ17" i="272" l="1"/>
  <c r="BJ18" i="272"/>
  <c r="BJ19" i="272"/>
  <c r="BK15" i="272"/>
  <c r="BK16" i="272"/>
  <c r="BL14" i="272"/>
  <c r="BH26" i="272"/>
  <c r="BH23" i="272"/>
  <c r="BN28" i="272"/>
  <c r="BO13" i="272"/>
  <c r="BI24" i="272"/>
  <c r="BI20" i="272"/>
  <c r="BI33" i="272"/>
  <c r="BI21" i="272"/>
  <c r="BI22" i="272" s="1"/>
  <c r="BI26" i="272" l="1"/>
  <c r="BI23" i="272"/>
  <c r="BJ24" i="272"/>
  <c r="BJ20" i="272"/>
  <c r="BJ33" i="272"/>
  <c r="BO28" i="272"/>
  <c r="BP13" i="272"/>
  <c r="BL16" i="272"/>
  <c r="BM14" i="272"/>
  <c r="BL15" i="272"/>
  <c r="BJ21" i="272"/>
  <c r="BJ22" i="272" s="1"/>
  <c r="BK18" i="272"/>
  <c r="BK19" i="272"/>
  <c r="BK17" i="272"/>
  <c r="BK24" i="272" l="1"/>
  <c r="BK20" i="272"/>
  <c r="BK33" i="272"/>
  <c r="BL19" i="272"/>
  <c r="BL17" i="272"/>
  <c r="BL18" i="272"/>
  <c r="BP28" i="272"/>
  <c r="BQ13" i="272"/>
  <c r="BJ26" i="272"/>
  <c r="BJ23" i="272"/>
  <c r="BK21" i="272"/>
  <c r="BK22" i="272" s="1"/>
  <c r="BM15" i="272"/>
  <c r="BN14" i="272"/>
  <c r="BM16" i="272"/>
  <c r="BM17" i="272" l="1"/>
  <c r="BM18" i="272"/>
  <c r="BM19" i="272"/>
  <c r="BN15" i="272"/>
  <c r="BN16" i="272"/>
  <c r="BO14" i="272"/>
  <c r="BQ28" i="272"/>
  <c r="BR13" i="272"/>
  <c r="BL24" i="272"/>
  <c r="BL20" i="272"/>
  <c r="BL33" i="272"/>
  <c r="BL21" i="272"/>
  <c r="BL22" i="272" s="1"/>
  <c r="BK23" i="272"/>
  <c r="BK26" i="272"/>
  <c r="BM24" i="272" l="1"/>
  <c r="BM20" i="272"/>
  <c r="BM33" i="272"/>
  <c r="BO15" i="272"/>
  <c r="BO16" i="272"/>
  <c r="BP14" i="272"/>
  <c r="BL26" i="272"/>
  <c r="BL23" i="272"/>
  <c r="BN17" i="272"/>
  <c r="BN18" i="272"/>
  <c r="BN19" i="272"/>
  <c r="BN21" i="272" s="1"/>
  <c r="BR28" i="272"/>
  <c r="BS13" i="272"/>
  <c r="BM21" i="272"/>
  <c r="BM22" i="272" s="1"/>
  <c r="BP16" i="272" l="1"/>
  <c r="BP15" i="272"/>
  <c r="BQ14" i="272"/>
  <c r="BS28" i="272"/>
  <c r="BT13" i="272"/>
  <c r="BO18" i="272"/>
  <c r="BO19" i="272"/>
  <c r="BO21" i="272" s="1"/>
  <c r="BO22" i="272" s="1"/>
  <c r="BO17" i="272"/>
  <c r="BM26" i="272"/>
  <c r="BM23" i="272"/>
  <c r="BN22" i="272"/>
  <c r="BN24" i="272"/>
  <c r="BN20" i="272"/>
  <c r="BN33" i="272"/>
  <c r="BN26" i="272" l="1"/>
  <c r="BN23" i="272"/>
  <c r="BQ15" i="272"/>
  <c r="BR14" i="272"/>
  <c r="BQ16" i="272"/>
  <c r="BO24" i="272"/>
  <c r="BO20" i="272"/>
  <c r="BO33" i="272"/>
  <c r="BT28" i="272"/>
  <c r="BU13" i="272"/>
  <c r="BP19" i="272"/>
  <c r="BP21" i="272" s="1"/>
  <c r="BP22" i="272" s="1"/>
  <c r="BP17" i="272"/>
  <c r="BP18" i="272"/>
  <c r="BO26" i="272" l="1"/>
  <c r="BO23" i="272"/>
  <c r="BQ19" i="272"/>
  <c r="BQ21" i="272" s="1"/>
  <c r="BQ22" i="272" s="1"/>
  <c r="BQ17" i="272"/>
  <c r="BQ18" i="272"/>
  <c r="BU28" i="272"/>
  <c r="BV13" i="272"/>
  <c r="BP24" i="272"/>
  <c r="BP20" i="272"/>
  <c r="BP33" i="272"/>
  <c r="BR15" i="272"/>
  <c r="BR16" i="272"/>
  <c r="BS14" i="272"/>
  <c r="BR17" i="272" l="1"/>
  <c r="BR18" i="272"/>
  <c r="BR19" i="272"/>
  <c r="BR21" i="272" s="1"/>
  <c r="BR22" i="272" s="1"/>
  <c r="BP23" i="272"/>
  <c r="BP26" i="272"/>
  <c r="BS15" i="272"/>
  <c r="BS16" i="272"/>
  <c r="BT14" i="272"/>
  <c r="BV28" i="272"/>
  <c r="BW13" i="272"/>
  <c r="BQ24" i="272"/>
  <c r="BQ20" i="272"/>
  <c r="BQ33" i="272"/>
  <c r="BW28" i="272" l="1"/>
  <c r="BX13" i="272"/>
  <c r="BT16" i="272"/>
  <c r="BT15" i="272"/>
  <c r="BU14" i="272"/>
  <c r="BQ26" i="272"/>
  <c r="BQ23" i="272"/>
  <c r="BS18" i="272"/>
  <c r="BS19" i="272"/>
  <c r="BS17" i="272"/>
  <c r="BR24" i="272"/>
  <c r="BR20" i="272"/>
  <c r="BR33" i="272"/>
  <c r="BT19" i="272" l="1"/>
  <c r="BT17" i="272"/>
  <c r="BT18" i="272"/>
  <c r="BS24" i="272"/>
  <c r="BS20" i="272"/>
  <c r="BS33" i="272"/>
  <c r="BX28" i="272"/>
  <c r="BY13" i="272"/>
  <c r="BR26" i="272"/>
  <c r="BR23" i="272"/>
  <c r="BS21" i="272"/>
  <c r="BS22" i="272" s="1"/>
  <c r="BU15" i="272"/>
  <c r="BV14" i="272"/>
  <c r="BU16" i="272"/>
  <c r="BV15" i="272" l="1"/>
  <c r="BV16" i="272"/>
  <c r="BW14" i="272"/>
  <c r="BT24" i="272"/>
  <c r="BT20" i="272"/>
  <c r="BT33" i="272"/>
  <c r="BU19" i="272"/>
  <c r="BU21" i="272" s="1"/>
  <c r="BU17" i="272"/>
  <c r="BU18" i="272"/>
  <c r="BY28" i="272"/>
  <c r="BZ13" i="272"/>
  <c r="BS26" i="272"/>
  <c r="BS23" i="272"/>
  <c r="BT21" i="272"/>
  <c r="BT22" i="272" s="1"/>
  <c r="BU22" i="272" l="1"/>
  <c r="BW15" i="272"/>
  <c r="BW16" i="272"/>
  <c r="BX14" i="272"/>
  <c r="BV19" i="272"/>
  <c r="BV17" i="272"/>
  <c r="BV18" i="272"/>
  <c r="BT26" i="272"/>
  <c r="BT23" i="272"/>
  <c r="BZ28" i="272"/>
  <c r="CA13" i="272"/>
  <c r="BU24" i="272"/>
  <c r="BU20" i="272"/>
  <c r="BU33" i="272"/>
  <c r="BW18" i="272" l="1"/>
  <c r="BW19" i="272"/>
  <c r="BW17" i="272"/>
  <c r="BU26" i="272"/>
  <c r="BU23" i="272"/>
  <c r="BV24" i="272"/>
  <c r="BV20" i="272"/>
  <c r="BV33" i="272"/>
  <c r="CA28" i="272"/>
  <c r="CB13" i="272"/>
  <c r="BV21" i="272"/>
  <c r="BV22" i="272" s="1"/>
  <c r="BX16" i="272"/>
  <c r="BY14" i="272"/>
  <c r="BX15" i="272"/>
  <c r="BY15" i="272" l="1"/>
  <c r="BY16" i="272"/>
  <c r="BZ14" i="272"/>
  <c r="BW24" i="272"/>
  <c r="BW20" i="272"/>
  <c r="BW33" i="272"/>
  <c r="BX19" i="272"/>
  <c r="BX21" i="272" s="1"/>
  <c r="BX17" i="272"/>
  <c r="BX18" i="272"/>
  <c r="CB28" i="272"/>
  <c r="CC13" i="272"/>
  <c r="BV26" i="272"/>
  <c r="BV23" i="272"/>
  <c r="BW21" i="272"/>
  <c r="BW22" i="272" s="1"/>
  <c r="BX22" i="272" l="1"/>
  <c r="BZ15" i="272"/>
  <c r="BZ16" i="272"/>
  <c r="CA14" i="272"/>
  <c r="BY19" i="272"/>
  <c r="BY17" i="272"/>
  <c r="BY18" i="272"/>
  <c r="CC28" i="272"/>
  <c r="CD13" i="272"/>
  <c r="BX24" i="272"/>
  <c r="BX20" i="272"/>
  <c r="BX33" i="272"/>
  <c r="BW23" i="272"/>
  <c r="BW26" i="272"/>
  <c r="BY24" i="272" l="1"/>
  <c r="BY20" i="272"/>
  <c r="BY33" i="272"/>
  <c r="BX26" i="272"/>
  <c r="BX23" i="272"/>
  <c r="BZ17" i="272"/>
  <c r="BZ19" i="272"/>
  <c r="BZ18" i="272"/>
  <c r="CD28" i="272"/>
  <c r="CE13" i="272"/>
  <c r="BY21" i="272"/>
  <c r="BY22" i="272" s="1"/>
  <c r="CA15" i="272"/>
  <c r="CA16" i="272"/>
  <c r="CB14" i="272"/>
  <c r="CB16" i="272" l="1"/>
  <c r="CC14" i="272"/>
  <c r="CB15" i="272"/>
  <c r="CA19" i="272"/>
  <c r="CA21" i="272" s="1"/>
  <c r="CA18" i="272"/>
  <c r="CA17" i="272"/>
  <c r="BZ24" i="272"/>
  <c r="BZ20" i="272"/>
  <c r="BZ33" i="272"/>
  <c r="CE28" i="272"/>
  <c r="CF13" i="272"/>
  <c r="BZ21" i="272"/>
  <c r="BZ22" i="272" s="1"/>
  <c r="BY26" i="272"/>
  <c r="BY23" i="272"/>
  <c r="CA22" i="272" l="1"/>
  <c r="CF28" i="272"/>
  <c r="CG13" i="272"/>
  <c r="BZ26" i="272"/>
  <c r="BZ23" i="272"/>
  <c r="CC15" i="272"/>
  <c r="CD14" i="272"/>
  <c r="CC16" i="272"/>
  <c r="CA24" i="272"/>
  <c r="CA20" i="272"/>
  <c r="CA33" i="272"/>
  <c r="CB17" i="272"/>
  <c r="CB19" i="272"/>
  <c r="CB21" i="272" s="1"/>
  <c r="CB22" i="272" s="1"/>
  <c r="CB18" i="272"/>
  <c r="CD15" i="272" l="1"/>
  <c r="CD16" i="272"/>
  <c r="CE14" i="272"/>
  <c r="CB24" i="272"/>
  <c r="CB20" i="272"/>
  <c r="CB33" i="272"/>
  <c r="CG28" i="272"/>
  <c r="CH13" i="272"/>
  <c r="CC19" i="272"/>
  <c r="CC17" i="272"/>
  <c r="CC18" i="272"/>
  <c r="CA23" i="272"/>
  <c r="CA26" i="272"/>
  <c r="CH28" i="272" l="1"/>
  <c r="CI13" i="272"/>
  <c r="CB26" i="272"/>
  <c r="CB23" i="272"/>
  <c r="CE15" i="272"/>
  <c r="CE16" i="272"/>
  <c r="CF14" i="272"/>
  <c r="CC24" i="272"/>
  <c r="CC20" i="272"/>
  <c r="CC33" i="272"/>
  <c r="CD17" i="272"/>
  <c r="CD18" i="272"/>
  <c r="CD19" i="272"/>
  <c r="CC21" i="272"/>
  <c r="CC22" i="272" s="1"/>
  <c r="CF16" i="272" l="1"/>
  <c r="CF15" i="272"/>
  <c r="CG14" i="272"/>
  <c r="CD24" i="272"/>
  <c r="CD20" i="272"/>
  <c r="CD33" i="272"/>
  <c r="CE18" i="272"/>
  <c r="CE19" i="272"/>
  <c r="CE21" i="272" s="1"/>
  <c r="CE17" i="272"/>
  <c r="CI28" i="272"/>
  <c r="CJ13" i="272"/>
  <c r="CD21" i="272"/>
  <c r="CD22" i="272" s="1"/>
  <c r="CC26" i="272"/>
  <c r="CC23" i="272"/>
  <c r="CE22" i="272" l="1"/>
  <c r="CJ28" i="272"/>
  <c r="CK13" i="272"/>
  <c r="CD26" i="272"/>
  <c r="CD23" i="272"/>
  <c r="CG15" i="272"/>
  <c r="CH14" i="272"/>
  <c r="CG16" i="272"/>
  <c r="CE24" i="272"/>
  <c r="CE20" i="272"/>
  <c r="CE33" i="272"/>
  <c r="CF19" i="272"/>
  <c r="CF21" i="272" s="1"/>
  <c r="CF22" i="272" s="1"/>
  <c r="CF17" i="272"/>
  <c r="CF18" i="272"/>
  <c r="CG19" i="272" l="1"/>
  <c r="CG17" i="272"/>
  <c r="CG18" i="272"/>
  <c r="CH15" i="272"/>
  <c r="CH16" i="272"/>
  <c r="CI14" i="272"/>
  <c r="CK28" i="272"/>
  <c r="CL13" i="272"/>
  <c r="CF24" i="272"/>
  <c r="CF20" i="272"/>
  <c r="CF33" i="272"/>
  <c r="CE26" i="272"/>
  <c r="CE23" i="272"/>
  <c r="CI15" i="272" l="1"/>
  <c r="CI16" i="272"/>
  <c r="CJ14" i="272"/>
  <c r="CF23" i="272"/>
  <c r="CF26" i="272"/>
  <c r="CH17" i="272"/>
  <c r="CH18" i="272"/>
  <c r="CH19" i="272"/>
  <c r="CH21" i="272" s="1"/>
  <c r="CG24" i="272"/>
  <c r="CG20" i="272"/>
  <c r="CG33" i="272"/>
  <c r="CL28" i="272"/>
  <c r="CM13" i="272"/>
  <c r="CG21" i="272"/>
  <c r="CG22" i="272" s="1"/>
  <c r="CJ16" i="272" l="1"/>
  <c r="CJ15" i="272"/>
  <c r="CK14" i="272"/>
  <c r="CM28" i="272"/>
  <c r="CN13" i="272"/>
  <c r="CG26" i="272"/>
  <c r="CG23" i="272"/>
  <c r="CH22" i="272"/>
  <c r="CI18" i="272"/>
  <c r="CI19" i="272"/>
  <c r="CI17" i="272"/>
  <c r="CH24" i="272"/>
  <c r="CH20" i="272"/>
  <c r="CH33" i="272"/>
  <c r="CI24" i="272" l="1"/>
  <c r="CI20" i="272"/>
  <c r="CI33" i="272"/>
  <c r="CK15" i="272"/>
  <c r="CL14" i="272"/>
  <c r="CK16" i="272"/>
  <c r="CH26" i="272"/>
  <c r="CH23" i="272"/>
  <c r="CI21" i="272"/>
  <c r="CI22" i="272" s="1"/>
  <c r="CN28" i="272"/>
  <c r="CP13" i="272"/>
  <c r="CJ19" i="272"/>
  <c r="CJ17" i="272"/>
  <c r="CJ18" i="272"/>
  <c r="CP28" i="272" l="1"/>
  <c r="CQ13" i="272"/>
  <c r="CK19" i="272"/>
  <c r="CK21" i="272" s="1"/>
  <c r="CK17" i="272"/>
  <c r="CK18" i="272"/>
  <c r="CI26" i="272"/>
  <c r="CI23" i="272"/>
  <c r="CJ24" i="272"/>
  <c r="CJ20" i="272"/>
  <c r="CJ33" i="272"/>
  <c r="CL15" i="272"/>
  <c r="CL16" i="272"/>
  <c r="CM14" i="272"/>
  <c r="CJ21" i="272"/>
  <c r="CJ22" i="272" s="1"/>
  <c r="CK22" i="272" l="1"/>
  <c r="CM15" i="272"/>
  <c r="CM16" i="272"/>
  <c r="CN14" i="272"/>
  <c r="CL19" i="272"/>
  <c r="CL17" i="272"/>
  <c r="CL18" i="272"/>
  <c r="CL21" i="272"/>
  <c r="CL22" i="272" s="1"/>
  <c r="CJ26" i="272"/>
  <c r="CJ23" i="272"/>
  <c r="CQ28" i="272"/>
  <c r="CR13" i="272"/>
  <c r="CK24" i="272"/>
  <c r="CK20" i="272"/>
  <c r="CK33" i="272"/>
  <c r="CR28" i="272" l="1"/>
  <c r="CS13" i="272"/>
  <c r="CN16" i="272"/>
  <c r="CP14" i="272"/>
  <c r="CN15" i="272"/>
  <c r="CM18" i="272"/>
  <c r="CM19" i="272"/>
  <c r="CM21" i="272" s="1"/>
  <c r="CM22" i="272" s="1"/>
  <c r="CM17" i="272"/>
  <c r="CK26" i="272"/>
  <c r="CK23" i="272"/>
  <c r="CL24" i="272"/>
  <c r="CL20" i="272"/>
  <c r="CL33" i="272"/>
  <c r="CP15" i="272" l="1"/>
  <c r="CP16" i="272"/>
  <c r="CQ14" i="272"/>
  <c r="CS28" i="272"/>
  <c r="CT13" i="272"/>
  <c r="CN19" i="272"/>
  <c r="CN17" i="272"/>
  <c r="CN18" i="272"/>
  <c r="CL23" i="272"/>
  <c r="CL26" i="272"/>
  <c r="CM24" i="272"/>
  <c r="CM20" i="272"/>
  <c r="CM33" i="272"/>
  <c r="CM23" i="272" l="1"/>
  <c r="CM26" i="272"/>
  <c r="CN24" i="272"/>
  <c r="CN20" i="272"/>
  <c r="CN33" i="272"/>
  <c r="CN21" i="272"/>
  <c r="CN22" i="272" s="1"/>
  <c r="CQ15" i="272"/>
  <c r="CQ16" i="272"/>
  <c r="CR14" i="272"/>
  <c r="CP19" i="272"/>
  <c r="CP17" i="272"/>
  <c r="CP18" i="272"/>
  <c r="CT28" i="272"/>
  <c r="CU13" i="272"/>
  <c r="CU28" i="272" l="1"/>
  <c r="CV13" i="272"/>
  <c r="CR15" i="272"/>
  <c r="CR16" i="272"/>
  <c r="CS14" i="272"/>
  <c r="CP24" i="272"/>
  <c r="CP20" i="272"/>
  <c r="CP33" i="272"/>
  <c r="CP21" i="272"/>
  <c r="CP22" i="272" s="1"/>
  <c r="CN26" i="272"/>
  <c r="CN23" i="272"/>
  <c r="CQ17" i="272"/>
  <c r="CQ19" i="272"/>
  <c r="CQ21" i="272" s="1"/>
  <c r="CQ22" i="272" s="1"/>
  <c r="CQ18" i="272"/>
  <c r="CR19" i="272" l="1"/>
  <c r="CR18" i="272"/>
  <c r="CR17" i="272"/>
  <c r="CQ24" i="272"/>
  <c r="CQ20" i="272"/>
  <c r="CQ33" i="272"/>
  <c r="CP26" i="272"/>
  <c r="CP23" i="272"/>
  <c r="CV28" i="272"/>
  <c r="CW13" i="272"/>
  <c r="CS16" i="272"/>
  <c r="CT14" i="272"/>
  <c r="CS15" i="272"/>
  <c r="CS17" i="272" l="1"/>
  <c r="CS19" i="272"/>
  <c r="CS18" i="272"/>
  <c r="CR24" i="272"/>
  <c r="CR20" i="272"/>
  <c r="CR33" i="272"/>
  <c r="CW28" i="272"/>
  <c r="CX13" i="272"/>
  <c r="CT15" i="272"/>
  <c r="CU14" i="272"/>
  <c r="CT16" i="272"/>
  <c r="CQ26" i="272"/>
  <c r="CQ23" i="272"/>
  <c r="CR21" i="272"/>
  <c r="CR22" i="272" s="1"/>
  <c r="CX28" i="272" l="1"/>
  <c r="CY13" i="272"/>
  <c r="CU15" i="272"/>
  <c r="CU16" i="272"/>
  <c r="CV14" i="272"/>
  <c r="CS24" i="272"/>
  <c r="CS20" i="272"/>
  <c r="CS33" i="272"/>
  <c r="CR23" i="272"/>
  <c r="CR26" i="272"/>
  <c r="CT19" i="272"/>
  <c r="CT17" i="272"/>
  <c r="CT18" i="272"/>
  <c r="CS21" i="272"/>
  <c r="CS22" i="272" s="1"/>
  <c r="CT24" i="272" l="1"/>
  <c r="CT20" i="272"/>
  <c r="CT33" i="272"/>
  <c r="CU17" i="272"/>
  <c r="CU18" i="272"/>
  <c r="CU19" i="272"/>
  <c r="CT21" i="272"/>
  <c r="CT22" i="272" s="1"/>
  <c r="CS26" i="272"/>
  <c r="CS23" i="272"/>
  <c r="CY28" i="272"/>
  <c r="CZ13" i="272"/>
  <c r="CV15" i="272"/>
  <c r="CV16" i="272"/>
  <c r="CW14" i="272"/>
  <c r="CZ28" i="272" l="1"/>
  <c r="DA13" i="272"/>
  <c r="CV18" i="272"/>
  <c r="CV19" i="272"/>
  <c r="CV21" i="272" s="1"/>
  <c r="CV17" i="272"/>
  <c r="CW16" i="272"/>
  <c r="CW15" i="272"/>
  <c r="CX14" i="272"/>
  <c r="CU24" i="272"/>
  <c r="CU20" i="272"/>
  <c r="CU33" i="272"/>
  <c r="CU21" i="272"/>
  <c r="CU22" i="272" s="1"/>
  <c r="CT26" i="272"/>
  <c r="CT23" i="272"/>
  <c r="CV22" i="272" l="1"/>
  <c r="CW19" i="272"/>
  <c r="CW17" i="272"/>
  <c r="CW18" i="272"/>
  <c r="CU26" i="272"/>
  <c r="CU23" i="272"/>
  <c r="CX15" i="272"/>
  <c r="CY14" i="272"/>
  <c r="CX16" i="272"/>
  <c r="CV24" i="272"/>
  <c r="CV20" i="272"/>
  <c r="CV33" i="272"/>
  <c r="DA28" i="272"/>
  <c r="DB13" i="272"/>
  <c r="CY15" i="272" l="1"/>
  <c r="CY16" i="272"/>
  <c r="CZ14" i="272"/>
  <c r="DB28" i="272"/>
  <c r="DC13" i="272"/>
  <c r="CV26" i="272"/>
  <c r="CV23" i="272"/>
  <c r="CW24" i="272"/>
  <c r="CW20" i="272"/>
  <c r="CW33" i="272"/>
  <c r="CX19" i="272"/>
  <c r="CX21" i="272" s="1"/>
  <c r="CX17" i="272"/>
  <c r="CX18" i="272"/>
  <c r="CW21" i="272"/>
  <c r="CW22" i="272" s="1"/>
  <c r="CX22" i="272" l="1"/>
  <c r="CZ15" i="272"/>
  <c r="CZ16" i="272"/>
  <c r="DA14" i="272"/>
  <c r="CY19" i="272"/>
  <c r="CY21" i="272" s="1"/>
  <c r="CY22" i="272" s="1"/>
  <c r="CY17" i="272"/>
  <c r="CY18" i="272"/>
  <c r="CW26" i="272"/>
  <c r="CW23" i="272"/>
  <c r="CX24" i="272"/>
  <c r="CX20" i="272"/>
  <c r="CX33" i="272"/>
  <c r="DC28" i="272"/>
  <c r="DD13" i="272"/>
  <c r="CZ18" i="272" l="1"/>
  <c r="CZ19" i="272"/>
  <c r="CZ21" i="272" s="1"/>
  <c r="CZ22" i="272" s="1"/>
  <c r="CZ17" i="272"/>
  <c r="CX26" i="272"/>
  <c r="CX23" i="272"/>
  <c r="DA16" i="272"/>
  <c r="DA15" i="272"/>
  <c r="DB14" i="272"/>
  <c r="CY24" i="272"/>
  <c r="CY20" i="272"/>
  <c r="CY33" i="272"/>
  <c r="DD28" i="272"/>
  <c r="DE13" i="272"/>
  <c r="DA19" i="272" l="1"/>
  <c r="DA17" i="272"/>
  <c r="DA18" i="272"/>
  <c r="CY26" i="272"/>
  <c r="CY23" i="272"/>
  <c r="DB15" i="272"/>
  <c r="DC14" i="272"/>
  <c r="DB16" i="272"/>
  <c r="CZ24" i="272"/>
  <c r="CZ20" i="272"/>
  <c r="CZ33" i="272"/>
  <c r="DE28" i="272"/>
  <c r="DF13" i="272"/>
  <c r="CZ23" i="272" l="1"/>
  <c r="CZ26" i="272"/>
  <c r="DB19" i="272"/>
  <c r="DB21" i="272" s="1"/>
  <c r="DB17" i="272"/>
  <c r="DB18" i="272"/>
  <c r="DA24" i="272"/>
  <c r="DA20" i="272"/>
  <c r="DA33" i="272"/>
  <c r="DF28" i="272"/>
  <c r="DG13" i="272"/>
  <c r="DC15" i="272"/>
  <c r="DC16" i="272"/>
  <c r="DD14" i="272"/>
  <c r="DA21" i="272"/>
  <c r="DA22" i="272" s="1"/>
  <c r="DA26" i="272" l="1"/>
  <c r="DA23" i="272"/>
  <c r="DD15" i="272"/>
  <c r="DD16" i="272"/>
  <c r="DE14" i="272"/>
  <c r="DC19" i="272"/>
  <c r="DC17" i="272"/>
  <c r="DC18" i="272"/>
  <c r="DG28" i="272"/>
  <c r="DH13" i="272"/>
  <c r="DB22" i="272"/>
  <c r="DB24" i="272"/>
  <c r="DB20" i="272"/>
  <c r="DB33" i="272"/>
  <c r="DC24" i="272" l="1"/>
  <c r="DC20" i="272"/>
  <c r="DC33" i="272"/>
  <c r="DH28" i="272"/>
  <c r="DI13" i="272"/>
  <c r="DC21" i="272"/>
  <c r="DC22" i="272" s="1"/>
  <c r="DE16" i="272"/>
  <c r="DF14" i="272"/>
  <c r="DE15" i="272"/>
  <c r="DB26" i="272"/>
  <c r="DB23" i="272"/>
  <c r="DD18" i="272"/>
  <c r="DD19" i="272"/>
  <c r="DD17" i="272"/>
  <c r="DE19" i="272" l="1"/>
  <c r="DE17" i="272"/>
  <c r="DE18" i="272"/>
  <c r="DD24" i="272"/>
  <c r="DD20" i="272"/>
  <c r="DD33" i="272"/>
  <c r="DD21" i="272"/>
  <c r="DD22" i="272" s="1"/>
  <c r="DF15" i="272"/>
  <c r="DF16" i="272"/>
  <c r="DG14" i="272"/>
  <c r="DI28" i="272"/>
  <c r="DJ13" i="272"/>
  <c r="DC26" i="272"/>
  <c r="DC23" i="272"/>
  <c r="DE24" i="272" l="1"/>
  <c r="DE20" i="272"/>
  <c r="DE33" i="272"/>
  <c r="DG15" i="272"/>
  <c r="DG16" i="272"/>
  <c r="DH14" i="272"/>
  <c r="DF19" i="272"/>
  <c r="DF17" i="272"/>
  <c r="DF18" i="272"/>
  <c r="DJ28" i="272"/>
  <c r="DK13" i="272"/>
  <c r="DD26" i="272"/>
  <c r="DD23" i="272"/>
  <c r="DE21" i="272"/>
  <c r="DE22" i="272" s="1"/>
  <c r="DF24" i="272" l="1"/>
  <c r="DF20" i="272"/>
  <c r="DF33" i="272"/>
  <c r="DF21" i="272"/>
  <c r="DF22" i="272" s="1"/>
  <c r="DH15" i="272"/>
  <c r="DH16" i="272"/>
  <c r="DI14" i="272"/>
  <c r="DK28" i="272"/>
  <c r="DL13" i="272"/>
  <c r="DG19" i="272"/>
  <c r="DG17" i="272"/>
  <c r="DG18" i="272"/>
  <c r="DE26" i="272"/>
  <c r="DE23" i="272"/>
  <c r="DH18" i="272" l="1"/>
  <c r="DH17" i="272"/>
  <c r="DH19" i="272"/>
  <c r="DG24" i="272"/>
  <c r="DG20" i="272"/>
  <c r="DG33" i="272"/>
  <c r="DG21" i="272"/>
  <c r="DG22" i="272" s="1"/>
  <c r="DL28" i="272"/>
  <c r="DM13" i="272"/>
  <c r="DI16" i="272"/>
  <c r="DJ14" i="272"/>
  <c r="DI15" i="272"/>
  <c r="DF26" i="272"/>
  <c r="DF23" i="272"/>
  <c r="DJ15" i="272" l="1"/>
  <c r="DK14" i="272"/>
  <c r="DJ16" i="272"/>
  <c r="DH24" i="272"/>
  <c r="DH20" i="272"/>
  <c r="DH33" i="272"/>
  <c r="DI19" i="272"/>
  <c r="DI17" i="272"/>
  <c r="DI18" i="272"/>
  <c r="DM28" i="272"/>
  <c r="DN13" i="272"/>
  <c r="DG23" i="272"/>
  <c r="DG26" i="272"/>
  <c r="DH21" i="272"/>
  <c r="DH22" i="272" s="1"/>
  <c r="DH23" i="272" l="1"/>
  <c r="DH26" i="272"/>
  <c r="DJ19" i="272"/>
  <c r="DJ21" i="272" s="1"/>
  <c r="DJ17" i="272"/>
  <c r="DJ18" i="272"/>
  <c r="DK15" i="272"/>
  <c r="DK16" i="272"/>
  <c r="DL14" i="272"/>
  <c r="DN28" i="272"/>
  <c r="DO13" i="272"/>
  <c r="DI24" i="272"/>
  <c r="DI20" i="272"/>
  <c r="DI33" i="272"/>
  <c r="DI21" i="272"/>
  <c r="DI22" i="272" s="1"/>
  <c r="DO28" i="272" l="1"/>
  <c r="DP13" i="272"/>
  <c r="DJ22" i="272"/>
  <c r="DL15" i="272"/>
  <c r="DL16" i="272"/>
  <c r="DM14" i="272"/>
  <c r="DI26" i="272"/>
  <c r="DI23" i="272"/>
  <c r="DK19" i="272"/>
  <c r="DK17" i="272"/>
  <c r="DK21" i="272"/>
  <c r="DK22" i="272" s="1"/>
  <c r="DK18" i="272"/>
  <c r="DJ24" i="272"/>
  <c r="DJ20" i="272"/>
  <c r="DJ33" i="272"/>
  <c r="DJ26" i="272" l="1"/>
  <c r="DJ23" i="272"/>
  <c r="DK24" i="272"/>
  <c r="DK20" i="272"/>
  <c r="DK33" i="272"/>
  <c r="DM16" i="272"/>
  <c r="DM15" i="272"/>
  <c r="DN14" i="272"/>
  <c r="DP28" i="272"/>
  <c r="DQ13" i="272"/>
  <c r="DL18" i="272"/>
  <c r="DL19" i="272"/>
  <c r="DL21" i="272" s="1"/>
  <c r="DL22" i="272" s="1"/>
  <c r="DL17" i="272"/>
  <c r="DN15" i="272" l="1"/>
  <c r="DO14" i="272"/>
  <c r="DN16" i="272"/>
  <c r="DK26" i="272"/>
  <c r="DK23" i="272"/>
  <c r="DQ28" i="272"/>
  <c r="DR13" i="272"/>
  <c r="DM21" i="272"/>
  <c r="DM22" i="272" s="1"/>
  <c r="DM19" i="272"/>
  <c r="DM17" i="272"/>
  <c r="DM18" i="272"/>
  <c r="DL24" i="272"/>
  <c r="DL20" i="272"/>
  <c r="DL33" i="272"/>
  <c r="DR28" i="272" l="1"/>
  <c r="DS13" i="272"/>
  <c r="DL26" i="272"/>
  <c r="DL23" i="272"/>
  <c r="DN19" i="272"/>
  <c r="DN17" i="272"/>
  <c r="DN18" i="272"/>
  <c r="DO15" i="272"/>
  <c r="DO16" i="272"/>
  <c r="DP14" i="272"/>
  <c r="DM24" i="272"/>
  <c r="DM20" i="272"/>
  <c r="DM33" i="272"/>
  <c r="DN24" i="272" l="1"/>
  <c r="DN20" i="272"/>
  <c r="DN33" i="272"/>
  <c r="DN21" i="272"/>
  <c r="DN22" i="272" s="1"/>
  <c r="DS28" i="272"/>
  <c r="DT13" i="272"/>
  <c r="DP15" i="272"/>
  <c r="DP16" i="272"/>
  <c r="DQ14" i="272"/>
  <c r="DO19" i="272"/>
  <c r="DO21" i="272" s="1"/>
  <c r="DO17" i="272"/>
  <c r="DO18" i="272"/>
  <c r="DM26" i="272"/>
  <c r="DM23" i="272"/>
  <c r="DP18" i="272" l="1"/>
  <c r="DP17" i="272"/>
  <c r="DP19" i="272"/>
  <c r="DO22" i="272"/>
  <c r="DO20" i="272"/>
  <c r="DO24" i="272"/>
  <c r="DO33" i="272"/>
  <c r="DT28" i="272"/>
  <c r="DU13" i="272"/>
  <c r="DQ16" i="272"/>
  <c r="DQ15" i="272"/>
  <c r="DR14" i="272"/>
  <c r="DN26" i="272"/>
  <c r="DN23" i="272"/>
  <c r="DO26" i="272" l="1"/>
  <c r="DO23" i="272"/>
  <c r="DU28" i="272"/>
  <c r="DV13" i="272"/>
  <c r="DP24" i="272"/>
  <c r="DP20" i="272"/>
  <c r="DP33" i="272"/>
  <c r="DQ21" i="272"/>
  <c r="DQ19" i="272"/>
  <c r="DQ17" i="272"/>
  <c r="DQ18" i="272"/>
  <c r="DR15" i="272"/>
  <c r="DS14" i="272"/>
  <c r="DR16" i="272"/>
  <c r="DP21" i="272"/>
  <c r="DP22" i="272" s="1"/>
  <c r="DV28" i="272" l="1"/>
  <c r="DW13" i="272"/>
  <c r="DR19" i="272"/>
  <c r="DR21" i="272" s="1"/>
  <c r="DR22" i="272" s="1"/>
  <c r="DR17" i="272"/>
  <c r="DR18" i="272"/>
  <c r="DQ22" i="272"/>
  <c r="DS15" i="272"/>
  <c r="DS16" i="272"/>
  <c r="DT14" i="272"/>
  <c r="DQ24" i="272"/>
  <c r="DQ20" i="272"/>
  <c r="DQ33" i="272"/>
  <c r="DP23" i="272"/>
  <c r="DP26" i="272"/>
  <c r="DW28" i="272" l="1"/>
  <c r="DX13" i="272"/>
  <c r="DS19" i="272"/>
  <c r="DS17" i="272"/>
  <c r="DS18" i="272"/>
  <c r="DQ26" i="272"/>
  <c r="DQ23" i="272"/>
  <c r="DT15" i="272"/>
  <c r="DT16" i="272"/>
  <c r="DU14" i="272"/>
  <c r="DR24" i="272"/>
  <c r="DR20" i="272"/>
  <c r="DR33" i="272"/>
  <c r="DS24" i="272" l="1"/>
  <c r="DS20" i="272"/>
  <c r="DS33" i="272"/>
  <c r="DU16" i="272"/>
  <c r="DV14" i="272"/>
  <c r="DU15" i="272"/>
  <c r="DT21" i="272"/>
  <c r="DT18" i="272"/>
  <c r="DT19" i="272"/>
  <c r="DT17" i="272"/>
  <c r="DS21" i="272"/>
  <c r="DS22" i="272" s="1"/>
  <c r="DX28" i="272"/>
  <c r="DY13" i="272"/>
  <c r="DR26" i="272"/>
  <c r="DR23" i="272"/>
  <c r="DT22" i="272" l="1"/>
  <c r="DU19" i="272"/>
  <c r="DU17" i="272"/>
  <c r="DU18" i="272"/>
  <c r="DY28" i="272"/>
  <c r="DZ13" i="272"/>
  <c r="DT24" i="272"/>
  <c r="DT20" i="272"/>
  <c r="DT33" i="272"/>
  <c r="DV15" i="272"/>
  <c r="DV16" i="272"/>
  <c r="DW14" i="272"/>
  <c r="DS26" i="272"/>
  <c r="DS23" i="272"/>
  <c r="DV19" i="272" l="1"/>
  <c r="DV17" i="272"/>
  <c r="DV18" i="272"/>
  <c r="DU24" i="272"/>
  <c r="DU20" i="272"/>
  <c r="DU33" i="272"/>
  <c r="DT26" i="272"/>
  <c r="DT23" i="272"/>
  <c r="DZ28" i="272"/>
  <c r="EA13" i="272"/>
  <c r="DW15" i="272"/>
  <c r="DW16" i="272"/>
  <c r="DX14" i="272"/>
  <c r="DU21" i="272"/>
  <c r="DU22" i="272" s="1"/>
  <c r="EA28" i="272" l="1"/>
  <c r="EB13" i="272"/>
  <c r="DW19" i="272"/>
  <c r="DW17" i="272"/>
  <c r="DW18" i="272"/>
  <c r="DU26" i="272"/>
  <c r="DU23" i="272"/>
  <c r="DV24" i="272"/>
  <c r="DV20" i="272"/>
  <c r="DV33" i="272"/>
  <c r="DX15" i="272"/>
  <c r="DX16" i="272"/>
  <c r="DY14" i="272"/>
  <c r="DV21" i="272"/>
  <c r="DV22" i="272" s="1"/>
  <c r="DX18" i="272" l="1"/>
  <c r="DX19" i="272"/>
  <c r="DX17" i="272"/>
  <c r="DV26" i="272"/>
  <c r="DV23" i="272"/>
  <c r="EB28" i="272"/>
  <c r="EC13" i="272"/>
  <c r="DW24" i="272"/>
  <c r="DW20" i="272"/>
  <c r="DW33" i="272"/>
  <c r="DY16" i="272"/>
  <c r="DZ14" i="272"/>
  <c r="DY15" i="272"/>
  <c r="DW21" i="272"/>
  <c r="DW22" i="272" s="1"/>
  <c r="EC28" i="272" l="1"/>
  <c r="ED13" i="272"/>
  <c r="DX24" i="272"/>
  <c r="DX20" i="272"/>
  <c r="DX33" i="272"/>
  <c r="DY19" i="272"/>
  <c r="DY21" i="272" s="1"/>
  <c r="DY17" i="272"/>
  <c r="DY18" i="272"/>
  <c r="DZ15" i="272"/>
  <c r="EA14" i="272"/>
  <c r="DZ16" i="272"/>
  <c r="DW23" i="272"/>
  <c r="DW26" i="272"/>
  <c r="DX21" i="272"/>
  <c r="DX22" i="272" s="1"/>
  <c r="DY22" i="272" l="1"/>
  <c r="EA15" i="272"/>
  <c r="EA16" i="272"/>
  <c r="EB14" i="272"/>
  <c r="DX23" i="272"/>
  <c r="DX26" i="272"/>
  <c r="ED28" i="272"/>
  <c r="EE13" i="272"/>
  <c r="DY24" i="272"/>
  <c r="DY20" i="272"/>
  <c r="DY33" i="272"/>
  <c r="DZ19" i="272"/>
  <c r="DZ17" i="272"/>
  <c r="DZ18" i="272"/>
  <c r="DZ24" i="272" l="1"/>
  <c r="DZ20" i="272"/>
  <c r="DZ33" i="272"/>
  <c r="DZ21" i="272"/>
  <c r="DZ22" i="272" s="1"/>
  <c r="EE28" i="272"/>
  <c r="EF13" i="272"/>
  <c r="EA19" i="272"/>
  <c r="EA17" i="272"/>
  <c r="EA18" i="272"/>
  <c r="DY26" i="272"/>
  <c r="DY23" i="272"/>
  <c r="EB15" i="272"/>
  <c r="EB16" i="272"/>
  <c r="EC14" i="272"/>
  <c r="EA24" i="272" l="1"/>
  <c r="EA20" i="272"/>
  <c r="EA33" i="272"/>
  <c r="EC16" i="272"/>
  <c r="EC15" i="272"/>
  <c r="ED14" i="272"/>
  <c r="EB21" i="272"/>
  <c r="EB18" i="272"/>
  <c r="EB19" i="272"/>
  <c r="EB17" i="272"/>
  <c r="EA21" i="272"/>
  <c r="EA22" i="272" s="1"/>
  <c r="EF28" i="272"/>
  <c r="EG13" i="272"/>
  <c r="DZ26" i="272"/>
  <c r="DZ23" i="272"/>
  <c r="EC19" i="272" l="1"/>
  <c r="EC17" i="272"/>
  <c r="EC18" i="272"/>
  <c r="EB22" i="272"/>
  <c r="ED15" i="272"/>
  <c r="EE14" i="272"/>
  <c r="ED16" i="272"/>
  <c r="EG28" i="272"/>
  <c r="EH13" i="272"/>
  <c r="EB24" i="272"/>
  <c r="EB20" i="272"/>
  <c r="EB33" i="272"/>
  <c r="EA26" i="272"/>
  <c r="EA23" i="272"/>
  <c r="EE15" i="272" l="1"/>
  <c r="EE16" i="272"/>
  <c r="EF14" i="272"/>
  <c r="EB26" i="272"/>
  <c r="EB23" i="272"/>
  <c r="EH28" i="272"/>
  <c r="EI13" i="272"/>
  <c r="EC24" i="272"/>
  <c r="EC20" i="272"/>
  <c r="EC33" i="272"/>
  <c r="ED19" i="272"/>
  <c r="ED21" i="272" s="1"/>
  <c r="ED17" i="272"/>
  <c r="ED18" i="272"/>
  <c r="EC21" i="272"/>
  <c r="EC22" i="272" s="1"/>
  <c r="ED22" i="272" l="1"/>
  <c r="EI28" i="272"/>
  <c r="EJ13" i="272"/>
  <c r="EF15" i="272"/>
  <c r="EF16" i="272"/>
  <c r="EG14" i="272"/>
  <c r="EE19" i="272"/>
  <c r="EE21" i="272" s="1"/>
  <c r="EE22" i="272" s="1"/>
  <c r="EE17" i="272"/>
  <c r="EE18" i="272"/>
  <c r="ED24" i="272"/>
  <c r="ED20" i="272"/>
  <c r="ED33" i="272"/>
  <c r="EC26" i="272"/>
  <c r="EC23" i="272"/>
  <c r="ED26" i="272" l="1"/>
  <c r="ED23" i="272"/>
  <c r="EJ28" i="272"/>
  <c r="EK13" i="272"/>
  <c r="EF18" i="272"/>
  <c r="EF19" i="272"/>
  <c r="EF17" i="272"/>
  <c r="EE24" i="272"/>
  <c r="EE20" i="272"/>
  <c r="EE33" i="272"/>
  <c r="EG16" i="272"/>
  <c r="EG15" i="272"/>
  <c r="EH14" i="272"/>
  <c r="EF24" i="272" l="1"/>
  <c r="EF20" i="272"/>
  <c r="EF33" i="272"/>
  <c r="EH15" i="272"/>
  <c r="EI14" i="272"/>
  <c r="EH16" i="272"/>
  <c r="EG19" i="272"/>
  <c r="EG21" i="272" s="1"/>
  <c r="EG17" i="272"/>
  <c r="EG18" i="272"/>
  <c r="EK28" i="272"/>
  <c r="EL13" i="272"/>
  <c r="EE23" i="272"/>
  <c r="EE26" i="272"/>
  <c r="EF21" i="272"/>
  <c r="EF22" i="272" s="1"/>
  <c r="EG22" i="272" l="1"/>
  <c r="EL28" i="272"/>
  <c r="EM13" i="272"/>
  <c r="EH19" i="272"/>
  <c r="EH17" i="272"/>
  <c r="EH18" i="272"/>
  <c r="EG24" i="272"/>
  <c r="EG20" i="272"/>
  <c r="EG33" i="272"/>
  <c r="EI15" i="272"/>
  <c r="EI16" i="272"/>
  <c r="EJ14" i="272"/>
  <c r="EF23" i="272"/>
  <c r="EF26" i="272"/>
  <c r="EM28" i="272" l="1"/>
  <c r="EN13" i="272"/>
  <c r="EI19" i="272"/>
  <c r="EI17" i="272"/>
  <c r="EI18" i="272"/>
  <c r="EH24" i="272"/>
  <c r="EH20" i="272"/>
  <c r="EH33" i="272"/>
  <c r="EG26" i="272"/>
  <c r="EG23" i="272"/>
  <c r="EH21" i="272"/>
  <c r="EH22" i="272" s="1"/>
  <c r="EJ15" i="272"/>
  <c r="EJ16" i="272"/>
  <c r="EK14" i="272"/>
  <c r="EJ18" i="272" l="1"/>
  <c r="EJ19" i="272"/>
  <c r="EJ17" i="272"/>
  <c r="EK16" i="272"/>
  <c r="EL14" i="272"/>
  <c r="EK15" i="272"/>
  <c r="EH26" i="272"/>
  <c r="EH23" i="272"/>
  <c r="EI24" i="272"/>
  <c r="EI20" i="272"/>
  <c r="EI33" i="272"/>
  <c r="EI21" i="272"/>
  <c r="EI22" i="272" s="1"/>
  <c r="EN28" i="272"/>
  <c r="EO13" i="272"/>
  <c r="EJ24" i="272" l="1"/>
  <c r="EJ20" i="272"/>
  <c r="EJ33" i="272"/>
  <c r="EI26" i="272"/>
  <c r="EI23" i="272"/>
  <c r="EO28" i="272"/>
  <c r="EP13" i="272"/>
  <c r="EL15" i="272"/>
  <c r="EL16" i="272"/>
  <c r="EM14" i="272"/>
  <c r="EK19" i="272"/>
  <c r="EK21" i="272" s="1"/>
  <c r="EK17" i="272"/>
  <c r="EK18" i="272"/>
  <c r="EJ21" i="272"/>
  <c r="EJ22" i="272" s="1"/>
  <c r="EK22" i="272" l="1"/>
  <c r="EP28" i="272"/>
  <c r="EQ13" i="272"/>
  <c r="EL19" i="272"/>
  <c r="EL17" i="272"/>
  <c r="EL18" i="272"/>
  <c r="EM15" i="272"/>
  <c r="EM16" i="272"/>
  <c r="EN14" i="272"/>
  <c r="EK24" i="272"/>
  <c r="EK20" i="272"/>
  <c r="EK33" i="272"/>
  <c r="EJ26" i="272"/>
  <c r="EJ23" i="272"/>
  <c r="EK26" i="272" l="1"/>
  <c r="EK23" i="272"/>
  <c r="EM19" i="272"/>
  <c r="EM17" i="272"/>
  <c r="EM18" i="272"/>
  <c r="EL24" i="272"/>
  <c r="EL20" i="272"/>
  <c r="EL33" i="272"/>
  <c r="EL21" i="272"/>
  <c r="EL22" i="272" s="1"/>
  <c r="EQ28" i="272"/>
  <c r="ER13" i="272"/>
  <c r="EN15" i="272"/>
  <c r="EN16" i="272"/>
  <c r="EO14" i="272"/>
  <c r="EN18" i="272" l="1"/>
  <c r="EN17" i="272"/>
  <c r="EN19" i="272"/>
  <c r="EN21" i="272" s="1"/>
  <c r="ER28" i="272"/>
  <c r="ES13" i="272"/>
  <c r="EO16" i="272"/>
  <c r="EP14" i="272"/>
  <c r="EO15" i="272"/>
  <c r="EL26" i="272"/>
  <c r="EL23" i="272"/>
  <c r="EM24" i="272"/>
  <c r="EM20" i="272"/>
  <c r="EM33" i="272"/>
  <c r="EM21" i="272"/>
  <c r="EM22" i="272" s="1"/>
  <c r="EO19" i="272" l="1"/>
  <c r="EO17" i="272"/>
  <c r="EO18" i="272"/>
  <c r="ES28" i="272"/>
  <c r="ET13" i="272"/>
  <c r="EN22" i="272"/>
  <c r="EM23" i="272"/>
  <c r="EM26" i="272"/>
  <c r="EP15" i="272"/>
  <c r="EQ14" i="272"/>
  <c r="EP16" i="272"/>
  <c r="EN24" i="272"/>
  <c r="EN20" i="272"/>
  <c r="EN33" i="272"/>
  <c r="ET28" i="272" l="1"/>
  <c r="EU13" i="272"/>
  <c r="EQ15" i="272"/>
  <c r="EQ16" i="272"/>
  <c r="ER14" i="272"/>
  <c r="EO24" i="272"/>
  <c r="EO20" i="272"/>
  <c r="EO33" i="272"/>
  <c r="EN23" i="272"/>
  <c r="EN26" i="272"/>
  <c r="EO21" i="272"/>
  <c r="EO22" i="272" s="1"/>
  <c r="EP19" i="272"/>
  <c r="EP17" i="272"/>
  <c r="EP18" i="272"/>
  <c r="EQ19" i="272" l="1"/>
  <c r="EQ17" i="272"/>
  <c r="EQ21" i="272"/>
  <c r="EQ18" i="272"/>
  <c r="EP24" i="272"/>
  <c r="EP20" i="272"/>
  <c r="EP33" i="272"/>
  <c r="EO26" i="272"/>
  <c r="EO23" i="272"/>
  <c r="EU28" i="272"/>
  <c r="EV13" i="272"/>
  <c r="EP21" i="272"/>
  <c r="EP22" i="272" s="1"/>
  <c r="ER15" i="272"/>
  <c r="ER16" i="272"/>
  <c r="ES14" i="272"/>
  <c r="ES16" i="272" l="1"/>
  <c r="ES15" i="272"/>
  <c r="ET14" i="272"/>
  <c r="EV28" i="272"/>
  <c r="EW13" i="272"/>
  <c r="EQ22" i="272"/>
  <c r="ER21" i="272"/>
  <c r="ER22" i="272" s="1"/>
  <c r="ER18" i="272"/>
  <c r="ER19" i="272"/>
  <c r="ER17" i="272"/>
  <c r="EP26" i="272"/>
  <c r="EP23" i="272"/>
  <c r="EQ24" i="272"/>
  <c r="EQ20" i="272"/>
  <c r="EQ33" i="272"/>
  <c r="ET15" i="272" l="1"/>
  <c r="EU14" i="272"/>
  <c r="ET16" i="272"/>
  <c r="EW28" i="272"/>
  <c r="EX13" i="272"/>
  <c r="EQ26" i="272"/>
  <c r="EQ23" i="272"/>
  <c r="ER24" i="272"/>
  <c r="ER20" i="272"/>
  <c r="ER33" i="272"/>
  <c r="ES19" i="272"/>
  <c r="ES21" i="272" s="1"/>
  <c r="ES22" i="272" s="1"/>
  <c r="ES17" i="272"/>
  <c r="ES18" i="272"/>
  <c r="ER26" i="272" l="1"/>
  <c r="ER23" i="272"/>
  <c r="ET19" i="272"/>
  <c r="ET21" i="272" s="1"/>
  <c r="ET22" i="272" s="1"/>
  <c r="ET17" i="272"/>
  <c r="ET18" i="272"/>
  <c r="EU15" i="272"/>
  <c r="EU16" i="272"/>
  <c r="EV14" i="272"/>
  <c r="ES24" i="272"/>
  <c r="ES20" i="272"/>
  <c r="ES33" i="272"/>
  <c r="EX28" i="272"/>
  <c r="EY13" i="272"/>
  <c r="EY28" i="272" l="1"/>
  <c r="EZ13" i="272"/>
  <c r="ES26" i="272"/>
  <c r="ES23" i="272"/>
  <c r="EV15" i="272"/>
  <c r="EV16" i="272"/>
  <c r="EW14" i="272"/>
  <c r="EU19" i="272"/>
  <c r="EU21" i="272" s="1"/>
  <c r="EU22" i="272" s="1"/>
  <c r="EU17" i="272"/>
  <c r="EU18" i="272"/>
  <c r="ET24" i="272"/>
  <c r="ET20" i="272"/>
  <c r="ET33" i="272"/>
  <c r="EV18" i="272" l="1"/>
  <c r="EV19" i="272"/>
  <c r="EV17" i="272"/>
  <c r="EW16" i="272"/>
  <c r="EW15" i="272"/>
  <c r="EX14" i="272"/>
  <c r="EZ28" i="272"/>
  <c r="FA13" i="272"/>
  <c r="ET26" i="272"/>
  <c r="ET23" i="272"/>
  <c r="EU24" i="272"/>
  <c r="EU20" i="272"/>
  <c r="EU33" i="272"/>
  <c r="EU23" i="272" l="1"/>
  <c r="EU26" i="272"/>
  <c r="EX15" i="272"/>
  <c r="EY14" i="272"/>
  <c r="EX16" i="272"/>
  <c r="EV24" i="272"/>
  <c r="EV20" i="272"/>
  <c r="EV33" i="272"/>
  <c r="FA28" i="272"/>
  <c r="FB13" i="272"/>
  <c r="EW19" i="272"/>
  <c r="EW21" i="272" s="1"/>
  <c r="EW17" i="272"/>
  <c r="EW18" i="272"/>
  <c r="EV21" i="272"/>
  <c r="EV22" i="272" s="1"/>
  <c r="EW22" i="272" l="1"/>
  <c r="FB28" i="272"/>
  <c r="FC13" i="272"/>
  <c r="EV23" i="272"/>
  <c r="EV26" i="272"/>
  <c r="EX19" i="272"/>
  <c r="EX21" i="272" s="1"/>
  <c r="EX22" i="272" s="1"/>
  <c r="EX17" i="272"/>
  <c r="EX18" i="272"/>
  <c r="EW24" i="272"/>
  <c r="EW20" i="272"/>
  <c r="EW33" i="272"/>
  <c r="EY15" i="272"/>
  <c r="EY16" i="272"/>
  <c r="EZ14" i="272"/>
  <c r="EY19" i="272" l="1"/>
  <c r="EY17" i="272"/>
  <c r="EY18" i="272"/>
  <c r="EY21" i="272"/>
  <c r="EY22" i="272" s="1"/>
  <c r="EZ15" i="272"/>
  <c r="EZ16" i="272"/>
  <c r="FA14" i="272"/>
  <c r="EX24" i="272"/>
  <c r="EX20" i="272"/>
  <c r="EX33" i="272"/>
  <c r="EW26" i="272"/>
  <c r="EW23" i="272"/>
  <c r="FC28" i="272"/>
  <c r="FD13" i="272"/>
  <c r="FD28" i="272" l="1"/>
  <c r="FE13" i="272"/>
  <c r="EX26" i="272"/>
  <c r="EX23" i="272"/>
  <c r="FA16" i="272"/>
  <c r="FB14" i="272"/>
  <c r="FA15" i="272"/>
  <c r="EZ21" i="272"/>
  <c r="EZ22" i="272" s="1"/>
  <c r="EZ19" i="272"/>
  <c r="EZ18" i="272"/>
  <c r="EZ17" i="272"/>
  <c r="EY24" i="272"/>
  <c r="EY20" i="272"/>
  <c r="EY33" i="272"/>
  <c r="FE28" i="272" l="1"/>
  <c r="FF13" i="272"/>
  <c r="FB15" i="272"/>
  <c r="FB16" i="272"/>
  <c r="FC14" i="272"/>
  <c r="EY26" i="272"/>
  <c r="EY23" i="272"/>
  <c r="EZ24" i="272"/>
  <c r="EZ20" i="272"/>
  <c r="EZ33" i="272"/>
  <c r="FA19" i="272"/>
  <c r="FA17" i="272"/>
  <c r="FA18" i="272"/>
  <c r="FA24" i="272" l="1"/>
  <c r="FA20" i="272"/>
  <c r="FA33" i="272"/>
  <c r="FB19" i="272"/>
  <c r="FB21" i="272" s="1"/>
  <c r="FB22" i="272" s="1"/>
  <c r="FB17" i="272"/>
  <c r="FB18" i="272"/>
  <c r="EZ26" i="272"/>
  <c r="EZ23" i="272"/>
  <c r="FA21" i="272"/>
  <c r="FA22" i="272" s="1"/>
  <c r="FF28" i="272"/>
  <c r="FG13" i="272"/>
  <c r="FC15" i="272"/>
  <c r="FC16" i="272"/>
  <c r="FD14" i="272"/>
  <c r="FG28" i="272" l="1"/>
  <c r="FH13" i="272"/>
  <c r="FC19" i="272"/>
  <c r="FC17" i="272"/>
  <c r="FC18" i="272"/>
  <c r="FD15" i="272"/>
  <c r="FD16" i="272"/>
  <c r="FE14" i="272"/>
  <c r="FB24" i="272"/>
  <c r="FB20" i="272"/>
  <c r="FB33" i="272"/>
  <c r="FA26" i="272"/>
  <c r="FA23" i="272"/>
  <c r="FB26" i="272" l="1"/>
  <c r="FB23" i="272"/>
  <c r="FH28" i="272"/>
  <c r="FI13" i="272"/>
  <c r="FC24" i="272"/>
  <c r="FC20" i="272"/>
  <c r="FC33" i="272"/>
  <c r="FC21" i="272"/>
  <c r="FC22" i="272" s="1"/>
  <c r="FE16" i="272"/>
  <c r="FF14" i="272"/>
  <c r="FE15" i="272"/>
  <c r="FD18" i="272"/>
  <c r="FD17" i="272"/>
  <c r="FD19" i="272"/>
  <c r="FD21" i="272" s="1"/>
  <c r="FD22" i="272" l="1"/>
  <c r="FD24" i="272"/>
  <c r="FD20" i="272"/>
  <c r="FD33" i="272"/>
  <c r="FF15" i="272"/>
  <c r="FG14" i="272"/>
  <c r="FF16" i="272"/>
  <c r="FI28" i="272"/>
  <c r="FJ13" i="272"/>
  <c r="FE19" i="272"/>
  <c r="FE17" i="272"/>
  <c r="FE18" i="272"/>
  <c r="FC23" i="272"/>
  <c r="FC26" i="272"/>
  <c r="FJ28" i="272" l="1"/>
  <c r="FK13" i="272"/>
  <c r="FE24" i="272"/>
  <c r="FE20" i="272"/>
  <c r="FE33" i="272"/>
  <c r="FF19" i="272"/>
  <c r="FF17" i="272"/>
  <c r="FF18" i="272"/>
  <c r="FE21" i="272"/>
  <c r="FE22" i="272" s="1"/>
  <c r="FG15" i="272"/>
  <c r="FG16" i="272"/>
  <c r="FH14" i="272"/>
  <c r="FD23" i="272"/>
  <c r="FD26" i="272"/>
  <c r="FF24" i="272" l="1"/>
  <c r="FF20" i="272"/>
  <c r="FF33" i="272"/>
  <c r="FE26" i="272"/>
  <c r="FE23" i="272"/>
  <c r="FH15" i="272"/>
  <c r="FH16" i="272"/>
  <c r="FI14" i="272"/>
  <c r="FF21" i="272"/>
  <c r="FF22" i="272" s="1"/>
  <c r="FK28" i="272"/>
  <c r="FL13" i="272"/>
  <c r="FG19" i="272"/>
  <c r="FG17" i="272"/>
  <c r="FG18" i="272"/>
  <c r="FG24" i="272" l="1"/>
  <c r="FG20" i="272"/>
  <c r="FG33" i="272"/>
  <c r="FL28" i="272"/>
  <c r="FM13" i="272"/>
  <c r="FI16" i="272"/>
  <c r="FI15" i="272"/>
  <c r="FJ14" i="272"/>
  <c r="FH18" i="272"/>
  <c r="FH19" i="272"/>
  <c r="FH17" i="272"/>
  <c r="FG21" i="272"/>
  <c r="FG22" i="272" s="1"/>
  <c r="FF26" i="272"/>
  <c r="FF23" i="272"/>
  <c r="FH24" i="272" l="1"/>
  <c r="FH20" i="272"/>
  <c r="FH33" i="272"/>
  <c r="FH21" i="272"/>
  <c r="FH22" i="272" s="1"/>
  <c r="FI19" i="272"/>
  <c r="FI17" i="272"/>
  <c r="FI18" i="272"/>
  <c r="FJ15" i="272"/>
  <c r="FK14" i="272"/>
  <c r="FJ16" i="272"/>
  <c r="FM28" i="272"/>
  <c r="FN13" i="272"/>
  <c r="FG26" i="272"/>
  <c r="FG23" i="272"/>
  <c r="FJ19" i="272" l="1"/>
  <c r="FJ17" i="272"/>
  <c r="FJ18" i="272"/>
  <c r="FK15" i="272"/>
  <c r="FK16" i="272"/>
  <c r="FL14" i="272"/>
  <c r="FI24" i="272"/>
  <c r="FI20" i="272"/>
  <c r="FI33" i="272"/>
  <c r="FN28" i="272"/>
  <c r="FO13" i="272"/>
  <c r="FI21" i="272"/>
  <c r="FI22" i="272" s="1"/>
  <c r="FH26" i="272"/>
  <c r="FH23" i="272"/>
  <c r="FO28" i="272" l="1"/>
  <c r="FP13" i="272"/>
  <c r="FL15" i="272"/>
  <c r="FL16" i="272"/>
  <c r="FM14" i="272"/>
  <c r="FK19" i="272"/>
  <c r="FK21" i="272" s="1"/>
  <c r="FK17" i="272"/>
  <c r="FK18" i="272"/>
  <c r="FJ24" i="272"/>
  <c r="FJ20" i="272"/>
  <c r="FJ33" i="272"/>
  <c r="FI26" i="272"/>
  <c r="FI23" i="272"/>
  <c r="FJ21" i="272"/>
  <c r="FJ22" i="272" s="1"/>
  <c r="FK24" i="272" l="1"/>
  <c r="FK20" i="272"/>
  <c r="FK33" i="272"/>
  <c r="FP28" i="272"/>
  <c r="FQ13" i="272"/>
  <c r="FK22" i="272"/>
  <c r="FJ26" i="272"/>
  <c r="FJ23" i="272"/>
  <c r="FM16" i="272"/>
  <c r="FM15" i="272"/>
  <c r="FN14" i="272"/>
  <c r="FL18" i="272"/>
  <c r="FL19" i="272"/>
  <c r="FL17" i="272"/>
  <c r="FL24" i="272" l="1"/>
  <c r="FL20" i="272"/>
  <c r="FL33" i="272"/>
  <c r="FN15" i="272"/>
  <c r="FO14" i="272"/>
  <c r="FN16" i="272"/>
  <c r="FL21" i="272"/>
  <c r="FL22" i="272" s="1"/>
  <c r="FM19" i="272"/>
  <c r="FM17" i="272"/>
  <c r="FM18" i="272"/>
  <c r="FQ28" i="272"/>
  <c r="FR13" i="272"/>
  <c r="FK26" i="272"/>
  <c r="FK23" i="272"/>
  <c r="FR28" i="272" l="1"/>
  <c r="FS13" i="272"/>
  <c r="FM24" i="272"/>
  <c r="FM20" i="272"/>
  <c r="FM33" i="272"/>
  <c r="FO15" i="272"/>
  <c r="FO16" i="272"/>
  <c r="FP14" i="272"/>
  <c r="FN19" i="272"/>
  <c r="FN17" i="272"/>
  <c r="FN18" i="272"/>
  <c r="FM21" i="272"/>
  <c r="FM22" i="272" s="1"/>
  <c r="FL23" i="272"/>
  <c r="FL26" i="272"/>
  <c r="FP15" i="272" l="1"/>
  <c r="FP16" i="272"/>
  <c r="FQ14" i="272"/>
  <c r="FS28" i="272"/>
  <c r="FT13" i="272"/>
  <c r="FO19" i="272"/>
  <c r="FO17" i="272"/>
  <c r="FO18" i="272"/>
  <c r="FM26" i="272"/>
  <c r="FM23" i="272"/>
  <c r="FN24" i="272"/>
  <c r="FN20" i="272"/>
  <c r="FN33" i="272"/>
  <c r="FN21" i="272"/>
  <c r="FN22" i="272" s="1"/>
  <c r="FN26" i="272" l="1"/>
  <c r="FN23" i="272"/>
  <c r="FQ16" i="272"/>
  <c r="FR14" i="272"/>
  <c r="FQ15" i="272"/>
  <c r="FO24" i="272"/>
  <c r="FO20" i="272"/>
  <c r="FO33" i="272"/>
  <c r="FP19" i="272"/>
  <c r="FP18" i="272"/>
  <c r="FP17" i="272"/>
  <c r="FO21" i="272"/>
  <c r="FO22" i="272" s="1"/>
  <c r="FT28" i="272"/>
  <c r="FU13" i="272"/>
  <c r="FU28" i="272" l="1"/>
  <c r="FV13" i="272"/>
  <c r="FQ19" i="272"/>
  <c r="FQ17" i="272"/>
  <c r="FQ18" i="272"/>
  <c r="FO26" i="272"/>
  <c r="FO23" i="272"/>
  <c r="FP24" i="272"/>
  <c r="FP20" i="272"/>
  <c r="FP33" i="272"/>
  <c r="FP21" i="272"/>
  <c r="FP22" i="272" s="1"/>
  <c r="FR15" i="272"/>
  <c r="FR16" i="272"/>
  <c r="FS14" i="272"/>
  <c r="FS15" i="272" l="1"/>
  <c r="FS16" i="272"/>
  <c r="FT14" i="272"/>
  <c r="FQ24" i="272"/>
  <c r="FQ20" i="272"/>
  <c r="FQ33" i="272"/>
  <c r="FR19" i="272"/>
  <c r="FR17" i="272"/>
  <c r="FR18" i="272"/>
  <c r="FQ21" i="272"/>
  <c r="FQ22" i="272" s="1"/>
  <c r="FP26" i="272"/>
  <c r="FP23" i="272"/>
  <c r="FV28" i="272"/>
  <c r="FW13" i="272"/>
  <c r="FR24" i="272" l="1"/>
  <c r="FR20" i="272"/>
  <c r="FR33" i="272"/>
  <c r="FW28" i="272"/>
  <c r="FX13" i="272"/>
  <c r="FT15" i="272"/>
  <c r="FT16" i="272"/>
  <c r="FU14" i="272"/>
  <c r="FS19" i="272"/>
  <c r="FS17" i="272"/>
  <c r="FS18" i="272"/>
  <c r="FQ26" i="272"/>
  <c r="FQ23" i="272"/>
  <c r="FR21" i="272"/>
  <c r="FR22" i="272" s="1"/>
  <c r="FU16" i="272" l="1"/>
  <c r="FV14" i="272"/>
  <c r="FU15" i="272"/>
  <c r="FT18" i="272"/>
  <c r="FT19" i="272"/>
  <c r="FT21" i="272" s="1"/>
  <c r="FT17" i="272"/>
  <c r="FS24" i="272"/>
  <c r="FS20" i="272"/>
  <c r="FS33" i="272"/>
  <c r="FS21" i="272"/>
  <c r="FS22" i="272" s="1"/>
  <c r="FX28" i="272"/>
  <c r="FY13" i="272"/>
  <c r="FR26" i="272"/>
  <c r="FR23" i="272"/>
  <c r="FT22" i="272" l="1"/>
  <c r="FY28" i="272"/>
  <c r="FZ13" i="272"/>
  <c r="FT24" i="272"/>
  <c r="FT20" i="272"/>
  <c r="FT33" i="272"/>
  <c r="FV15" i="272"/>
  <c r="FW14" i="272"/>
  <c r="FV16" i="272"/>
  <c r="FS23" i="272"/>
  <c r="FS26" i="272"/>
  <c r="FU19" i="272"/>
  <c r="FU17" i="272"/>
  <c r="FU18" i="272"/>
  <c r="FT23" i="272" l="1"/>
  <c r="FT26" i="272"/>
  <c r="FU24" i="272"/>
  <c r="FU20" i="272"/>
  <c r="FU33" i="272"/>
  <c r="FW15" i="272"/>
  <c r="FW16" i="272"/>
  <c r="FX14" i="272"/>
  <c r="FZ28" i="272"/>
  <c r="GA13" i="272"/>
  <c r="FU21" i="272"/>
  <c r="FU22" i="272" s="1"/>
  <c r="FV19" i="272"/>
  <c r="FV17" i="272"/>
  <c r="FV18" i="272"/>
  <c r="GA28" i="272" l="1"/>
  <c r="GB13" i="272"/>
  <c r="FW19" i="272"/>
  <c r="FW17" i="272"/>
  <c r="FW18" i="272"/>
  <c r="FU26" i="272"/>
  <c r="FU23" i="272"/>
  <c r="FV24" i="272"/>
  <c r="FV20" i="272"/>
  <c r="FV33" i="272"/>
  <c r="FV21" i="272"/>
  <c r="FV22" i="272" s="1"/>
  <c r="FX15" i="272"/>
  <c r="FX16" i="272"/>
  <c r="FY14" i="272"/>
  <c r="FW24" i="272" l="1"/>
  <c r="FW20" i="272"/>
  <c r="FW33" i="272"/>
  <c r="FV26" i="272"/>
  <c r="FV23" i="272"/>
  <c r="FW21" i="272"/>
  <c r="FW22" i="272" s="1"/>
  <c r="GB28" i="272"/>
  <c r="GC13" i="272"/>
  <c r="FY16" i="272"/>
  <c r="FZ14" i="272"/>
  <c r="FY15" i="272"/>
  <c r="FX18" i="272"/>
  <c r="FX19" i="272"/>
  <c r="FX21" i="272" s="1"/>
  <c r="FX17" i="272"/>
  <c r="FX22" i="272" l="1"/>
  <c r="FZ15" i="272"/>
  <c r="FZ16" i="272"/>
  <c r="GA14" i="272"/>
  <c r="GC28" i="272"/>
  <c r="GD13" i="272"/>
  <c r="FX24" i="272"/>
  <c r="FX20" i="272"/>
  <c r="FX33" i="272"/>
  <c r="FY19" i="272"/>
  <c r="FY21" i="272" s="1"/>
  <c r="FY22" i="272" s="1"/>
  <c r="FY17" i="272"/>
  <c r="FY18" i="272"/>
  <c r="FW26" i="272"/>
  <c r="FW23" i="272"/>
  <c r="FX26" i="272" l="1"/>
  <c r="FX23" i="272"/>
  <c r="FZ19" i="272"/>
  <c r="FZ21" i="272" s="1"/>
  <c r="FZ22" i="272" s="1"/>
  <c r="FZ17" i="272"/>
  <c r="FZ18" i="272"/>
  <c r="FY24" i="272"/>
  <c r="FY20" i="272"/>
  <c r="FY33" i="272"/>
  <c r="GA15" i="272"/>
  <c r="GA16" i="272"/>
  <c r="GB14" i="272"/>
  <c r="GD28" i="272"/>
  <c r="GE13" i="272"/>
  <c r="GA19" i="272" l="1"/>
  <c r="GA21" i="272" s="1"/>
  <c r="GA22" i="272" s="1"/>
  <c r="GA17" i="272"/>
  <c r="GA18" i="272"/>
  <c r="FY26" i="272"/>
  <c r="FY23" i="272"/>
  <c r="GE28" i="272"/>
  <c r="GF13" i="272"/>
  <c r="GB15" i="272"/>
  <c r="GB16" i="272"/>
  <c r="GC14" i="272"/>
  <c r="FZ24" i="272"/>
  <c r="FZ20" i="272"/>
  <c r="FZ33" i="272"/>
  <c r="GC16" i="272" l="1"/>
  <c r="GD14" i="272"/>
  <c r="GC15" i="272"/>
  <c r="GB18" i="272"/>
  <c r="GB19" i="272"/>
  <c r="GB17" i="272"/>
  <c r="GA24" i="272"/>
  <c r="GA20" i="272"/>
  <c r="GA33" i="272"/>
  <c r="FZ26" i="272"/>
  <c r="FZ23" i="272"/>
  <c r="GF28" i="272"/>
  <c r="GG13" i="272"/>
  <c r="GB24" i="272" l="1"/>
  <c r="GB20" i="272"/>
  <c r="GB33" i="272"/>
  <c r="GD15" i="272"/>
  <c r="GD16" i="272"/>
  <c r="GE14" i="272"/>
  <c r="GG28" i="272"/>
  <c r="GH13" i="272"/>
  <c r="GA26" i="272"/>
  <c r="GA23" i="272"/>
  <c r="GB21" i="272"/>
  <c r="GB22" i="272" s="1"/>
  <c r="GC19" i="272"/>
  <c r="GC17" i="272"/>
  <c r="GC18" i="272"/>
  <c r="GE15" i="272" l="1"/>
  <c r="GE16" i="272"/>
  <c r="GF14" i="272"/>
  <c r="GD19" i="272"/>
  <c r="GD21" i="272" s="1"/>
  <c r="GD17" i="272"/>
  <c r="GD18" i="272"/>
  <c r="GC24" i="272"/>
  <c r="GC20" i="272"/>
  <c r="GC33" i="272"/>
  <c r="GC21" i="272"/>
  <c r="GC22" i="272" s="1"/>
  <c r="GH28" i="272"/>
  <c r="GI13" i="272"/>
  <c r="GB23" i="272"/>
  <c r="GB26" i="272"/>
  <c r="GF15" i="272" l="1"/>
  <c r="GF16" i="272"/>
  <c r="GG14" i="272"/>
  <c r="GI28" i="272"/>
  <c r="GJ13" i="272"/>
  <c r="GE19" i="272"/>
  <c r="GE17" i="272"/>
  <c r="GE18" i="272"/>
  <c r="GD22" i="272"/>
  <c r="GC26" i="272"/>
  <c r="GC23" i="272"/>
  <c r="GD24" i="272"/>
  <c r="GD20" i="272"/>
  <c r="GD33" i="272"/>
  <c r="GG16" i="272" l="1"/>
  <c r="GH14" i="272"/>
  <c r="GG15" i="272"/>
  <c r="GE24" i="272"/>
  <c r="GE20" i="272"/>
  <c r="GE33" i="272"/>
  <c r="GF19" i="272"/>
  <c r="GF21" i="272" s="1"/>
  <c r="GF18" i="272"/>
  <c r="GF17" i="272"/>
  <c r="GD26" i="272"/>
  <c r="GD23" i="272"/>
  <c r="GE21" i="272"/>
  <c r="GE22" i="272" s="1"/>
  <c r="GJ28" i="272"/>
  <c r="GK13" i="272"/>
  <c r="GF22" i="272" l="1"/>
  <c r="GE26" i="272"/>
  <c r="GE23" i="272"/>
  <c r="GK28" i="272"/>
  <c r="GL13" i="272"/>
  <c r="GF24" i="272"/>
  <c r="GF20" i="272"/>
  <c r="GF33" i="272"/>
  <c r="GH15" i="272"/>
  <c r="GH16" i="272"/>
  <c r="GI14" i="272"/>
  <c r="GG19" i="272"/>
  <c r="GG21" i="272" s="1"/>
  <c r="GG22" i="272" s="1"/>
  <c r="GG17" i="272"/>
  <c r="GG18" i="272"/>
  <c r="GL28" i="272" l="1"/>
  <c r="GM13" i="272"/>
  <c r="GI15" i="272"/>
  <c r="GI16" i="272"/>
  <c r="GJ14" i="272"/>
  <c r="GG24" i="272"/>
  <c r="GG20" i="272"/>
  <c r="GG33" i="272"/>
  <c r="GH19" i="272"/>
  <c r="GH17" i="272"/>
  <c r="GH18" i="272"/>
  <c r="GF26" i="272"/>
  <c r="GF23" i="272"/>
  <c r="GI19" i="272" l="1"/>
  <c r="GI17" i="272"/>
  <c r="GI18" i="272"/>
  <c r="GI21" i="272"/>
  <c r="GH24" i="272"/>
  <c r="GH20" i="272"/>
  <c r="GH33" i="272"/>
  <c r="GH21" i="272"/>
  <c r="GH22" i="272" s="1"/>
  <c r="GM28" i="272"/>
  <c r="GN13" i="272"/>
  <c r="GG26" i="272"/>
  <c r="GG23" i="272"/>
  <c r="GJ15" i="272"/>
  <c r="GJ16" i="272"/>
  <c r="GK14" i="272"/>
  <c r="GK16" i="272" l="1"/>
  <c r="GL14" i="272"/>
  <c r="GK15" i="272"/>
  <c r="GJ18" i="272"/>
  <c r="GJ19" i="272"/>
  <c r="GJ21" i="272" s="1"/>
  <c r="GJ22" i="272" s="1"/>
  <c r="GJ17" i="272"/>
  <c r="GN28" i="272"/>
  <c r="GO13" i="272"/>
  <c r="GI22" i="272"/>
  <c r="GH26" i="272"/>
  <c r="GH23" i="272"/>
  <c r="GI24" i="272"/>
  <c r="GI20" i="272"/>
  <c r="GI33" i="272"/>
  <c r="GI23" i="272" l="1"/>
  <c r="GI26" i="272"/>
  <c r="GJ24" i="272"/>
  <c r="GJ20" i="272"/>
  <c r="GJ33" i="272"/>
  <c r="GL15" i="272"/>
  <c r="GM14" i="272"/>
  <c r="GL16" i="272"/>
  <c r="GO28" i="272"/>
  <c r="GP13" i="272"/>
  <c r="GK19" i="272"/>
  <c r="GK21" i="272" s="1"/>
  <c r="GK22" i="272" s="1"/>
  <c r="GK17" i="272"/>
  <c r="GK18" i="272"/>
  <c r="GJ23" i="272" l="1"/>
  <c r="GJ26" i="272"/>
  <c r="GM15" i="272"/>
  <c r="GM16" i="272"/>
  <c r="GN14" i="272"/>
  <c r="GP28" i="272"/>
  <c r="GQ13" i="272"/>
  <c r="GK24" i="272"/>
  <c r="GK20" i="272"/>
  <c r="GK33" i="272"/>
  <c r="GL19" i="272"/>
  <c r="GL21" i="272" s="1"/>
  <c r="GL22" i="272" s="1"/>
  <c r="GL17" i="272"/>
  <c r="GL18" i="272"/>
  <c r="GQ28" i="272" l="1"/>
  <c r="GR13" i="272"/>
  <c r="GN15" i="272"/>
  <c r="GN16" i="272"/>
  <c r="GO14" i="272"/>
  <c r="GL24" i="272"/>
  <c r="GL20" i="272"/>
  <c r="GL33" i="272"/>
  <c r="GK26" i="272"/>
  <c r="GK23" i="272"/>
  <c r="GM19" i="272"/>
  <c r="GM17" i="272"/>
  <c r="GM18" i="272"/>
  <c r="GM24" i="272" l="1"/>
  <c r="GM20" i="272"/>
  <c r="GM33" i="272"/>
  <c r="GM21" i="272"/>
  <c r="GM22" i="272" s="1"/>
  <c r="GO16" i="272"/>
  <c r="GP14" i="272"/>
  <c r="GO15" i="272"/>
  <c r="GR28" i="272"/>
  <c r="GS13" i="272"/>
  <c r="GL26" i="272"/>
  <c r="GL23" i="272"/>
  <c r="GN18" i="272"/>
  <c r="GN19" i="272"/>
  <c r="GN21" i="272" s="1"/>
  <c r="GN17" i="272"/>
  <c r="GN22" i="272" l="1"/>
  <c r="GN24" i="272"/>
  <c r="GN20" i="272"/>
  <c r="GN33" i="272"/>
  <c r="GP15" i="272"/>
  <c r="GQ14" i="272"/>
  <c r="GP16" i="272"/>
  <c r="GS28" i="272"/>
  <c r="GT13" i="272"/>
  <c r="GO19" i="272"/>
  <c r="GO17" i="272"/>
  <c r="GO18" i="272"/>
  <c r="GM26" i="272"/>
  <c r="GM23" i="272"/>
  <c r="GO24" i="272" l="1"/>
  <c r="GO20" i="272"/>
  <c r="GO33" i="272"/>
  <c r="GO21" i="272"/>
  <c r="GO22" i="272" s="1"/>
  <c r="GP19" i="272"/>
  <c r="GP17" i="272"/>
  <c r="GP18" i="272"/>
  <c r="GT28" i="272"/>
  <c r="GU13" i="272"/>
  <c r="GQ15" i="272"/>
  <c r="GQ16" i="272"/>
  <c r="GR14" i="272"/>
  <c r="GN26" i="272"/>
  <c r="GN23" i="272"/>
  <c r="GU28" i="272" l="1"/>
  <c r="GV13" i="272"/>
  <c r="GR15" i="272"/>
  <c r="GR16" i="272"/>
  <c r="GS14" i="272"/>
  <c r="GP24" i="272"/>
  <c r="GP20" i="272"/>
  <c r="GP33" i="272"/>
  <c r="GQ19" i="272"/>
  <c r="GQ21" i="272" s="1"/>
  <c r="GQ17" i="272"/>
  <c r="GQ18" i="272"/>
  <c r="GP21" i="272"/>
  <c r="GP22" i="272" s="1"/>
  <c r="GO26" i="272"/>
  <c r="GO23" i="272"/>
  <c r="GQ22" i="272" l="1"/>
  <c r="GR18" i="272"/>
  <c r="GR19" i="272"/>
  <c r="GR17" i="272"/>
  <c r="GQ24" i="272"/>
  <c r="GQ20" i="272"/>
  <c r="GQ33" i="272"/>
  <c r="GP26" i="272"/>
  <c r="GP23" i="272"/>
  <c r="GV28" i="272"/>
  <c r="GW13" i="272"/>
  <c r="GS16" i="272"/>
  <c r="GT14" i="272"/>
  <c r="GS15" i="272"/>
  <c r="GR24" i="272" l="1"/>
  <c r="GR20" i="272"/>
  <c r="GR33" i="272"/>
  <c r="GS19" i="272"/>
  <c r="GS21" i="272" s="1"/>
  <c r="GS17" i="272"/>
  <c r="GS18" i="272"/>
  <c r="GW28" i="272"/>
  <c r="GX13" i="272"/>
  <c r="GT15" i="272"/>
  <c r="GT16" i="272"/>
  <c r="GU14" i="272"/>
  <c r="GQ23" i="272"/>
  <c r="GQ26" i="272"/>
  <c r="GR21" i="272"/>
  <c r="GR22" i="272" s="1"/>
  <c r="GS22" i="272" l="1"/>
  <c r="GX28" i="272"/>
  <c r="GY13" i="272"/>
  <c r="GT19" i="272"/>
  <c r="GT21" i="272" s="1"/>
  <c r="GT22" i="272" s="1"/>
  <c r="GT17" i="272"/>
  <c r="GT18" i="272"/>
  <c r="GU15" i="272"/>
  <c r="GU16" i="272"/>
  <c r="GV14" i="272"/>
  <c r="GS24" i="272"/>
  <c r="GS20" i="272"/>
  <c r="GS33" i="272"/>
  <c r="GR23" i="272"/>
  <c r="GR26" i="272"/>
  <c r="GS26" i="272" l="1"/>
  <c r="GS23" i="272"/>
  <c r="GY28" i="272"/>
  <c r="GZ13" i="272"/>
  <c r="GV15" i="272"/>
  <c r="GV16" i="272"/>
  <c r="GW14" i="272"/>
  <c r="GU19" i="272"/>
  <c r="GU21" i="272" s="1"/>
  <c r="GU22" i="272" s="1"/>
  <c r="GU17" i="272"/>
  <c r="GU18" i="272"/>
  <c r="GT24" i="272"/>
  <c r="GT20" i="272"/>
  <c r="GT33" i="272"/>
  <c r="GW16" i="272" l="1"/>
  <c r="GX14" i="272"/>
  <c r="GW15" i="272"/>
  <c r="GV19" i="272"/>
  <c r="GV21" i="272" s="1"/>
  <c r="GV22" i="272" s="1"/>
  <c r="GV18" i="272"/>
  <c r="GV17" i="272"/>
  <c r="GZ28" i="272"/>
  <c r="HA13" i="272"/>
  <c r="GT26" i="272"/>
  <c r="GT23" i="272"/>
  <c r="GU24" i="272"/>
  <c r="GU20" i="272"/>
  <c r="GU33" i="272"/>
  <c r="GX15" i="272" l="1"/>
  <c r="GX16" i="272"/>
  <c r="GY14" i="272"/>
  <c r="GU26" i="272"/>
  <c r="GU23" i="272"/>
  <c r="HA28" i="272"/>
  <c r="HB13" i="272"/>
  <c r="GV24" i="272"/>
  <c r="GV20" i="272"/>
  <c r="GV33" i="272"/>
  <c r="GW19" i="272"/>
  <c r="GW21" i="272" s="1"/>
  <c r="GW22" i="272" s="1"/>
  <c r="GW17" i="272"/>
  <c r="GW18" i="272"/>
  <c r="HB28" i="272" l="1"/>
  <c r="HC13" i="272"/>
  <c r="GX19" i="272"/>
  <c r="GX21" i="272" s="1"/>
  <c r="GX22" i="272" s="1"/>
  <c r="GX17" i="272"/>
  <c r="GX18" i="272"/>
  <c r="GY15" i="272"/>
  <c r="GY16" i="272"/>
  <c r="GZ14" i="272"/>
  <c r="GW24" i="272"/>
  <c r="GW20" i="272"/>
  <c r="GW33" i="272"/>
  <c r="GV26" i="272"/>
  <c r="GV23" i="272"/>
  <c r="GW26" i="272" l="1"/>
  <c r="GW23" i="272"/>
  <c r="GZ15" i="272"/>
  <c r="GZ16" i="272"/>
  <c r="HA14" i="272"/>
  <c r="HC28" i="272"/>
  <c r="HD13" i="272"/>
  <c r="GX24" i="272"/>
  <c r="GX20" i="272"/>
  <c r="GX33" i="272"/>
  <c r="GY19" i="272"/>
  <c r="GY17" i="272"/>
  <c r="GY18" i="272"/>
  <c r="GX26" i="272" l="1"/>
  <c r="GX23" i="272"/>
  <c r="HD28" i="272"/>
  <c r="HE13" i="272"/>
  <c r="GY24" i="272"/>
  <c r="GY20" i="272"/>
  <c r="GY33" i="272"/>
  <c r="GZ18" i="272"/>
  <c r="GZ17" i="272"/>
  <c r="GZ19" i="272"/>
  <c r="GY21" i="272"/>
  <c r="GY22" i="272" s="1"/>
  <c r="HA16" i="272"/>
  <c r="HB14" i="272"/>
  <c r="HA15" i="272"/>
  <c r="GZ24" i="272" l="1"/>
  <c r="GZ20" i="272"/>
  <c r="GZ33" i="272"/>
  <c r="HE28" i="272"/>
  <c r="HF13" i="272"/>
  <c r="HB15" i="272"/>
  <c r="HC14" i="272"/>
  <c r="HB16" i="272"/>
  <c r="HA19" i="272"/>
  <c r="HA17" i="272"/>
  <c r="HA18" i="272"/>
  <c r="GY23" i="272"/>
  <c r="GY26" i="272"/>
  <c r="GZ21" i="272"/>
  <c r="GZ22" i="272" s="1"/>
  <c r="HA24" i="272" l="1"/>
  <c r="HA20" i="272"/>
  <c r="HA33" i="272"/>
  <c r="HA21" i="272"/>
  <c r="HA22" i="272" s="1"/>
  <c r="HB19" i="272"/>
  <c r="HB21" i="272" s="1"/>
  <c r="HB17" i="272"/>
  <c r="HB18" i="272"/>
  <c r="HC15" i="272"/>
  <c r="HC16" i="272"/>
  <c r="HD14" i="272"/>
  <c r="HF28" i="272"/>
  <c r="HG13" i="272"/>
  <c r="GZ23" i="272"/>
  <c r="GZ26" i="272"/>
  <c r="HB22" i="272" l="1"/>
  <c r="HD15" i="272"/>
  <c r="HD16" i="272"/>
  <c r="HE14" i="272"/>
  <c r="HC19" i="272"/>
  <c r="HC21" i="272" s="1"/>
  <c r="HC22" i="272" s="1"/>
  <c r="HC17" i="272"/>
  <c r="HC18" i="272"/>
  <c r="HG28" i="272"/>
  <c r="HH13" i="272"/>
  <c r="HB24" i="272"/>
  <c r="HB20" i="272"/>
  <c r="HB33" i="272"/>
  <c r="HA26" i="272"/>
  <c r="HA23" i="272"/>
  <c r="HE16" i="272" l="1"/>
  <c r="HF14" i="272"/>
  <c r="HE15" i="272"/>
  <c r="HB26" i="272"/>
  <c r="HB23" i="272"/>
  <c r="HD18" i="272"/>
  <c r="HD19" i="272"/>
  <c r="HD17" i="272"/>
  <c r="HH28" i="272"/>
  <c r="HI13" i="272"/>
  <c r="HC24" i="272"/>
  <c r="HC20" i="272"/>
  <c r="HC33" i="272"/>
  <c r="HD24" i="272" l="1"/>
  <c r="HD20" i="272"/>
  <c r="HD33" i="272"/>
  <c r="HI28" i="272"/>
  <c r="HJ13" i="272"/>
  <c r="HD21" i="272"/>
  <c r="HD22" i="272" s="1"/>
  <c r="HF15" i="272"/>
  <c r="HF16" i="272"/>
  <c r="HG14" i="272"/>
  <c r="HC26" i="272"/>
  <c r="HC23" i="272"/>
  <c r="HE19" i="272"/>
  <c r="HE17" i="272"/>
  <c r="HE18" i="272"/>
  <c r="HE24" i="272" l="1"/>
  <c r="HE20" i="272"/>
  <c r="HE33" i="272"/>
  <c r="HF19" i="272"/>
  <c r="HF17" i="272"/>
  <c r="HF18" i="272"/>
  <c r="HE21" i="272"/>
  <c r="HE22" i="272" s="1"/>
  <c r="HG15" i="272"/>
  <c r="HG16" i="272"/>
  <c r="HH14" i="272"/>
  <c r="HJ28" i="272"/>
  <c r="HK13" i="272"/>
  <c r="HD26" i="272"/>
  <c r="HD23" i="272"/>
  <c r="HG19" i="272" l="1"/>
  <c r="HG17" i="272"/>
  <c r="HG18" i="272"/>
  <c r="HH15" i="272"/>
  <c r="HH16" i="272"/>
  <c r="HI14" i="272"/>
  <c r="HF24" i="272"/>
  <c r="HF20" i="272"/>
  <c r="HF33" i="272"/>
  <c r="HE26" i="272"/>
  <c r="HE23" i="272"/>
  <c r="HK28" i="272"/>
  <c r="HL13" i="272"/>
  <c r="HF21" i="272"/>
  <c r="HF22" i="272" s="1"/>
  <c r="HF26" i="272" l="1"/>
  <c r="HF23" i="272"/>
  <c r="HI16" i="272"/>
  <c r="HJ14" i="272"/>
  <c r="HI15" i="272"/>
  <c r="HL28" i="272"/>
  <c r="HM13" i="272"/>
  <c r="HH18" i="272"/>
  <c r="HH19" i="272"/>
  <c r="HH21" i="272" s="1"/>
  <c r="HH17" i="272"/>
  <c r="HG24" i="272"/>
  <c r="HG20" i="272"/>
  <c r="HG33" i="272"/>
  <c r="HG21" i="272"/>
  <c r="HG22" i="272" s="1"/>
  <c r="HH22" i="272" l="1"/>
  <c r="HJ15" i="272"/>
  <c r="HJ16" i="272"/>
  <c r="HK14" i="272"/>
  <c r="HM28" i="272"/>
  <c r="HN13" i="272"/>
  <c r="HI19" i="272"/>
  <c r="HI17" i="272"/>
  <c r="HI18" i="272"/>
  <c r="HG23" i="272"/>
  <c r="HG26" i="272"/>
  <c r="HH24" i="272"/>
  <c r="HH20" i="272"/>
  <c r="HH33" i="272"/>
  <c r="HI24" i="272" l="1"/>
  <c r="HI20" i="272"/>
  <c r="HI33" i="272"/>
  <c r="HJ19" i="272"/>
  <c r="HJ17" i="272"/>
  <c r="HJ18" i="272"/>
  <c r="HK15" i="272"/>
  <c r="HK16" i="272"/>
  <c r="HL14" i="272"/>
  <c r="HI21" i="272"/>
  <c r="HI22" i="272" s="1"/>
  <c r="HH23" i="272"/>
  <c r="HH26" i="272"/>
  <c r="HN28" i="272"/>
  <c r="HO13" i="272"/>
  <c r="HO28" i="272" l="1"/>
  <c r="HP13" i="272"/>
  <c r="HJ24" i="272"/>
  <c r="HJ20" i="272"/>
  <c r="HJ33" i="272"/>
  <c r="HL15" i="272"/>
  <c r="HL16" i="272"/>
  <c r="HM14" i="272"/>
  <c r="HK19" i="272"/>
  <c r="HK17" i="272"/>
  <c r="HK18" i="272"/>
  <c r="HJ21" i="272"/>
  <c r="HJ22" i="272" s="1"/>
  <c r="HI26" i="272"/>
  <c r="HI23" i="272"/>
  <c r="HL19" i="272" l="1"/>
  <c r="HL18" i="272"/>
  <c r="HL17" i="272"/>
  <c r="HJ26" i="272"/>
  <c r="HJ23" i="272"/>
  <c r="HK24" i="272"/>
  <c r="HK20" i="272"/>
  <c r="HK33" i="272"/>
  <c r="HK21" i="272"/>
  <c r="HK22" i="272" s="1"/>
  <c r="HP28" i="272"/>
  <c r="HQ13" i="272"/>
  <c r="HM16" i="272"/>
  <c r="HN14" i="272"/>
  <c r="HM15" i="272"/>
  <c r="HK26" i="272" l="1"/>
  <c r="HK23" i="272"/>
  <c r="HQ28" i="272"/>
  <c r="HR13" i="272"/>
  <c r="HN15" i="272"/>
  <c r="HN16" i="272"/>
  <c r="HO14" i="272"/>
  <c r="HL24" i="272"/>
  <c r="HL20" i="272"/>
  <c r="HL33" i="272"/>
  <c r="HM19" i="272"/>
  <c r="HM21" i="272" s="1"/>
  <c r="HM17" i="272"/>
  <c r="HM18" i="272"/>
  <c r="HL21" i="272"/>
  <c r="HL22" i="272" s="1"/>
  <c r="HO15" i="272" l="1"/>
  <c r="HO16" i="272"/>
  <c r="HP14" i="272"/>
  <c r="HM22" i="272"/>
  <c r="HR28" i="272"/>
  <c r="HS13" i="272"/>
  <c r="HN19" i="272"/>
  <c r="HN21" i="272" s="1"/>
  <c r="HN22" i="272" s="1"/>
  <c r="HN17" i="272"/>
  <c r="HN18" i="272"/>
  <c r="HM24" i="272"/>
  <c r="HM20" i="272"/>
  <c r="HM33" i="272"/>
  <c r="HL26" i="272"/>
  <c r="HL23" i="272"/>
  <c r="HM26" i="272" l="1"/>
  <c r="HM23" i="272"/>
  <c r="HS28" i="272"/>
  <c r="HT13" i="272"/>
  <c r="HP15" i="272"/>
  <c r="HP16" i="272"/>
  <c r="HQ14" i="272"/>
  <c r="HO19" i="272"/>
  <c r="HO17" i="272"/>
  <c r="HO18" i="272"/>
  <c r="HN24" i="272"/>
  <c r="HN20" i="272"/>
  <c r="HN33" i="272"/>
  <c r="HT28" i="272" l="1"/>
  <c r="HU13" i="272"/>
  <c r="HO24" i="272"/>
  <c r="HO20" i="272"/>
  <c r="HO33" i="272"/>
  <c r="HP18" i="272"/>
  <c r="HP17" i="272"/>
  <c r="HP19" i="272"/>
  <c r="HP21" i="272" s="1"/>
  <c r="HQ16" i="272"/>
  <c r="HR14" i="272"/>
  <c r="HQ15" i="272"/>
  <c r="HN26" i="272"/>
  <c r="HN23" i="272"/>
  <c r="HO21" i="272"/>
  <c r="HO22" i="272" s="1"/>
  <c r="HP22" i="272" l="1"/>
  <c r="HO23" i="272"/>
  <c r="HO26" i="272"/>
  <c r="HQ19" i="272"/>
  <c r="HQ21" i="272" s="1"/>
  <c r="HQ22" i="272" s="1"/>
  <c r="HQ17" i="272"/>
  <c r="HQ18" i="272"/>
  <c r="HR15" i="272"/>
  <c r="HS14" i="272"/>
  <c r="HR16" i="272"/>
  <c r="HU28" i="272"/>
  <c r="HV13" i="272"/>
  <c r="HP24" i="272"/>
  <c r="HP20" i="272"/>
  <c r="HP33" i="272"/>
  <c r="HP23" i="272" l="1"/>
  <c r="HP26" i="272"/>
  <c r="HS15" i="272"/>
  <c r="HS16" i="272"/>
  <c r="HT14" i="272"/>
  <c r="HR19" i="272"/>
  <c r="HR21" i="272" s="1"/>
  <c r="HR22" i="272" s="1"/>
  <c r="HR17" i="272"/>
  <c r="HR18" i="272"/>
  <c r="HV28" i="272"/>
  <c r="HW13" i="272"/>
  <c r="HQ24" i="272"/>
  <c r="HQ20" i="272"/>
  <c r="HQ33" i="272"/>
  <c r="HR24" i="272" l="1"/>
  <c r="HR20" i="272"/>
  <c r="HR33" i="272"/>
  <c r="HT15" i="272"/>
  <c r="HT16" i="272"/>
  <c r="HU14" i="272"/>
  <c r="HW28" i="272"/>
  <c r="HX13" i="272"/>
  <c r="HQ26" i="272"/>
  <c r="HQ23" i="272"/>
  <c r="HS19" i="272"/>
  <c r="HS21" i="272" s="1"/>
  <c r="HS22" i="272" s="1"/>
  <c r="HS17" i="272"/>
  <c r="HS18" i="272"/>
  <c r="HU16" i="272" l="1"/>
  <c r="HV14" i="272"/>
  <c r="HU15" i="272"/>
  <c r="HT18" i="272"/>
  <c r="HT19" i="272"/>
  <c r="HT21" i="272" s="1"/>
  <c r="HT22" i="272" s="1"/>
  <c r="HT17" i="272"/>
  <c r="HR26" i="272"/>
  <c r="HR23" i="272"/>
  <c r="HS24" i="272"/>
  <c r="HS20" i="272"/>
  <c r="HS33" i="272"/>
  <c r="HX28" i="272"/>
  <c r="HY13" i="272"/>
  <c r="HS26" i="272" l="1"/>
  <c r="HS23" i="272"/>
  <c r="HY28" i="272"/>
  <c r="HZ13" i="272"/>
  <c r="HV15" i="272"/>
  <c r="HW14" i="272"/>
  <c r="HV16" i="272"/>
  <c r="HT24" i="272"/>
  <c r="HT20" i="272"/>
  <c r="HT33" i="272"/>
  <c r="HU19" i="272"/>
  <c r="HU21" i="272" s="1"/>
  <c r="HU22" i="272" s="1"/>
  <c r="HU17" i="272"/>
  <c r="HU18" i="272"/>
  <c r="HW15" i="272" l="1"/>
  <c r="HW16" i="272"/>
  <c r="HX14" i="272"/>
  <c r="HZ28" i="272"/>
  <c r="IA13" i="272"/>
  <c r="HV19" i="272"/>
  <c r="HV21" i="272" s="1"/>
  <c r="HV22" i="272" s="1"/>
  <c r="HV17" i="272"/>
  <c r="HV18" i="272"/>
  <c r="HU24" i="272"/>
  <c r="HU20" i="272"/>
  <c r="HU33" i="272"/>
  <c r="HT26" i="272"/>
  <c r="HT23" i="272"/>
  <c r="HX15" i="272" l="1"/>
  <c r="HX16" i="272"/>
  <c r="HY14" i="272"/>
  <c r="HV24" i="272"/>
  <c r="HV20" i="272"/>
  <c r="HV33" i="272"/>
  <c r="HU26" i="272"/>
  <c r="HU23" i="272"/>
  <c r="HW19" i="272"/>
  <c r="HW17" i="272"/>
  <c r="HW18" i="272"/>
  <c r="IA28" i="272"/>
  <c r="IB13" i="272"/>
  <c r="HV26" i="272" l="1"/>
  <c r="HV23" i="272"/>
  <c r="HY16" i="272"/>
  <c r="HZ14" i="272"/>
  <c r="HY15" i="272"/>
  <c r="IB28" i="272"/>
  <c r="IC13" i="272"/>
  <c r="HW24" i="272"/>
  <c r="HW20" i="272"/>
  <c r="HW33" i="272"/>
  <c r="HX18" i="272"/>
  <c r="HX19" i="272"/>
  <c r="HX21" i="272" s="1"/>
  <c r="HX17" i="272"/>
  <c r="HW21" i="272"/>
  <c r="HW22" i="272" s="1"/>
  <c r="HW23" i="272" l="1"/>
  <c r="HW26" i="272"/>
  <c r="HX22" i="272"/>
  <c r="HY19" i="272"/>
  <c r="HY21" i="272" s="1"/>
  <c r="HY22" i="272" s="1"/>
  <c r="HY17" i="272"/>
  <c r="HY18" i="272"/>
  <c r="HZ15" i="272"/>
  <c r="HZ16" i="272"/>
  <c r="IA14" i="272"/>
  <c r="IC28" i="272"/>
  <c r="ID13" i="272"/>
  <c r="HX24" i="272"/>
  <c r="HX20" i="272"/>
  <c r="HX33" i="272"/>
  <c r="ID28" i="272" l="1"/>
  <c r="IE13" i="272"/>
  <c r="HX23" i="272"/>
  <c r="HX26" i="272"/>
  <c r="IA15" i="272"/>
  <c r="IA16" i="272"/>
  <c r="IB14" i="272"/>
  <c r="HZ19" i="272"/>
  <c r="HZ21" i="272" s="1"/>
  <c r="HZ22" i="272" s="1"/>
  <c r="HZ17" i="272"/>
  <c r="HZ18" i="272"/>
  <c r="HY24" i="272"/>
  <c r="HY20" i="272"/>
  <c r="HY33" i="272"/>
  <c r="IB15" i="272" l="1"/>
  <c r="IB16" i="272"/>
  <c r="IC14" i="272"/>
  <c r="IA19" i="272"/>
  <c r="IA21" i="272" s="1"/>
  <c r="IA22" i="272" s="1"/>
  <c r="IA17" i="272"/>
  <c r="IA18" i="272"/>
  <c r="IE28" i="272"/>
  <c r="IF13" i="272"/>
  <c r="HY26" i="272"/>
  <c r="HY23" i="272"/>
  <c r="HZ24" i="272"/>
  <c r="HZ20" i="272"/>
  <c r="HZ33" i="272"/>
  <c r="HZ26" i="272" l="1"/>
  <c r="HZ23" i="272"/>
  <c r="IC16" i="272"/>
  <c r="ID14" i="272"/>
  <c r="IC15" i="272"/>
  <c r="IB19" i="272"/>
  <c r="IB18" i="272"/>
  <c r="IB17" i="272"/>
  <c r="IF28" i="272"/>
  <c r="IG13" i="272"/>
  <c r="IA24" i="272"/>
  <c r="IA20" i="272"/>
  <c r="IA33" i="272"/>
  <c r="IB24" i="272" l="1"/>
  <c r="IB20" i="272"/>
  <c r="IB33" i="272"/>
  <c r="IC19" i="272"/>
  <c r="IC21" i="272" s="1"/>
  <c r="IC17" i="272"/>
  <c r="IC18" i="272"/>
  <c r="IB21" i="272"/>
  <c r="IB22" i="272" s="1"/>
  <c r="IG28" i="272"/>
  <c r="IH13" i="272"/>
  <c r="IA26" i="272"/>
  <c r="IA23" i="272"/>
  <c r="ID15" i="272"/>
  <c r="ID16" i="272"/>
  <c r="IE14" i="272"/>
  <c r="IC22" i="272" l="1"/>
  <c r="ID19" i="272"/>
  <c r="ID17" i="272"/>
  <c r="ID18" i="272"/>
  <c r="IH28" i="272"/>
  <c r="II13" i="272"/>
  <c r="IE15" i="272"/>
  <c r="IE16" i="272"/>
  <c r="IF14" i="272"/>
  <c r="IC24" i="272"/>
  <c r="IC20" i="272"/>
  <c r="IC33" i="272"/>
  <c r="IB26" i="272"/>
  <c r="IB23" i="272"/>
  <c r="II28" i="272" l="1"/>
  <c r="IJ13" i="272"/>
  <c r="ID24" i="272"/>
  <c r="ID20" i="272"/>
  <c r="ID33" i="272"/>
  <c r="IE19" i="272"/>
  <c r="IE21" i="272" s="1"/>
  <c r="IE17" i="272"/>
  <c r="IE18" i="272"/>
  <c r="IC26" i="272"/>
  <c r="IC23" i="272"/>
  <c r="IF15" i="272"/>
  <c r="IF16" i="272"/>
  <c r="IG14" i="272"/>
  <c r="ID21" i="272"/>
  <c r="ID22" i="272" s="1"/>
  <c r="IE22" i="272" l="1"/>
  <c r="ID26" i="272"/>
  <c r="ID23" i="272"/>
  <c r="IG16" i="272"/>
  <c r="IH14" i="272"/>
  <c r="IG15" i="272"/>
  <c r="IJ28" i="272"/>
  <c r="IK13" i="272"/>
  <c r="IE24" i="272"/>
  <c r="IE20" i="272"/>
  <c r="IE33" i="272"/>
  <c r="IF18" i="272"/>
  <c r="IF19" i="272"/>
  <c r="IF21" i="272" s="1"/>
  <c r="IF22" i="272" s="1"/>
  <c r="IF17" i="272"/>
  <c r="IG19" i="272" l="1"/>
  <c r="IG17" i="272"/>
  <c r="IG18" i="272"/>
  <c r="IE23" i="272"/>
  <c r="IE26" i="272"/>
  <c r="IH15" i="272"/>
  <c r="II14" i="272"/>
  <c r="IH16" i="272"/>
  <c r="IK28" i="272"/>
  <c r="IL13" i="272"/>
  <c r="IF24" i="272"/>
  <c r="IF20" i="272"/>
  <c r="IF33" i="272"/>
  <c r="IL28" i="272" l="1"/>
  <c r="IM13" i="272"/>
  <c r="IH19" i="272"/>
  <c r="IH17" i="272"/>
  <c r="IH18" i="272"/>
  <c r="IG24" i="272"/>
  <c r="IG20" i="272"/>
  <c r="IG33" i="272"/>
  <c r="IF23" i="272"/>
  <c r="IF26" i="272"/>
  <c r="II15" i="272"/>
  <c r="II16" i="272"/>
  <c r="IJ14" i="272"/>
  <c r="IG21" i="272"/>
  <c r="IG22" i="272" s="1"/>
  <c r="IG26" i="272" l="1"/>
  <c r="IG23" i="272"/>
  <c r="IJ15" i="272"/>
  <c r="IJ16" i="272"/>
  <c r="IK14" i="272"/>
  <c r="II19" i="272"/>
  <c r="II17" i="272"/>
  <c r="II18" i="272"/>
  <c r="IH24" i="272"/>
  <c r="IH20" i="272"/>
  <c r="IH33" i="272"/>
  <c r="IH21" i="272"/>
  <c r="IH22" i="272" s="1"/>
  <c r="IM28" i="272"/>
  <c r="IN13" i="272"/>
  <c r="IJ18" i="272" l="1"/>
  <c r="IJ19" i="272"/>
  <c r="IJ17" i="272"/>
  <c r="II24" i="272"/>
  <c r="II20" i="272"/>
  <c r="II33" i="272"/>
  <c r="IH26" i="272"/>
  <c r="IH23" i="272"/>
  <c r="IN28" i="272"/>
  <c r="IO13" i="272"/>
  <c r="II21" i="272"/>
  <c r="II22" i="272" s="1"/>
  <c r="IK16" i="272"/>
  <c r="IL14" i="272"/>
  <c r="IK15" i="272"/>
  <c r="IJ24" i="272" l="1"/>
  <c r="IJ20" i="272"/>
  <c r="IJ33" i="272"/>
  <c r="IL15" i="272"/>
  <c r="IL16" i="272"/>
  <c r="IM14" i="272"/>
  <c r="IO28" i="272"/>
  <c r="IP13" i="272"/>
  <c r="IK19" i="272"/>
  <c r="IK17" i="272"/>
  <c r="IK18" i="272"/>
  <c r="II26" i="272"/>
  <c r="II23" i="272"/>
  <c r="IJ21" i="272"/>
  <c r="IJ22" i="272" s="1"/>
  <c r="IK24" i="272" l="1"/>
  <c r="IK20" i="272"/>
  <c r="IK33" i="272"/>
  <c r="IM15" i="272"/>
  <c r="IM16" i="272"/>
  <c r="IN14" i="272"/>
  <c r="IP28" i="272"/>
  <c r="IQ13" i="272"/>
  <c r="IK21" i="272"/>
  <c r="IK22" i="272" s="1"/>
  <c r="IL19" i="272"/>
  <c r="IL17" i="272"/>
  <c r="IL18" i="272"/>
  <c r="IJ26" i="272"/>
  <c r="IJ23" i="272"/>
  <c r="IQ28" i="272" l="1"/>
  <c r="IR13" i="272"/>
  <c r="IN15" i="272"/>
  <c r="IN16" i="272"/>
  <c r="IO14" i="272"/>
  <c r="IL24" i="272"/>
  <c r="IL20" i="272"/>
  <c r="IL33" i="272"/>
  <c r="IL21" i="272"/>
  <c r="IL22" i="272" s="1"/>
  <c r="IM19" i="272"/>
  <c r="IM21" i="272" s="1"/>
  <c r="IM22" i="272" s="1"/>
  <c r="IM17" i="272"/>
  <c r="IM18" i="272"/>
  <c r="IK26" i="272"/>
  <c r="IK23" i="272"/>
  <c r="IR28" i="272" l="1"/>
  <c r="IS13" i="272"/>
  <c r="IM24" i="272"/>
  <c r="IM20" i="272"/>
  <c r="IM33" i="272"/>
  <c r="IL26" i="272"/>
  <c r="IL23" i="272"/>
  <c r="IO16" i="272"/>
  <c r="IP14" i="272"/>
  <c r="IO15" i="272"/>
  <c r="IN18" i="272"/>
  <c r="IN19" i="272"/>
  <c r="IN21" i="272" s="1"/>
  <c r="IN22" i="272" s="1"/>
  <c r="IN17" i="272"/>
  <c r="IN20" i="272" l="1"/>
  <c r="IN24" i="272"/>
  <c r="IN33" i="272"/>
  <c r="IP15" i="272"/>
  <c r="IP16" i="272"/>
  <c r="IQ14" i="272"/>
  <c r="IS28" i="272"/>
  <c r="IU13" i="272"/>
  <c r="IU28" i="272" s="1"/>
  <c r="IM23" i="272"/>
  <c r="IM26" i="272"/>
  <c r="IO19" i="272"/>
  <c r="IO21" i="272" s="1"/>
  <c r="IO22" i="272" s="1"/>
  <c r="IO17" i="272"/>
  <c r="IO18" i="272"/>
  <c r="IO24" i="272" l="1"/>
  <c r="IO20" i="272"/>
  <c r="IO33" i="272"/>
  <c r="IQ15" i="272"/>
  <c r="IQ16" i="272"/>
  <c r="IR14" i="272"/>
  <c r="IN23" i="272"/>
  <c r="IN26" i="272"/>
  <c r="IP19" i="272"/>
  <c r="IP21" i="272" s="1"/>
  <c r="IP22" i="272" s="1"/>
  <c r="IP17" i="272"/>
  <c r="IP18" i="272"/>
  <c r="IP24" i="272" l="1"/>
  <c r="IP20" i="272"/>
  <c r="IP33" i="272"/>
  <c r="IQ19" i="272"/>
  <c r="IQ21" i="272" s="1"/>
  <c r="IQ22" i="272" s="1"/>
  <c r="IQ17" i="272"/>
  <c r="IQ18" i="272"/>
  <c r="IO26" i="272"/>
  <c r="IO23" i="272"/>
  <c r="IR15" i="272"/>
  <c r="IR16" i="272"/>
  <c r="IS14" i="272"/>
  <c r="IS16" i="272" l="1"/>
  <c r="IU14" i="272"/>
  <c r="IS15" i="272"/>
  <c r="IR19" i="272"/>
  <c r="IR21" i="272" s="1"/>
  <c r="IR22" i="272" s="1"/>
  <c r="IR18" i="272"/>
  <c r="IR17" i="272"/>
  <c r="IQ24" i="272"/>
  <c r="IQ20" i="272"/>
  <c r="IQ33" i="272"/>
  <c r="IP26" i="272"/>
  <c r="IP23" i="272"/>
  <c r="IQ26" i="272" l="1"/>
  <c r="IQ23" i="272"/>
  <c r="IU15" i="272"/>
  <c r="IU16" i="272"/>
  <c r="IR24" i="272"/>
  <c r="IR20" i="272"/>
  <c r="IR33" i="272"/>
  <c r="IS21" i="272"/>
  <c r="IS22" i="272" s="1"/>
  <c r="IS19" i="272"/>
  <c r="IS17" i="272"/>
  <c r="IS18" i="272"/>
  <c r="IU19" i="272" l="1"/>
  <c r="IU17" i="272"/>
  <c r="IU18" i="272"/>
  <c r="IS24" i="272"/>
  <c r="IS20" i="272"/>
  <c r="IS33" i="272"/>
  <c r="IR26" i="272"/>
  <c r="IR23" i="272"/>
  <c r="IU24" i="272" l="1"/>
  <c r="IU20" i="272"/>
  <c r="IU33" i="272"/>
  <c r="D34" i="272" s="1"/>
  <c r="IS26" i="272"/>
  <c r="IS23" i="272"/>
  <c r="IU21" i="272"/>
  <c r="IU22" i="272" s="1"/>
  <c r="IU26" i="272" l="1"/>
  <c r="IU23" i="272"/>
  <c r="F121" i="271" l="1"/>
  <c r="H116" i="271"/>
  <c r="H117" i="271"/>
  <c r="H118" i="271"/>
  <c r="H119" i="271"/>
  <c r="C11" i="251" l="1"/>
  <c r="O12" i="287" s="1"/>
  <c r="J29" i="263" l="1"/>
  <c r="I29" i="263"/>
  <c r="H29" i="263"/>
  <c r="G29" i="263"/>
  <c r="F29" i="263"/>
  <c r="E29" i="263"/>
  <c r="D29" i="263"/>
  <c r="C29" i="263"/>
  <c r="J15" i="263"/>
  <c r="I15" i="263"/>
  <c r="H15" i="263"/>
  <c r="G15" i="263"/>
  <c r="F15" i="263"/>
  <c r="E15" i="263"/>
  <c r="D15" i="263"/>
  <c r="C15" i="263"/>
  <c r="K28" i="263"/>
  <c r="K14" i="263"/>
  <c r="B28" i="263"/>
  <c r="A28" i="263"/>
  <c r="K27" i="263"/>
  <c r="K13" i="263"/>
  <c r="B27" i="263"/>
  <c r="A27" i="263"/>
  <c r="K26" i="263"/>
  <c r="K12" i="263"/>
  <c r="B26" i="263"/>
  <c r="A26" i="263"/>
  <c r="K25" i="263"/>
  <c r="K11" i="263"/>
  <c r="B25" i="263"/>
  <c r="A25" i="263"/>
  <c r="K24" i="263"/>
  <c r="K10" i="263"/>
  <c r="B24" i="263"/>
  <c r="A24" i="263"/>
  <c r="K23" i="263"/>
  <c r="A23" i="263"/>
  <c r="K9" i="263"/>
  <c r="B23" i="263"/>
  <c r="K22" i="263"/>
  <c r="K8" i="263"/>
  <c r="B22" i="263"/>
  <c r="A22" i="263"/>
  <c r="B20" i="263"/>
  <c r="A20" i="263"/>
  <c r="K15" i="263" l="1"/>
  <c r="K29" i="263"/>
  <c r="G1158" i="252"/>
  <c r="E9" i="252" l="1"/>
  <c r="G1168" i="252"/>
  <c r="G1169" i="252"/>
  <c r="G1170" i="252"/>
  <c r="E41" i="236" l="1"/>
  <c r="E73" i="236" s="1"/>
  <c r="E42" i="236"/>
  <c r="E74" i="236" s="1"/>
  <c r="E43" i="236"/>
  <c r="E75" i="236" s="1"/>
  <c r="E44" i="236"/>
  <c r="E76" i="236" s="1"/>
  <c r="E45" i="236"/>
  <c r="E77" i="236" s="1"/>
  <c r="E46" i="236"/>
  <c r="E78" i="236" s="1"/>
  <c r="E40" i="236"/>
  <c r="E72" i="236" s="1"/>
  <c r="G10" i="255" l="1"/>
  <c r="H10" i="255" s="1"/>
  <c r="I10" i="255" s="1"/>
  <c r="G11" i="255"/>
  <c r="H11" i="255" s="1"/>
  <c r="I11" i="255" s="1"/>
  <c r="G12" i="255"/>
  <c r="H12" i="255" s="1"/>
  <c r="I12" i="255" s="1"/>
  <c r="G13" i="255"/>
  <c r="H13" i="255" s="1"/>
  <c r="I13" i="255" s="1"/>
  <c r="G14" i="255"/>
  <c r="H14" i="255" s="1"/>
  <c r="I14" i="255" s="1"/>
  <c r="G15" i="255"/>
  <c r="H15" i="255" s="1"/>
  <c r="I15" i="255" s="1"/>
  <c r="G1167" i="252" l="1"/>
  <c r="G1165" i="252" l="1"/>
  <c r="G1164" i="252"/>
  <c r="F15" i="250" l="1"/>
  <c r="E15" i="250"/>
  <c r="B8" i="250"/>
  <c r="B10" i="255" s="1"/>
  <c r="C8" i="250"/>
  <c r="C10" i="255" s="1"/>
  <c r="B9" i="250"/>
  <c r="B11" i="255" s="1"/>
  <c r="C9" i="250"/>
  <c r="C11" i="255" s="1"/>
  <c r="B10" i="250"/>
  <c r="B12" i="255" s="1"/>
  <c r="C10" i="250"/>
  <c r="C12" i="255" s="1"/>
  <c r="B11" i="250"/>
  <c r="B13" i="255" s="1"/>
  <c r="C11" i="250"/>
  <c r="C13" i="255" s="1"/>
  <c r="B12" i="250"/>
  <c r="B14" i="255" s="1"/>
  <c r="C12" i="250"/>
  <c r="C14" i="255" s="1"/>
  <c r="B13" i="250"/>
  <c r="B15" i="255" s="1"/>
  <c r="C13" i="250"/>
  <c r="C15" i="255" s="1"/>
  <c r="C7" i="250"/>
  <c r="C9" i="255" s="1"/>
  <c r="B7" i="250"/>
  <c r="B9" i="255" s="1"/>
  <c r="O13" i="237"/>
  <c r="Q13" i="237" s="1"/>
  <c r="L13" i="237"/>
  <c r="H13" i="237"/>
  <c r="F13" i="237"/>
  <c r="B8" i="237"/>
  <c r="C8" i="237"/>
  <c r="B9" i="237"/>
  <c r="C9" i="237"/>
  <c r="B10" i="237"/>
  <c r="C10" i="237"/>
  <c r="B11" i="237"/>
  <c r="C11" i="237"/>
  <c r="B12" i="237"/>
  <c r="C12" i="237"/>
  <c r="B13" i="237"/>
  <c r="C13" i="237"/>
  <c r="C7" i="237"/>
  <c r="B7" i="237"/>
  <c r="I13" i="237" l="1"/>
  <c r="R13" i="237"/>
  <c r="S13" i="237"/>
  <c r="G78" i="236"/>
  <c r="I46" i="236"/>
  <c r="I78" i="236" s="1"/>
  <c r="J46" i="236"/>
  <c r="J78" i="236" s="1"/>
  <c r="K46" i="236"/>
  <c r="K78" i="236" s="1"/>
  <c r="G46" i="236"/>
  <c r="B41" i="236"/>
  <c r="C41" i="236"/>
  <c r="B42" i="236"/>
  <c r="C42" i="236"/>
  <c r="B43" i="236"/>
  <c r="C43" i="236"/>
  <c r="B44" i="236"/>
  <c r="C44" i="236"/>
  <c r="B45" i="236"/>
  <c r="C45" i="236"/>
  <c r="B46" i="236"/>
  <c r="B78" i="236" s="1"/>
  <c r="C46" i="236"/>
  <c r="C78" i="236" s="1"/>
  <c r="C40" i="236"/>
  <c r="B40" i="236"/>
  <c r="J17" i="236"/>
  <c r="K17" i="236"/>
  <c r="I17" i="236"/>
  <c r="J16" i="236"/>
  <c r="K16" i="236"/>
  <c r="I16" i="236"/>
  <c r="G14" i="236"/>
  <c r="T13" i="237" l="1"/>
  <c r="U13" i="237" s="1"/>
  <c r="L14" i="236" s="1"/>
  <c r="Q14" i="236" s="1"/>
  <c r="O14" i="236" l="1"/>
  <c r="M14" i="236"/>
  <c r="H14" i="236" s="1"/>
  <c r="P14" i="236" s="1"/>
  <c r="L46" i="236"/>
  <c r="L78" i="236" s="1"/>
  <c r="Q78" i="236" s="1"/>
  <c r="M78" i="236" l="1"/>
  <c r="H78" i="236" s="1"/>
  <c r="P78" i="236" s="1"/>
  <c r="Q46" i="236"/>
  <c r="O46" i="236"/>
  <c r="M46" i="236"/>
  <c r="H46" i="236" s="1"/>
  <c r="P46" i="236" s="1"/>
  <c r="O78" i="236"/>
  <c r="G49" i="252" l="1"/>
  <c r="G50" i="252"/>
  <c r="G51" i="252"/>
  <c r="G52" i="252"/>
  <c r="G53" i="252"/>
  <c r="G54" i="252"/>
  <c r="G55" i="252"/>
  <c r="G56" i="252"/>
  <c r="G57" i="252"/>
  <c r="G58" i="252"/>
  <c r="G59" i="252"/>
  <c r="G60" i="252"/>
  <c r="G61" i="252"/>
  <c r="G62" i="252"/>
  <c r="G63" i="252"/>
  <c r="G64" i="252"/>
  <c r="G65" i="252"/>
  <c r="G66" i="252"/>
  <c r="G67" i="252"/>
  <c r="G68" i="252"/>
  <c r="G69" i="252"/>
  <c r="G70" i="252"/>
  <c r="G71" i="252"/>
  <c r="G72" i="252"/>
  <c r="G73" i="252"/>
  <c r="G74" i="252"/>
  <c r="G75" i="252"/>
  <c r="G76" i="252"/>
  <c r="G77" i="252"/>
  <c r="G78" i="252"/>
  <c r="G79" i="252"/>
  <c r="G80" i="252"/>
  <c r="G81" i="252"/>
  <c r="G82" i="252"/>
  <c r="G83" i="252"/>
  <c r="G84" i="252"/>
  <c r="G85" i="252"/>
  <c r="G86" i="252"/>
  <c r="G87" i="252"/>
  <c r="G88" i="252"/>
  <c r="G89" i="252"/>
  <c r="G90" i="252"/>
  <c r="G91" i="252"/>
  <c r="G92" i="252"/>
  <c r="G93" i="252"/>
  <c r="G94" i="252"/>
  <c r="G95" i="252"/>
  <c r="G96" i="252"/>
  <c r="G97" i="252"/>
  <c r="G98" i="252"/>
  <c r="G99" i="252"/>
  <c r="G100" i="252"/>
  <c r="G101" i="252"/>
  <c r="G102" i="252"/>
  <c r="G103" i="252"/>
  <c r="G104" i="252"/>
  <c r="G105" i="252"/>
  <c r="G106" i="252"/>
  <c r="G107" i="252"/>
  <c r="G108" i="252"/>
  <c r="G109" i="252"/>
  <c r="G110" i="252"/>
  <c r="G111" i="252"/>
  <c r="G112" i="252"/>
  <c r="G113" i="252"/>
  <c r="G114" i="252"/>
  <c r="G115" i="252"/>
  <c r="G116" i="252"/>
  <c r="G117" i="252"/>
  <c r="G118" i="252"/>
  <c r="G119" i="252"/>
  <c r="G120" i="252"/>
  <c r="G121" i="252"/>
  <c r="G122" i="252"/>
  <c r="G123" i="252"/>
  <c r="G124" i="252"/>
  <c r="G125" i="252"/>
  <c r="G126" i="252"/>
  <c r="G127" i="252"/>
  <c r="G128" i="252"/>
  <c r="G129" i="252"/>
  <c r="G130" i="252"/>
  <c r="G131" i="252"/>
  <c r="G132" i="252"/>
  <c r="G133" i="252"/>
  <c r="G134" i="252"/>
  <c r="G135" i="252"/>
  <c r="G136" i="252"/>
  <c r="G137" i="252"/>
  <c r="G138" i="252"/>
  <c r="G139" i="252"/>
  <c r="G140" i="252"/>
  <c r="G141" i="252"/>
  <c r="G142" i="252"/>
  <c r="G143" i="252"/>
  <c r="G144" i="252"/>
  <c r="G145" i="252"/>
  <c r="G146" i="252"/>
  <c r="G147" i="252"/>
  <c r="G148" i="252"/>
  <c r="G149" i="252"/>
  <c r="G150" i="252"/>
  <c r="G151" i="252"/>
  <c r="G152" i="252"/>
  <c r="G153" i="252"/>
  <c r="G154" i="252"/>
  <c r="G155" i="252"/>
  <c r="G156" i="252"/>
  <c r="G157" i="252"/>
  <c r="G158" i="252"/>
  <c r="G159" i="252"/>
  <c r="G160" i="252"/>
  <c r="G161" i="252"/>
  <c r="G162" i="252"/>
  <c r="G163" i="252"/>
  <c r="G164" i="252"/>
  <c r="G165" i="252"/>
  <c r="G166" i="252"/>
  <c r="G167" i="252"/>
  <c r="G168" i="252"/>
  <c r="G169" i="252"/>
  <c r="G170" i="252"/>
  <c r="G171" i="252"/>
  <c r="G172" i="252"/>
  <c r="G173" i="252"/>
  <c r="G174" i="252"/>
  <c r="G175" i="252"/>
  <c r="G176" i="252"/>
  <c r="G177" i="252"/>
  <c r="G178" i="252"/>
  <c r="G179" i="252"/>
  <c r="G180" i="252"/>
  <c r="G181" i="252"/>
  <c r="G182" i="252"/>
  <c r="G183" i="252"/>
  <c r="G184" i="252"/>
  <c r="G185" i="252"/>
  <c r="G186" i="252"/>
  <c r="G187" i="252"/>
  <c r="G188" i="252"/>
  <c r="G189" i="252"/>
  <c r="G190" i="252"/>
  <c r="G191" i="252"/>
  <c r="G192" i="252"/>
  <c r="G193" i="252"/>
  <c r="G194" i="252"/>
  <c r="G195" i="252"/>
  <c r="G196" i="252"/>
  <c r="G197" i="252"/>
  <c r="G198" i="252"/>
  <c r="G199" i="252"/>
  <c r="G200" i="252"/>
  <c r="G201" i="252"/>
  <c r="G202" i="252"/>
  <c r="G203" i="252"/>
  <c r="G204" i="252"/>
  <c r="G205" i="252"/>
  <c r="G206" i="252"/>
  <c r="G207" i="252"/>
  <c r="G208" i="252"/>
  <c r="G209" i="252"/>
  <c r="G210" i="252"/>
  <c r="G211" i="252"/>
  <c r="G212" i="252"/>
  <c r="G213" i="252"/>
  <c r="G214" i="252"/>
  <c r="G215" i="252"/>
  <c r="G216" i="252"/>
  <c r="G217" i="252"/>
  <c r="G218" i="252"/>
  <c r="G219" i="252"/>
  <c r="G220" i="252"/>
  <c r="G221" i="252"/>
  <c r="G222" i="252"/>
  <c r="G223" i="252"/>
  <c r="G224" i="252"/>
  <c r="G225" i="252"/>
  <c r="G226" i="252"/>
  <c r="G227" i="252"/>
  <c r="G228" i="252"/>
  <c r="G229" i="252"/>
  <c r="G230" i="252"/>
  <c r="G231" i="252"/>
  <c r="G232" i="252"/>
  <c r="G233" i="252"/>
  <c r="G234" i="252"/>
  <c r="G235" i="252"/>
  <c r="G236" i="252"/>
  <c r="G237" i="252"/>
  <c r="G238" i="252"/>
  <c r="G239" i="252"/>
  <c r="G240" i="252"/>
  <c r="G241" i="252"/>
  <c r="G242" i="252"/>
  <c r="G243" i="252"/>
  <c r="G244" i="252"/>
  <c r="G245" i="252"/>
  <c r="G246" i="252"/>
  <c r="G247" i="252"/>
  <c r="G248" i="252"/>
  <c r="G249" i="252"/>
  <c r="G250" i="252"/>
  <c r="G251" i="252"/>
  <c r="G252" i="252"/>
  <c r="G253" i="252"/>
  <c r="G254" i="252"/>
  <c r="G255" i="252"/>
  <c r="G256" i="252"/>
  <c r="G257" i="252"/>
  <c r="G258" i="252"/>
  <c r="G259" i="252"/>
  <c r="G260" i="252"/>
  <c r="G261" i="252"/>
  <c r="G262" i="252"/>
  <c r="G263" i="252"/>
  <c r="G264" i="252"/>
  <c r="G265" i="252"/>
  <c r="G266" i="252"/>
  <c r="G267" i="252"/>
  <c r="G268" i="252"/>
  <c r="G269" i="252"/>
  <c r="G270" i="252"/>
  <c r="G271" i="252"/>
  <c r="G272" i="252"/>
  <c r="G273" i="252"/>
  <c r="G274" i="252"/>
  <c r="G275" i="252"/>
  <c r="G276" i="252"/>
  <c r="G277" i="252"/>
  <c r="G278" i="252"/>
  <c r="G279" i="252"/>
  <c r="G280" i="252"/>
  <c r="G281" i="252"/>
  <c r="G282" i="252"/>
  <c r="G283" i="252"/>
  <c r="G284" i="252"/>
  <c r="G285" i="252"/>
  <c r="G286" i="252"/>
  <c r="G287" i="252"/>
  <c r="G288" i="252"/>
  <c r="G289" i="252"/>
  <c r="G290" i="252"/>
  <c r="G291" i="252"/>
  <c r="G292" i="252"/>
  <c r="G293" i="252"/>
  <c r="G294" i="252"/>
  <c r="G295" i="252"/>
  <c r="G296" i="252"/>
  <c r="G297" i="252"/>
  <c r="G298" i="252"/>
  <c r="G299" i="252"/>
  <c r="G300" i="252"/>
  <c r="G301" i="252"/>
  <c r="G302" i="252"/>
  <c r="G303" i="252"/>
  <c r="G304" i="252"/>
  <c r="G305" i="252"/>
  <c r="G306" i="252"/>
  <c r="G307" i="252"/>
  <c r="G308" i="252"/>
  <c r="G309" i="252"/>
  <c r="G310" i="252"/>
  <c r="G311" i="252"/>
  <c r="G312" i="252"/>
  <c r="G313" i="252"/>
  <c r="G314" i="252"/>
  <c r="G315" i="252"/>
  <c r="G316" i="252"/>
  <c r="G317" i="252"/>
  <c r="G318" i="252"/>
  <c r="G319" i="252"/>
  <c r="G320" i="252"/>
  <c r="G321" i="252"/>
  <c r="G322" i="252"/>
  <c r="G323" i="252"/>
  <c r="G324" i="252"/>
  <c r="G325" i="252"/>
  <c r="G326" i="252"/>
  <c r="G327" i="252"/>
  <c r="G328" i="252"/>
  <c r="G329" i="252"/>
  <c r="G330" i="252"/>
  <c r="G331" i="252"/>
  <c r="G332" i="252"/>
  <c r="G333" i="252"/>
  <c r="G334" i="252"/>
  <c r="G335" i="252"/>
  <c r="G336" i="252"/>
  <c r="G337" i="252"/>
  <c r="G338" i="252"/>
  <c r="G339" i="252"/>
  <c r="G340" i="252"/>
  <c r="G341" i="252"/>
  <c r="G342" i="252"/>
  <c r="G343" i="252"/>
  <c r="G344" i="252"/>
  <c r="G345" i="252"/>
  <c r="G346" i="252"/>
  <c r="G347" i="252"/>
  <c r="G348" i="252"/>
  <c r="G349" i="252"/>
  <c r="G350" i="252"/>
  <c r="G351" i="252"/>
  <c r="G352" i="252"/>
  <c r="G353" i="252"/>
  <c r="G354" i="252"/>
  <c r="G355" i="252"/>
  <c r="G356" i="252"/>
  <c r="G357" i="252"/>
  <c r="G358" i="252"/>
  <c r="G359" i="252"/>
  <c r="G360" i="252"/>
  <c r="G361" i="252"/>
  <c r="G362" i="252"/>
  <c r="G363" i="252"/>
  <c r="G364" i="252"/>
  <c r="G365" i="252"/>
  <c r="G366" i="252"/>
  <c r="G367" i="252"/>
  <c r="G368" i="252"/>
  <c r="G369" i="252"/>
  <c r="G370" i="252"/>
  <c r="G371" i="252"/>
  <c r="G372" i="252"/>
  <c r="G373" i="252"/>
  <c r="G374" i="252"/>
  <c r="G375" i="252"/>
  <c r="G376" i="252"/>
  <c r="G377" i="252"/>
  <c r="G378" i="252"/>
  <c r="G379" i="252"/>
  <c r="G380" i="252"/>
  <c r="G381" i="252"/>
  <c r="G382" i="252"/>
  <c r="G383" i="252"/>
  <c r="G384" i="252"/>
  <c r="G385" i="252"/>
  <c r="G386" i="252"/>
  <c r="G387" i="252"/>
  <c r="G388" i="252"/>
  <c r="G389" i="252"/>
  <c r="G390" i="252"/>
  <c r="G391" i="252"/>
  <c r="G392" i="252"/>
  <c r="G393" i="252"/>
  <c r="G394" i="252"/>
  <c r="G395" i="252"/>
  <c r="G396" i="252"/>
  <c r="G397" i="252"/>
  <c r="G398" i="252"/>
  <c r="G399" i="252"/>
  <c r="G400" i="252"/>
  <c r="G401" i="252"/>
  <c r="G402" i="252"/>
  <c r="G403" i="252"/>
  <c r="G404" i="252"/>
  <c r="G405" i="252"/>
  <c r="G406" i="252"/>
  <c r="G407" i="252"/>
  <c r="G408" i="252"/>
  <c r="G409" i="252"/>
  <c r="G410" i="252"/>
  <c r="G411" i="252"/>
  <c r="G412" i="252"/>
  <c r="G413" i="252"/>
  <c r="G414" i="252"/>
  <c r="G415" i="252"/>
  <c r="G416" i="252"/>
  <c r="G417" i="252"/>
  <c r="G418" i="252"/>
  <c r="G419" i="252"/>
  <c r="G420" i="252"/>
  <c r="G421" i="252"/>
  <c r="G422" i="252"/>
  <c r="G423" i="252"/>
  <c r="G424" i="252"/>
  <c r="G425" i="252"/>
  <c r="G426" i="252"/>
  <c r="G427" i="252"/>
  <c r="G428" i="252"/>
  <c r="G429" i="252"/>
  <c r="G430" i="252"/>
  <c r="G431" i="252"/>
  <c r="G432" i="252"/>
  <c r="G433" i="252"/>
  <c r="G434" i="252"/>
  <c r="G435" i="252"/>
  <c r="G436" i="252"/>
  <c r="G437" i="252"/>
  <c r="G438" i="252"/>
  <c r="G439" i="252"/>
  <c r="G440" i="252"/>
  <c r="G441" i="252"/>
  <c r="G442" i="252"/>
  <c r="G443" i="252"/>
  <c r="G444" i="252"/>
  <c r="G445" i="252"/>
  <c r="G446" i="252"/>
  <c r="G447" i="252"/>
  <c r="G448" i="252"/>
  <c r="G449" i="252"/>
  <c r="G450" i="252"/>
  <c r="G451" i="252"/>
  <c r="G452" i="252"/>
  <c r="G453" i="252"/>
  <c r="G454" i="252"/>
  <c r="G455" i="252"/>
  <c r="G456" i="252"/>
  <c r="G457" i="252"/>
  <c r="G458" i="252"/>
  <c r="G459" i="252"/>
  <c r="G460" i="252"/>
  <c r="G461" i="252"/>
  <c r="G462" i="252"/>
  <c r="G463" i="252"/>
  <c r="G464" i="252"/>
  <c r="G465" i="252"/>
  <c r="G466" i="252"/>
  <c r="G467" i="252"/>
  <c r="G468" i="252"/>
  <c r="G469" i="252"/>
  <c r="G470" i="252"/>
  <c r="G471" i="252"/>
  <c r="G472" i="252"/>
  <c r="G473" i="252"/>
  <c r="G474" i="252"/>
  <c r="G475" i="252"/>
  <c r="G476" i="252"/>
  <c r="G477" i="252"/>
  <c r="G478" i="252"/>
  <c r="G479" i="252"/>
  <c r="G480" i="252"/>
  <c r="G481" i="252"/>
  <c r="G482" i="252"/>
  <c r="G483" i="252"/>
  <c r="G484" i="252"/>
  <c r="G485" i="252"/>
  <c r="G486" i="252"/>
  <c r="G487" i="252"/>
  <c r="G488" i="252"/>
  <c r="G489" i="252"/>
  <c r="G490" i="252"/>
  <c r="G491" i="252"/>
  <c r="G492" i="252"/>
  <c r="G493" i="252"/>
  <c r="G494" i="252"/>
  <c r="G495" i="252"/>
  <c r="G496" i="252"/>
  <c r="G497" i="252"/>
  <c r="G498" i="252"/>
  <c r="G499" i="252"/>
  <c r="G500" i="252"/>
  <c r="G501" i="252"/>
  <c r="G502" i="252"/>
  <c r="G503" i="252"/>
  <c r="G504" i="252"/>
  <c r="G505" i="252"/>
  <c r="G506" i="252"/>
  <c r="G507" i="252"/>
  <c r="G508" i="252"/>
  <c r="G509" i="252"/>
  <c r="G510" i="252"/>
  <c r="G511" i="252"/>
  <c r="G512" i="252"/>
  <c r="G513" i="252"/>
  <c r="G514" i="252"/>
  <c r="G515" i="252"/>
  <c r="G516" i="252"/>
  <c r="G517" i="252"/>
  <c r="G518" i="252"/>
  <c r="G519" i="252"/>
  <c r="G520" i="252"/>
  <c r="G521" i="252"/>
  <c r="G522" i="252"/>
  <c r="G523" i="252"/>
  <c r="G524" i="252"/>
  <c r="G525" i="252"/>
  <c r="G526" i="252"/>
  <c r="G527" i="252"/>
  <c r="G528" i="252"/>
  <c r="G529" i="252"/>
  <c r="G530" i="252"/>
  <c r="G531" i="252"/>
  <c r="G532" i="252"/>
  <c r="G533" i="252"/>
  <c r="G534" i="252"/>
  <c r="G535" i="252"/>
  <c r="G536" i="252"/>
  <c r="G537" i="252"/>
  <c r="G538" i="252"/>
  <c r="G539" i="252"/>
  <c r="G540" i="252"/>
  <c r="G541" i="252"/>
  <c r="G542" i="252"/>
  <c r="G543" i="252"/>
  <c r="G544" i="252"/>
  <c r="G545" i="252"/>
  <c r="G546" i="252"/>
  <c r="G547" i="252"/>
  <c r="G548" i="252"/>
  <c r="G549" i="252"/>
  <c r="G550" i="252"/>
  <c r="G551" i="252"/>
  <c r="G552" i="252"/>
  <c r="G553" i="252"/>
  <c r="G554" i="252"/>
  <c r="G555" i="252"/>
  <c r="G556" i="252"/>
  <c r="G557" i="252"/>
  <c r="G558" i="252"/>
  <c r="G559" i="252"/>
  <c r="G560" i="252"/>
  <c r="G561" i="252"/>
  <c r="G562" i="252"/>
  <c r="G563" i="252"/>
  <c r="G564" i="252"/>
  <c r="G565" i="252"/>
  <c r="G566" i="252"/>
  <c r="G567" i="252"/>
  <c r="G568" i="252"/>
  <c r="G569" i="252"/>
  <c r="G570" i="252"/>
  <c r="G571" i="252"/>
  <c r="G572" i="252"/>
  <c r="G573" i="252"/>
  <c r="G574" i="252"/>
  <c r="G575" i="252"/>
  <c r="G576" i="252"/>
  <c r="G577" i="252"/>
  <c r="G578" i="252"/>
  <c r="G579" i="252"/>
  <c r="G580" i="252"/>
  <c r="G581" i="252"/>
  <c r="G582" i="252"/>
  <c r="G583" i="252"/>
  <c r="G584" i="252"/>
  <c r="G585" i="252"/>
  <c r="G586" i="252"/>
  <c r="G587" i="252"/>
  <c r="G588" i="252"/>
  <c r="G589" i="252"/>
  <c r="G590" i="252"/>
  <c r="G591" i="252"/>
  <c r="G592" i="252"/>
  <c r="G593" i="252"/>
  <c r="G594" i="252"/>
  <c r="G595" i="252"/>
  <c r="G596" i="252"/>
  <c r="G597" i="252"/>
  <c r="G598" i="252"/>
  <c r="G599" i="252"/>
  <c r="G600" i="252"/>
  <c r="G601" i="252"/>
  <c r="G602" i="252"/>
  <c r="G603" i="252"/>
  <c r="G604" i="252"/>
  <c r="G605" i="252"/>
  <c r="G606" i="252"/>
  <c r="G607" i="252"/>
  <c r="G608" i="252"/>
  <c r="G609" i="252"/>
  <c r="G610" i="252"/>
  <c r="G611" i="252"/>
  <c r="G612" i="252"/>
  <c r="G613" i="252"/>
  <c r="G614" i="252"/>
  <c r="G615" i="252"/>
  <c r="G616" i="252"/>
  <c r="G617" i="252"/>
  <c r="G618" i="252"/>
  <c r="G619" i="252"/>
  <c r="G620" i="252"/>
  <c r="G621" i="252"/>
  <c r="G622" i="252"/>
  <c r="G623" i="252"/>
  <c r="G624" i="252"/>
  <c r="G625" i="252"/>
  <c r="G626" i="252"/>
  <c r="G627" i="252"/>
  <c r="G628" i="252"/>
  <c r="G629" i="252"/>
  <c r="G630" i="252"/>
  <c r="G631" i="252"/>
  <c r="G632" i="252"/>
  <c r="G633" i="252"/>
  <c r="G634" i="252"/>
  <c r="G635" i="252"/>
  <c r="G636" i="252"/>
  <c r="G637" i="252"/>
  <c r="G638" i="252"/>
  <c r="G639" i="252"/>
  <c r="G640" i="252"/>
  <c r="G641" i="252"/>
  <c r="G642" i="252"/>
  <c r="G643" i="252"/>
  <c r="G644" i="252"/>
  <c r="G645" i="252"/>
  <c r="G646" i="252"/>
  <c r="G647" i="252"/>
  <c r="G648" i="252"/>
  <c r="G649" i="252"/>
  <c r="G650" i="252"/>
  <c r="G651" i="252"/>
  <c r="G652" i="252"/>
  <c r="G653" i="252"/>
  <c r="G654" i="252"/>
  <c r="G655" i="252"/>
  <c r="G656" i="252"/>
  <c r="G657" i="252"/>
  <c r="G658" i="252"/>
  <c r="G659" i="252"/>
  <c r="G660" i="252"/>
  <c r="G661" i="252"/>
  <c r="G662" i="252"/>
  <c r="G663" i="252"/>
  <c r="G664" i="252"/>
  <c r="G665" i="252"/>
  <c r="G666" i="252"/>
  <c r="G667" i="252"/>
  <c r="G668" i="252"/>
  <c r="G669" i="252"/>
  <c r="G670" i="252"/>
  <c r="G671" i="252"/>
  <c r="G672" i="252"/>
  <c r="G673" i="252"/>
  <c r="G674" i="252"/>
  <c r="G675" i="252"/>
  <c r="G676" i="252"/>
  <c r="G677" i="252"/>
  <c r="G678" i="252"/>
  <c r="G679" i="252"/>
  <c r="G680" i="252"/>
  <c r="G681" i="252"/>
  <c r="G682" i="252"/>
  <c r="G683" i="252"/>
  <c r="G684" i="252"/>
  <c r="G685" i="252"/>
  <c r="G686" i="252"/>
  <c r="G687" i="252"/>
  <c r="G688" i="252"/>
  <c r="G689" i="252"/>
  <c r="G690" i="252"/>
  <c r="G691" i="252"/>
  <c r="G692" i="252"/>
  <c r="G693" i="252"/>
  <c r="G694" i="252"/>
  <c r="G695" i="252"/>
  <c r="G696" i="252"/>
  <c r="G697" i="252"/>
  <c r="G698" i="252"/>
  <c r="G699" i="252"/>
  <c r="G700" i="252"/>
  <c r="G701" i="252"/>
  <c r="G702" i="252"/>
  <c r="G703" i="252"/>
  <c r="G704" i="252"/>
  <c r="G705" i="252"/>
  <c r="G706" i="252"/>
  <c r="G707" i="252"/>
  <c r="G708" i="252"/>
  <c r="G709" i="252"/>
  <c r="G710" i="252"/>
  <c r="G711" i="252"/>
  <c r="G712" i="252"/>
  <c r="G713" i="252"/>
  <c r="G714" i="252"/>
  <c r="G715" i="252"/>
  <c r="G716" i="252"/>
  <c r="G717" i="252"/>
  <c r="G718" i="252"/>
  <c r="G719" i="252"/>
  <c r="G720" i="252"/>
  <c r="G721" i="252"/>
  <c r="G722" i="252"/>
  <c r="G723" i="252"/>
  <c r="G724" i="252"/>
  <c r="G725" i="252"/>
  <c r="G726" i="252"/>
  <c r="G727" i="252"/>
  <c r="G728" i="252"/>
  <c r="G729" i="252"/>
  <c r="G730" i="252"/>
  <c r="G731" i="252"/>
  <c r="G732" i="252"/>
  <c r="G733" i="252"/>
  <c r="G734" i="252"/>
  <c r="G735" i="252"/>
  <c r="G736" i="252"/>
  <c r="G737" i="252"/>
  <c r="G738" i="252"/>
  <c r="G739" i="252"/>
  <c r="G740" i="252"/>
  <c r="G741" i="252"/>
  <c r="G742" i="252"/>
  <c r="G743" i="252"/>
  <c r="G744" i="252"/>
  <c r="G745" i="252"/>
  <c r="G746" i="252"/>
  <c r="G747" i="252"/>
  <c r="G748" i="252"/>
  <c r="G749" i="252"/>
  <c r="G750" i="252"/>
  <c r="G751" i="252"/>
  <c r="G752" i="252"/>
  <c r="G753" i="252"/>
  <c r="G754" i="252"/>
  <c r="G755" i="252"/>
  <c r="G756" i="252"/>
  <c r="G757" i="252"/>
  <c r="G758" i="252"/>
  <c r="G759" i="252"/>
  <c r="G760" i="252"/>
  <c r="G761" i="252"/>
  <c r="G762" i="252"/>
  <c r="G763" i="252"/>
  <c r="G764" i="252"/>
  <c r="G765" i="252"/>
  <c r="G766" i="252"/>
  <c r="G767" i="252"/>
  <c r="G768" i="252"/>
  <c r="G769" i="252"/>
  <c r="G770" i="252"/>
  <c r="G771" i="252"/>
  <c r="G772" i="252"/>
  <c r="G773" i="252"/>
  <c r="G774" i="252"/>
  <c r="G775" i="252"/>
  <c r="G776" i="252"/>
  <c r="G777" i="252"/>
  <c r="G778" i="252"/>
  <c r="G779" i="252"/>
  <c r="G780" i="252"/>
  <c r="G781" i="252"/>
  <c r="G782" i="252"/>
  <c r="G783" i="252"/>
  <c r="G784" i="252"/>
  <c r="G785" i="252"/>
  <c r="G786" i="252"/>
  <c r="G787" i="252"/>
  <c r="G788" i="252"/>
  <c r="G789" i="252"/>
  <c r="G790" i="252"/>
  <c r="G791" i="252"/>
  <c r="G792" i="252"/>
  <c r="G793" i="252"/>
  <c r="G794" i="252"/>
  <c r="G795" i="252"/>
  <c r="G796" i="252"/>
  <c r="G797" i="252"/>
  <c r="G798" i="252"/>
  <c r="G799" i="252"/>
  <c r="G800" i="252"/>
  <c r="G801" i="252"/>
  <c r="G802" i="252"/>
  <c r="G803" i="252"/>
  <c r="G804" i="252"/>
  <c r="G805" i="252"/>
  <c r="G806" i="252"/>
  <c r="G807" i="252"/>
  <c r="G808" i="252"/>
  <c r="G809" i="252"/>
  <c r="G810" i="252"/>
  <c r="G811" i="252"/>
  <c r="G812" i="252"/>
  <c r="G813" i="252"/>
  <c r="G814" i="252"/>
  <c r="G815" i="252"/>
  <c r="G816" i="252"/>
  <c r="G817" i="252"/>
  <c r="G818" i="252"/>
  <c r="G819" i="252"/>
  <c r="G820" i="252"/>
  <c r="G821" i="252"/>
  <c r="G822" i="252"/>
  <c r="G823" i="252"/>
  <c r="G824" i="252"/>
  <c r="G825" i="252"/>
  <c r="G826" i="252"/>
  <c r="G827" i="252"/>
  <c r="G828" i="252"/>
  <c r="G829" i="252"/>
  <c r="G830" i="252"/>
  <c r="G831" i="252"/>
  <c r="G832" i="252"/>
  <c r="G833" i="252"/>
  <c r="G834" i="252"/>
  <c r="G835" i="252"/>
  <c r="G836" i="252"/>
  <c r="G837" i="252"/>
  <c r="G838" i="252"/>
  <c r="G839" i="252"/>
  <c r="G840" i="252"/>
  <c r="G841" i="252"/>
  <c r="G842" i="252"/>
  <c r="G843" i="252"/>
  <c r="G844" i="252"/>
  <c r="G845" i="252"/>
  <c r="G846" i="252"/>
  <c r="G847" i="252"/>
  <c r="G848" i="252"/>
  <c r="G849" i="252"/>
  <c r="G850" i="252"/>
  <c r="G851" i="252"/>
  <c r="G852" i="252"/>
  <c r="G853" i="252"/>
  <c r="G854" i="252"/>
  <c r="G855" i="252"/>
  <c r="G856" i="252"/>
  <c r="G857" i="252"/>
  <c r="G858" i="252"/>
  <c r="G859" i="252"/>
  <c r="G860" i="252"/>
  <c r="G861" i="252"/>
  <c r="G862" i="252"/>
  <c r="G863" i="252"/>
  <c r="G864" i="252"/>
  <c r="G865" i="252"/>
  <c r="G866" i="252"/>
  <c r="G867" i="252"/>
  <c r="G868" i="252"/>
  <c r="G869" i="252"/>
  <c r="G870" i="252"/>
  <c r="G871" i="252"/>
  <c r="G872" i="252"/>
  <c r="G873" i="252"/>
  <c r="G874" i="252"/>
  <c r="G875" i="252"/>
  <c r="G876" i="252"/>
  <c r="G877" i="252"/>
  <c r="G878" i="252"/>
  <c r="G879" i="252"/>
  <c r="G880" i="252"/>
  <c r="G881" i="252"/>
  <c r="G882" i="252"/>
  <c r="G883" i="252"/>
  <c r="G884" i="252"/>
  <c r="G885" i="252"/>
  <c r="G886" i="252"/>
  <c r="G887" i="252"/>
  <c r="G888" i="252"/>
  <c r="G889" i="252"/>
  <c r="G890" i="252"/>
  <c r="G891" i="252"/>
  <c r="G892" i="252"/>
  <c r="G893" i="252"/>
  <c r="G894" i="252"/>
  <c r="G895" i="252"/>
  <c r="G896" i="252"/>
  <c r="G897" i="252"/>
  <c r="G898" i="252"/>
  <c r="G899" i="252"/>
  <c r="G900" i="252"/>
  <c r="G901" i="252"/>
  <c r="G902" i="252"/>
  <c r="G903" i="252"/>
  <c r="G904" i="252"/>
  <c r="G905" i="252"/>
  <c r="G906" i="252"/>
  <c r="G907" i="252"/>
  <c r="G908" i="252"/>
  <c r="G909" i="252"/>
  <c r="G910" i="252"/>
  <c r="G911" i="252"/>
  <c r="G912" i="252"/>
  <c r="G913" i="252"/>
  <c r="G914" i="252"/>
  <c r="G915" i="252"/>
  <c r="G916" i="252"/>
  <c r="G917" i="252"/>
  <c r="G918" i="252"/>
  <c r="G919" i="252"/>
  <c r="G920" i="252"/>
  <c r="G921" i="252"/>
  <c r="G922" i="252"/>
  <c r="G923" i="252"/>
  <c r="G924" i="252"/>
  <c r="G925" i="252"/>
  <c r="G926" i="252"/>
  <c r="G927" i="252"/>
  <c r="G928" i="252"/>
  <c r="G929" i="252"/>
  <c r="G930" i="252"/>
  <c r="G931" i="252"/>
  <c r="G932" i="252"/>
  <c r="G933" i="252"/>
  <c r="G934" i="252"/>
  <c r="G935" i="252"/>
  <c r="G936" i="252"/>
  <c r="G937" i="252"/>
  <c r="G938" i="252"/>
  <c r="G939" i="252"/>
  <c r="G940" i="252"/>
  <c r="G941" i="252"/>
  <c r="G942" i="252"/>
  <c r="G943" i="252"/>
  <c r="G944" i="252"/>
  <c r="G945" i="252"/>
  <c r="G946" i="252"/>
  <c r="G947" i="252"/>
  <c r="G948" i="252"/>
  <c r="G949" i="252"/>
  <c r="G950" i="252"/>
  <c r="G951" i="252"/>
  <c r="G952" i="252"/>
  <c r="G953" i="252"/>
  <c r="G954" i="252"/>
  <c r="G955" i="252"/>
  <c r="G956" i="252"/>
  <c r="G957" i="252"/>
  <c r="G958" i="252"/>
  <c r="G959" i="252"/>
  <c r="G960" i="252"/>
  <c r="G961" i="252"/>
  <c r="G962" i="252"/>
  <c r="G963" i="252"/>
  <c r="G964" i="252"/>
  <c r="G965" i="252"/>
  <c r="G966" i="252"/>
  <c r="G967" i="252"/>
  <c r="G968" i="252"/>
  <c r="G969" i="252"/>
  <c r="G970" i="252"/>
  <c r="G971" i="252"/>
  <c r="G972" i="252"/>
  <c r="G973" i="252"/>
  <c r="G974" i="252"/>
  <c r="G975" i="252"/>
  <c r="G976" i="252"/>
  <c r="G977" i="252"/>
  <c r="G978" i="252"/>
  <c r="G979" i="252"/>
  <c r="G980" i="252"/>
  <c r="G981" i="252"/>
  <c r="G982" i="252"/>
  <c r="G983" i="252"/>
  <c r="G984" i="252"/>
  <c r="G985" i="252"/>
  <c r="G986" i="252"/>
  <c r="G987" i="252"/>
  <c r="G988" i="252"/>
  <c r="G989" i="252"/>
  <c r="G990" i="252"/>
  <c r="G991" i="252"/>
  <c r="G992" i="252"/>
  <c r="G993" i="252"/>
  <c r="G994" i="252"/>
  <c r="G995" i="252"/>
  <c r="G996" i="252"/>
  <c r="G997" i="252"/>
  <c r="G998" i="252"/>
  <c r="G999" i="252"/>
  <c r="G1000" i="252"/>
  <c r="G1001" i="252"/>
  <c r="G1002" i="252"/>
  <c r="G1003" i="252"/>
  <c r="G1004" i="252"/>
  <c r="G1005" i="252"/>
  <c r="G1006" i="252"/>
  <c r="G1007" i="252"/>
  <c r="G1008" i="252"/>
  <c r="G1009" i="252"/>
  <c r="G1010" i="252"/>
  <c r="G1011" i="252"/>
  <c r="G1012" i="252"/>
  <c r="G1013" i="252"/>
  <c r="G1014" i="252"/>
  <c r="G1015" i="252"/>
  <c r="G1016" i="252"/>
  <c r="G1017" i="252"/>
  <c r="G1018" i="252"/>
  <c r="G1019" i="252"/>
  <c r="G1020" i="252"/>
  <c r="G1021" i="252"/>
  <c r="G1022" i="252"/>
  <c r="G1023" i="252"/>
  <c r="G1024" i="252"/>
  <c r="G1025" i="252"/>
  <c r="G1026" i="252"/>
  <c r="G1027" i="252"/>
  <c r="G1028" i="252"/>
  <c r="G1029" i="252"/>
  <c r="G1030" i="252"/>
  <c r="G1031" i="252"/>
  <c r="G1032" i="252"/>
  <c r="G1033" i="252"/>
  <c r="G1034" i="252"/>
  <c r="G1035" i="252"/>
  <c r="G1036" i="252"/>
  <c r="G1037" i="252"/>
  <c r="G1038" i="252"/>
  <c r="G1039" i="252"/>
  <c r="G1040" i="252"/>
  <c r="G1041" i="252"/>
  <c r="G1042" i="252"/>
  <c r="G1043" i="252"/>
  <c r="G1044" i="252"/>
  <c r="G1045" i="252"/>
  <c r="G1046" i="252"/>
  <c r="G1047" i="252"/>
  <c r="G1048" i="252"/>
  <c r="G1049" i="252"/>
  <c r="G1050" i="252"/>
  <c r="G1051" i="252"/>
  <c r="G1052" i="252"/>
  <c r="G1053" i="252"/>
  <c r="G1054" i="252"/>
  <c r="G1055" i="252"/>
  <c r="G1056" i="252"/>
  <c r="G1057" i="252"/>
  <c r="G1058" i="252"/>
  <c r="G1059" i="252"/>
  <c r="G1060" i="252"/>
  <c r="G1061" i="252"/>
  <c r="G1062" i="252"/>
  <c r="G1063" i="252"/>
  <c r="G1064" i="252"/>
  <c r="G1065" i="252"/>
  <c r="G1066" i="252"/>
  <c r="G1067" i="252"/>
  <c r="G1068" i="252"/>
  <c r="G1069" i="252"/>
  <c r="G1070" i="252"/>
  <c r="G1071" i="252"/>
  <c r="G1072" i="252"/>
  <c r="G1073" i="252"/>
  <c r="G1074" i="252"/>
  <c r="G1075" i="252"/>
  <c r="G1076" i="252"/>
  <c r="G1077" i="252"/>
  <c r="G1078" i="252"/>
  <c r="G1079" i="252"/>
  <c r="G1080" i="252"/>
  <c r="G1081" i="252"/>
  <c r="G1082" i="252"/>
  <c r="G1083" i="252"/>
  <c r="G1084" i="252"/>
  <c r="G1085" i="252"/>
  <c r="G1086" i="252"/>
  <c r="G1087" i="252"/>
  <c r="G1088" i="252"/>
  <c r="G1089" i="252"/>
  <c r="G1090" i="252"/>
  <c r="G1091" i="252"/>
  <c r="G1092" i="252"/>
  <c r="G1093" i="252"/>
  <c r="G1094" i="252"/>
  <c r="G1095" i="252"/>
  <c r="G1096" i="252"/>
  <c r="G1097" i="252"/>
  <c r="G1098" i="252"/>
  <c r="G1099" i="252"/>
  <c r="G1100" i="252"/>
  <c r="G1101" i="252"/>
  <c r="G1102" i="252"/>
  <c r="G1103" i="252"/>
  <c r="G1104" i="252"/>
  <c r="G1105" i="252"/>
  <c r="G1106" i="252"/>
  <c r="G1107" i="252"/>
  <c r="G1108" i="252"/>
  <c r="G1109" i="252"/>
  <c r="G1110" i="252"/>
  <c r="G1111" i="252"/>
  <c r="G1112" i="252"/>
  <c r="G1113" i="252"/>
  <c r="G1114" i="252"/>
  <c r="G1115" i="252"/>
  <c r="G1116" i="252"/>
  <c r="G1117" i="252"/>
  <c r="G1118" i="252"/>
  <c r="G1119" i="252"/>
  <c r="G1120" i="252"/>
  <c r="G1121" i="252"/>
  <c r="G1122" i="252"/>
  <c r="G1123" i="252"/>
  <c r="G1124" i="252"/>
  <c r="G1125" i="252"/>
  <c r="G1126" i="252"/>
  <c r="G1127" i="252"/>
  <c r="G1128" i="252"/>
  <c r="G1129" i="252"/>
  <c r="G1130" i="252"/>
  <c r="G1131" i="252"/>
  <c r="G1132" i="252"/>
  <c r="G1133" i="252"/>
  <c r="G1134" i="252"/>
  <c r="G1135" i="252"/>
  <c r="G1136" i="252"/>
  <c r="G1137" i="252"/>
  <c r="G1138" i="252"/>
  <c r="G1139" i="252"/>
  <c r="G1140" i="252"/>
  <c r="G1141" i="252"/>
  <c r="G1142" i="252"/>
  <c r="G1143" i="252"/>
  <c r="G1144" i="252"/>
  <c r="G1145" i="252"/>
  <c r="G1146" i="252"/>
  <c r="G1147" i="252"/>
  <c r="G1148" i="252"/>
  <c r="G1149" i="252"/>
  <c r="G1150" i="252"/>
  <c r="G1151" i="252"/>
  <c r="G1152" i="252"/>
  <c r="G1153" i="252"/>
  <c r="G1154" i="252"/>
  <c r="G1155" i="252"/>
  <c r="G1156" i="252"/>
  <c r="G1157" i="252"/>
  <c r="G1159" i="252"/>
  <c r="G1160" i="252"/>
  <c r="G1161" i="252"/>
  <c r="G1162" i="252"/>
  <c r="G1163" i="252"/>
  <c r="G1166" i="252"/>
  <c r="G73" i="236"/>
  <c r="G74" i="236"/>
  <c r="G75" i="236"/>
  <c r="G76" i="236"/>
  <c r="G77" i="236"/>
  <c r="I41" i="236"/>
  <c r="I73" i="236" s="1"/>
  <c r="J41" i="236"/>
  <c r="J73" i="236" s="1"/>
  <c r="K41" i="236"/>
  <c r="K73" i="236" s="1"/>
  <c r="I42" i="236"/>
  <c r="I74" i="236" s="1"/>
  <c r="J42" i="236"/>
  <c r="J74" i="236" s="1"/>
  <c r="K42" i="236"/>
  <c r="K74" i="236" s="1"/>
  <c r="I43" i="236"/>
  <c r="I75" i="236" s="1"/>
  <c r="J43" i="236"/>
  <c r="J75" i="236" s="1"/>
  <c r="K43" i="236"/>
  <c r="K75" i="236" s="1"/>
  <c r="I44" i="236"/>
  <c r="I76" i="236" s="1"/>
  <c r="J44" i="236"/>
  <c r="J76" i="236" s="1"/>
  <c r="K44" i="236"/>
  <c r="K76" i="236" s="1"/>
  <c r="I45" i="236"/>
  <c r="I77" i="236" s="1"/>
  <c r="J45" i="236"/>
  <c r="J77" i="236" s="1"/>
  <c r="K45" i="236"/>
  <c r="K77" i="236" s="1"/>
  <c r="G41" i="236"/>
  <c r="G42" i="236"/>
  <c r="G43" i="236"/>
  <c r="G44" i="236"/>
  <c r="G45" i="236"/>
  <c r="D6" i="256" l="1"/>
  <c r="E6" i="256"/>
  <c r="D20" i="256"/>
  <c r="E20" i="256"/>
  <c r="E38" i="256" s="1"/>
  <c r="F20" i="256"/>
  <c r="E7" i="256" s="1"/>
  <c r="D21" i="256"/>
  <c r="E21" i="256"/>
  <c r="F21" i="256"/>
  <c r="F38" i="256"/>
  <c r="F40" i="256" s="1"/>
  <c r="F39" i="256"/>
  <c r="E8" i="256" l="1"/>
  <c r="E39" i="256" s="1"/>
  <c r="I39" i="256" s="1"/>
  <c r="G9" i="255" l="1"/>
  <c r="H9" i="255" s="1"/>
  <c r="I9" i="255" s="1"/>
  <c r="I18" i="255" l="1"/>
  <c r="I17" i="255"/>
  <c r="L8" i="237"/>
  <c r="L9" i="237"/>
  <c r="L10" i="237"/>
  <c r="L11" i="237"/>
  <c r="L12" i="237"/>
  <c r="L7" i="237"/>
  <c r="O7" i="237" l="1"/>
  <c r="Q7" i="237" s="1"/>
  <c r="E7" i="252"/>
  <c r="G48" i="252"/>
  <c r="E8" i="252"/>
  <c r="D10" i="251"/>
  <c r="K16" i="287" s="1"/>
  <c r="O16" i="287" s="1"/>
  <c r="D19" i="251"/>
  <c r="G40" i="236"/>
  <c r="H11" i="237"/>
  <c r="O11" i="237"/>
  <c r="Q11" i="237" s="1"/>
  <c r="S11" i="237" s="1"/>
  <c r="F11" i="237"/>
  <c r="G12" i="236"/>
  <c r="B20" i="251"/>
  <c r="B19" i="251"/>
  <c r="D5" i="251"/>
  <c r="E5" i="251" s="1"/>
  <c r="F5" i="251" s="1"/>
  <c r="H512" i="249"/>
  <c r="H511" i="249"/>
  <c r="H510" i="249"/>
  <c r="H509" i="249"/>
  <c r="H508" i="249"/>
  <c r="H507" i="249"/>
  <c r="H506" i="249"/>
  <c r="H505" i="249"/>
  <c r="H504" i="249"/>
  <c r="H503" i="249"/>
  <c r="H502" i="249"/>
  <c r="H501" i="249"/>
  <c r="H500" i="249"/>
  <c r="H499" i="249"/>
  <c r="H498" i="249"/>
  <c r="H497" i="249"/>
  <c r="H496" i="249"/>
  <c r="H495" i="249"/>
  <c r="H494" i="249"/>
  <c r="H493" i="249"/>
  <c r="H492" i="249"/>
  <c r="H491" i="249"/>
  <c r="H490" i="249"/>
  <c r="H489" i="249"/>
  <c r="H488" i="249"/>
  <c r="H487" i="249"/>
  <c r="H486" i="249"/>
  <c r="H485" i="249"/>
  <c r="H484" i="249"/>
  <c r="H483" i="249"/>
  <c r="H482" i="249"/>
  <c r="H481" i="249"/>
  <c r="H480" i="249"/>
  <c r="H479" i="249"/>
  <c r="H478" i="249"/>
  <c r="H477" i="249"/>
  <c r="H476" i="249"/>
  <c r="H475" i="249"/>
  <c r="H474" i="249"/>
  <c r="H473" i="249"/>
  <c r="H472" i="249"/>
  <c r="H471" i="249"/>
  <c r="H470" i="249"/>
  <c r="H469" i="249"/>
  <c r="H468" i="249"/>
  <c r="H467" i="249"/>
  <c r="H466" i="249"/>
  <c r="H465" i="249"/>
  <c r="H464" i="249"/>
  <c r="H463" i="249"/>
  <c r="H462" i="249"/>
  <c r="H461" i="249"/>
  <c r="H460" i="249"/>
  <c r="H459" i="249"/>
  <c r="H458" i="249"/>
  <c r="H457" i="249"/>
  <c r="H456" i="249"/>
  <c r="H455" i="249"/>
  <c r="H454" i="249"/>
  <c r="H453" i="249"/>
  <c r="H452" i="249"/>
  <c r="H451" i="249"/>
  <c r="H450" i="249"/>
  <c r="H449" i="249"/>
  <c r="H448" i="249"/>
  <c r="H447" i="249"/>
  <c r="H446" i="249"/>
  <c r="H445" i="249"/>
  <c r="H444" i="249"/>
  <c r="H443" i="249"/>
  <c r="H442" i="249"/>
  <c r="H441" i="249"/>
  <c r="H440" i="249"/>
  <c r="H439" i="249"/>
  <c r="H438" i="249"/>
  <c r="H437" i="249"/>
  <c r="H436" i="249"/>
  <c r="H435" i="249"/>
  <c r="H434" i="249"/>
  <c r="H433" i="249"/>
  <c r="H432" i="249"/>
  <c r="H431" i="249"/>
  <c r="H430" i="249"/>
  <c r="H429" i="249"/>
  <c r="H428" i="249"/>
  <c r="H427" i="249"/>
  <c r="H426" i="249"/>
  <c r="H425" i="249"/>
  <c r="H424" i="249"/>
  <c r="H423" i="249"/>
  <c r="H422" i="249"/>
  <c r="H421" i="249"/>
  <c r="H420" i="249"/>
  <c r="H419" i="249"/>
  <c r="H418" i="249"/>
  <c r="H417" i="249"/>
  <c r="H416" i="249"/>
  <c r="H415" i="249"/>
  <c r="H414" i="249"/>
  <c r="H413" i="249"/>
  <c r="H412" i="249"/>
  <c r="H411" i="249"/>
  <c r="H410" i="249"/>
  <c r="H409" i="249"/>
  <c r="H408" i="249"/>
  <c r="H407" i="249"/>
  <c r="H406" i="249"/>
  <c r="H405" i="249"/>
  <c r="H404" i="249"/>
  <c r="H403" i="249"/>
  <c r="H402" i="249"/>
  <c r="H401" i="249"/>
  <c r="H400" i="249"/>
  <c r="H399" i="249"/>
  <c r="H398" i="249"/>
  <c r="H397" i="249"/>
  <c r="H396" i="249"/>
  <c r="H395" i="249"/>
  <c r="H394" i="249"/>
  <c r="H393" i="249"/>
  <c r="H392" i="249"/>
  <c r="H391" i="249"/>
  <c r="H390" i="249"/>
  <c r="H389" i="249"/>
  <c r="H388" i="249"/>
  <c r="H387" i="249"/>
  <c r="H386" i="249"/>
  <c r="H385" i="249"/>
  <c r="H384" i="249"/>
  <c r="H383" i="249"/>
  <c r="H382" i="249"/>
  <c r="H381" i="249"/>
  <c r="H380" i="249"/>
  <c r="H379" i="249"/>
  <c r="H378" i="249"/>
  <c r="H377" i="249"/>
  <c r="H376" i="249"/>
  <c r="H375" i="249"/>
  <c r="H374" i="249"/>
  <c r="H373" i="249"/>
  <c r="H372" i="249"/>
  <c r="H371" i="249"/>
  <c r="H370" i="249"/>
  <c r="H369" i="249"/>
  <c r="H368" i="249"/>
  <c r="H367" i="249"/>
  <c r="H366" i="249"/>
  <c r="H365" i="249"/>
  <c r="H364" i="249"/>
  <c r="H363" i="249"/>
  <c r="H362" i="249"/>
  <c r="H361" i="249"/>
  <c r="H360" i="249"/>
  <c r="H359" i="249"/>
  <c r="H358" i="249"/>
  <c r="H357" i="249"/>
  <c r="H356" i="249"/>
  <c r="H355" i="249"/>
  <c r="H354" i="249"/>
  <c r="H353" i="249"/>
  <c r="H352" i="249"/>
  <c r="H351" i="249"/>
  <c r="H350" i="249"/>
  <c r="H349" i="249"/>
  <c r="H348" i="249"/>
  <c r="H347" i="249"/>
  <c r="H346" i="249"/>
  <c r="H345" i="249"/>
  <c r="H344" i="249"/>
  <c r="H343" i="249"/>
  <c r="H342" i="249"/>
  <c r="H341" i="249"/>
  <c r="H340" i="249"/>
  <c r="H339" i="249"/>
  <c r="H338" i="249"/>
  <c r="H337" i="249"/>
  <c r="H336" i="249"/>
  <c r="H335" i="249"/>
  <c r="H334" i="249"/>
  <c r="H333" i="249"/>
  <c r="H332" i="249"/>
  <c r="H331" i="249"/>
  <c r="H330" i="249"/>
  <c r="H329" i="249"/>
  <c r="H328" i="249"/>
  <c r="H327" i="249"/>
  <c r="H326" i="249"/>
  <c r="H325" i="249"/>
  <c r="H324" i="249"/>
  <c r="H323" i="249"/>
  <c r="H322" i="249"/>
  <c r="H321" i="249"/>
  <c r="H320" i="249"/>
  <c r="H319" i="249"/>
  <c r="H318" i="249"/>
  <c r="H317" i="249"/>
  <c r="H316" i="249"/>
  <c r="H315" i="249"/>
  <c r="H314" i="249"/>
  <c r="H313" i="249"/>
  <c r="H312" i="249"/>
  <c r="H311" i="249"/>
  <c r="H310" i="249"/>
  <c r="H309" i="249"/>
  <c r="H308" i="249"/>
  <c r="H307" i="249"/>
  <c r="H306" i="249"/>
  <c r="H305" i="249"/>
  <c r="H304" i="249"/>
  <c r="H303" i="249"/>
  <c r="H302" i="249"/>
  <c r="H301" i="249"/>
  <c r="H300" i="249"/>
  <c r="H299" i="249"/>
  <c r="H298" i="249"/>
  <c r="H297" i="249"/>
  <c r="H296" i="249"/>
  <c r="H295" i="249"/>
  <c r="H294" i="249"/>
  <c r="H293" i="249"/>
  <c r="H292" i="249"/>
  <c r="H291" i="249"/>
  <c r="H290" i="249"/>
  <c r="H289" i="249"/>
  <c r="H288" i="249"/>
  <c r="H287" i="249"/>
  <c r="H286" i="249"/>
  <c r="H285" i="249"/>
  <c r="H284" i="249"/>
  <c r="H283" i="249"/>
  <c r="H282" i="249"/>
  <c r="H281" i="249"/>
  <c r="H280" i="249"/>
  <c r="H279" i="249"/>
  <c r="H278" i="249"/>
  <c r="H277" i="249"/>
  <c r="H276" i="249"/>
  <c r="H275" i="249"/>
  <c r="H274" i="249"/>
  <c r="H273" i="249"/>
  <c r="H272" i="249"/>
  <c r="H271" i="249"/>
  <c r="H270" i="249"/>
  <c r="H269" i="249"/>
  <c r="H268" i="249"/>
  <c r="H267" i="249"/>
  <c r="H266" i="249"/>
  <c r="H265" i="249"/>
  <c r="H264" i="249"/>
  <c r="H263" i="249"/>
  <c r="H262" i="249"/>
  <c r="H261" i="249"/>
  <c r="H260" i="249"/>
  <c r="H259" i="249"/>
  <c r="H258" i="249"/>
  <c r="H257" i="249"/>
  <c r="H256" i="249"/>
  <c r="H255" i="249"/>
  <c r="H254" i="249"/>
  <c r="H253" i="249"/>
  <c r="H252" i="249"/>
  <c r="H251" i="249"/>
  <c r="H250" i="249"/>
  <c r="H249" i="249"/>
  <c r="H248" i="249"/>
  <c r="H247" i="249"/>
  <c r="H246" i="249"/>
  <c r="H245" i="249"/>
  <c r="H244" i="249"/>
  <c r="H243" i="249"/>
  <c r="H242" i="249"/>
  <c r="H241" i="249"/>
  <c r="H240" i="249"/>
  <c r="H239" i="249"/>
  <c r="H238" i="249"/>
  <c r="H237" i="249"/>
  <c r="H236" i="249"/>
  <c r="H235" i="249"/>
  <c r="H234" i="249"/>
  <c r="H233" i="249"/>
  <c r="H232" i="249"/>
  <c r="H231" i="249"/>
  <c r="H230" i="249"/>
  <c r="H229" i="249"/>
  <c r="H228" i="249"/>
  <c r="H227" i="249"/>
  <c r="H226" i="249"/>
  <c r="H225" i="249"/>
  <c r="H224" i="249"/>
  <c r="H223" i="249"/>
  <c r="H222" i="249"/>
  <c r="H221" i="249"/>
  <c r="H220" i="249"/>
  <c r="H219" i="249"/>
  <c r="H218" i="249"/>
  <c r="H217" i="249"/>
  <c r="H216" i="249"/>
  <c r="H215" i="249"/>
  <c r="H214" i="249"/>
  <c r="H213" i="249"/>
  <c r="H212" i="249"/>
  <c r="H211" i="249"/>
  <c r="H210" i="249"/>
  <c r="H209" i="249"/>
  <c r="H208" i="249"/>
  <c r="H207" i="249"/>
  <c r="H206" i="249"/>
  <c r="H205" i="249"/>
  <c r="H204" i="249"/>
  <c r="H203" i="249"/>
  <c r="H202" i="249"/>
  <c r="H201" i="249"/>
  <c r="H200" i="249"/>
  <c r="H199" i="249"/>
  <c r="H198" i="249"/>
  <c r="H197" i="249"/>
  <c r="H196" i="249"/>
  <c r="H195" i="249"/>
  <c r="H194" i="249"/>
  <c r="H193" i="249"/>
  <c r="H192" i="249"/>
  <c r="H191" i="249"/>
  <c r="H190" i="249"/>
  <c r="H189" i="249"/>
  <c r="H188" i="249"/>
  <c r="H187" i="249"/>
  <c r="H186" i="249"/>
  <c r="H185" i="249"/>
  <c r="H184" i="249"/>
  <c r="H183" i="249"/>
  <c r="H182" i="249"/>
  <c r="H181" i="249"/>
  <c r="H180" i="249"/>
  <c r="H179" i="249"/>
  <c r="H178" i="249"/>
  <c r="H177" i="249"/>
  <c r="H176" i="249"/>
  <c r="H175" i="249"/>
  <c r="H174" i="249"/>
  <c r="H173" i="249"/>
  <c r="H172" i="249"/>
  <c r="H171" i="249"/>
  <c r="H170" i="249"/>
  <c r="H169" i="249"/>
  <c r="H168" i="249"/>
  <c r="H167" i="249"/>
  <c r="H166" i="249"/>
  <c r="H165" i="249"/>
  <c r="H164" i="249"/>
  <c r="H163" i="249"/>
  <c r="H162" i="249"/>
  <c r="H161" i="249"/>
  <c r="H160" i="249"/>
  <c r="H159" i="249"/>
  <c r="H158" i="249"/>
  <c r="H157" i="249"/>
  <c r="H156" i="249"/>
  <c r="H155" i="249"/>
  <c r="H154" i="249"/>
  <c r="H153" i="249"/>
  <c r="H152" i="249"/>
  <c r="H151" i="249"/>
  <c r="H150" i="249"/>
  <c r="H149" i="249"/>
  <c r="H148" i="249"/>
  <c r="H147" i="249"/>
  <c r="H146" i="249"/>
  <c r="H145" i="249"/>
  <c r="H144" i="249"/>
  <c r="H143" i="249"/>
  <c r="H142" i="249"/>
  <c r="H141" i="249"/>
  <c r="H140" i="249"/>
  <c r="H139" i="249"/>
  <c r="H138" i="249"/>
  <c r="H137" i="249"/>
  <c r="H136" i="249"/>
  <c r="H135" i="249"/>
  <c r="H134" i="249"/>
  <c r="H133" i="249"/>
  <c r="H132" i="249"/>
  <c r="H131" i="249"/>
  <c r="H130" i="249"/>
  <c r="H129" i="249"/>
  <c r="H128" i="249"/>
  <c r="H127" i="249"/>
  <c r="H126" i="249"/>
  <c r="H125" i="249"/>
  <c r="H124" i="249"/>
  <c r="H123" i="249"/>
  <c r="H122" i="249"/>
  <c r="H121" i="249"/>
  <c r="H120" i="249"/>
  <c r="H119" i="249"/>
  <c r="H118" i="249"/>
  <c r="H117" i="249"/>
  <c r="H116" i="249"/>
  <c r="H115" i="249"/>
  <c r="H114" i="249"/>
  <c r="H113" i="249"/>
  <c r="H112" i="249"/>
  <c r="H111" i="249"/>
  <c r="H110" i="249"/>
  <c r="H109" i="249"/>
  <c r="H108" i="249"/>
  <c r="H107" i="249"/>
  <c r="H106" i="249"/>
  <c r="H105" i="249"/>
  <c r="H104" i="249"/>
  <c r="H103" i="249"/>
  <c r="H102" i="249"/>
  <c r="H101" i="249"/>
  <c r="H100" i="249"/>
  <c r="H99" i="249"/>
  <c r="H98" i="249"/>
  <c r="H97" i="249"/>
  <c r="H96" i="249"/>
  <c r="H95" i="249"/>
  <c r="H94" i="249"/>
  <c r="H93" i="249"/>
  <c r="H92" i="249"/>
  <c r="H91" i="249"/>
  <c r="H90" i="249"/>
  <c r="H89" i="249"/>
  <c r="H88" i="249"/>
  <c r="H87" i="249"/>
  <c r="H86" i="249"/>
  <c r="H85" i="249"/>
  <c r="H84" i="249"/>
  <c r="H83" i="249"/>
  <c r="H82" i="249"/>
  <c r="H81" i="249"/>
  <c r="H80" i="249"/>
  <c r="E80" i="249" s="1"/>
  <c r="I80" i="249" s="1"/>
  <c r="H79" i="249"/>
  <c r="H78" i="249"/>
  <c r="H77" i="249"/>
  <c r="H76" i="249"/>
  <c r="H75" i="249"/>
  <c r="H74" i="249"/>
  <c r="H73" i="249"/>
  <c r="H72" i="249"/>
  <c r="H71" i="249"/>
  <c r="H70" i="249"/>
  <c r="H69" i="249"/>
  <c r="H68" i="249"/>
  <c r="H67" i="249"/>
  <c r="H66" i="249"/>
  <c r="H65" i="249"/>
  <c r="H64" i="249"/>
  <c r="H63" i="249"/>
  <c r="E63" i="249" s="1"/>
  <c r="I63" i="249" s="1"/>
  <c r="H62" i="249"/>
  <c r="E62" i="249" s="1"/>
  <c r="I62" i="249" s="1"/>
  <c r="H61" i="249"/>
  <c r="H60" i="249"/>
  <c r="H59" i="249"/>
  <c r="H58" i="249"/>
  <c r="H57" i="249"/>
  <c r="H56" i="249"/>
  <c r="H55" i="249"/>
  <c r="H54" i="249"/>
  <c r="H53" i="249"/>
  <c r="H52" i="249"/>
  <c r="H51" i="249"/>
  <c r="H50" i="249"/>
  <c r="H49" i="249"/>
  <c r="H48" i="249"/>
  <c r="H47" i="249"/>
  <c r="H46" i="249"/>
  <c r="H45" i="249"/>
  <c r="H44" i="249"/>
  <c r="H43" i="249"/>
  <c r="H42" i="249"/>
  <c r="H41" i="249"/>
  <c r="H40" i="249"/>
  <c r="H39" i="249"/>
  <c r="H38" i="249"/>
  <c r="H37" i="249"/>
  <c r="H36" i="249"/>
  <c r="H35" i="249"/>
  <c r="H34" i="249"/>
  <c r="H33" i="249"/>
  <c r="H32" i="249"/>
  <c r="H31" i="249"/>
  <c r="H30" i="249"/>
  <c r="E30" i="249" s="1"/>
  <c r="I30" i="249" s="1"/>
  <c r="H29" i="249"/>
  <c r="H28" i="249"/>
  <c r="H27" i="249"/>
  <c r="E27" i="249" s="1"/>
  <c r="I27" i="249" s="1"/>
  <c r="H26" i="249"/>
  <c r="H25" i="249"/>
  <c r="H24" i="249"/>
  <c r="H23" i="249"/>
  <c r="H22" i="249"/>
  <c r="H21" i="249"/>
  <c r="H20" i="249"/>
  <c r="H19" i="249"/>
  <c r="H18" i="249"/>
  <c r="H17" i="249"/>
  <c r="H16" i="249"/>
  <c r="H15" i="249"/>
  <c r="H14" i="249"/>
  <c r="H13" i="249"/>
  <c r="H512" i="248"/>
  <c r="H511" i="248"/>
  <c r="H510" i="248"/>
  <c r="H509" i="248"/>
  <c r="H508" i="248"/>
  <c r="H507" i="248"/>
  <c r="H506" i="248"/>
  <c r="H505" i="248"/>
  <c r="H504" i="248"/>
  <c r="H503" i="248"/>
  <c r="H502" i="248"/>
  <c r="H501" i="248"/>
  <c r="H500" i="248"/>
  <c r="H499" i="248"/>
  <c r="H498" i="248"/>
  <c r="H497" i="248"/>
  <c r="H496" i="248"/>
  <c r="H495" i="248"/>
  <c r="H494" i="248"/>
  <c r="H493" i="248"/>
  <c r="H492" i="248"/>
  <c r="H491" i="248"/>
  <c r="H490" i="248"/>
  <c r="H489" i="248"/>
  <c r="H488" i="248"/>
  <c r="H487" i="248"/>
  <c r="H486" i="248"/>
  <c r="H485" i="248"/>
  <c r="H484" i="248"/>
  <c r="H483" i="248"/>
  <c r="H482" i="248"/>
  <c r="H481" i="248"/>
  <c r="H480" i="248"/>
  <c r="H479" i="248"/>
  <c r="H478" i="248"/>
  <c r="H477" i="248"/>
  <c r="H476" i="248"/>
  <c r="H475" i="248"/>
  <c r="H474" i="248"/>
  <c r="H473" i="248"/>
  <c r="H472" i="248"/>
  <c r="H471" i="248"/>
  <c r="H470" i="248"/>
  <c r="H469" i="248"/>
  <c r="H468" i="248"/>
  <c r="H467" i="248"/>
  <c r="H466" i="248"/>
  <c r="H465" i="248"/>
  <c r="H464" i="248"/>
  <c r="H463" i="248"/>
  <c r="H462" i="248"/>
  <c r="H461" i="248"/>
  <c r="H460" i="248"/>
  <c r="H459" i="248"/>
  <c r="H458" i="248"/>
  <c r="H457" i="248"/>
  <c r="H456" i="248"/>
  <c r="H455" i="248"/>
  <c r="H454" i="248"/>
  <c r="H453" i="248"/>
  <c r="H452" i="248"/>
  <c r="H451" i="248"/>
  <c r="H450" i="248"/>
  <c r="H449" i="248"/>
  <c r="H448" i="248"/>
  <c r="H447" i="248"/>
  <c r="H446" i="248"/>
  <c r="H445" i="248"/>
  <c r="H444" i="248"/>
  <c r="H443" i="248"/>
  <c r="H442" i="248"/>
  <c r="H441" i="248"/>
  <c r="H440" i="248"/>
  <c r="H439" i="248"/>
  <c r="H438" i="248"/>
  <c r="H437" i="248"/>
  <c r="H436" i="248"/>
  <c r="H435" i="248"/>
  <c r="H434" i="248"/>
  <c r="H433" i="248"/>
  <c r="H432" i="248"/>
  <c r="H431" i="248"/>
  <c r="H430" i="248"/>
  <c r="H429" i="248"/>
  <c r="H428" i="248"/>
  <c r="H427" i="248"/>
  <c r="H426" i="248"/>
  <c r="H425" i="248"/>
  <c r="H424" i="248"/>
  <c r="H423" i="248"/>
  <c r="H422" i="248"/>
  <c r="H421" i="248"/>
  <c r="H420" i="248"/>
  <c r="H419" i="248"/>
  <c r="H418" i="248"/>
  <c r="H417" i="248"/>
  <c r="H416" i="248"/>
  <c r="H415" i="248"/>
  <c r="H414" i="248"/>
  <c r="H413" i="248"/>
  <c r="H412" i="248"/>
  <c r="H411" i="248"/>
  <c r="H410" i="248"/>
  <c r="H409" i="248"/>
  <c r="H408" i="248"/>
  <c r="H407" i="248"/>
  <c r="H406" i="248"/>
  <c r="H405" i="248"/>
  <c r="H404" i="248"/>
  <c r="H403" i="248"/>
  <c r="H402" i="248"/>
  <c r="H401" i="248"/>
  <c r="H400" i="248"/>
  <c r="H399" i="248"/>
  <c r="H398" i="248"/>
  <c r="H397" i="248"/>
  <c r="H396" i="248"/>
  <c r="H395" i="248"/>
  <c r="H394" i="248"/>
  <c r="H393" i="248"/>
  <c r="H392" i="248"/>
  <c r="H391" i="248"/>
  <c r="H390" i="248"/>
  <c r="H389" i="248"/>
  <c r="H388" i="248"/>
  <c r="H387" i="248"/>
  <c r="H386" i="248"/>
  <c r="H385" i="248"/>
  <c r="H384" i="248"/>
  <c r="H383" i="248"/>
  <c r="H382" i="248"/>
  <c r="H381" i="248"/>
  <c r="H380" i="248"/>
  <c r="H379" i="248"/>
  <c r="H378" i="248"/>
  <c r="H377" i="248"/>
  <c r="H376" i="248"/>
  <c r="H375" i="248"/>
  <c r="H374" i="248"/>
  <c r="H373" i="248"/>
  <c r="H372" i="248"/>
  <c r="H371" i="248"/>
  <c r="H370" i="248"/>
  <c r="H369" i="248"/>
  <c r="H368" i="248"/>
  <c r="H367" i="248"/>
  <c r="H366" i="248"/>
  <c r="H365" i="248"/>
  <c r="H364" i="248"/>
  <c r="H363" i="248"/>
  <c r="H362" i="248"/>
  <c r="H361" i="248"/>
  <c r="H360" i="248"/>
  <c r="H359" i="248"/>
  <c r="H358" i="248"/>
  <c r="H357" i="248"/>
  <c r="H356" i="248"/>
  <c r="H355" i="248"/>
  <c r="H354" i="248"/>
  <c r="H353" i="248"/>
  <c r="H352" i="248"/>
  <c r="H351" i="248"/>
  <c r="H350" i="248"/>
  <c r="H349" i="248"/>
  <c r="H348" i="248"/>
  <c r="H347" i="248"/>
  <c r="H346" i="248"/>
  <c r="H345" i="248"/>
  <c r="H344" i="248"/>
  <c r="H343" i="248"/>
  <c r="H342" i="248"/>
  <c r="H341" i="248"/>
  <c r="H340" i="248"/>
  <c r="H339" i="248"/>
  <c r="H338" i="248"/>
  <c r="H337" i="248"/>
  <c r="H336" i="248"/>
  <c r="H335" i="248"/>
  <c r="H334" i="248"/>
  <c r="H333" i="248"/>
  <c r="H332" i="248"/>
  <c r="H331" i="248"/>
  <c r="H330" i="248"/>
  <c r="H329" i="248"/>
  <c r="H328" i="248"/>
  <c r="H327" i="248"/>
  <c r="H326" i="248"/>
  <c r="H325" i="248"/>
  <c r="H324" i="248"/>
  <c r="H323" i="248"/>
  <c r="H322" i="248"/>
  <c r="H321" i="248"/>
  <c r="H320" i="248"/>
  <c r="H319" i="248"/>
  <c r="H318" i="248"/>
  <c r="H317" i="248"/>
  <c r="H316" i="248"/>
  <c r="H315" i="248"/>
  <c r="H314" i="248"/>
  <c r="H313" i="248"/>
  <c r="H312" i="248"/>
  <c r="H311" i="248"/>
  <c r="H310" i="248"/>
  <c r="H309" i="248"/>
  <c r="H308" i="248"/>
  <c r="H307" i="248"/>
  <c r="H306" i="248"/>
  <c r="H305" i="248"/>
  <c r="H304" i="248"/>
  <c r="H303" i="248"/>
  <c r="H302" i="248"/>
  <c r="H301" i="248"/>
  <c r="H300" i="248"/>
  <c r="H299" i="248"/>
  <c r="H298" i="248"/>
  <c r="H297" i="248"/>
  <c r="H296" i="248"/>
  <c r="H295" i="248"/>
  <c r="H294" i="248"/>
  <c r="H293" i="248"/>
  <c r="H292" i="248"/>
  <c r="H291" i="248"/>
  <c r="E291" i="248" s="1"/>
  <c r="H290" i="248"/>
  <c r="H289" i="248"/>
  <c r="H288" i="248"/>
  <c r="H287" i="248"/>
  <c r="H286" i="248"/>
  <c r="H285" i="248"/>
  <c r="H284" i="248"/>
  <c r="H283" i="248"/>
  <c r="H282" i="248"/>
  <c r="H281" i="248"/>
  <c r="H280" i="248"/>
  <c r="H279" i="248"/>
  <c r="H278" i="248"/>
  <c r="H277" i="248"/>
  <c r="H276" i="248"/>
  <c r="H275" i="248"/>
  <c r="H274" i="248"/>
  <c r="H273" i="248"/>
  <c r="H272" i="248"/>
  <c r="H271" i="248"/>
  <c r="H270" i="248"/>
  <c r="H269" i="248"/>
  <c r="H268" i="248"/>
  <c r="H267" i="248"/>
  <c r="H266" i="248"/>
  <c r="H265" i="248"/>
  <c r="H264" i="248"/>
  <c r="H263" i="248"/>
  <c r="H262" i="248"/>
  <c r="H261" i="248"/>
  <c r="H260" i="248"/>
  <c r="H259" i="248"/>
  <c r="H258" i="248"/>
  <c r="H257" i="248"/>
  <c r="H256" i="248"/>
  <c r="H255" i="248"/>
  <c r="H254" i="248"/>
  <c r="H253" i="248"/>
  <c r="H252" i="248"/>
  <c r="H251" i="248"/>
  <c r="H250" i="248"/>
  <c r="H249" i="248"/>
  <c r="H248" i="248"/>
  <c r="H247" i="248"/>
  <c r="H246" i="248"/>
  <c r="H245" i="248"/>
  <c r="H244" i="248"/>
  <c r="H243" i="248"/>
  <c r="H242" i="248"/>
  <c r="H241" i="248"/>
  <c r="H240" i="248"/>
  <c r="H239" i="248"/>
  <c r="H238" i="248"/>
  <c r="H237" i="248"/>
  <c r="H236" i="248"/>
  <c r="H235" i="248"/>
  <c r="H234" i="248"/>
  <c r="H233" i="248"/>
  <c r="H232" i="248"/>
  <c r="H231" i="248"/>
  <c r="H230" i="248"/>
  <c r="H229" i="248"/>
  <c r="H228" i="248"/>
  <c r="H227" i="248"/>
  <c r="H226" i="248"/>
  <c r="H225" i="248"/>
  <c r="H224" i="248"/>
  <c r="H223" i="248"/>
  <c r="H222" i="248"/>
  <c r="H221" i="248"/>
  <c r="H220" i="248"/>
  <c r="H219" i="248"/>
  <c r="H218" i="248"/>
  <c r="H217" i="248"/>
  <c r="H216" i="248"/>
  <c r="H215" i="248"/>
  <c r="H214" i="248"/>
  <c r="H213" i="248"/>
  <c r="H212" i="248"/>
  <c r="H211" i="248"/>
  <c r="H210" i="248"/>
  <c r="H209" i="248"/>
  <c r="H208" i="248"/>
  <c r="H207" i="248"/>
  <c r="H206" i="248"/>
  <c r="H205" i="248"/>
  <c r="H204" i="248"/>
  <c r="H203" i="248"/>
  <c r="H202" i="248"/>
  <c r="H201" i="248"/>
  <c r="H200" i="248"/>
  <c r="H199" i="248"/>
  <c r="H198" i="248"/>
  <c r="H197" i="248"/>
  <c r="H196" i="248"/>
  <c r="H195" i="248"/>
  <c r="H194" i="248"/>
  <c r="H193" i="248"/>
  <c r="H192" i="248"/>
  <c r="H191" i="248"/>
  <c r="H190" i="248"/>
  <c r="H189" i="248"/>
  <c r="H188" i="248"/>
  <c r="H187" i="248"/>
  <c r="H186" i="248"/>
  <c r="H185" i="248"/>
  <c r="H184" i="248"/>
  <c r="H183" i="248"/>
  <c r="H182" i="248"/>
  <c r="H181" i="248"/>
  <c r="H180" i="248"/>
  <c r="H179" i="248"/>
  <c r="H178" i="248"/>
  <c r="H177" i="248"/>
  <c r="H176" i="248"/>
  <c r="H175" i="248"/>
  <c r="H174" i="248"/>
  <c r="H173" i="248"/>
  <c r="H172" i="248"/>
  <c r="H171" i="248"/>
  <c r="H170" i="248"/>
  <c r="H169" i="248"/>
  <c r="H168" i="248"/>
  <c r="H167" i="248"/>
  <c r="H166" i="248"/>
  <c r="H165" i="248"/>
  <c r="H164" i="248"/>
  <c r="H163" i="248"/>
  <c r="H162" i="248"/>
  <c r="H161" i="248"/>
  <c r="H160" i="248"/>
  <c r="H159" i="248"/>
  <c r="H158" i="248"/>
  <c r="H157" i="248"/>
  <c r="H156" i="248"/>
  <c r="H155" i="248"/>
  <c r="H154" i="248"/>
  <c r="H153" i="248"/>
  <c r="H152" i="248"/>
  <c r="H151" i="248"/>
  <c r="H150" i="248"/>
  <c r="H149" i="248"/>
  <c r="H148" i="248"/>
  <c r="H147" i="248"/>
  <c r="H146" i="248"/>
  <c r="H145" i="248"/>
  <c r="H144" i="248"/>
  <c r="H143" i="248"/>
  <c r="H142" i="248"/>
  <c r="H141" i="248"/>
  <c r="H140" i="248"/>
  <c r="H139" i="248"/>
  <c r="H138" i="248"/>
  <c r="H137" i="248"/>
  <c r="H136" i="248"/>
  <c r="H135" i="248"/>
  <c r="H134" i="248"/>
  <c r="H133" i="248"/>
  <c r="H132" i="248"/>
  <c r="H131" i="248"/>
  <c r="H130" i="248"/>
  <c r="H129" i="248"/>
  <c r="H128" i="248"/>
  <c r="H127" i="248"/>
  <c r="H126" i="248"/>
  <c r="H125" i="248"/>
  <c r="H124" i="248"/>
  <c r="H123" i="248"/>
  <c r="H122" i="248"/>
  <c r="H121" i="248"/>
  <c r="H120" i="248"/>
  <c r="H119" i="248"/>
  <c r="H118" i="248"/>
  <c r="H117" i="248"/>
  <c r="H116" i="248"/>
  <c r="H115" i="248"/>
  <c r="H114" i="248"/>
  <c r="H113" i="248"/>
  <c r="H112" i="248"/>
  <c r="H111" i="248"/>
  <c r="H110" i="248"/>
  <c r="H109" i="248"/>
  <c r="H108" i="248"/>
  <c r="H107" i="248"/>
  <c r="H106" i="248"/>
  <c r="H105" i="248"/>
  <c r="H104" i="248"/>
  <c r="H103" i="248"/>
  <c r="H102" i="248"/>
  <c r="H101" i="248"/>
  <c r="H100" i="248"/>
  <c r="H99" i="248"/>
  <c r="H98" i="248"/>
  <c r="H97" i="248"/>
  <c r="H96" i="248"/>
  <c r="H95" i="248"/>
  <c r="H94" i="248"/>
  <c r="H93" i="248"/>
  <c r="H92" i="248"/>
  <c r="H91" i="248"/>
  <c r="H90" i="248"/>
  <c r="H89" i="248"/>
  <c r="H88" i="248"/>
  <c r="H87" i="248"/>
  <c r="H86" i="248"/>
  <c r="H85" i="248"/>
  <c r="H84" i="248"/>
  <c r="H83" i="248"/>
  <c r="H82" i="248"/>
  <c r="H81" i="248"/>
  <c r="H80" i="248"/>
  <c r="H79" i="248"/>
  <c r="H78" i="248"/>
  <c r="H77" i="248"/>
  <c r="H76" i="248"/>
  <c r="H75" i="248"/>
  <c r="H74" i="248"/>
  <c r="H73" i="248"/>
  <c r="H72" i="248"/>
  <c r="H71" i="248"/>
  <c r="H70" i="248"/>
  <c r="H69" i="248"/>
  <c r="H68" i="248"/>
  <c r="H67" i="248"/>
  <c r="H66" i="248"/>
  <c r="H65" i="248"/>
  <c r="H64" i="248"/>
  <c r="H63" i="248"/>
  <c r="H62" i="248"/>
  <c r="H61" i="248"/>
  <c r="H60" i="248"/>
  <c r="H59" i="248"/>
  <c r="H58" i="248"/>
  <c r="H57" i="248"/>
  <c r="H56" i="248"/>
  <c r="H55" i="248"/>
  <c r="H54" i="248"/>
  <c r="H53" i="248"/>
  <c r="H52" i="248"/>
  <c r="H51" i="248"/>
  <c r="H50" i="248"/>
  <c r="H49" i="248"/>
  <c r="H48" i="248"/>
  <c r="H47" i="248"/>
  <c r="H46" i="248"/>
  <c r="H45" i="248"/>
  <c r="H44" i="248"/>
  <c r="H43" i="248"/>
  <c r="H42" i="248"/>
  <c r="H41" i="248"/>
  <c r="H40" i="248"/>
  <c r="H39" i="248"/>
  <c r="H38" i="248"/>
  <c r="H37" i="248"/>
  <c r="H36" i="248"/>
  <c r="H35" i="248"/>
  <c r="H34" i="248"/>
  <c r="H33" i="248"/>
  <c r="H32" i="248"/>
  <c r="H31" i="248"/>
  <c r="H30" i="248"/>
  <c r="H29" i="248"/>
  <c r="H28" i="248"/>
  <c r="H27" i="248"/>
  <c r="H26" i="248"/>
  <c r="H25" i="248"/>
  <c r="H24" i="248"/>
  <c r="H23" i="248"/>
  <c r="H22" i="248"/>
  <c r="H21" i="248"/>
  <c r="H20" i="248"/>
  <c r="H19" i="248"/>
  <c r="H18" i="248"/>
  <c r="H17" i="248"/>
  <c r="H16" i="248"/>
  <c r="H15" i="248"/>
  <c r="H14" i="248"/>
  <c r="O12" i="237"/>
  <c r="Q12" i="237" s="1"/>
  <c r="F12" i="237"/>
  <c r="H12" i="237"/>
  <c r="O10" i="237"/>
  <c r="Q10" i="237" s="1"/>
  <c r="F10" i="237"/>
  <c r="H10" i="237"/>
  <c r="O9" i="237"/>
  <c r="Q9" i="237" s="1"/>
  <c r="H9" i="237"/>
  <c r="O8" i="237"/>
  <c r="Q8" i="237" s="1"/>
  <c r="F8" i="237"/>
  <c r="H8" i="237"/>
  <c r="F7" i="237"/>
  <c r="H7" i="237"/>
  <c r="B63" i="236"/>
  <c r="B95" i="236" s="1"/>
  <c r="B62" i="236"/>
  <c r="B94" i="236" s="1"/>
  <c r="B61" i="236"/>
  <c r="B93" i="236" s="1"/>
  <c r="B60" i="236"/>
  <c r="B92" i="236" s="1"/>
  <c r="B59" i="236"/>
  <c r="B91" i="236" s="1"/>
  <c r="B58" i="236"/>
  <c r="B90" i="236" s="1"/>
  <c r="B57" i="236"/>
  <c r="B89" i="236" s="1"/>
  <c r="B56" i="236"/>
  <c r="B88" i="236" s="1"/>
  <c r="B55" i="236"/>
  <c r="B87" i="236" s="1"/>
  <c r="B54" i="236"/>
  <c r="B86" i="236" s="1"/>
  <c r="B53" i="236"/>
  <c r="B85" i="236" s="1"/>
  <c r="B52" i="236"/>
  <c r="B84" i="236" s="1"/>
  <c r="J40" i="236"/>
  <c r="J72" i="236" s="1"/>
  <c r="K40" i="236"/>
  <c r="K72" i="236" s="1"/>
  <c r="I40" i="236"/>
  <c r="I72" i="236" s="1"/>
  <c r="F9" i="237"/>
  <c r="C20" i="251"/>
  <c r="G10" i="236"/>
  <c r="G13" i="236"/>
  <c r="G9" i="236"/>
  <c r="G72" i="236"/>
  <c r="G8" i="236"/>
  <c r="G11" i="236"/>
  <c r="C19" i="251"/>
  <c r="E7" i="248"/>
  <c r="E7" i="249" s="1"/>
  <c r="I9" i="237" l="1"/>
  <c r="D6" i="252"/>
  <c r="C6" i="252"/>
  <c r="G1171" i="252"/>
  <c r="G1172" i="252"/>
  <c r="K48" i="236"/>
  <c r="K49" i="236"/>
  <c r="J48" i="236"/>
  <c r="J49" i="236"/>
  <c r="I49" i="236"/>
  <c r="I48" i="236"/>
  <c r="G48" i="236"/>
  <c r="G49" i="236"/>
  <c r="G81" i="236"/>
  <c r="G80" i="236"/>
  <c r="D11" i="251"/>
  <c r="D20" i="251"/>
  <c r="G16" i="236"/>
  <c r="G17" i="236"/>
  <c r="I8" i="237"/>
  <c r="I291" i="248"/>
  <c r="I11" i="237"/>
  <c r="I7" i="237"/>
  <c r="I12" i="237"/>
  <c r="S9" i="237"/>
  <c r="R9" i="237"/>
  <c r="S8" i="237"/>
  <c r="R8" i="237"/>
  <c r="S7" i="237"/>
  <c r="R7" i="237"/>
  <c r="E35" i="248"/>
  <c r="I35" i="248" s="1"/>
  <c r="S12" i="237"/>
  <c r="R12" i="237"/>
  <c r="E272" i="248"/>
  <c r="I272" i="248" s="1"/>
  <c r="R10" i="237"/>
  <c r="S10" i="237"/>
  <c r="D513" i="249"/>
  <c r="E232" i="249" s="1"/>
  <c r="I232" i="249" s="1"/>
  <c r="R11" i="237"/>
  <c r="T11" i="237" s="1"/>
  <c r="I10" i="237"/>
  <c r="F7" i="252" l="1"/>
  <c r="G7" i="252" s="1"/>
  <c r="E333" i="249"/>
  <c r="I333" i="249" s="1"/>
  <c r="E296" i="249"/>
  <c r="I296" i="249" s="1"/>
  <c r="E255" i="249"/>
  <c r="I255" i="249" s="1"/>
  <c r="E306" i="249"/>
  <c r="I306" i="249" s="1"/>
  <c r="E58" i="249"/>
  <c r="I58" i="249" s="1"/>
  <c r="E343" i="249"/>
  <c r="I343" i="249" s="1"/>
  <c r="E173" i="249"/>
  <c r="I173" i="249" s="1"/>
  <c r="E494" i="249"/>
  <c r="I494" i="249" s="1"/>
  <c r="E225" i="249"/>
  <c r="I225" i="249" s="1"/>
  <c r="E57" i="249"/>
  <c r="I57" i="249" s="1"/>
  <c r="E45" i="249"/>
  <c r="I45" i="249" s="1"/>
  <c r="E250" i="249"/>
  <c r="I250" i="249" s="1"/>
  <c r="E247" i="249"/>
  <c r="I247" i="249" s="1"/>
  <c r="I80" i="236"/>
  <c r="I81" i="236"/>
  <c r="K80" i="236"/>
  <c r="K81" i="236"/>
  <c r="J80" i="236"/>
  <c r="J81" i="236"/>
  <c r="F9" i="252"/>
  <c r="G9" i="252" s="1"/>
  <c r="U11" i="237"/>
  <c r="L12" i="236" s="1"/>
  <c r="T8" i="237"/>
  <c r="U8" i="237" s="1"/>
  <c r="L9" i="236" s="1"/>
  <c r="T7" i="237"/>
  <c r="U7" i="237" s="1"/>
  <c r="T9" i="237"/>
  <c r="U9" i="237" s="1"/>
  <c r="L10" i="236" s="1"/>
  <c r="E124" i="249"/>
  <c r="I124" i="249" s="1"/>
  <c r="E126" i="249"/>
  <c r="I126" i="249" s="1"/>
  <c r="E266" i="249"/>
  <c r="I266" i="249" s="1"/>
  <c r="E399" i="249"/>
  <c r="I399" i="249" s="1"/>
  <c r="E188" i="249"/>
  <c r="I188" i="249" s="1"/>
  <c r="E369" i="249"/>
  <c r="I369" i="249" s="1"/>
  <c r="E192" i="249"/>
  <c r="I192" i="249" s="1"/>
  <c r="E356" i="249"/>
  <c r="I356" i="249" s="1"/>
  <c r="E210" i="249"/>
  <c r="I210" i="249" s="1"/>
  <c r="E79" i="249"/>
  <c r="I79" i="249" s="1"/>
  <c r="E162" i="249"/>
  <c r="I162" i="249" s="1"/>
  <c r="E212" i="249"/>
  <c r="I212" i="249" s="1"/>
  <c r="E483" i="249"/>
  <c r="I483" i="249" s="1"/>
  <c r="E459" i="249"/>
  <c r="I459" i="249" s="1"/>
  <c r="E363" i="249"/>
  <c r="I363" i="249" s="1"/>
  <c r="E352" i="249"/>
  <c r="I352" i="249" s="1"/>
  <c r="E181" i="249"/>
  <c r="I181" i="249" s="1"/>
  <c r="E88" i="249"/>
  <c r="I88" i="249" s="1"/>
  <c r="E129" i="249"/>
  <c r="I129" i="249" s="1"/>
  <c r="E217" i="249"/>
  <c r="I217" i="249" s="1"/>
  <c r="E208" i="249"/>
  <c r="I208" i="249" s="1"/>
  <c r="E512" i="249"/>
  <c r="I512" i="249" s="1"/>
  <c r="E97" i="249"/>
  <c r="I97" i="249" s="1"/>
  <c r="E430" i="249"/>
  <c r="I430" i="249" s="1"/>
  <c r="E469" i="249"/>
  <c r="I469" i="249" s="1"/>
  <c r="E365" i="249"/>
  <c r="I365" i="249" s="1"/>
  <c r="E387" i="249"/>
  <c r="I387" i="249" s="1"/>
  <c r="E254" i="249"/>
  <c r="I254" i="249" s="1"/>
  <c r="E504" i="249"/>
  <c r="I504" i="249" s="1"/>
  <c r="E153" i="249"/>
  <c r="I153" i="249" s="1"/>
  <c r="E312" i="249"/>
  <c r="I312" i="249" s="1"/>
  <c r="E358" i="249"/>
  <c r="I358" i="249" s="1"/>
  <c r="E389" i="249"/>
  <c r="I389" i="249" s="1"/>
  <c r="E475" i="249"/>
  <c r="I475" i="249" s="1"/>
  <c r="E489" i="249"/>
  <c r="I489" i="249" s="1"/>
  <c r="E286" i="249"/>
  <c r="I286" i="249" s="1"/>
  <c r="E238" i="249"/>
  <c r="I238" i="249" s="1"/>
  <c r="E491" i="249"/>
  <c r="I491" i="249" s="1"/>
  <c r="E213" i="249"/>
  <c r="I213" i="249" s="1"/>
  <c r="E113" i="249"/>
  <c r="I113" i="249" s="1"/>
  <c r="E478" i="249"/>
  <c r="I478" i="249" s="1"/>
  <c r="E311" i="249"/>
  <c r="I311" i="249" s="1"/>
  <c r="E373" i="249"/>
  <c r="I373" i="249" s="1"/>
  <c r="E395" i="249"/>
  <c r="I395" i="249" s="1"/>
  <c r="E354" i="249"/>
  <c r="I354" i="249" s="1"/>
  <c r="E134" i="249"/>
  <c r="I134" i="249" s="1"/>
  <c r="E278" i="249"/>
  <c r="I278" i="249" s="1"/>
  <c r="E46" i="249"/>
  <c r="I46" i="249" s="1"/>
  <c r="E336" i="249"/>
  <c r="I336" i="249" s="1"/>
  <c r="E406" i="249"/>
  <c r="I406" i="249" s="1"/>
  <c r="E453" i="249"/>
  <c r="I453" i="249" s="1"/>
  <c r="E287" i="249"/>
  <c r="I287" i="249" s="1"/>
  <c r="E505" i="249"/>
  <c r="I505" i="249" s="1"/>
  <c r="E246" i="249"/>
  <c r="I246" i="249" s="1"/>
  <c r="E499" i="249"/>
  <c r="I499" i="249" s="1"/>
  <c r="E44" i="249"/>
  <c r="I44" i="249" s="1"/>
  <c r="E72" i="249"/>
  <c r="I72" i="249" s="1"/>
  <c r="E145" i="249"/>
  <c r="I145" i="249" s="1"/>
  <c r="E112" i="248"/>
  <c r="I112" i="248" s="1"/>
  <c r="E156" i="248"/>
  <c r="I156" i="248" s="1"/>
  <c r="E201" i="248"/>
  <c r="I201" i="248" s="1"/>
  <c r="T12" i="237"/>
  <c r="U12" i="237" s="1"/>
  <c r="L13" i="236" s="1"/>
  <c r="E207" i="249"/>
  <c r="I207" i="249" s="1"/>
  <c r="E194" i="249"/>
  <c r="I194" i="249" s="1"/>
  <c r="E201" i="249"/>
  <c r="I201" i="249" s="1"/>
  <c r="E341" i="249"/>
  <c r="I341" i="249" s="1"/>
  <c r="E224" i="249"/>
  <c r="I224" i="249" s="1"/>
  <c r="E427" i="249"/>
  <c r="I427" i="249" s="1"/>
  <c r="E28" i="249"/>
  <c r="I28" i="249" s="1"/>
  <c r="E36" i="249"/>
  <c r="I36" i="249" s="1"/>
  <c r="E492" i="249"/>
  <c r="I492" i="249" s="1"/>
  <c r="E169" i="249"/>
  <c r="I169" i="249" s="1"/>
  <c r="E182" i="249"/>
  <c r="I182" i="249" s="1"/>
  <c r="E309" i="249"/>
  <c r="I309" i="249" s="1"/>
  <c r="E39" i="249"/>
  <c r="I39" i="249" s="1"/>
  <c r="E60" i="249"/>
  <c r="I60" i="249" s="1"/>
  <c r="E20" i="249"/>
  <c r="I20" i="249" s="1"/>
  <c r="E282" i="249"/>
  <c r="I282" i="249" s="1"/>
  <c r="T10" i="237"/>
  <c r="U10" i="237" s="1"/>
  <c r="L11" i="236" s="1"/>
  <c r="F8" i="252"/>
  <c r="G8" i="252" s="1"/>
  <c r="E158" i="249"/>
  <c r="I158" i="249" s="1"/>
  <c r="E294" i="249"/>
  <c r="I294" i="249" s="1"/>
  <c r="E53" i="249"/>
  <c r="I53" i="249" s="1"/>
  <c r="E396" i="249"/>
  <c r="I396" i="249" s="1"/>
  <c r="E252" i="249"/>
  <c r="I252" i="249" s="1"/>
  <c r="E456" i="249"/>
  <c r="I456" i="249" s="1"/>
  <c r="E301" i="249"/>
  <c r="I301" i="249" s="1"/>
  <c r="E501" i="249"/>
  <c r="I501" i="249" s="1"/>
  <c r="E485" i="249"/>
  <c r="I485" i="249" s="1"/>
  <c r="E230" i="249"/>
  <c r="I230" i="249" s="1"/>
  <c r="E75" i="249"/>
  <c r="I75" i="249" s="1"/>
  <c r="E209" i="249"/>
  <c r="I209" i="249" s="1"/>
  <c r="E65" i="249"/>
  <c r="I65" i="249" s="1"/>
  <c r="E376" i="249"/>
  <c r="I376" i="249" s="1"/>
  <c r="E304" i="249"/>
  <c r="I304" i="249" s="1"/>
  <c r="E248" i="249"/>
  <c r="I248" i="249" s="1"/>
  <c r="E412" i="249"/>
  <c r="I412" i="249" s="1"/>
  <c r="E268" i="249"/>
  <c r="I268" i="249" s="1"/>
  <c r="E432" i="249"/>
  <c r="I432" i="249" s="1"/>
  <c r="E43" i="249"/>
  <c r="I43" i="249" s="1"/>
  <c r="E400" i="249"/>
  <c r="I400" i="249" s="1"/>
  <c r="E284" i="249"/>
  <c r="I284" i="249" s="1"/>
  <c r="E74" i="249"/>
  <c r="I74" i="249" s="1"/>
  <c r="E152" i="249"/>
  <c r="I152" i="249" s="1"/>
  <c r="E487" i="249"/>
  <c r="I487" i="249" s="1"/>
  <c r="E473" i="249"/>
  <c r="I473" i="249" s="1"/>
  <c r="E131" i="249"/>
  <c r="I131" i="249" s="1"/>
  <c r="E26" i="249"/>
  <c r="I26" i="249" s="1"/>
  <c r="E163" i="249"/>
  <c r="I163" i="249" s="1"/>
  <c r="E307" i="249"/>
  <c r="I307" i="249" s="1"/>
  <c r="E189" i="249"/>
  <c r="I189" i="249" s="1"/>
  <c r="E360" i="249"/>
  <c r="I360" i="249" s="1"/>
  <c r="E420" i="249"/>
  <c r="I420" i="249" s="1"/>
  <c r="E342" i="249"/>
  <c r="I342" i="249" s="1"/>
  <c r="E368" i="249"/>
  <c r="I368" i="249" s="1"/>
  <c r="E447" i="249"/>
  <c r="I447" i="249" s="1"/>
  <c r="E218" i="249"/>
  <c r="I218" i="249" s="1"/>
  <c r="E216" i="249"/>
  <c r="I216" i="249" s="1"/>
  <c r="E267" i="249"/>
  <c r="I267" i="249" s="1"/>
  <c r="E280" i="249"/>
  <c r="I280" i="249" s="1"/>
  <c r="E164" i="249"/>
  <c r="I164" i="249" s="1"/>
  <c r="E408" i="249"/>
  <c r="I408" i="249" s="1"/>
  <c r="E122" i="249"/>
  <c r="I122" i="249" s="1"/>
  <c r="E264" i="249"/>
  <c r="I264" i="249" s="1"/>
  <c r="E383" i="249"/>
  <c r="I383" i="249" s="1"/>
  <c r="E35" i="249"/>
  <c r="I35" i="249" s="1"/>
  <c r="E277" i="249"/>
  <c r="I277" i="249" s="1"/>
  <c r="E91" i="249"/>
  <c r="I91" i="249" s="1"/>
  <c r="E339" i="249"/>
  <c r="I339" i="249" s="1"/>
  <c r="E359" i="249"/>
  <c r="I359" i="249" s="1"/>
  <c r="E330" i="249"/>
  <c r="I330" i="249" s="1"/>
  <c r="E435" i="249"/>
  <c r="I435" i="249" s="1"/>
  <c r="E419" i="249"/>
  <c r="I419" i="249" s="1"/>
  <c r="E451" i="249"/>
  <c r="I451" i="249" s="1"/>
  <c r="E344" i="249"/>
  <c r="I344" i="249" s="1"/>
  <c r="E384" i="249"/>
  <c r="I384" i="249" s="1"/>
  <c r="E449" i="249"/>
  <c r="I449" i="249" s="1"/>
  <c r="E433" i="249"/>
  <c r="I433" i="249" s="1"/>
  <c r="E417" i="249"/>
  <c r="I417" i="249" s="1"/>
  <c r="E401" i="249"/>
  <c r="I401" i="249" s="1"/>
  <c r="E381" i="249"/>
  <c r="I381" i="249" s="1"/>
  <c r="E474" i="249"/>
  <c r="I474" i="249" s="1"/>
  <c r="E442" i="249"/>
  <c r="I442" i="249" s="1"/>
  <c r="E410" i="249"/>
  <c r="I410" i="249" s="1"/>
  <c r="E377" i="249"/>
  <c r="I377" i="249" s="1"/>
  <c r="E367" i="249"/>
  <c r="I367" i="249" s="1"/>
  <c r="E297" i="249"/>
  <c r="I297" i="249" s="1"/>
  <c r="E351" i="249"/>
  <c r="I351" i="249" s="1"/>
  <c r="E321" i="249"/>
  <c r="I321" i="249" s="1"/>
  <c r="E303" i="249"/>
  <c r="I303" i="249" s="1"/>
  <c r="E281" i="249"/>
  <c r="I281" i="249" s="1"/>
  <c r="E261" i="249"/>
  <c r="I261" i="249" s="1"/>
  <c r="E245" i="249"/>
  <c r="I245" i="249" s="1"/>
  <c r="E227" i="249"/>
  <c r="I227" i="249" s="1"/>
  <c r="E136" i="249"/>
  <c r="I136" i="249" s="1"/>
  <c r="E116" i="249"/>
  <c r="I116" i="249" s="1"/>
  <c r="E100" i="249"/>
  <c r="I100" i="249" s="1"/>
  <c r="E76" i="249"/>
  <c r="I76" i="249" s="1"/>
  <c r="E48" i="249"/>
  <c r="I48" i="249" s="1"/>
  <c r="E16" i="249"/>
  <c r="I16" i="249" s="1"/>
  <c r="E157" i="249"/>
  <c r="I157" i="249" s="1"/>
  <c r="E370" i="249"/>
  <c r="I370" i="249" s="1"/>
  <c r="E42" i="249"/>
  <c r="I42" i="249" s="1"/>
  <c r="E446" i="249"/>
  <c r="I446" i="249" s="1"/>
  <c r="E374" i="249"/>
  <c r="I374" i="249" s="1"/>
  <c r="E90" i="249"/>
  <c r="I90" i="249" s="1"/>
  <c r="E299" i="249"/>
  <c r="I299" i="249" s="1"/>
  <c r="E283" i="249"/>
  <c r="I283" i="249" s="1"/>
  <c r="E482" i="249"/>
  <c r="I482" i="249" s="1"/>
  <c r="E390" i="249"/>
  <c r="I390" i="249" s="1"/>
  <c r="E331" i="249"/>
  <c r="I331" i="249" s="1"/>
  <c r="E392" i="249"/>
  <c r="I392" i="249" s="1"/>
  <c r="E444" i="249"/>
  <c r="I444" i="249" s="1"/>
  <c r="E86" i="249"/>
  <c r="I86" i="249" s="1"/>
  <c r="E462" i="249"/>
  <c r="I462" i="249" s="1"/>
  <c r="E271" i="249"/>
  <c r="I271" i="249" s="1"/>
  <c r="E357" i="249"/>
  <c r="I357" i="249" s="1"/>
  <c r="E497" i="249"/>
  <c r="I497" i="249" s="1"/>
  <c r="E445" i="249"/>
  <c r="I445" i="249" s="1"/>
  <c r="E409" i="249"/>
  <c r="I409" i="249" s="1"/>
  <c r="E490" i="249"/>
  <c r="I490" i="249" s="1"/>
  <c r="E233" i="249"/>
  <c r="I233" i="249" s="1"/>
  <c r="E353" i="249"/>
  <c r="I353" i="249" s="1"/>
  <c r="E273" i="249"/>
  <c r="I273" i="249" s="1"/>
  <c r="E229" i="249"/>
  <c r="I229" i="249" s="1"/>
  <c r="E195" i="249"/>
  <c r="I195" i="249" s="1"/>
  <c r="E96" i="249"/>
  <c r="I96" i="249" s="1"/>
  <c r="E32" i="249"/>
  <c r="I32" i="249" s="1"/>
  <c r="E68" i="249"/>
  <c r="I68" i="249" s="1"/>
  <c r="E37" i="249"/>
  <c r="I37" i="249" s="1"/>
  <c r="E125" i="249"/>
  <c r="I125" i="249" s="1"/>
  <c r="E155" i="249"/>
  <c r="I155" i="249" s="1"/>
  <c r="E14" i="249"/>
  <c r="I14" i="249" s="1"/>
  <c r="E472" i="249"/>
  <c r="I472" i="249" s="1"/>
  <c r="E457" i="249"/>
  <c r="I457" i="249" s="1"/>
  <c r="E133" i="249"/>
  <c r="I133" i="249" s="1"/>
  <c r="E328" i="249"/>
  <c r="I328" i="249" s="1"/>
  <c r="E371" i="249"/>
  <c r="I371" i="249" s="1"/>
  <c r="E340" i="249"/>
  <c r="I340" i="249" s="1"/>
  <c r="E323" i="249"/>
  <c r="I323" i="249" s="1"/>
  <c r="E425" i="249"/>
  <c r="I425" i="249" s="1"/>
  <c r="E405" i="249"/>
  <c r="I405" i="249" s="1"/>
  <c r="E177" i="249"/>
  <c r="I177" i="249" s="1"/>
  <c r="E237" i="249"/>
  <c r="I237" i="249" s="1"/>
  <c r="E197" i="249"/>
  <c r="I197" i="249" s="1"/>
  <c r="E235" i="249"/>
  <c r="I235" i="249" s="1"/>
  <c r="E40" i="249"/>
  <c r="I40" i="249" s="1"/>
  <c r="E187" i="249"/>
  <c r="I187" i="249" s="1"/>
  <c r="E66" i="249"/>
  <c r="I66" i="249" s="1"/>
  <c r="E13" i="249"/>
  <c r="I13" i="249" s="1"/>
  <c r="E202" i="249"/>
  <c r="I202" i="249" s="1"/>
  <c r="E71" i="249"/>
  <c r="I71" i="249" s="1"/>
  <c r="E81" i="249"/>
  <c r="I81" i="249" s="1"/>
  <c r="E467" i="249"/>
  <c r="I467" i="249" s="1"/>
  <c r="E428" i="249"/>
  <c r="I428" i="249" s="1"/>
  <c r="E403" i="249"/>
  <c r="I403" i="249" s="1"/>
  <c r="E118" i="249"/>
  <c r="I118" i="249" s="1"/>
  <c r="E393" i="249"/>
  <c r="I393" i="249" s="1"/>
  <c r="E426" i="249"/>
  <c r="I426" i="249" s="1"/>
  <c r="E329" i="249"/>
  <c r="I329" i="249" s="1"/>
  <c r="E335" i="249"/>
  <c r="I335" i="249" s="1"/>
  <c r="E265" i="249"/>
  <c r="I265" i="249" s="1"/>
  <c r="E219" i="249"/>
  <c r="I219" i="249" s="1"/>
  <c r="E112" i="249"/>
  <c r="I112" i="249" s="1"/>
  <c r="E179" i="249"/>
  <c r="I179" i="249" s="1"/>
  <c r="E52" i="249"/>
  <c r="I52" i="249" s="1"/>
  <c r="E215" i="249"/>
  <c r="I215" i="249" s="1"/>
  <c r="E85" i="249"/>
  <c r="I85" i="249" s="1"/>
  <c r="E159" i="249"/>
  <c r="I159" i="249" s="1"/>
  <c r="E123" i="249"/>
  <c r="I123" i="249" s="1"/>
  <c r="E204" i="249"/>
  <c r="I204" i="249" s="1"/>
  <c r="E184" i="249"/>
  <c r="I184" i="249" s="1"/>
  <c r="E510" i="249"/>
  <c r="I510" i="249" s="1"/>
  <c r="E495" i="249"/>
  <c r="I495" i="249" s="1"/>
  <c r="E439" i="249"/>
  <c r="I439" i="249" s="1"/>
  <c r="E493" i="249"/>
  <c r="I493" i="249" s="1"/>
  <c r="E458" i="249"/>
  <c r="I458" i="249" s="1"/>
  <c r="E313" i="249"/>
  <c r="I313" i="249" s="1"/>
  <c r="E193" i="249"/>
  <c r="I193" i="249" s="1"/>
  <c r="E319" i="249"/>
  <c r="I319" i="249" s="1"/>
  <c r="E285" i="249"/>
  <c r="I285" i="249" s="1"/>
  <c r="E257" i="249"/>
  <c r="I257" i="249" s="1"/>
  <c r="E221" i="249"/>
  <c r="I221" i="249" s="1"/>
  <c r="E203" i="249"/>
  <c r="I203" i="249" s="1"/>
  <c r="E108" i="249"/>
  <c r="I108" i="249" s="1"/>
  <c r="E21" i="249"/>
  <c r="I21" i="249" s="1"/>
  <c r="E327" i="249"/>
  <c r="I327" i="249" s="1"/>
  <c r="E34" i="249"/>
  <c r="I34" i="249" s="1"/>
  <c r="E176" i="249"/>
  <c r="I176" i="249" s="1"/>
  <c r="E507" i="249"/>
  <c r="I507" i="249" s="1"/>
  <c r="E127" i="249"/>
  <c r="I127" i="249" s="1"/>
  <c r="E471" i="249"/>
  <c r="I471" i="249" s="1"/>
  <c r="E476" i="249"/>
  <c r="I476" i="249" s="1"/>
  <c r="E178" i="249"/>
  <c r="I178" i="249" s="1"/>
  <c r="E106" i="249"/>
  <c r="I106" i="249" s="1"/>
  <c r="E317" i="249"/>
  <c r="I317" i="249" s="1"/>
  <c r="E461" i="249"/>
  <c r="I461" i="249" s="1"/>
  <c r="E506" i="249"/>
  <c r="I506" i="249" s="1"/>
  <c r="E402" i="249"/>
  <c r="I402" i="249" s="1"/>
  <c r="E361" i="249"/>
  <c r="I361" i="249" s="1"/>
  <c r="E314" i="249"/>
  <c r="I314" i="249" s="1"/>
  <c r="E253" i="249"/>
  <c r="I253" i="249" s="1"/>
  <c r="E362" i="249"/>
  <c r="I362" i="249" s="1"/>
  <c r="E132" i="249"/>
  <c r="I132" i="249" s="1"/>
  <c r="E104" i="249"/>
  <c r="I104" i="249" s="1"/>
  <c r="E24" i="249"/>
  <c r="I24" i="249" s="1"/>
  <c r="E378" i="249"/>
  <c r="I378" i="249" s="1"/>
  <c r="E190" i="249"/>
  <c r="I190" i="249" s="1"/>
  <c r="E18" i="249"/>
  <c r="I18" i="249" s="1"/>
  <c r="E87" i="249"/>
  <c r="I87" i="249" s="1"/>
  <c r="E350" i="249"/>
  <c r="I350" i="249" s="1"/>
  <c r="E463" i="249"/>
  <c r="I463" i="249" s="1"/>
  <c r="E423" i="249"/>
  <c r="I423" i="249" s="1"/>
  <c r="E443" i="249"/>
  <c r="I443" i="249" s="1"/>
  <c r="E480" i="249"/>
  <c r="I480" i="249" s="1"/>
  <c r="E138" i="249"/>
  <c r="I138" i="249" s="1"/>
  <c r="E509" i="249"/>
  <c r="I509" i="249" s="1"/>
  <c r="E413" i="249"/>
  <c r="I413" i="249" s="1"/>
  <c r="E185" i="249"/>
  <c r="I185" i="249" s="1"/>
  <c r="E243" i="249"/>
  <c r="I243" i="249" s="1"/>
  <c r="E140" i="249"/>
  <c r="I140" i="249" s="1"/>
  <c r="E50" i="249"/>
  <c r="I50" i="249" s="1"/>
  <c r="E73" i="249"/>
  <c r="I73" i="249" s="1"/>
  <c r="E511" i="249"/>
  <c r="I511" i="249" s="1"/>
  <c r="E404" i="249"/>
  <c r="I404" i="249" s="1"/>
  <c r="E244" i="249"/>
  <c r="I244" i="249" s="1"/>
  <c r="E355" i="249"/>
  <c r="I355" i="249" s="1"/>
  <c r="E200" i="249"/>
  <c r="I200" i="249" s="1"/>
  <c r="E139" i="249"/>
  <c r="I139" i="249" s="1"/>
  <c r="E147" i="249"/>
  <c r="I147" i="249" s="1"/>
  <c r="E502" i="249"/>
  <c r="I502" i="249" s="1"/>
  <c r="E436" i="249"/>
  <c r="I436" i="249" s="1"/>
  <c r="E488" i="249"/>
  <c r="I488" i="249" s="1"/>
  <c r="E288" i="249"/>
  <c r="I288" i="249" s="1"/>
  <c r="E332" i="249"/>
  <c r="I332" i="249" s="1"/>
  <c r="E240" i="249"/>
  <c r="I240" i="249" s="1"/>
  <c r="E142" i="249"/>
  <c r="I142" i="249" s="1"/>
  <c r="E78" i="249"/>
  <c r="I78" i="249" s="1"/>
  <c r="E239" i="249"/>
  <c r="I239" i="249" s="1"/>
  <c r="E295" i="249"/>
  <c r="I295" i="249" s="1"/>
  <c r="E115" i="249"/>
  <c r="I115" i="249" s="1"/>
  <c r="E15" i="249"/>
  <c r="I15" i="249" s="1"/>
  <c r="E77" i="249"/>
  <c r="I77" i="249" s="1"/>
  <c r="E25" i="249"/>
  <c r="I25" i="249" s="1"/>
  <c r="E67" i="249"/>
  <c r="I67" i="249" s="1"/>
  <c r="E251" i="249"/>
  <c r="I251" i="249" s="1"/>
  <c r="E394" i="249"/>
  <c r="I394" i="249" s="1"/>
  <c r="E345" i="249"/>
  <c r="I345" i="249" s="1"/>
  <c r="E269" i="249"/>
  <c r="I269" i="249" s="1"/>
  <c r="E128" i="249"/>
  <c r="I128" i="249" s="1"/>
  <c r="E92" i="249"/>
  <c r="I92" i="249" s="1"/>
  <c r="E61" i="249"/>
  <c r="I61" i="249" s="1"/>
  <c r="E31" i="249"/>
  <c r="I31" i="249" s="1"/>
  <c r="E470" i="249"/>
  <c r="I470" i="249" s="1"/>
  <c r="E324" i="249"/>
  <c r="I324" i="249" s="1"/>
  <c r="E366" i="249"/>
  <c r="I366" i="249" s="1"/>
  <c r="E300" i="249"/>
  <c r="I300" i="249" s="1"/>
  <c r="E114" i="249"/>
  <c r="I114" i="249" s="1"/>
  <c r="E455" i="249"/>
  <c r="I455" i="249" s="1"/>
  <c r="E23" i="249"/>
  <c r="I23" i="249" s="1"/>
  <c r="E70" i="249"/>
  <c r="I70" i="249" s="1"/>
  <c r="E380" i="249"/>
  <c r="I380" i="249" s="1"/>
  <c r="E416" i="249"/>
  <c r="I416" i="249" s="1"/>
  <c r="E151" i="249"/>
  <c r="I151" i="249" s="1"/>
  <c r="E441" i="249"/>
  <c r="I441" i="249" s="1"/>
  <c r="E466" i="249"/>
  <c r="I466" i="249" s="1"/>
  <c r="E205" i="249"/>
  <c r="I205" i="249" s="1"/>
  <c r="E84" i="249"/>
  <c r="I84" i="249" s="1"/>
  <c r="E214" i="249"/>
  <c r="I214" i="249" s="1"/>
  <c r="E22" i="249"/>
  <c r="I22" i="249" s="1"/>
  <c r="E166" i="249"/>
  <c r="I166" i="249" s="1"/>
  <c r="E49" i="249"/>
  <c r="I49" i="249" s="1"/>
  <c r="E29" i="249"/>
  <c r="I29" i="249" s="1"/>
  <c r="E308" i="249"/>
  <c r="I308" i="249" s="1"/>
  <c r="E111" i="249"/>
  <c r="I111" i="249" s="1"/>
  <c r="E325" i="249"/>
  <c r="I325" i="249" s="1"/>
  <c r="E481" i="249"/>
  <c r="I481" i="249" s="1"/>
  <c r="E429" i="249"/>
  <c r="I429" i="249" s="1"/>
  <c r="E241" i="249"/>
  <c r="I241" i="249" s="1"/>
  <c r="E167" i="249"/>
  <c r="I167" i="249" s="1"/>
  <c r="E143" i="249"/>
  <c r="I143" i="249" s="1"/>
  <c r="E496" i="249"/>
  <c r="I496" i="249" s="1"/>
  <c r="E276" i="249"/>
  <c r="I276" i="249" s="1"/>
  <c r="E503" i="249"/>
  <c r="I503" i="249" s="1"/>
  <c r="E274" i="249"/>
  <c r="I274" i="249" s="1"/>
  <c r="E226" i="249"/>
  <c r="I226" i="249" s="1"/>
  <c r="E186" i="249"/>
  <c r="I186" i="249" s="1"/>
  <c r="E160" i="249"/>
  <c r="I160" i="249" s="1"/>
  <c r="E33" i="249"/>
  <c r="I33" i="249" s="1"/>
  <c r="E468" i="249"/>
  <c r="I468" i="249" s="1"/>
  <c r="E398" i="249"/>
  <c r="I398" i="249" s="1"/>
  <c r="E347" i="249"/>
  <c r="I347" i="249" s="1"/>
  <c r="E256" i="249"/>
  <c r="I256" i="249" s="1"/>
  <c r="E448" i="249"/>
  <c r="I448" i="249" s="1"/>
  <c r="E464" i="249"/>
  <c r="I464" i="249" s="1"/>
  <c r="E275" i="249"/>
  <c r="I275" i="249" s="1"/>
  <c r="E318" i="249"/>
  <c r="I318" i="249" s="1"/>
  <c r="E110" i="249"/>
  <c r="I110" i="249" s="1"/>
  <c r="E19" i="249"/>
  <c r="I19" i="249" s="1"/>
  <c r="E191" i="249"/>
  <c r="I191" i="249" s="1"/>
  <c r="E154" i="249"/>
  <c r="I154" i="249" s="1"/>
  <c r="E141" i="249"/>
  <c r="I141" i="249" s="1"/>
  <c r="E171" i="249"/>
  <c r="I171" i="249" s="1"/>
  <c r="E316" i="249"/>
  <c r="I316" i="249" s="1"/>
  <c r="E228" i="249"/>
  <c r="I228" i="249" s="1"/>
  <c r="E95" i="249"/>
  <c r="I95" i="249" s="1"/>
  <c r="E477" i="249"/>
  <c r="I477" i="249" s="1"/>
  <c r="E385" i="249"/>
  <c r="I385" i="249" s="1"/>
  <c r="E434" i="249"/>
  <c r="I434" i="249" s="1"/>
  <c r="E346" i="249"/>
  <c r="I346" i="249" s="1"/>
  <c r="E298" i="249"/>
  <c r="I298" i="249" s="1"/>
  <c r="E249" i="249"/>
  <c r="I249" i="249" s="1"/>
  <c r="E174" i="249"/>
  <c r="I174" i="249" s="1"/>
  <c r="E56" i="249"/>
  <c r="I56" i="249" s="1"/>
  <c r="E198" i="249"/>
  <c r="I198" i="249" s="1"/>
  <c r="E270" i="249"/>
  <c r="I270" i="249" s="1"/>
  <c r="E322" i="249"/>
  <c r="I322" i="249" s="1"/>
  <c r="E348" i="249"/>
  <c r="I348" i="249" s="1"/>
  <c r="E305" i="249"/>
  <c r="I305" i="249" s="1"/>
  <c r="E69" i="249"/>
  <c r="I69" i="249" s="1"/>
  <c r="E438" i="249"/>
  <c r="I438" i="249" s="1"/>
  <c r="E279" i="249"/>
  <c r="I279" i="249" s="1"/>
  <c r="E130" i="249"/>
  <c r="I130" i="249" s="1"/>
  <c r="E272" i="249"/>
  <c r="I272" i="249" s="1"/>
  <c r="E51" i="249"/>
  <c r="I51" i="249" s="1"/>
  <c r="E391" i="249"/>
  <c r="I391" i="249" s="1"/>
  <c r="E89" i="249"/>
  <c r="I89" i="249" s="1"/>
  <c r="E465" i="249"/>
  <c r="I465" i="249" s="1"/>
  <c r="E326" i="249"/>
  <c r="I326" i="249" s="1"/>
  <c r="E98" i="249"/>
  <c r="I98" i="249" s="1"/>
  <c r="E183" i="249"/>
  <c r="I183" i="249" s="1"/>
  <c r="E437" i="249"/>
  <c r="I437" i="249" s="1"/>
  <c r="E165" i="249"/>
  <c r="I165" i="249" s="1"/>
  <c r="E320" i="249"/>
  <c r="I320" i="249" s="1"/>
  <c r="E498" i="249"/>
  <c r="I498" i="249" s="1"/>
  <c r="E375" i="249"/>
  <c r="I375" i="249" s="1"/>
  <c r="E289" i="249"/>
  <c r="I289" i="249" s="1"/>
  <c r="E64" i="249"/>
  <c r="I64" i="249" s="1"/>
  <c r="E231" i="249"/>
  <c r="I231" i="249" s="1"/>
  <c r="E150" i="249"/>
  <c r="I150" i="249" s="1"/>
  <c r="E422" i="249"/>
  <c r="I422" i="249" s="1"/>
  <c r="E292" i="249"/>
  <c r="I292" i="249" s="1"/>
  <c r="E407" i="249"/>
  <c r="I407" i="249" s="1"/>
  <c r="E263" i="249"/>
  <c r="I263" i="249" s="1"/>
  <c r="E199" i="249"/>
  <c r="I199" i="249" s="1"/>
  <c r="E119" i="249"/>
  <c r="I119" i="249" s="1"/>
  <c r="E101" i="249"/>
  <c r="I101" i="249" s="1"/>
  <c r="E484" i="249"/>
  <c r="I484" i="249" s="1"/>
  <c r="E382" i="249"/>
  <c r="I382" i="249" s="1"/>
  <c r="E379" i="249"/>
  <c r="I379" i="249" s="1"/>
  <c r="E291" i="249"/>
  <c r="I291" i="249" s="1"/>
  <c r="E258" i="249"/>
  <c r="I258" i="249" s="1"/>
  <c r="E450" i="249"/>
  <c r="I450" i="249" s="1"/>
  <c r="E372" i="249"/>
  <c r="I372" i="249" s="1"/>
  <c r="E364" i="249"/>
  <c r="I364" i="249" s="1"/>
  <c r="E500" i="249"/>
  <c r="I500" i="249" s="1"/>
  <c r="E103" i="249"/>
  <c r="I103" i="249" s="1"/>
  <c r="E102" i="249"/>
  <c r="I102" i="249" s="1"/>
  <c r="E206" i="249"/>
  <c r="I206" i="249" s="1"/>
  <c r="E388" i="249"/>
  <c r="I388" i="249" s="1"/>
  <c r="E260" i="249"/>
  <c r="I260" i="249" s="1"/>
  <c r="E82" i="249"/>
  <c r="I82" i="249" s="1"/>
  <c r="E146" i="249"/>
  <c r="I146" i="249" s="1"/>
  <c r="E83" i="249"/>
  <c r="I83" i="249" s="1"/>
  <c r="E431" i="249"/>
  <c r="I431" i="249" s="1"/>
  <c r="E236" i="249"/>
  <c r="I236" i="249" s="1"/>
  <c r="E334" i="249"/>
  <c r="I334" i="249" s="1"/>
  <c r="E47" i="249"/>
  <c r="I47" i="249" s="1"/>
  <c r="E411" i="249"/>
  <c r="I411" i="249" s="1"/>
  <c r="E172" i="249"/>
  <c r="I172" i="249" s="1"/>
  <c r="E418" i="249"/>
  <c r="I418" i="249" s="1"/>
  <c r="E175" i="249"/>
  <c r="I175" i="249" s="1"/>
  <c r="E349" i="249"/>
  <c r="I349" i="249" s="1"/>
  <c r="E315" i="249"/>
  <c r="I315" i="249" s="1"/>
  <c r="E135" i="249"/>
  <c r="I135" i="249" s="1"/>
  <c r="E93" i="249"/>
  <c r="I93" i="249" s="1"/>
  <c r="E293" i="249"/>
  <c r="I293" i="249" s="1"/>
  <c r="E161" i="249"/>
  <c r="I161" i="249" s="1"/>
  <c r="E149" i="249"/>
  <c r="I149" i="249" s="1"/>
  <c r="E41" i="249"/>
  <c r="I41" i="249" s="1"/>
  <c r="E508" i="249"/>
  <c r="I508" i="249" s="1"/>
  <c r="E242" i="249"/>
  <c r="I242" i="249" s="1"/>
  <c r="E94" i="249"/>
  <c r="I94" i="249" s="1"/>
  <c r="E105" i="249"/>
  <c r="I105" i="249" s="1"/>
  <c r="E414" i="249"/>
  <c r="I414" i="249" s="1"/>
  <c r="E54" i="249"/>
  <c r="I54" i="249" s="1"/>
  <c r="E170" i="249"/>
  <c r="I170" i="249" s="1"/>
  <c r="E121" i="249"/>
  <c r="I121" i="249" s="1"/>
  <c r="E424" i="249"/>
  <c r="I424" i="249" s="1"/>
  <c r="E290" i="249"/>
  <c r="I290" i="249" s="1"/>
  <c r="E222" i="249"/>
  <c r="I222" i="249" s="1"/>
  <c r="E421" i="249"/>
  <c r="I421" i="249" s="1"/>
  <c r="E120" i="249"/>
  <c r="I120" i="249" s="1"/>
  <c r="E107" i="249"/>
  <c r="I107" i="249" s="1"/>
  <c r="E486" i="249"/>
  <c r="I486" i="249" s="1"/>
  <c r="E196" i="249"/>
  <c r="I196" i="249" s="1"/>
  <c r="E338" i="249"/>
  <c r="I338" i="249" s="1"/>
  <c r="E452" i="249"/>
  <c r="I452" i="249" s="1"/>
  <c r="E415" i="249"/>
  <c r="I415" i="249" s="1"/>
  <c r="E99" i="249"/>
  <c r="I99" i="249" s="1"/>
  <c r="E137" i="249"/>
  <c r="I137" i="249" s="1"/>
  <c r="E397" i="249"/>
  <c r="I397" i="249" s="1"/>
  <c r="E117" i="249"/>
  <c r="I117" i="249" s="1"/>
  <c r="E479" i="249"/>
  <c r="I479" i="249" s="1"/>
  <c r="E223" i="249"/>
  <c r="I223" i="249" s="1"/>
  <c r="E168" i="249"/>
  <c r="I168" i="249" s="1"/>
  <c r="E386" i="249"/>
  <c r="I386" i="249" s="1"/>
  <c r="E440" i="249"/>
  <c r="I440" i="249" s="1"/>
  <c r="E262" i="249"/>
  <c r="I262" i="249" s="1"/>
  <c r="E460" i="249"/>
  <c r="I460" i="249" s="1"/>
  <c r="E55" i="249"/>
  <c r="I55" i="249" s="1"/>
  <c r="E310" i="249"/>
  <c r="I310" i="249" s="1"/>
  <c r="E17" i="249"/>
  <c r="I17" i="249" s="1"/>
  <c r="E337" i="249"/>
  <c r="I337" i="249" s="1"/>
  <c r="E38" i="249"/>
  <c r="I38" i="249" s="1"/>
  <c r="E156" i="249"/>
  <c r="I156" i="249" s="1"/>
  <c r="E302" i="249"/>
  <c r="I302" i="249" s="1"/>
  <c r="E259" i="249"/>
  <c r="I259" i="249" s="1"/>
  <c r="E211" i="249"/>
  <c r="I211" i="249" s="1"/>
  <c r="E454" i="249"/>
  <c r="I454" i="249" s="1"/>
  <c r="E148" i="249"/>
  <c r="I148" i="249" s="1"/>
  <c r="E234" i="249"/>
  <c r="I234" i="249" s="1"/>
  <c r="E144" i="249"/>
  <c r="I144" i="249" s="1"/>
  <c r="E180" i="249"/>
  <c r="I180" i="249" s="1"/>
  <c r="E59" i="249"/>
  <c r="I59" i="249" s="1"/>
  <c r="E109" i="249"/>
  <c r="I109" i="249" s="1"/>
  <c r="E220" i="249"/>
  <c r="I220" i="249" s="1"/>
  <c r="M12" i="236" l="1"/>
  <c r="H12" i="236" s="1"/>
  <c r="P12" i="236" s="1"/>
  <c r="O12" i="236"/>
  <c r="Q12" i="236"/>
  <c r="Q11" i="236"/>
  <c r="O11" i="236"/>
  <c r="O13" i="236"/>
  <c r="Q13" i="236"/>
  <c r="Q9" i="236"/>
  <c r="O9" i="236"/>
  <c r="Q10" i="236"/>
  <c r="O10" i="236"/>
  <c r="M9" i="236"/>
  <c r="H9" i="236" s="1"/>
  <c r="P9" i="236" s="1"/>
  <c r="L8" i="236"/>
  <c r="U15" i="237"/>
  <c r="L43" i="236"/>
  <c r="L75" i="236" s="1"/>
  <c r="L45" i="236"/>
  <c r="L77" i="236" s="1"/>
  <c r="L41" i="236"/>
  <c r="L73" i="236" s="1"/>
  <c r="L42" i="236"/>
  <c r="L74" i="236" s="1"/>
  <c r="L44" i="236"/>
  <c r="L76" i="236" s="1"/>
  <c r="M10" i="236"/>
  <c r="H10" i="236" s="1"/>
  <c r="P10" i="236" s="1"/>
  <c r="M13" i="236"/>
  <c r="H13" i="236" s="1"/>
  <c r="P13" i="236" s="1"/>
  <c r="I513" i="249"/>
  <c r="D7" i="249" s="1"/>
  <c r="F7" i="249" s="1"/>
  <c r="F10" i="251" s="1"/>
  <c r="M11" i="236"/>
  <c r="H11" i="236" s="1"/>
  <c r="P11" i="236" s="1"/>
  <c r="M8" i="236" l="1"/>
  <c r="O8" i="236"/>
  <c r="Q8" i="236"/>
  <c r="J10" i="251"/>
  <c r="F11" i="251"/>
  <c r="L40" i="236"/>
  <c r="L72" i="236" s="1"/>
  <c r="Q17" i="236"/>
  <c r="H8" i="236"/>
  <c r="P8" i="236" s="1"/>
  <c r="L16" i="236"/>
  <c r="L17" i="236"/>
  <c r="M41" i="236"/>
  <c r="H41" i="236" s="1"/>
  <c r="P41" i="236" s="1"/>
  <c r="Q41" i="236"/>
  <c r="O41" i="236"/>
  <c r="O45" i="236"/>
  <c r="M45" i="236"/>
  <c r="H45" i="236" s="1"/>
  <c r="P45" i="236" s="1"/>
  <c r="Q45" i="236"/>
  <c r="O42" i="236"/>
  <c r="Q42" i="236"/>
  <c r="M42" i="236"/>
  <c r="H42" i="236" s="1"/>
  <c r="P42" i="236" s="1"/>
  <c r="O43" i="236"/>
  <c r="M43" i="236"/>
  <c r="H43" i="236" s="1"/>
  <c r="P43" i="236" s="1"/>
  <c r="Q43" i="236"/>
  <c r="O44" i="236"/>
  <c r="M44" i="236"/>
  <c r="H44" i="236" s="1"/>
  <c r="P44" i="236" s="1"/>
  <c r="Q44" i="236"/>
  <c r="O16" i="236"/>
  <c r="H10" i="251"/>
  <c r="F20" i="251"/>
  <c r="J20" i="251" s="1"/>
  <c r="F19" i="251"/>
  <c r="J19" i="251" s="1"/>
  <c r="J11" i="251"/>
  <c r="Q40" i="236"/>
  <c r="J12" i="251" l="1"/>
  <c r="O40" i="236"/>
  <c r="O48" i="236" s="1"/>
  <c r="M40" i="236"/>
  <c r="Q16" i="236"/>
  <c r="M17" i="236"/>
  <c r="M16" i="236"/>
  <c r="L49" i="236"/>
  <c r="L81" i="236"/>
  <c r="J21" i="251"/>
  <c r="L48" i="236"/>
  <c r="H17" i="236"/>
  <c r="H16" i="236"/>
  <c r="O17" i="236"/>
  <c r="Q75" i="236"/>
  <c r="O75" i="236"/>
  <c r="M75" i="236"/>
  <c r="H75" i="236" s="1"/>
  <c r="P75" i="236" s="1"/>
  <c r="Q49" i="236"/>
  <c r="O76" i="236"/>
  <c r="M76" i="236"/>
  <c r="H76" i="236" s="1"/>
  <c r="P76" i="236" s="1"/>
  <c r="Q76" i="236"/>
  <c r="M74" i="236"/>
  <c r="H74" i="236" s="1"/>
  <c r="P74" i="236" s="1"/>
  <c r="Q74" i="236"/>
  <c r="O74" i="236"/>
  <c r="M77" i="236"/>
  <c r="H77" i="236" s="1"/>
  <c r="P77" i="236" s="1"/>
  <c r="O77" i="236"/>
  <c r="Q77" i="236"/>
  <c r="Q73" i="236"/>
  <c r="M73" i="236"/>
  <c r="H73" i="236" s="1"/>
  <c r="P73" i="236" s="1"/>
  <c r="O73" i="236"/>
  <c r="O72" i="236"/>
  <c r="Q72" i="236"/>
  <c r="M72" i="236"/>
  <c r="H11" i="251"/>
  <c r="H19" i="251"/>
  <c r="H20" i="251"/>
  <c r="H40" i="236"/>
  <c r="L80" i="236" l="1"/>
  <c r="Q48" i="236"/>
  <c r="O49" i="236"/>
  <c r="M48" i="236"/>
  <c r="H49" i="236"/>
  <c r="H48" i="236"/>
  <c r="M49" i="236"/>
  <c r="P17" i="236"/>
  <c r="P16" i="236"/>
  <c r="Q81" i="236"/>
  <c r="O80" i="236"/>
  <c r="H21" i="251"/>
  <c r="H72" i="236"/>
  <c r="H12" i="251"/>
  <c r="P40" i="236"/>
  <c r="M80" i="236" l="1"/>
  <c r="M81" i="236"/>
  <c r="O81" i="236"/>
  <c r="Q80" i="236"/>
  <c r="H80" i="236"/>
  <c r="H81" i="236"/>
  <c r="P48" i="236"/>
  <c r="P49" i="236"/>
  <c r="P72" i="236"/>
  <c r="P81" i="236" l="1"/>
  <c r="P80" i="236"/>
  <c r="H13" i="248" l="1"/>
  <c r="E13" i="248" l="1"/>
  <c r="I13" i="248" s="1"/>
  <c r="E455" i="248"/>
  <c r="I455" i="248" s="1"/>
  <c r="E351" i="248"/>
  <c r="I351" i="248" s="1"/>
  <c r="E107" i="248"/>
  <c r="I107" i="248" s="1"/>
  <c r="E325" i="248"/>
  <c r="I325" i="248" s="1"/>
  <c r="E18" i="248"/>
  <c r="I18" i="248" s="1"/>
  <c r="E129" i="248"/>
  <c r="I129" i="248" s="1"/>
  <c r="E52" i="248"/>
  <c r="I52" i="248" s="1"/>
  <c r="E489" i="248"/>
  <c r="I489" i="248" s="1"/>
  <c r="E440" i="248"/>
  <c r="I440" i="248" s="1"/>
  <c r="E406" i="248"/>
  <c r="I406" i="248" s="1"/>
  <c r="E299" i="248"/>
  <c r="I299" i="248" s="1"/>
  <c r="E321" i="248"/>
  <c r="I321" i="248" s="1"/>
  <c r="E362" i="248"/>
  <c r="I362" i="248" s="1"/>
  <c r="E426" i="248"/>
  <c r="I426" i="248" s="1"/>
  <c r="E258" i="248"/>
  <c r="I258" i="248" s="1"/>
  <c r="E447" i="248"/>
  <c r="I447" i="248" s="1"/>
  <c r="E338" i="248"/>
  <c r="I338" i="248" s="1"/>
  <c r="E317" i="248"/>
  <c r="I317" i="248" s="1"/>
  <c r="E203" i="248"/>
  <c r="I203" i="248" s="1"/>
  <c r="E75" i="248"/>
  <c r="I75" i="248" s="1"/>
  <c r="E140" i="248"/>
  <c r="I140" i="248" s="1"/>
  <c r="E67" i="248"/>
  <c r="I67" i="248" s="1"/>
  <c r="E334" i="248"/>
  <c r="I334" i="248" s="1"/>
  <c r="E193" i="248"/>
  <c r="I193" i="248" s="1"/>
  <c r="E382" i="248"/>
  <c r="I382" i="248" s="1"/>
  <c r="E34" i="248"/>
  <c r="I34" i="248" s="1"/>
  <c r="E217" i="248"/>
  <c r="I217" i="248" s="1"/>
  <c r="E333" i="248"/>
  <c r="I333" i="248" s="1"/>
  <c r="E360" i="248"/>
  <c r="I360" i="248" s="1"/>
  <c r="E353" i="248"/>
  <c r="I353" i="248" s="1"/>
  <c r="E15" i="248"/>
  <c r="I15" i="248" s="1"/>
  <c r="E270" i="248"/>
  <c r="I270" i="248" s="1"/>
  <c r="E295" i="248"/>
  <c r="I295" i="248" s="1"/>
  <c r="E170" i="248"/>
  <c r="I170" i="248" s="1"/>
  <c r="E178" i="248"/>
  <c r="I178" i="248" s="1"/>
  <c r="E421" i="248"/>
  <c r="I421" i="248" s="1"/>
  <c r="E506" i="248"/>
  <c r="I506" i="248" s="1"/>
  <c r="E247" i="248"/>
  <c r="I247" i="248" s="1"/>
  <c r="E509" i="248"/>
  <c r="I509" i="248" s="1"/>
  <c r="E246" i="248"/>
  <c r="I246" i="248" s="1"/>
  <c r="E68" i="248"/>
  <c r="I68" i="248" s="1"/>
  <c r="E413" i="248"/>
  <c r="I413" i="248" s="1"/>
  <c r="E392" i="248"/>
  <c r="I392" i="248" s="1"/>
  <c r="E58" i="248"/>
  <c r="I58" i="248" s="1"/>
  <c r="E220" i="248"/>
  <c r="I220" i="248" s="1"/>
  <c r="E28" i="248"/>
  <c r="I28" i="248" s="1"/>
  <c r="E248" i="248"/>
  <c r="I248" i="248" s="1"/>
  <c r="E66" i="248"/>
  <c r="I66" i="248" s="1"/>
  <c r="E376" i="248"/>
  <c r="I376" i="248" s="1"/>
  <c r="E61" i="248"/>
  <c r="I61" i="248" s="1"/>
  <c r="E349" i="248"/>
  <c r="I349" i="248" s="1"/>
  <c r="E187" i="248"/>
  <c r="I187" i="248" s="1"/>
  <c r="E465" i="248"/>
  <c r="I465" i="248" s="1"/>
  <c r="E184" i="248"/>
  <c r="I184" i="248" s="1"/>
  <c r="E160" i="248"/>
  <c r="I160" i="248" s="1"/>
  <c r="E396" i="248"/>
  <c r="I396" i="248" s="1"/>
  <c r="E198" i="248"/>
  <c r="I198" i="248" s="1"/>
  <c r="E145" i="248"/>
  <c r="I145" i="248" s="1"/>
  <c r="E308" i="248"/>
  <c r="I308" i="248" s="1"/>
  <c r="E298" i="248"/>
  <c r="I298" i="248" s="1"/>
  <c r="E84" i="248"/>
  <c r="I84" i="248" s="1"/>
  <c r="E404" i="248"/>
  <c r="I404" i="248" s="1"/>
  <c r="E250" i="248"/>
  <c r="I250" i="248" s="1"/>
  <c r="E483" i="248"/>
  <c r="I483" i="248" s="1"/>
  <c r="E411" i="248"/>
  <c r="I411" i="248" s="1"/>
  <c r="E226" i="248"/>
  <c r="I226" i="248" s="1"/>
  <c r="E402" i="248"/>
  <c r="I402" i="248" s="1"/>
  <c r="E510" i="248"/>
  <c r="I510" i="248" s="1"/>
  <c r="E434" i="248"/>
  <c r="I434" i="248" s="1"/>
  <c r="E331" i="248"/>
  <c r="I331" i="248" s="1"/>
  <c r="E139" i="248"/>
  <c r="I139" i="248" s="1"/>
  <c r="E106" i="248"/>
  <c r="I106" i="248" s="1"/>
  <c r="E478" i="248"/>
  <c r="I478" i="248" s="1"/>
  <c r="E494" i="248"/>
  <c r="I494" i="248" s="1"/>
  <c r="E393" i="248"/>
  <c r="I393" i="248" s="1"/>
  <c r="E238" i="248"/>
  <c r="I238" i="248" s="1"/>
  <c r="E237" i="248"/>
  <c r="I237" i="248" s="1"/>
  <c r="E490" i="248"/>
  <c r="I490" i="248" s="1"/>
  <c r="E191" i="248"/>
  <c r="I191" i="248" s="1"/>
  <c r="E273" i="248"/>
  <c r="I273" i="248" s="1"/>
  <c r="E256" i="248"/>
  <c r="I256" i="248" s="1"/>
  <c r="E423" i="248"/>
  <c r="I423" i="248" s="1"/>
  <c r="E99" i="248"/>
  <c r="I99" i="248" s="1"/>
  <c r="E403" i="248"/>
  <c r="I403" i="248" s="1"/>
  <c r="E439" i="248"/>
  <c r="I439" i="248" s="1"/>
  <c r="E290" i="248"/>
  <c r="I290" i="248" s="1"/>
  <c r="E262" i="248"/>
  <c r="I262" i="248" s="1"/>
  <c r="E141" i="248"/>
  <c r="I141" i="248" s="1"/>
  <c r="E173" i="248"/>
  <c r="I173" i="248" s="1"/>
  <c r="E253" i="248"/>
  <c r="I253" i="248" s="1"/>
  <c r="E337" i="248"/>
  <c r="I337" i="248" s="1"/>
  <c r="E155" i="248"/>
  <c r="I155" i="248" s="1"/>
  <c r="E119" i="248"/>
  <c r="I119" i="248" s="1"/>
  <c r="E497" i="248"/>
  <c r="I497" i="248" s="1"/>
  <c r="E136" i="248"/>
  <c r="I136" i="248" s="1"/>
  <c r="E255" i="248"/>
  <c r="I255" i="248" s="1"/>
  <c r="E481" i="248"/>
  <c r="I481" i="248" s="1"/>
  <c r="E126" i="248"/>
  <c r="I126" i="248" s="1"/>
  <c r="E348" i="248"/>
  <c r="I348" i="248" s="1"/>
  <c r="E33" i="248"/>
  <c r="I33" i="248" s="1"/>
  <c r="E251" i="248"/>
  <c r="I251" i="248" s="1"/>
  <c r="E354" i="248"/>
  <c r="I354" i="248" s="1"/>
  <c r="E213" i="248"/>
  <c r="I213" i="248" s="1"/>
  <c r="E473" i="248"/>
  <c r="I473" i="248" s="1"/>
  <c r="E131" i="248"/>
  <c r="I131" i="248" s="1"/>
  <c r="E450" i="248"/>
  <c r="I450" i="248" s="1"/>
  <c r="E241" i="248"/>
  <c r="I241" i="248" s="1"/>
  <c r="E332" i="248"/>
  <c r="I332" i="248" s="1"/>
  <c r="E146" i="248"/>
  <c r="I146" i="248" s="1"/>
  <c r="E356" i="248"/>
  <c r="I356" i="248" s="1"/>
  <c r="E266" i="248"/>
  <c r="I266" i="248" s="1"/>
  <c r="E181" i="248"/>
  <c r="I181" i="248" s="1"/>
  <c r="E288" i="248"/>
  <c r="I288" i="248" s="1"/>
  <c r="E54" i="248"/>
  <c r="I54" i="248" s="1"/>
  <c r="E339" i="248"/>
  <c r="I339" i="248" s="1"/>
  <c r="E46" i="248"/>
  <c r="I46" i="248" s="1"/>
  <c r="E322" i="248"/>
  <c r="I322" i="248" s="1"/>
  <c r="E484" i="248"/>
  <c r="I484" i="248" s="1"/>
  <c r="E132" i="248"/>
  <c r="I132" i="248" s="1"/>
  <c r="E407" i="248"/>
  <c r="I407" i="248" s="1"/>
  <c r="E183" i="248"/>
  <c r="I183" i="248" s="1"/>
  <c r="E208" i="248"/>
  <c r="I208" i="248" s="1"/>
  <c r="E319" i="248"/>
  <c r="I319" i="248" s="1"/>
  <c r="E316" i="248"/>
  <c r="I316" i="248" s="1"/>
  <c r="E269" i="248"/>
  <c r="I269" i="248" s="1"/>
  <c r="E83" i="248"/>
  <c r="I83" i="248" s="1"/>
  <c r="E350" i="248"/>
  <c r="I350" i="248" s="1"/>
  <c r="E359" i="248"/>
  <c r="I359" i="248" s="1"/>
  <c r="E512" i="248"/>
  <c r="I512" i="248" s="1"/>
  <c r="E249" i="248"/>
  <c r="I249" i="248" s="1"/>
  <c r="E386" i="248"/>
  <c r="I386" i="248" s="1"/>
  <c r="E186" i="248"/>
  <c r="I186" i="248" s="1"/>
  <c r="E254" i="248"/>
  <c r="I254" i="248" s="1"/>
  <c r="E498" i="248"/>
  <c r="I498" i="248" s="1"/>
  <c r="E159" i="248"/>
  <c r="I159" i="248" s="1"/>
  <c r="E387" i="248"/>
  <c r="I387" i="248" s="1"/>
  <c r="E116" i="248"/>
  <c r="I116" i="248" s="1"/>
  <c r="E16" i="248"/>
  <c r="I16" i="248" s="1"/>
  <c r="E460" i="248"/>
  <c r="I460" i="248" s="1"/>
  <c r="E355" i="248"/>
  <c r="I355" i="248" s="1"/>
  <c r="E306" i="248"/>
  <c r="I306" i="248" s="1"/>
  <c r="E304" i="248"/>
  <c r="I304" i="248" s="1"/>
  <c r="E96" i="248"/>
  <c r="I96" i="248" s="1"/>
  <c r="E110" i="248"/>
  <c r="I110" i="248" s="1"/>
  <c r="E79" i="248"/>
  <c r="I79" i="248" s="1"/>
  <c r="E29" i="248"/>
  <c r="I29" i="248" s="1"/>
  <c r="E461" i="248"/>
  <c r="I461" i="248" s="1"/>
  <c r="E229" i="248"/>
  <c r="I229" i="248" s="1"/>
  <c r="E72" i="248"/>
  <c r="I72" i="248" s="1"/>
  <c r="E134" i="248"/>
  <c r="I134" i="248" s="1"/>
  <c r="E281" i="248"/>
  <c r="I281" i="248" s="1"/>
  <c r="E401" i="248"/>
  <c r="I401" i="248" s="1"/>
  <c r="E215" i="248"/>
  <c r="I215" i="248" s="1"/>
  <c r="E169" i="248"/>
  <c r="I169" i="248" s="1"/>
  <c r="E276" i="248"/>
  <c r="I276" i="248" s="1"/>
  <c r="E495" i="248"/>
  <c r="I495" i="248" s="1"/>
  <c r="E289" i="248"/>
  <c r="I289" i="248" s="1"/>
  <c r="E369" i="248"/>
  <c r="I369" i="248" s="1"/>
  <c r="E477" i="248"/>
  <c r="I477" i="248" s="1"/>
  <c r="E293" i="248"/>
  <c r="I293" i="248" s="1"/>
  <c r="E152" i="248"/>
  <c r="I152" i="248" s="1"/>
  <c r="E252" i="248"/>
  <c r="I252" i="248" s="1"/>
  <c r="E326" i="248"/>
  <c r="I326" i="248" s="1"/>
  <c r="E454" i="248"/>
  <c r="I454" i="248" s="1"/>
  <c r="E311" i="248"/>
  <c r="I311" i="248" s="1"/>
  <c r="E452" i="248"/>
  <c r="I452" i="248" s="1"/>
  <c r="E285" i="248"/>
  <c r="I285" i="248" s="1"/>
  <c r="E279" i="248"/>
  <c r="I279" i="248" s="1"/>
  <c r="E469" i="248"/>
  <c r="I469" i="248" s="1"/>
  <c r="E177" i="248"/>
  <c r="I177" i="248" s="1"/>
  <c r="E135" i="248"/>
  <c r="I135" i="248" s="1"/>
  <c r="E511" i="248"/>
  <c r="I511" i="248" s="1"/>
  <c r="E398" i="248"/>
  <c r="I398" i="248" s="1"/>
  <c r="E275" i="248"/>
  <c r="I275" i="248" s="1"/>
  <c r="E341" i="248"/>
  <c r="I341" i="248" s="1"/>
  <c r="E100" i="248"/>
  <c r="I100" i="248" s="1"/>
  <c r="E282" i="248"/>
  <c r="I282" i="248" s="1"/>
  <c r="E441" i="248"/>
  <c r="I441" i="248" s="1"/>
  <c r="E204" i="248"/>
  <c r="I204" i="248" s="1"/>
  <c r="E363" i="248"/>
  <c r="I363" i="248" s="1"/>
  <c r="E267" i="248"/>
  <c r="I267" i="248" s="1"/>
  <c r="E158" i="248"/>
  <c r="I158" i="248" s="1"/>
  <c r="E380" i="248"/>
  <c r="I380" i="248" s="1"/>
  <c r="E366" i="248"/>
  <c r="I366" i="248" s="1"/>
  <c r="E197" i="248"/>
  <c r="I197" i="248" s="1"/>
  <c r="E508" i="248"/>
  <c r="I508" i="248" s="1"/>
  <c r="E89" i="248"/>
  <c r="I89" i="248" s="1"/>
  <c r="E32" i="248"/>
  <c r="I32" i="248" s="1"/>
  <c r="E503" i="248"/>
  <c r="I503" i="248" s="1"/>
  <c r="E451" i="248"/>
  <c r="I451" i="248" s="1"/>
  <c r="E405" i="248"/>
  <c r="I405" i="248" s="1"/>
  <c r="E147" i="248"/>
  <c r="I147" i="248" s="1"/>
  <c r="E297" i="248"/>
  <c r="I297" i="248" s="1"/>
  <c r="E23" i="248"/>
  <c r="I23" i="248" s="1"/>
  <c r="E150" i="248"/>
  <c r="I150" i="248" s="1"/>
  <c r="E26" i="248"/>
  <c r="I26" i="248" s="1"/>
  <c r="E94" i="248"/>
  <c r="I94" i="248" s="1"/>
  <c r="E227" i="248"/>
  <c r="I227" i="248" s="1"/>
  <c r="E373" i="248"/>
  <c r="I373" i="248" s="1"/>
  <c r="E435" i="248"/>
  <c r="I435" i="248" s="1"/>
  <c r="E153" i="248"/>
  <c r="I153" i="248" s="1"/>
  <c r="E377" i="248"/>
  <c r="I377" i="248" s="1"/>
  <c r="E410" i="248"/>
  <c r="I410" i="248" s="1"/>
  <c r="E41" i="248"/>
  <c r="I41" i="248" s="1"/>
  <c r="E501" i="248"/>
  <c r="I501" i="248" s="1"/>
  <c r="E154" i="248"/>
  <c r="I154" i="248" s="1"/>
  <c r="E222" i="248"/>
  <c r="I222" i="248" s="1"/>
  <c r="E259" i="248"/>
  <c r="I259" i="248" s="1"/>
  <c r="E476" i="248"/>
  <c r="I476" i="248" s="1"/>
  <c r="E346" i="248"/>
  <c r="I346" i="248" s="1"/>
  <c r="E231" i="248"/>
  <c r="I231" i="248" s="1"/>
  <c r="E164" i="248"/>
  <c r="I164" i="248" s="1"/>
  <c r="E368" i="248"/>
  <c r="I368" i="248" s="1"/>
  <c r="E143" i="248"/>
  <c r="I143" i="248" s="1"/>
  <c r="E223" i="248"/>
  <c r="I223" i="248" s="1"/>
  <c r="E161" i="248"/>
  <c r="I161" i="248" s="1"/>
  <c r="E365" i="248"/>
  <c r="I365" i="248" s="1"/>
  <c r="E431" i="248"/>
  <c r="I431" i="248" s="1"/>
  <c r="E284" i="248"/>
  <c r="I284" i="248" s="1"/>
  <c r="E412" i="248"/>
  <c r="I412" i="248" s="1"/>
  <c r="E335" i="248"/>
  <c r="I335" i="248" s="1"/>
  <c r="E199" i="248"/>
  <c r="I199" i="248" s="1"/>
  <c r="E211" i="248"/>
  <c r="I211" i="248" s="1"/>
  <c r="E422" i="248"/>
  <c r="I422" i="248" s="1"/>
  <c r="E95" i="248"/>
  <c r="I95" i="248" s="1"/>
  <c r="E443" i="248"/>
  <c r="I443" i="248" s="1"/>
  <c r="E307" i="248"/>
  <c r="I307" i="248" s="1"/>
  <c r="E429" i="248"/>
  <c r="I429" i="248" s="1"/>
  <c r="E179" i="248"/>
  <c r="I179" i="248" s="1"/>
  <c r="E114" i="248"/>
  <c r="I114" i="248" s="1"/>
  <c r="E444" i="248"/>
  <c r="I444" i="248" s="1"/>
  <c r="E449" i="248"/>
  <c r="I449" i="248" s="1"/>
  <c r="E287" i="248"/>
  <c r="I287" i="248" s="1"/>
  <c r="E218" i="248"/>
  <c r="I218" i="248" s="1"/>
  <c r="E437" i="248"/>
  <c r="I437" i="248" s="1"/>
  <c r="E310" i="248"/>
  <c r="I310" i="248" s="1"/>
  <c r="E239" i="248"/>
  <c r="I239" i="248" s="1"/>
  <c r="E210" i="248"/>
  <c r="I210" i="248" s="1"/>
  <c r="E286" i="248"/>
  <c r="I286" i="248" s="1"/>
  <c r="E470" i="248"/>
  <c r="I470" i="248" s="1"/>
  <c r="E309" i="248"/>
  <c r="I309" i="248" s="1"/>
  <c r="E121" i="248"/>
  <c r="I121" i="248" s="1"/>
  <c r="E318" i="248"/>
  <c r="I318" i="248" s="1"/>
  <c r="E130" i="248"/>
  <c r="I130" i="248" s="1"/>
  <c r="E408" i="248"/>
  <c r="I408" i="248" s="1"/>
  <c r="E271" i="248"/>
  <c r="I271" i="248" s="1"/>
  <c r="E118" i="248"/>
  <c r="I118" i="248" s="1"/>
  <c r="E486" i="248"/>
  <c r="I486" i="248" s="1"/>
  <c r="E330" i="248"/>
  <c r="I330" i="248" s="1"/>
  <c r="E394" i="248"/>
  <c r="I394" i="248" s="1"/>
  <c r="E20" i="248"/>
  <c r="I20" i="248" s="1"/>
  <c r="E264" i="248"/>
  <c r="I264" i="248" s="1"/>
  <c r="E163" i="248"/>
  <c r="I163" i="248" s="1"/>
  <c r="E472" i="248"/>
  <c r="I472" i="248" s="1"/>
  <c r="E378" i="248"/>
  <c r="I378" i="248" s="1"/>
  <c r="E395" i="248"/>
  <c r="I395" i="248" s="1"/>
  <c r="E313" i="248"/>
  <c r="I313" i="248" s="1"/>
  <c r="E446" i="248"/>
  <c r="I446" i="248" s="1"/>
  <c r="E138" i="248"/>
  <c r="I138" i="248" s="1"/>
  <c r="E383" i="248"/>
  <c r="I383" i="248" s="1"/>
  <c r="E76" i="248"/>
  <c r="I76" i="248" s="1"/>
  <c r="E25" i="248"/>
  <c r="I25" i="248" s="1"/>
  <c r="E342" i="248"/>
  <c r="I342" i="248" s="1"/>
  <c r="E314" i="248"/>
  <c r="I314" i="248" s="1"/>
  <c r="E381" i="248"/>
  <c r="I381" i="248" s="1"/>
  <c r="E234" i="248"/>
  <c r="I234" i="248" s="1"/>
  <c r="E235" i="248"/>
  <c r="I235" i="248" s="1"/>
  <c r="E464" i="248"/>
  <c r="I464" i="248" s="1"/>
  <c r="E91" i="248"/>
  <c r="I91" i="248" s="1"/>
  <c r="E425" i="248"/>
  <c r="I425" i="248" s="1"/>
  <c r="E343" i="248"/>
  <c r="I343" i="248" s="1"/>
  <c r="E391" i="248"/>
  <c r="I391" i="248" s="1"/>
  <c r="E496" i="248"/>
  <c r="I496" i="248" s="1"/>
  <c r="E38" i="248"/>
  <c r="I38" i="248" s="1"/>
  <c r="E374" i="248"/>
  <c r="I374" i="248" s="1"/>
  <c r="E127" i="248"/>
  <c r="I127" i="248" s="1"/>
  <c r="E195" i="248"/>
  <c r="I195" i="248" s="1"/>
  <c r="E499" i="248"/>
  <c r="I499" i="248" s="1"/>
  <c r="E294" i="248"/>
  <c r="I294" i="248" s="1"/>
  <c r="E315" i="248"/>
  <c r="I315" i="248" s="1"/>
  <c r="E328" i="248"/>
  <c r="I328" i="248" s="1"/>
  <c r="E236" i="248"/>
  <c r="I236" i="248" s="1"/>
  <c r="E123" i="248"/>
  <c r="I123" i="248" s="1"/>
  <c r="E73" i="248"/>
  <c r="I73" i="248" s="1"/>
  <c r="E48" i="248"/>
  <c r="I48" i="248" s="1"/>
  <c r="E230" i="248"/>
  <c r="I230" i="248" s="1"/>
  <c r="E180" i="248"/>
  <c r="I180" i="248" s="1"/>
  <c r="E479" i="248"/>
  <c r="I479" i="248" s="1"/>
  <c r="E390" i="248"/>
  <c r="I390" i="248" s="1"/>
  <c r="E60" i="248"/>
  <c r="I60" i="248" s="1"/>
  <c r="E324" i="248"/>
  <c r="I324" i="248" s="1"/>
  <c r="E420" i="248"/>
  <c r="I420" i="248" s="1"/>
  <c r="E216" i="248"/>
  <c r="I216" i="248" s="1"/>
  <c r="E224" i="248"/>
  <c r="I224" i="248" s="1"/>
  <c r="E85" i="248"/>
  <c r="I85" i="248" s="1"/>
  <c r="E221" i="248"/>
  <c r="I221" i="248" s="1"/>
  <c r="E102" i="248"/>
  <c r="I102" i="248" s="1"/>
  <c r="E192" i="248"/>
  <c r="I192" i="248" s="1"/>
  <c r="E245" i="248"/>
  <c r="I245" i="248" s="1"/>
  <c r="E98" i="248"/>
  <c r="I98" i="248" s="1"/>
  <c r="E277" i="248"/>
  <c r="I277" i="248" s="1"/>
  <c r="E352" i="248"/>
  <c r="I352" i="248" s="1"/>
  <c r="E137" i="248"/>
  <c r="I137" i="248" s="1"/>
  <c r="E82" i="248"/>
  <c r="I82" i="248" s="1"/>
  <c r="E430" i="248"/>
  <c r="I430" i="248" s="1"/>
  <c r="E93" i="248"/>
  <c r="I93" i="248" s="1"/>
  <c r="E345" i="248"/>
  <c r="I345" i="248" s="1"/>
  <c r="E44" i="248"/>
  <c r="I44" i="248" s="1"/>
  <c r="E414" i="248"/>
  <c r="I414" i="248" s="1"/>
  <c r="E232" i="248"/>
  <c r="I232" i="248" s="1"/>
  <c r="E424" i="248"/>
  <c r="I424" i="248" s="1"/>
  <c r="E427" i="248"/>
  <c r="I427" i="248" s="1"/>
  <c r="E122" i="248"/>
  <c r="I122" i="248" s="1"/>
  <c r="E367" i="248"/>
  <c r="I367" i="248" s="1"/>
  <c r="E45" i="248"/>
  <c r="I45" i="248" s="1"/>
  <c r="E109" i="248"/>
  <c r="I109" i="248" s="1"/>
  <c r="E292" i="248"/>
  <c r="I292" i="248" s="1"/>
  <c r="E385" i="248"/>
  <c r="I385" i="248" s="1"/>
  <c r="E485" i="248"/>
  <c r="I485" i="248" s="1"/>
  <c r="E53" i="248"/>
  <c r="I53" i="248" s="1"/>
  <c r="E21" i="248"/>
  <c r="I21" i="248" s="1"/>
  <c r="E500" i="248"/>
  <c r="I500" i="248" s="1"/>
  <c r="E467" i="248"/>
  <c r="I467" i="248" s="1"/>
  <c r="E124" i="248"/>
  <c r="I124" i="248" s="1"/>
  <c r="E151" i="248"/>
  <c r="I151" i="248" s="1"/>
  <c r="E233" i="248"/>
  <c r="I233" i="248" s="1"/>
  <c r="E70" i="248"/>
  <c r="I70" i="248" s="1"/>
  <c r="E113" i="248"/>
  <c r="I113" i="248" s="1"/>
  <c r="E244" i="248"/>
  <c r="I244" i="248" s="1"/>
  <c r="E300" i="248"/>
  <c r="I300" i="248" s="1"/>
  <c r="E265" i="248"/>
  <c r="I265" i="248" s="1"/>
  <c r="E81" i="248"/>
  <c r="I81" i="248" s="1"/>
  <c r="E457" i="248"/>
  <c r="I457" i="248" s="1"/>
  <c r="E86" i="248"/>
  <c r="I86" i="248" s="1"/>
  <c r="E491" i="248"/>
  <c r="I491" i="248" s="1"/>
  <c r="E196" i="248"/>
  <c r="I196" i="248" s="1"/>
  <c r="E149" i="248"/>
  <c r="I149" i="248" s="1"/>
  <c r="E225" i="248"/>
  <c r="I225" i="248" s="1"/>
  <c r="E157" i="248"/>
  <c r="I157" i="248" s="1"/>
  <c r="E323" i="248"/>
  <c r="I323" i="248" s="1"/>
  <c r="E480" i="248"/>
  <c r="I480" i="248" s="1"/>
  <c r="E92" i="248"/>
  <c r="I92" i="248" s="1"/>
  <c r="E296" i="248"/>
  <c r="I296" i="248" s="1"/>
  <c r="E87" i="248"/>
  <c r="I87" i="248" s="1"/>
  <c r="E69" i="248"/>
  <c r="I69" i="248" s="1"/>
  <c r="E115" i="248"/>
  <c r="I115" i="248" s="1"/>
  <c r="E428" i="248"/>
  <c r="I428" i="248" s="1"/>
  <c r="E475" i="248"/>
  <c r="I475" i="248" s="1"/>
  <c r="E445" i="248"/>
  <c r="I445" i="248" s="1"/>
  <c r="E507" i="248"/>
  <c r="I507" i="248" s="1"/>
  <c r="E189" i="248"/>
  <c r="I189" i="248" s="1"/>
  <c r="E62" i="248"/>
  <c r="I62" i="248" s="1"/>
  <c r="E468" i="248"/>
  <c r="I468" i="248" s="1"/>
  <c r="E57" i="248"/>
  <c r="I57" i="248" s="1"/>
  <c r="E436" i="248"/>
  <c r="I436" i="248" s="1"/>
  <c r="E117" i="248"/>
  <c r="I117" i="248" s="1"/>
  <c r="E188" i="248"/>
  <c r="I188" i="248" s="1"/>
  <c r="E120" i="248"/>
  <c r="I120" i="248" s="1"/>
  <c r="E482" i="248"/>
  <c r="I482" i="248" s="1"/>
  <c r="E74" i="248"/>
  <c r="I74" i="248" s="1"/>
  <c r="E171" i="248"/>
  <c r="I171" i="248" s="1"/>
  <c r="E280" i="248"/>
  <c r="I280" i="248" s="1"/>
  <c r="E49" i="248"/>
  <c r="I49" i="248" s="1"/>
  <c r="E400" i="248"/>
  <c r="I400" i="248" s="1"/>
  <c r="E111" i="248"/>
  <c r="I111" i="248" s="1"/>
  <c r="E492" i="248"/>
  <c r="I492" i="248" s="1"/>
  <c r="E433" i="248"/>
  <c r="I433" i="248" s="1"/>
  <c r="E214" i="248"/>
  <c r="I214" i="248" s="1"/>
  <c r="E22" i="248"/>
  <c r="I22" i="248" s="1"/>
  <c r="E65" i="248"/>
  <c r="I65" i="248" s="1"/>
  <c r="E200" i="248"/>
  <c r="I200" i="248" s="1"/>
  <c r="E175" i="248"/>
  <c r="I175" i="248" s="1"/>
  <c r="E228" i="248"/>
  <c r="I228" i="248" s="1"/>
  <c r="E30" i="248"/>
  <c r="I30" i="248" s="1"/>
  <c r="E24" i="248"/>
  <c r="I24" i="248" s="1"/>
  <c r="E133" i="248"/>
  <c r="I133" i="248" s="1"/>
  <c r="E56" i="248"/>
  <c r="I56" i="248" s="1"/>
  <c r="E43" i="248"/>
  <c r="I43" i="248" s="1"/>
  <c r="E71" i="248"/>
  <c r="I71" i="248" s="1"/>
  <c r="E242" i="248"/>
  <c r="I242" i="248" s="1"/>
  <c r="E466" i="248"/>
  <c r="I466" i="248" s="1"/>
  <c r="E50" i="248"/>
  <c r="I50" i="248" s="1"/>
  <c r="E108" i="248"/>
  <c r="I108" i="248" s="1"/>
  <c r="E358" i="248"/>
  <c r="I358" i="248" s="1"/>
  <c r="E40" i="248"/>
  <c r="I40" i="248" s="1"/>
  <c r="E399" i="248"/>
  <c r="I399" i="248" s="1"/>
  <c r="E278" i="248"/>
  <c r="I278" i="248" s="1"/>
  <c r="E103" i="248"/>
  <c r="I103" i="248" s="1"/>
  <c r="E458" i="248"/>
  <c r="I458" i="248" s="1"/>
  <c r="E78" i="248"/>
  <c r="I78" i="248" s="1"/>
  <c r="E347" i="248"/>
  <c r="I347" i="248" s="1"/>
  <c r="E438" i="248"/>
  <c r="I438" i="248" s="1"/>
  <c r="E453" i="248"/>
  <c r="I453" i="248" s="1"/>
  <c r="E283" i="248"/>
  <c r="I283" i="248" s="1"/>
  <c r="E471" i="248"/>
  <c r="I471" i="248" s="1"/>
  <c r="E305" i="248"/>
  <c r="I305" i="248" s="1"/>
  <c r="E162" i="248"/>
  <c r="I162" i="248" s="1"/>
  <c r="E456" i="248"/>
  <c r="I456" i="248" s="1"/>
  <c r="E101" i="248"/>
  <c r="I101" i="248" s="1"/>
  <c r="E205" i="248"/>
  <c r="I205" i="248" s="1"/>
  <c r="E17" i="248"/>
  <c r="I17" i="248" s="1"/>
  <c r="E148" i="248"/>
  <c r="I148" i="248" s="1"/>
  <c r="E459" i="248"/>
  <c r="I459" i="248" s="1"/>
  <c r="E64" i="248"/>
  <c r="I64" i="248" s="1"/>
  <c r="E329" i="248"/>
  <c r="I329" i="248" s="1"/>
  <c r="E77" i="248"/>
  <c r="I77" i="248" s="1"/>
  <c r="E419" i="248"/>
  <c r="I419" i="248" s="1"/>
  <c r="E142" i="248"/>
  <c r="I142" i="248" s="1"/>
  <c r="E194" i="248"/>
  <c r="I194" i="248" s="1"/>
  <c r="E240" i="248"/>
  <c r="I240" i="248" s="1"/>
  <c r="E462" i="248"/>
  <c r="I462" i="248" s="1"/>
  <c r="E14" i="248"/>
  <c r="I14" i="248" s="1"/>
  <c r="E190" i="248"/>
  <c r="I190" i="248" s="1"/>
  <c r="E125" i="248"/>
  <c r="I125" i="248" s="1"/>
  <c r="E416" i="248"/>
  <c r="I416" i="248" s="1"/>
  <c r="E502" i="248"/>
  <c r="I502" i="248" s="1"/>
  <c r="E409" i="248"/>
  <c r="I409" i="248" s="1"/>
  <c r="E340" i="248"/>
  <c r="I340" i="248" s="1"/>
  <c r="E442" i="248"/>
  <c r="I442" i="248" s="1"/>
  <c r="E202" i="248"/>
  <c r="I202" i="248" s="1"/>
  <c r="E384" i="248"/>
  <c r="I384" i="248" s="1"/>
  <c r="E176" i="248"/>
  <c r="I176" i="248" s="1"/>
  <c r="E301" i="248"/>
  <c r="I301" i="248" s="1"/>
  <c r="E487" i="248"/>
  <c r="I487" i="248" s="1"/>
  <c r="E474" i="248"/>
  <c r="I474" i="248" s="1"/>
  <c r="E212" i="248"/>
  <c r="I212" i="248" s="1"/>
  <c r="E379" i="248"/>
  <c r="I379" i="248" s="1"/>
  <c r="E42" i="248"/>
  <c r="I42" i="248" s="1"/>
  <c r="E174" i="248"/>
  <c r="I174" i="248" s="1"/>
  <c r="E375" i="248"/>
  <c r="I375" i="248" s="1"/>
  <c r="E417" i="248"/>
  <c r="I417" i="248" s="1"/>
  <c r="E166" i="248"/>
  <c r="I166" i="248" s="1"/>
  <c r="E370" i="248"/>
  <c r="I370" i="248" s="1"/>
  <c r="E165" i="248"/>
  <c r="I165" i="248" s="1"/>
  <c r="E260" i="248"/>
  <c r="I260" i="248" s="1"/>
  <c r="E418" i="248"/>
  <c r="I418" i="248" s="1"/>
  <c r="E55" i="248"/>
  <c r="I55" i="248" s="1"/>
  <c r="E144" i="248"/>
  <c r="I144" i="248" s="1"/>
  <c r="E505" i="248"/>
  <c r="I505" i="248" s="1"/>
  <c r="E257" i="248"/>
  <c r="I257" i="248" s="1"/>
  <c r="E47" i="248"/>
  <c r="I47" i="248" s="1"/>
  <c r="E388" i="248"/>
  <c r="I388" i="248" s="1"/>
  <c r="E182" i="248"/>
  <c r="I182" i="248" s="1"/>
  <c r="E27" i="248"/>
  <c r="I27" i="248" s="1"/>
  <c r="E209" i="248"/>
  <c r="I209" i="248" s="1"/>
  <c r="E397" i="248"/>
  <c r="I397" i="248" s="1"/>
  <c r="E504" i="248"/>
  <c r="I504" i="248" s="1"/>
  <c r="E172" i="248"/>
  <c r="I172" i="248" s="1"/>
  <c r="E168" i="248"/>
  <c r="I168" i="248" s="1"/>
  <c r="E268" i="248"/>
  <c r="I268" i="248" s="1"/>
  <c r="E206" i="248"/>
  <c r="I206" i="248" s="1"/>
  <c r="E463" i="248"/>
  <c r="I463" i="248" s="1"/>
  <c r="E415" i="248"/>
  <c r="I415" i="248" s="1"/>
  <c r="E261" i="248"/>
  <c r="I261" i="248" s="1"/>
  <c r="E389" i="248"/>
  <c r="I389" i="248" s="1"/>
  <c r="E263" i="248"/>
  <c r="I263" i="248" s="1"/>
  <c r="E488" i="248"/>
  <c r="I488" i="248" s="1"/>
  <c r="E63" i="248"/>
  <c r="I63" i="248" s="1"/>
  <c r="E39" i="248"/>
  <c r="I39" i="248" s="1"/>
  <c r="E59" i="248"/>
  <c r="I59" i="248" s="1"/>
  <c r="E128" i="248"/>
  <c r="I128" i="248" s="1"/>
  <c r="E320" i="248"/>
  <c r="I320" i="248" s="1"/>
  <c r="E185" i="248"/>
  <c r="I185" i="248" s="1"/>
  <c r="E312" i="248"/>
  <c r="I312" i="248" s="1"/>
  <c r="E302" i="248"/>
  <c r="I302" i="248" s="1"/>
  <c r="E336" i="248"/>
  <c r="I336" i="248" s="1"/>
  <c r="E243" i="248"/>
  <c r="I243" i="248" s="1"/>
  <c r="E493" i="248"/>
  <c r="I493" i="248" s="1"/>
  <c r="E97" i="248"/>
  <c r="I97" i="248" s="1"/>
  <c r="E274" i="248"/>
  <c r="I274" i="248" s="1"/>
  <c r="E88" i="248"/>
  <c r="I88" i="248" s="1"/>
  <c r="E31" i="248"/>
  <c r="I31" i="248" s="1"/>
  <c r="E364" i="248"/>
  <c r="I364" i="248" s="1"/>
  <c r="E36" i="248"/>
  <c r="I36" i="248" s="1"/>
  <c r="E104" i="248"/>
  <c r="I104" i="248" s="1"/>
  <c r="E105" i="248"/>
  <c r="I105" i="248" s="1"/>
  <c r="E372" i="248"/>
  <c r="I372" i="248" s="1"/>
  <c r="E207" i="248"/>
  <c r="I207" i="248" s="1"/>
  <c r="E432" i="248"/>
  <c r="I432" i="248" s="1"/>
  <c r="E303" i="248"/>
  <c r="I303" i="248" s="1"/>
  <c r="E361" i="248"/>
  <c r="I361" i="248" s="1"/>
  <c r="E448" i="248"/>
  <c r="I448" i="248" s="1"/>
  <c r="E167" i="248"/>
  <c r="I167" i="248" s="1"/>
  <c r="E357" i="248"/>
  <c r="I357" i="248" s="1"/>
  <c r="E80" i="248"/>
  <c r="I80" i="248" s="1"/>
  <c r="E371" i="248"/>
  <c r="I371" i="248" s="1"/>
  <c r="E19" i="248"/>
  <c r="I19" i="248" s="1"/>
  <c r="E90" i="248"/>
  <c r="I90" i="248" s="1"/>
  <c r="E51" i="248"/>
  <c r="I51" i="248" s="1"/>
  <c r="E219" i="248"/>
  <c r="I219" i="248" s="1"/>
  <c r="E344" i="248"/>
  <c r="I344" i="248" s="1"/>
  <c r="E327" i="248"/>
  <c r="I327" i="248" s="1"/>
  <c r="E37" i="248"/>
  <c r="I37" i="248" s="1"/>
  <c r="I513" i="248" l="1"/>
  <c r="D7" i="248" s="1"/>
  <c r="F7" i="248" l="1"/>
  <c r="E10" i="251" s="1"/>
  <c r="E19" i="251" s="1"/>
  <c r="K14" i="287"/>
  <c r="E20" i="251"/>
  <c r="I10" i="251"/>
  <c r="G10" i="251"/>
  <c r="E11" i="251"/>
  <c r="K15" i="287" l="1"/>
  <c r="O14" i="287"/>
  <c r="G11" i="251"/>
  <c r="G12" i="251" s="1"/>
  <c r="I11" i="251"/>
  <c r="I12" i="251" s="1"/>
  <c r="G20" i="251"/>
  <c r="I20" i="251"/>
  <c r="G19" i="251"/>
  <c r="I19" i="251"/>
  <c r="K19" i="287" l="1"/>
  <c r="O15" i="287"/>
  <c r="K18" i="287"/>
  <c r="I21" i="251"/>
  <c r="G21" i="251"/>
  <c r="O18" i="287" l="1"/>
  <c r="O19" i="287"/>
  <c r="Q19" i="287" s="1"/>
  <c r="Q18" i="287"/>
  <c r="G255" i="286" l="1"/>
  <c r="G359" i="286"/>
  <c r="G422" i="286"/>
  <c r="G365" i="286"/>
  <c r="G378" i="286"/>
  <c r="G369" i="286"/>
  <c r="G355" i="286"/>
  <c r="G410" i="286"/>
  <c r="G424" i="286"/>
  <c r="G314" i="286"/>
  <c r="G418" i="286"/>
  <c r="G419" i="286"/>
  <c r="G530" i="286"/>
  <c r="G572" i="286"/>
  <c r="G609" i="286"/>
  <c r="G558" i="286"/>
  <c r="G589" i="286"/>
  <c r="G525" i="286"/>
  <c r="G522" i="286"/>
  <c r="G531" i="286"/>
  <c r="G537" i="286"/>
  <c r="G545" i="286"/>
  <c r="G559" i="286"/>
  <c r="G585" i="286"/>
  <c r="G507" i="286"/>
  <c r="G512" i="286"/>
  <c r="G527" i="286"/>
  <c r="G645" i="286"/>
  <c r="G695" i="286"/>
  <c r="G730" i="286"/>
  <c r="G671" i="286"/>
  <c r="G674" i="286"/>
  <c r="G644" i="286"/>
  <c r="G652" i="286"/>
  <c r="G678" i="286"/>
  <c r="G663" i="286"/>
  <c r="G676" i="286"/>
  <c r="G682" i="286"/>
  <c r="G688" i="286"/>
  <c r="G699" i="286"/>
  <c r="G638" i="286"/>
  <c r="G685" i="286"/>
  <c r="G715" i="286"/>
  <c r="G723" i="286"/>
  <c r="G727" i="286"/>
  <c r="G728" i="286"/>
  <c r="G729" i="286"/>
  <c r="G732" i="286" l="1"/>
  <c r="G733" i="286"/>
  <c r="G658" i="286"/>
  <c r="G657" i="286"/>
  <c r="G428" i="286"/>
  <c r="G677" i="286"/>
  <c r="G500" i="286"/>
  <c r="G659" i="286"/>
  <c r="G737" i="286"/>
  <c r="G605" i="286"/>
  <c r="G708" i="286"/>
  <c r="G505" i="286"/>
  <c r="G495" i="286"/>
  <c r="G601" i="286"/>
  <c r="G427" i="286"/>
  <c r="G692" i="286"/>
  <c r="G665" i="286"/>
  <c r="G570" i="286"/>
  <c r="G470" i="286"/>
  <c r="G608" i="286"/>
  <c r="G468" i="286"/>
  <c r="G377" i="286"/>
  <c r="G364" i="286"/>
  <c r="G455" i="286"/>
  <c r="G722" i="286"/>
  <c r="G686" i="286"/>
  <c r="G293" i="286"/>
  <c r="G259" i="286"/>
  <c r="G352" i="286"/>
  <c r="G603" i="286"/>
  <c r="G641" i="286"/>
  <c r="G363" i="286"/>
  <c r="G681" i="286"/>
  <c r="G534" i="286"/>
  <c r="G661" i="286"/>
  <c r="G394" i="286"/>
  <c r="G318" i="286"/>
  <c r="G548" i="286"/>
  <c r="G395" i="286"/>
  <c r="G321" i="286"/>
  <c r="G666" i="286"/>
  <c r="G704" i="286"/>
  <c r="G584" i="286"/>
  <c r="G475" i="286"/>
  <c r="G569" i="286"/>
  <c r="G423" i="286"/>
  <c r="G506" i="286"/>
  <c r="G474" i="286"/>
  <c r="G261" i="286"/>
  <c r="G689" i="286"/>
  <c r="G517" i="286"/>
  <c r="G533" i="286"/>
  <c r="G607" i="286"/>
  <c r="G434" i="286"/>
  <c r="G651" i="286"/>
  <c r="G694" i="286"/>
  <c r="G662" i="286"/>
  <c r="G623" i="286"/>
  <c r="G700" i="286"/>
  <c r="G602" i="286"/>
  <c r="G707" i="286"/>
  <c r="G583" i="286"/>
  <c r="G734" i="286"/>
  <c r="G702" i="286"/>
  <c r="G465" i="286"/>
  <c r="G254" i="286"/>
  <c r="G210" i="286"/>
  <c r="G172" i="286"/>
  <c r="G159" i="286"/>
  <c r="G287" i="286"/>
  <c r="G713" i="286"/>
  <c r="G372" i="286"/>
  <c r="G731" i="286"/>
  <c r="G714" i="286"/>
  <c r="G680" i="286"/>
  <c r="G448" i="286"/>
  <c r="G461" i="286"/>
  <c r="G393" i="286"/>
  <c r="G405" i="286"/>
  <c r="G338" i="286"/>
  <c r="G740" i="286"/>
  <c r="G557" i="286"/>
  <c r="G407" i="286"/>
  <c r="G281" i="286"/>
  <c r="G305" i="286"/>
  <c r="G344" i="286"/>
  <c r="G348" i="286"/>
  <c r="G660" i="286"/>
  <c r="G619" i="286"/>
  <c r="G280" i="286"/>
  <c r="G160" i="286"/>
  <c r="G219" i="286"/>
  <c r="G264" i="286"/>
  <c r="G606" i="286"/>
  <c r="G542" i="286"/>
  <c r="G544" i="286"/>
  <c r="G342" i="286"/>
  <c r="G357" i="286"/>
  <c r="G285" i="286"/>
  <c r="G452" i="286"/>
  <c r="G333" i="286"/>
  <c r="G309" i="286"/>
  <c r="G239" i="286"/>
  <c r="G237" i="286"/>
  <c r="G487" i="286"/>
  <c r="G447" i="286"/>
  <c r="G440" i="286"/>
  <c r="G312" i="286"/>
  <c r="G286" i="286"/>
  <c r="G276" i="286"/>
  <c r="G392" i="286"/>
  <c r="G356" i="286"/>
  <c r="G155" i="286"/>
  <c r="G501" i="286"/>
  <c r="G543" i="286"/>
  <c r="G463" i="286"/>
  <c r="G416" i="286"/>
  <c r="G300" i="286"/>
  <c r="G297" i="286"/>
  <c r="G389" i="286"/>
  <c r="G443" i="286"/>
  <c r="G400" i="286"/>
  <c r="G232" i="286"/>
  <c r="G271" i="286"/>
  <c r="G193" i="286"/>
  <c r="G328" i="286"/>
  <c r="G426" i="286"/>
  <c r="G244" i="286"/>
  <c r="G161" i="286"/>
  <c r="G316" i="286"/>
  <c r="G302" i="286"/>
  <c r="G325" i="286"/>
  <c r="G315" i="286"/>
  <c r="G274" i="286"/>
  <c r="G251" i="286"/>
  <c r="G236" i="286"/>
  <c r="G292" i="286"/>
  <c r="G279" i="286"/>
  <c r="G198" i="286"/>
  <c r="G404" i="286"/>
  <c r="G324" i="286"/>
  <c r="G272" i="286"/>
  <c r="G226" i="286"/>
  <c r="G362" i="286"/>
  <c r="G353" i="286"/>
  <c r="G454" i="286"/>
  <c r="G233" i="286"/>
  <c r="G213" i="286"/>
  <c r="G195" i="286"/>
  <c r="G245" i="286"/>
  <c r="G376" i="286"/>
  <c r="G168" i="286"/>
  <c r="G165" i="286"/>
  <c r="G260" i="286"/>
  <c r="G218" i="286"/>
  <c r="G214" i="286"/>
  <c r="G156" i="286"/>
  <c r="G266" i="286"/>
  <c r="G263" i="286"/>
  <c r="G262" i="286"/>
  <c r="G368" i="286"/>
  <c r="G186" i="286"/>
  <c r="G216" i="286"/>
  <c r="G174" i="286"/>
  <c r="G167" i="286"/>
  <c r="G197" i="286"/>
  <c r="G593" i="286"/>
  <c r="G225" i="286"/>
  <c r="G217" i="286"/>
  <c r="G383" i="286"/>
  <c r="G230" i="286"/>
  <c r="G220" i="286"/>
  <c r="G173" i="286"/>
  <c r="G182" i="286"/>
  <c r="G698" i="286"/>
  <c r="G670" i="286"/>
  <c r="G298" i="286"/>
  <c r="G194" i="286"/>
  <c r="G554" i="286"/>
  <c r="G504" i="286"/>
  <c r="G310" i="286"/>
  <c r="G349" i="286"/>
  <c r="G151" i="286"/>
  <c r="G238" i="286"/>
  <c r="G177" i="286"/>
  <c r="G150" i="286"/>
  <c r="G735" i="286"/>
  <c r="G588" i="286"/>
  <c r="G599" i="286"/>
  <c r="G494" i="286"/>
  <c r="G361" i="286"/>
  <c r="G739" i="286"/>
  <c r="G675" i="286"/>
  <c r="G615" i="286"/>
  <c r="G476" i="286"/>
  <c r="G720" i="286"/>
  <c r="G712" i="286"/>
  <c r="G655" i="286"/>
  <c r="G664" i="286"/>
  <c r="G620" i="286"/>
  <c r="G738" i="286"/>
  <c r="G709" i="286"/>
  <c r="G684" i="286"/>
  <c r="G592" i="286"/>
  <c r="G526" i="286"/>
  <c r="G553" i="286"/>
  <c r="G536" i="286"/>
  <c r="G642" i="286"/>
  <c r="G636" i="286"/>
  <c r="G683" i="286"/>
  <c r="G653" i="286"/>
  <c r="G630" i="286"/>
  <c r="G701" i="286"/>
  <c r="G639" i="286"/>
  <c r="G650" i="286"/>
  <c r="G635" i="286"/>
  <c r="G710" i="286"/>
  <c r="G690" i="286"/>
  <c r="G646" i="286"/>
  <c r="G667" i="286"/>
  <c r="G634" i="286"/>
  <c r="G624" i="286"/>
  <c r="G595" i="286"/>
  <c r="G511" i="286"/>
  <c r="G513" i="286"/>
  <c r="G546" i="286"/>
  <c r="G516" i="286"/>
  <c r="G480" i="286"/>
  <c r="G433" i="286"/>
  <c r="G401" i="286"/>
  <c r="G375" i="286"/>
  <c r="G488" i="286"/>
  <c r="G484" i="286"/>
  <c r="G563" i="286"/>
  <c r="G564" i="286"/>
  <c r="G425" i="286"/>
  <c r="G721" i="286"/>
  <c r="G703" i="286"/>
  <c r="G643" i="286"/>
  <c r="G705" i="286"/>
  <c r="G706" i="286"/>
  <c r="G724" i="286"/>
  <c r="G742" i="286"/>
  <c r="G598" i="286"/>
  <c r="G462" i="286"/>
  <c r="G473" i="286"/>
  <c r="G320" i="286"/>
  <c r="G384" i="286"/>
  <c r="G319" i="286"/>
  <c r="G303" i="286"/>
  <c r="G597" i="286"/>
  <c r="G538" i="286"/>
  <c r="G535" i="286"/>
  <c r="G571" i="286"/>
  <c r="G594" i="286"/>
  <c r="G499" i="286"/>
  <c r="G532" i="286"/>
  <c r="G409" i="286"/>
  <c r="G313" i="286"/>
  <c r="G442" i="286"/>
  <c r="G282" i="286"/>
  <c r="G294" i="286"/>
  <c r="G466" i="286"/>
  <c r="G208" i="286"/>
  <c r="G275" i="286"/>
  <c r="G273" i="286"/>
  <c r="G323" i="286"/>
  <c r="G209" i="286"/>
  <c r="G189" i="286"/>
  <c r="G637" i="286"/>
  <c r="G656" i="286"/>
  <c r="G640" i="286"/>
  <c r="G625" i="286"/>
  <c r="G587" i="286"/>
  <c r="G741" i="286"/>
  <c r="G622" i="286"/>
  <c r="G672" i="286"/>
  <c r="G514" i="286"/>
  <c r="G481" i="286"/>
  <c r="G604" i="286"/>
  <c r="G561" i="286"/>
  <c r="G547" i="286"/>
  <c r="G503" i="286"/>
  <c r="G477" i="286"/>
  <c r="G398" i="286"/>
  <c r="G679" i="286"/>
  <c r="G649" i="286"/>
  <c r="G673" i="286"/>
  <c r="G631" i="286"/>
  <c r="G693" i="286"/>
  <c r="G687" i="286"/>
  <c r="G654" i="286"/>
  <c r="G736" i="286"/>
  <c r="G711" i="286"/>
  <c r="G629" i="286"/>
  <c r="G496" i="286"/>
  <c r="G562" i="286"/>
  <c r="G565" i="286"/>
  <c r="G560" i="286"/>
  <c r="G539" i="286"/>
  <c r="G486" i="286"/>
  <c r="G311" i="286"/>
  <c r="G453" i="286"/>
  <c r="G429" i="286"/>
  <c r="G207" i="286"/>
  <c r="G224" i="286"/>
  <c r="G301" i="286"/>
  <c r="G306" i="286"/>
  <c r="G469" i="286"/>
  <c r="G296" i="286"/>
  <c r="G415" i="286"/>
  <c r="G374" i="286"/>
  <c r="G366" i="286"/>
  <c r="G252" i="286"/>
  <c r="G367" i="286"/>
  <c r="G408" i="286"/>
  <c r="G283" i="286"/>
  <c r="G403" i="286"/>
  <c r="G387" i="286"/>
  <c r="G414" i="286"/>
  <c r="G360" i="286"/>
  <c r="G341" i="286"/>
  <c r="G417" i="286"/>
  <c r="G402" i="286"/>
  <c r="G439" i="286"/>
  <c r="G399" i="286"/>
  <c r="G277" i="286"/>
  <c r="G441" i="286"/>
  <c r="G446" i="286"/>
  <c r="G332" i="286"/>
  <c r="G373" i="286"/>
  <c r="G406" i="286"/>
  <c r="G354" i="286"/>
  <c r="G317" i="286"/>
  <c r="G200" i="286"/>
  <c r="G241" i="286"/>
  <c r="G191" i="286"/>
  <c r="G331" i="286"/>
  <c r="G247" i="286"/>
  <c r="G388" i="286"/>
  <c r="G176" i="286"/>
  <c r="G246" i="286"/>
  <c r="G358" i="286"/>
  <c r="G343" i="286"/>
  <c r="G295" i="286"/>
  <c r="G268" i="286"/>
  <c r="G248" i="286"/>
  <c r="G322" i="286"/>
  <c r="G278" i="286"/>
  <c r="G229" i="286"/>
  <c r="G221" i="286"/>
  <c r="G304" i="286"/>
  <c r="G267" i="286"/>
  <c r="G288" i="286"/>
  <c r="G199" i="286"/>
  <c r="G166" i="286"/>
  <c r="G204" i="286"/>
  <c r="G183" i="286"/>
  <c r="G184" i="286"/>
  <c r="G265" i="286"/>
  <c r="G178" i="286"/>
  <c r="G171" i="286"/>
  <c r="G345" i="286"/>
  <c r="G258" i="286"/>
  <c r="G540" i="286"/>
  <c r="G284" i="286"/>
  <c r="G192" i="286"/>
  <c r="G190" i="286"/>
  <c r="G175" i="286"/>
  <c r="G413" i="286"/>
  <c r="G596" i="286"/>
  <c r="G472" i="286"/>
  <c r="G612" i="286"/>
  <c r="G240" i="286"/>
  <c r="G253" i="286"/>
  <c r="G502" i="286"/>
  <c r="G235" i="286"/>
  <c r="G600" i="286"/>
  <c r="G691" i="286"/>
  <c r="G471" i="286"/>
  <c r="G196" i="286"/>
  <c r="G621" i="286"/>
  <c r="G586" i="286"/>
  <c r="G515" i="286"/>
  <c r="G215" i="286"/>
  <c r="G397" i="286"/>
  <c r="G201" i="286"/>
  <c r="G185" i="286"/>
  <c r="G234" i="286"/>
  <c r="G299" i="286"/>
  <c r="G227" i="286"/>
  <c r="G154" i="286"/>
  <c r="G485" i="286"/>
  <c r="G626" i="286"/>
  <c r="G396" i="286"/>
  <c r="G231" i="286"/>
  <c r="G467" i="286"/>
  <c r="G549" i="286"/>
  <c r="G464" i="286"/>
  <c r="G541" i="286"/>
  <c r="G228" i="286"/>
  <c r="G336" i="286" l="1"/>
  <c r="G337" i="286"/>
  <c r="G449" i="286"/>
  <c r="G450" i="286"/>
  <c r="G451" i="286"/>
  <c r="G590" i="286"/>
  <c r="G591" i="286"/>
  <c r="G492" i="286"/>
  <c r="G493" i="286"/>
  <c r="G152" i="286"/>
  <c r="G153" i="286"/>
  <c r="G391" i="286"/>
  <c r="G390" i="286"/>
  <c r="G351" i="286"/>
  <c r="G350" i="286"/>
  <c r="G435" i="286"/>
  <c r="G436" i="286"/>
  <c r="G181" i="286"/>
  <c r="G179" i="286"/>
  <c r="G180" i="286"/>
  <c r="G580" i="286"/>
  <c r="G578" i="286"/>
  <c r="G577" i="286"/>
  <c r="G582" i="286"/>
  <c r="G581" i="286"/>
  <c r="G579" i="286"/>
  <c r="G162" i="286"/>
  <c r="G381" i="286"/>
  <c r="G382" i="286"/>
  <c r="G613" i="286"/>
  <c r="G614" i="286"/>
  <c r="G550" i="286"/>
  <c r="G551" i="286"/>
  <c r="G552" i="286"/>
  <c r="G632" i="286"/>
  <c r="G633" i="286"/>
  <c r="G421" i="286"/>
  <c r="G420" i="286"/>
  <c r="G575" i="286"/>
  <c r="G576" i="286"/>
  <c r="G610" i="286"/>
  <c r="G611" i="286"/>
  <c r="G249" i="286"/>
  <c r="G250" i="286"/>
  <c r="G257" i="286"/>
  <c r="G256" i="286"/>
  <c r="G627" i="286"/>
  <c r="G628" i="286"/>
  <c r="G203" i="286"/>
  <c r="G202" i="286"/>
  <c r="G379" i="286"/>
  <c r="G380" i="286"/>
  <c r="G444" i="286"/>
  <c r="G445" i="286"/>
  <c r="G335" i="286"/>
  <c r="G334" i="286"/>
  <c r="G430" i="286"/>
  <c r="G431" i="286"/>
  <c r="G432" i="286"/>
  <c r="G490" i="286"/>
  <c r="G491" i="286"/>
  <c r="G489" i="286"/>
  <c r="G528" i="286"/>
  <c r="G529" i="286"/>
  <c r="G523" i="286"/>
  <c r="G524" i="286"/>
  <c r="G726" i="286"/>
  <c r="G725" i="286"/>
  <c r="G668" i="286"/>
  <c r="G669" i="286"/>
  <c r="G696" i="286"/>
  <c r="G697" i="286"/>
  <c r="G716" i="286"/>
  <c r="G717" i="286"/>
  <c r="G205" i="286"/>
  <c r="G206" i="286"/>
  <c r="G223" i="286"/>
  <c r="G222" i="286"/>
  <c r="G327" i="286"/>
  <c r="G326" i="286"/>
  <c r="G330" i="286"/>
  <c r="G329" i="286"/>
  <c r="G479" i="286"/>
  <c r="G478" i="286"/>
  <c r="G647" i="286"/>
  <c r="G648" i="286"/>
  <c r="G437" i="286"/>
  <c r="G438" i="286"/>
  <c r="G618" i="286"/>
  <c r="G616" i="286"/>
  <c r="G617" i="286"/>
  <c r="G498" i="286"/>
  <c r="G497" i="286"/>
  <c r="G718" i="286"/>
  <c r="G719" i="286"/>
  <c r="G211" i="286"/>
  <c r="G212" i="286"/>
  <c r="G169" i="286"/>
  <c r="G170" i="286"/>
  <c r="G243" i="286"/>
  <c r="G242" i="286"/>
  <c r="G270" i="286"/>
  <c r="G269" i="286"/>
  <c r="G385" i="286"/>
  <c r="G386" i="286"/>
  <c r="G456" i="286"/>
  <c r="G457" i="286"/>
  <c r="G510" i="286"/>
  <c r="G508" i="286"/>
  <c r="G509" i="286"/>
  <c r="G567" i="286"/>
  <c r="G568" i="286"/>
  <c r="G566" i="286"/>
  <c r="G555" i="286"/>
  <c r="G556" i="286"/>
  <c r="G371" i="286"/>
  <c r="G370" i="286"/>
  <c r="G460" i="286"/>
  <c r="G459" i="286"/>
  <c r="G458" i="286"/>
  <c r="G411" i="286"/>
  <c r="G412" i="286"/>
  <c r="G573" i="286"/>
  <c r="G574" i="286"/>
  <c r="G483" i="286"/>
  <c r="G482" i="286"/>
  <c r="G289" i="286"/>
  <c r="G158" i="286"/>
  <c r="G157" i="286"/>
  <c r="G187" i="286"/>
  <c r="G188" i="286"/>
  <c r="G346" i="286"/>
  <c r="G347" i="286"/>
  <c r="G339" i="286"/>
  <c r="G340" i="286"/>
  <c r="G308" i="286"/>
  <c r="G307" i="286"/>
  <c r="G521" i="286"/>
  <c r="G518" i="286"/>
  <c r="G519" i="286"/>
  <c r="G520" i="286"/>
  <c r="G291" i="286" l="1"/>
  <c r="G745" i="286" s="1"/>
  <c r="E7" i="286" s="1"/>
  <c r="G290" i="286"/>
  <c r="G164" i="286"/>
  <c r="G163" i="286"/>
  <c r="F11" i="286" l="1"/>
  <c r="G11" i="286" s="1"/>
  <c r="F13" i="286"/>
  <c r="G13" i="286" s="1"/>
  <c r="F12" i="286"/>
  <c r="G12" i="286" s="1"/>
  <c r="F10" i="286"/>
  <c r="G10" i="286" s="1"/>
</calcChain>
</file>

<file path=xl/sharedStrings.xml><?xml version="1.0" encoding="utf-8"?>
<sst xmlns="http://schemas.openxmlformats.org/spreadsheetml/2006/main" count="4439" uniqueCount="1898">
  <si>
    <t>Ticker</t>
  </si>
  <si>
    <t>Company</t>
  </si>
  <si>
    <t>AEE</t>
  </si>
  <si>
    <t>AES</t>
  </si>
  <si>
    <t>LNT</t>
  </si>
  <si>
    <t>CMS</t>
  </si>
  <si>
    <t>CNP</t>
  </si>
  <si>
    <t>D</t>
  </si>
  <si>
    <t>DTE</t>
  </si>
  <si>
    <t>DUK</t>
  </si>
  <si>
    <t>ED</t>
  </si>
  <si>
    <t>ETR</t>
  </si>
  <si>
    <t>EXC</t>
  </si>
  <si>
    <t>NI</t>
  </si>
  <si>
    <t>PEG</t>
  </si>
  <si>
    <t>PNW</t>
  </si>
  <si>
    <t>PPL</t>
  </si>
  <si>
    <t>SRE</t>
  </si>
  <si>
    <t>WEC</t>
  </si>
  <si>
    <t>XEL</t>
  </si>
  <si>
    <t>Average</t>
  </si>
  <si>
    <t>ES</t>
  </si>
  <si>
    <t>SO</t>
  </si>
  <si>
    <t>Risk Premium</t>
  </si>
  <si>
    <t>MS</t>
  </si>
  <si>
    <t>F</t>
  </si>
  <si>
    <t>30 Day Average Stock Price</t>
  </si>
  <si>
    <t>Value Line</t>
  </si>
  <si>
    <t>Mean</t>
  </si>
  <si>
    <t xml:space="preserve"> </t>
  </si>
  <si>
    <t>90 Day Average Stock Price</t>
  </si>
  <si>
    <t>180 Day Average Stock Price</t>
  </si>
  <si>
    <t>CPK</t>
  </si>
  <si>
    <t>Atmos Energy Corporation</t>
  </si>
  <si>
    <t>ATO</t>
  </si>
  <si>
    <t>Chesapeake Utilities Corporation</t>
  </si>
  <si>
    <t>New Jersey Resources Corporation</t>
  </si>
  <si>
    <t>NJR</t>
  </si>
  <si>
    <t>Northwest Natural Gas Company</t>
  </si>
  <si>
    <t>NWN</t>
  </si>
  <si>
    <t>ONE Gas, Inc.</t>
  </si>
  <si>
    <t>SJI</t>
  </si>
  <si>
    <t>Southwest Gas Corporation</t>
  </si>
  <si>
    <t>SWX</t>
  </si>
  <si>
    <t>Spire Inc.</t>
  </si>
  <si>
    <t>SR</t>
  </si>
  <si>
    <t>OGS</t>
  </si>
  <si>
    <t>JPM</t>
  </si>
  <si>
    <t>South Jersey Industries, Inc.</t>
  </si>
  <si>
    <t>Constant Growth Discounted Cash Flow Model</t>
  </si>
  <si>
    <t>[1]</t>
  </si>
  <si>
    <t>[2]</t>
  </si>
  <si>
    <t>[3]</t>
  </si>
  <si>
    <t>[4]</t>
  </si>
  <si>
    <t>[5]</t>
  </si>
  <si>
    <t>[6]</t>
  </si>
  <si>
    <t>[7]</t>
  </si>
  <si>
    <t>[8]</t>
  </si>
  <si>
    <t>[9]</t>
  </si>
  <si>
    <t>[10]</t>
  </si>
  <si>
    <t>[11]</t>
  </si>
  <si>
    <t>[12]</t>
  </si>
  <si>
    <t>Annualized Dividend</t>
  </si>
  <si>
    <t>Average Stock
Price</t>
  </si>
  <si>
    <t>Dividend Yield</t>
  </si>
  <si>
    <t>Expected Dividend Yield</t>
  </si>
  <si>
    <t>Zacks Earnings Growth</t>
  </si>
  <si>
    <t>First Call Earnings Growth</t>
  </si>
  <si>
    <t>Value Line Earnings Growth</t>
  </si>
  <si>
    <t>Retention Growth Estimate</t>
  </si>
  <si>
    <t>Average Earnings Growth</t>
  </si>
  <si>
    <t>Low
ROE</t>
  </si>
  <si>
    <t>Mean
ROE</t>
  </si>
  <si>
    <t>High
ROE</t>
  </si>
  <si>
    <t>Proxy Group Mean</t>
  </si>
  <si>
    <t>Proxy Group Median</t>
  </si>
  <si>
    <t>Notes:</t>
  </si>
  <si>
    <t>[1] Source: Bloomberg Professional</t>
  </si>
  <si>
    <t>[3] Equals [1] / [2]</t>
  </si>
  <si>
    <t>[4] Equals [3] x (1 + 0.5 x [9])</t>
  </si>
  <si>
    <t>[5] Source: Zacks</t>
  </si>
  <si>
    <t>[6] Source: Yahoo! Finance</t>
  </si>
  <si>
    <t>[7] Source: Value Line</t>
  </si>
  <si>
    <t>[9] Equals Average([5], [6], [7], [8])</t>
  </si>
  <si>
    <t>[10] Equals [3] x (1 + 0.5 x Minimum([5], [6], [7], [8])) +  Minimum([5], [6], [7], [8])</t>
  </si>
  <si>
    <t>[11] Equals [4] + [9]</t>
  </si>
  <si>
    <t>[12] Equals [3] x (1 + 0.5 x Maximum([5], [6], [7], [8])) +  Maximum([5], [6], [7], [8])</t>
  </si>
  <si>
    <t>[13]</t>
  </si>
  <si>
    <t>[14]</t>
  </si>
  <si>
    <t>[15]</t>
  </si>
  <si>
    <t>[16]</t>
  </si>
  <si>
    <t>[17]</t>
  </si>
  <si>
    <t>[18]</t>
  </si>
  <si>
    <t>Retention Ratio (B)</t>
  </si>
  <si>
    <t>Return on Book Value (R)</t>
  </si>
  <si>
    <t>B x R</t>
  </si>
  <si>
    <t>Projected Common Shares Outstanding 2019</t>
  </si>
  <si>
    <t>Common Shares Growth Rate</t>
  </si>
  <si>
    <t>Market/   Book Ratio</t>
  </si>
  <si>
    <t>"S"</t>
  </si>
  <si>
    <t>"V"</t>
  </si>
  <si>
    <t>S x V</t>
  </si>
  <si>
    <t>BR + SV</t>
  </si>
  <si>
    <t>[1] Source: Value Line</t>
  </si>
  <si>
    <t>[2] Source: Value Line</t>
  </si>
  <si>
    <t>[3] Equals 1 - [2] / [1]</t>
  </si>
  <si>
    <t>[4] Source: Value Line</t>
  </si>
  <si>
    <t>[5] Equals [1] / [4]</t>
  </si>
  <si>
    <t>[6] Equals [3] x [5]</t>
  </si>
  <si>
    <t>[8] Source: Value Line</t>
  </si>
  <si>
    <t>[10] Source: Value Line</t>
  </si>
  <si>
    <t>[11] Source: Value Line</t>
  </si>
  <si>
    <t>[12] Equals Average ([10], [11])</t>
  </si>
  <si>
    <t>[13] Source: Value Line</t>
  </si>
  <si>
    <t>[14] Equals [12] / [13]</t>
  </si>
  <si>
    <t>[15] Equals [9] x [14]</t>
  </si>
  <si>
    <t>[16] Equals 1 - (1 / [14])</t>
  </si>
  <si>
    <t>[17] Equals [15] x [16]</t>
  </si>
  <si>
    <t>[18] Equals [6] + [17]</t>
  </si>
  <si>
    <t>Ex-Ante Market Risk Premium</t>
  </si>
  <si>
    <t>Market DCF Method Based - Bloomberg</t>
  </si>
  <si>
    <t>S&amp;P 500
Est. Required
Market Return</t>
  </si>
  <si>
    <t>Current 30-Year Treasury (30-day average)</t>
  </si>
  <si>
    <t>Implied Market Risk Premium</t>
  </si>
  <si>
    <t>Market 
Capitalization</t>
  </si>
  <si>
    <t>Weight in Index</t>
  </si>
  <si>
    <t>Estimated Dividend Yield</t>
  </si>
  <si>
    <t>Long-Term Growth Est.</t>
  </si>
  <si>
    <t>DCF Result</t>
  </si>
  <si>
    <t>Weighted
DCF Result</t>
  </si>
  <si>
    <t>A</t>
  </si>
  <si>
    <t>AAL</t>
  </si>
  <si>
    <t>AAP</t>
  </si>
  <si>
    <t>AAPL</t>
  </si>
  <si>
    <t>ABBV</t>
  </si>
  <si>
    <t>ABC</t>
  </si>
  <si>
    <t>ABT</t>
  </si>
  <si>
    <t>ACN</t>
  </si>
  <si>
    <t>ADBE</t>
  </si>
  <si>
    <t>ADI</t>
  </si>
  <si>
    <t>ADM</t>
  </si>
  <si>
    <t>ADP</t>
  </si>
  <si>
    <t>ADS</t>
  </si>
  <si>
    <t>ADSK</t>
  </si>
  <si>
    <t>AEP</t>
  </si>
  <si>
    <t>AFL</t>
  </si>
  <si>
    <t>AGN</t>
  </si>
  <si>
    <t>AIG</t>
  </si>
  <si>
    <t>AIV</t>
  </si>
  <si>
    <t>AIZ</t>
  </si>
  <si>
    <t>N/A</t>
  </si>
  <si>
    <t>AJG</t>
  </si>
  <si>
    <t>AKAM</t>
  </si>
  <si>
    <t>ALB</t>
  </si>
  <si>
    <t>ALGN</t>
  </si>
  <si>
    <t>ALK</t>
  </si>
  <si>
    <t>ALL</t>
  </si>
  <si>
    <t>ALLE</t>
  </si>
  <si>
    <t>ALXN</t>
  </si>
  <si>
    <t>AMAT</t>
  </si>
  <si>
    <t>AMD</t>
  </si>
  <si>
    <t>AME</t>
  </si>
  <si>
    <t>AMG</t>
  </si>
  <si>
    <t>AMGN</t>
  </si>
  <si>
    <t>AMP</t>
  </si>
  <si>
    <t>AMT</t>
  </si>
  <si>
    <t>AMZN</t>
  </si>
  <si>
    <t>ANSS</t>
  </si>
  <si>
    <t>ANTM</t>
  </si>
  <si>
    <t>AON</t>
  </si>
  <si>
    <t>AOS</t>
  </si>
  <si>
    <t>APA</t>
  </si>
  <si>
    <t>APD</t>
  </si>
  <si>
    <t>APH</t>
  </si>
  <si>
    <t>APTV</t>
  </si>
  <si>
    <t>ARE</t>
  </si>
  <si>
    <t>ARNC</t>
  </si>
  <si>
    <t>ATVI</t>
  </si>
  <si>
    <t>AVB</t>
  </si>
  <si>
    <t>AVGO</t>
  </si>
  <si>
    <t>AVY</t>
  </si>
  <si>
    <t>AWK</t>
  </si>
  <si>
    <t>AXP</t>
  </si>
  <si>
    <t>AZO</t>
  </si>
  <si>
    <t>BA</t>
  </si>
  <si>
    <t>BAC</t>
  </si>
  <si>
    <t>BAX</t>
  </si>
  <si>
    <t>BBT</t>
  </si>
  <si>
    <t>BBY</t>
  </si>
  <si>
    <t>BDX</t>
  </si>
  <si>
    <t>BEN</t>
  </si>
  <si>
    <t>BF/B</t>
  </si>
  <si>
    <t>BHGE</t>
  </si>
  <si>
    <t>BIIB</t>
  </si>
  <si>
    <t>BK</t>
  </si>
  <si>
    <t>BKNG</t>
  </si>
  <si>
    <t>BLK</t>
  </si>
  <si>
    <t>BLL</t>
  </si>
  <si>
    <t>BMY</t>
  </si>
  <si>
    <t>BRK/B</t>
  </si>
  <si>
    <t>BSX</t>
  </si>
  <si>
    <t>BWA</t>
  </si>
  <si>
    <t>BXP</t>
  </si>
  <si>
    <t>C</t>
  </si>
  <si>
    <t>CAG</t>
  </si>
  <si>
    <t>CAH</t>
  </si>
  <si>
    <t>CAT</t>
  </si>
  <si>
    <t>CB</t>
  </si>
  <si>
    <t>CBOE</t>
  </si>
  <si>
    <t>CBRE</t>
  </si>
  <si>
    <t>CBS</t>
  </si>
  <si>
    <t>CCI</t>
  </si>
  <si>
    <t>CCL</t>
  </si>
  <si>
    <t>CDNS</t>
  </si>
  <si>
    <t>CELG</t>
  </si>
  <si>
    <t>CERN</t>
  </si>
  <si>
    <t>CF</t>
  </si>
  <si>
    <t>CFG</t>
  </si>
  <si>
    <t>CHD</t>
  </si>
  <si>
    <t>CHRW</t>
  </si>
  <si>
    <t>CHTR</t>
  </si>
  <si>
    <t>CI</t>
  </si>
  <si>
    <t>CINF</t>
  </si>
  <si>
    <t>CL</t>
  </si>
  <si>
    <t>CLX</t>
  </si>
  <si>
    <t>CMA</t>
  </si>
  <si>
    <t>CMCSA</t>
  </si>
  <si>
    <t>CME</t>
  </si>
  <si>
    <t>CMG</t>
  </si>
  <si>
    <t>CMI</t>
  </si>
  <si>
    <t>CNC</t>
  </si>
  <si>
    <t>COF</t>
  </si>
  <si>
    <t>COG</t>
  </si>
  <si>
    <t>COO</t>
  </si>
  <si>
    <t>COP</t>
  </si>
  <si>
    <t>COST</t>
  </si>
  <si>
    <t>COTY</t>
  </si>
  <si>
    <t>CPB</t>
  </si>
  <si>
    <t>CRM</t>
  </si>
  <si>
    <t>CSCO</t>
  </si>
  <si>
    <t>CSX</t>
  </si>
  <si>
    <t>CTAS</t>
  </si>
  <si>
    <t>CTL</t>
  </si>
  <si>
    <t>CTSH</t>
  </si>
  <si>
    <t>CTXS</t>
  </si>
  <si>
    <t>CVS</t>
  </si>
  <si>
    <t>CVX</t>
  </si>
  <si>
    <t>CXO</t>
  </si>
  <si>
    <t>DAL</t>
  </si>
  <si>
    <t>DE</t>
  </si>
  <si>
    <t>DFS</t>
  </si>
  <si>
    <t>DG</t>
  </si>
  <si>
    <t>DGX</t>
  </si>
  <si>
    <t>DHI</t>
  </si>
  <si>
    <t>DHR</t>
  </si>
  <si>
    <t>DIS</t>
  </si>
  <si>
    <t>DISCA</t>
  </si>
  <si>
    <t>DISH</t>
  </si>
  <si>
    <t>DLR</t>
  </si>
  <si>
    <t>DLTR</t>
  </si>
  <si>
    <t>DOV</t>
  </si>
  <si>
    <t>DRE</t>
  </si>
  <si>
    <t>DRI</t>
  </si>
  <si>
    <t>DVA</t>
  </si>
  <si>
    <t>DVN</t>
  </si>
  <si>
    <t>DXC</t>
  </si>
  <si>
    <t>EA</t>
  </si>
  <si>
    <t>EBAY</t>
  </si>
  <si>
    <t>ECL</t>
  </si>
  <si>
    <t>EFX</t>
  </si>
  <si>
    <t>EIX</t>
  </si>
  <si>
    <t>EL</t>
  </si>
  <si>
    <t>EMN</t>
  </si>
  <si>
    <t>EMR</t>
  </si>
  <si>
    <t>EOG</t>
  </si>
  <si>
    <t>EQIX</t>
  </si>
  <si>
    <t>EQR</t>
  </si>
  <si>
    <t>ESS</t>
  </si>
  <si>
    <t>ETFC</t>
  </si>
  <si>
    <t>ETN</t>
  </si>
  <si>
    <t>EW</t>
  </si>
  <si>
    <t>EXPD</t>
  </si>
  <si>
    <t>EXPE</t>
  </si>
  <si>
    <t>EXR</t>
  </si>
  <si>
    <t>FAST</t>
  </si>
  <si>
    <t>FB</t>
  </si>
  <si>
    <t>FBHS</t>
  </si>
  <si>
    <t>FCX</t>
  </si>
  <si>
    <t>FDX</t>
  </si>
  <si>
    <t>FE</t>
  </si>
  <si>
    <t>FFIV</t>
  </si>
  <si>
    <t>FIS</t>
  </si>
  <si>
    <t>FISV</t>
  </si>
  <si>
    <t>FITB</t>
  </si>
  <si>
    <t>FLIR</t>
  </si>
  <si>
    <t>FLS</t>
  </si>
  <si>
    <t>FMC</t>
  </si>
  <si>
    <t>FOXA</t>
  </si>
  <si>
    <t>FRT</t>
  </si>
  <si>
    <t>FTI</t>
  </si>
  <si>
    <t>FTV</t>
  </si>
  <si>
    <t>GD</t>
  </si>
  <si>
    <t>GE</t>
  </si>
  <si>
    <t>GILD</t>
  </si>
  <si>
    <t>GIS</t>
  </si>
  <si>
    <t>GLW</t>
  </si>
  <si>
    <t>GM</t>
  </si>
  <si>
    <t>GOOGL</t>
  </si>
  <si>
    <t>GPC</t>
  </si>
  <si>
    <t>GPN</t>
  </si>
  <si>
    <t>GPS</t>
  </si>
  <si>
    <t>GRMN</t>
  </si>
  <si>
    <t>GS</t>
  </si>
  <si>
    <t>GWW</t>
  </si>
  <si>
    <t>HAL</t>
  </si>
  <si>
    <t>HAS</t>
  </si>
  <si>
    <t>HBAN</t>
  </si>
  <si>
    <t>HBI</t>
  </si>
  <si>
    <t>HCA</t>
  </si>
  <si>
    <t>HCP</t>
  </si>
  <si>
    <t>HD</t>
  </si>
  <si>
    <t>HES</t>
  </si>
  <si>
    <t>HIG</t>
  </si>
  <si>
    <t>HII</t>
  </si>
  <si>
    <t>HLT</t>
  </si>
  <si>
    <t>HOG</t>
  </si>
  <si>
    <t>HOLX</t>
  </si>
  <si>
    <t>HON</t>
  </si>
  <si>
    <t>HP</t>
  </si>
  <si>
    <t>HPE</t>
  </si>
  <si>
    <t>HPQ</t>
  </si>
  <si>
    <t>HRB</t>
  </si>
  <si>
    <t>HRL</t>
  </si>
  <si>
    <t>HSIC</t>
  </si>
  <si>
    <t>HST</t>
  </si>
  <si>
    <t>HSY</t>
  </si>
  <si>
    <t>HUM</t>
  </si>
  <si>
    <t>IBM</t>
  </si>
  <si>
    <t>ICE</t>
  </si>
  <si>
    <t>IDXX</t>
  </si>
  <si>
    <t>IFF</t>
  </si>
  <si>
    <t>ILMN</t>
  </si>
  <si>
    <t>INCY</t>
  </si>
  <si>
    <t>INFO</t>
  </si>
  <si>
    <t>INTC</t>
  </si>
  <si>
    <t>INTU</t>
  </si>
  <si>
    <t>IP</t>
  </si>
  <si>
    <t>IPG</t>
  </si>
  <si>
    <t>IPGP</t>
  </si>
  <si>
    <t>IQV</t>
  </si>
  <si>
    <t>IR</t>
  </si>
  <si>
    <t>IRM</t>
  </si>
  <si>
    <t>ISRG</t>
  </si>
  <si>
    <t>IT</t>
  </si>
  <si>
    <t>ITW</t>
  </si>
  <si>
    <t>IVZ</t>
  </si>
  <si>
    <t>JBHT</t>
  </si>
  <si>
    <t>JCI</t>
  </si>
  <si>
    <t>JEC</t>
  </si>
  <si>
    <t>JNJ</t>
  </si>
  <si>
    <t>JNPR</t>
  </si>
  <si>
    <t>JWN</t>
  </si>
  <si>
    <t>K</t>
  </si>
  <si>
    <t>KEY</t>
  </si>
  <si>
    <t>KHC</t>
  </si>
  <si>
    <t>KIM</t>
  </si>
  <si>
    <t>KLAC</t>
  </si>
  <si>
    <t>KMB</t>
  </si>
  <si>
    <t>KMI</t>
  </si>
  <si>
    <t>KMX</t>
  </si>
  <si>
    <t>KO</t>
  </si>
  <si>
    <t>KR</t>
  </si>
  <si>
    <t>KSS</t>
  </si>
  <si>
    <t>KSU</t>
  </si>
  <si>
    <t>L</t>
  </si>
  <si>
    <t>LB</t>
  </si>
  <si>
    <t>LEG</t>
  </si>
  <si>
    <t>LEN</t>
  </si>
  <si>
    <t>LH</t>
  </si>
  <si>
    <t>LKQ</t>
  </si>
  <si>
    <t>LLY</t>
  </si>
  <si>
    <t>LMT</t>
  </si>
  <si>
    <t>LNC</t>
  </si>
  <si>
    <t>LOW</t>
  </si>
  <si>
    <t>LRCX</t>
  </si>
  <si>
    <t>LUV</t>
  </si>
  <si>
    <t>LYB</t>
  </si>
  <si>
    <t>M</t>
  </si>
  <si>
    <t>MA</t>
  </si>
  <si>
    <t>MAA</t>
  </si>
  <si>
    <t>MAC</t>
  </si>
  <si>
    <t>MAR</t>
  </si>
  <si>
    <t>MAS</t>
  </si>
  <si>
    <t>MCD</t>
  </si>
  <si>
    <t>MCHP</t>
  </si>
  <si>
    <t>MCK</t>
  </si>
  <si>
    <t>MCO</t>
  </si>
  <si>
    <t>MDLZ</t>
  </si>
  <si>
    <t>MDT</t>
  </si>
  <si>
    <t>MET</t>
  </si>
  <si>
    <t>MGM</t>
  </si>
  <si>
    <t>MHK</t>
  </si>
  <si>
    <t>MKC</t>
  </si>
  <si>
    <t>MLM</t>
  </si>
  <si>
    <t>MMC</t>
  </si>
  <si>
    <t>MMM</t>
  </si>
  <si>
    <t>MNST</t>
  </si>
  <si>
    <t>MO</t>
  </si>
  <si>
    <t>MOS</t>
  </si>
  <si>
    <t>MPC</t>
  </si>
  <si>
    <t>MRK</t>
  </si>
  <si>
    <t>MRO</t>
  </si>
  <si>
    <t>MSFT</t>
  </si>
  <si>
    <t>MSI</t>
  </si>
  <si>
    <t>MTB</t>
  </si>
  <si>
    <t>MTD</t>
  </si>
  <si>
    <t>MU</t>
  </si>
  <si>
    <t>MYL</t>
  </si>
  <si>
    <t>NBL</t>
  </si>
  <si>
    <t>NCLH</t>
  </si>
  <si>
    <t>NDAQ</t>
  </si>
  <si>
    <t>NEE</t>
  </si>
  <si>
    <t>NEM</t>
  </si>
  <si>
    <t>NFLX</t>
  </si>
  <si>
    <t>NKE</t>
  </si>
  <si>
    <t>NKTR</t>
  </si>
  <si>
    <t>NLSN</t>
  </si>
  <si>
    <t>NOC</t>
  </si>
  <si>
    <t>NOV</t>
  </si>
  <si>
    <t>NRG</t>
  </si>
  <si>
    <t>NSC</t>
  </si>
  <si>
    <t>NTAP</t>
  </si>
  <si>
    <t>NTRS</t>
  </si>
  <si>
    <t>NUE</t>
  </si>
  <si>
    <t>NVDA</t>
  </si>
  <si>
    <t>NWL</t>
  </si>
  <si>
    <t>NWSA</t>
  </si>
  <si>
    <t>O</t>
  </si>
  <si>
    <t>OKE</t>
  </si>
  <si>
    <t>OMC</t>
  </si>
  <si>
    <t>ORCL</t>
  </si>
  <si>
    <t>ORLY</t>
  </si>
  <si>
    <t>OXY</t>
  </si>
  <si>
    <t>PAYX</t>
  </si>
  <si>
    <t>PBCT</t>
  </si>
  <si>
    <t>PCAR</t>
  </si>
  <si>
    <t>PEP</t>
  </si>
  <si>
    <t>PFE</t>
  </si>
  <si>
    <t>PFG</t>
  </si>
  <si>
    <t>PG</t>
  </si>
  <si>
    <t>PGR</t>
  </si>
  <si>
    <t>PH</t>
  </si>
  <si>
    <t>PHM</t>
  </si>
  <si>
    <t>PKG</t>
  </si>
  <si>
    <t>PKI</t>
  </si>
  <si>
    <t>PLD</t>
  </si>
  <si>
    <t>PM</t>
  </si>
  <si>
    <t>PNC</t>
  </si>
  <si>
    <t>PNR</t>
  </si>
  <si>
    <t>PPG</t>
  </si>
  <si>
    <t>PRGO</t>
  </si>
  <si>
    <t>PRU</t>
  </si>
  <si>
    <t>PSA</t>
  </si>
  <si>
    <t>PSX</t>
  </si>
  <si>
    <t>PVH</t>
  </si>
  <si>
    <t>PWR</t>
  </si>
  <si>
    <t>PXD</t>
  </si>
  <si>
    <t>PYPL</t>
  </si>
  <si>
    <t>QCOM</t>
  </si>
  <si>
    <t>QRVO</t>
  </si>
  <si>
    <t>RCL</t>
  </si>
  <si>
    <t>RE</t>
  </si>
  <si>
    <t>REG</t>
  </si>
  <si>
    <t>REGN</t>
  </si>
  <si>
    <t>RF</t>
  </si>
  <si>
    <t>RHI</t>
  </si>
  <si>
    <t>RJF</t>
  </si>
  <si>
    <t>RL</t>
  </si>
  <si>
    <t>RMD</t>
  </si>
  <si>
    <t>ROK</t>
  </si>
  <si>
    <t>ROP</t>
  </si>
  <si>
    <t>ROST</t>
  </si>
  <si>
    <t>RSG</t>
  </si>
  <si>
    <t>RTN</t>
  </si>
  <si>
    <t>SBAC</t>
  </si>
  <si>
    <t>SBUX</t>
  </si>
  <si>
    <t>SCHW</t>
  </si>
  <si>
    <t>SEE</t>
  </si>
  <si>
    <t>SHW</t>
  </si>
  <si>
    <t>SIVB</t>
  </si>
  <si>
    <t>SJM</t>
  </si>
  <si>
    <t>SLB</t>
  </si>
  <si>
    <t>SLG</t>
  </si>
  <si>
    <t>SNA</t>
  </si>
  <si>
    <t>SNPS</t>
  </si>
  <si>
    <t>SPG</t>
  </si>
  <si>
    <t>SPGI</t>
  </si>
  <si>
    <t>STI</t>
  </si>
  <si>
    <t>STT</t>
  </si>
  <si>
    <t>STX</t>
  </si>
  <si>
    <t>STZ</t>
  </si>
  <si>
    <t>SWK</t>
  </si>
  <si>
    <t>SWKS</t>
  </si>
  <si>
    <t>SYF</t>
  </si>
  <si>
    <t>SYK</t>
  </si>
  <si>
    <t>SYMC</t>
  </si>
  <si>
    <t>SYY</t>
  </si>
  <si>
    <t>T</t>
  </si>
  <si>
    <t>TAP</t>
  </si>
  <si>
    <t>TDG</t>
  </si>
  <si>
    <t>TEL</t>
  </si>
  <si>
    <t>TGT</t>
  </si>
  <si>
    <t>TIF</t>
  </si>
  <si>
    <t>TJX</t>
  </si>
  <si>
    <t>TMO</t>
  </si>
  <si>
    <t>TPR</t>
  </si>
  <si>
    <t>TRIP</t>
  </si>
  <si>
    <t>TROW</t>
  </si>
  <si>
    <t>TRV</t>
  </si>
  <si>
    <t>TSCO</t>
  </si>
  <si>
    <t>TSN</t>
  </si>
  <si>
    <t>TTWO</t>
  </si>
  <si>
    <t>TXN</t>
  </si>
  <si>
    <t>TXT</t>
  </si>
  <si>
    <t>UAA</t>
  </si>
  <si>
    <t>UAL</t>
  </si>
  <si>
    <t>UDR</t>
  </si>
  <si>
    <t>UHS</t>
  </si>
  <si>
    <t>ULTA</t>
  </si>
  <si>
    <t>UNH</t>
  </si>
  <si>
    <t>UNM</t>
  </si>
  <si>
    <t>UNP</t>
  </si>
  <si>
    <t>UPS</t>
  </si>
  <si>
    <t>URI</t>
  </si>
  <si>
    <t>USB</t>
  </si>
  <si>
    <t>UTX</t>
  </si>
  <si>
    <t>V</t>
  </si>
  <si>
    <t>VAR</t>
  </si>
  <si>
    <t>VFC</t>
  </si>
  <si>
    <t>VIAB</t>
  </si>
  <si>
    <t>VLO</t>
  </si>
  <si>
    <t>VMC</t>
  </si>
  <si>
    <t>VNO</t>
  </si>
  <si>
    <t>VRSK</t>
  </si>
  <si>
    <t>VRSN</t>
  </si>
  <si>
    <t>VRTX</t>
  </si>
  <si>
    <t>VTR</t>
  </si>
  <si>
    <t>VZ</t>
  </si>
  <si>
    <t>WAT</t>
  </si>
  <si>
    <t>WBA</t>
  </si>
  <si>
    <t>WDC</t>
  </si>
  <si>
    <t>WELL</t>
  </si>
  <si>
    <t>WFC</t>
  </si>
  <si>
    <t>WHR</t>
  </si>
  <si>
    <t>WLTW</t>
  </si>
  <si>
    <t>WM</t>
  </si>
  <si>
    <t>WMB</t>
  </si>
  <si>
    <t>WMT</t>
  </si>
  <si>
    <t>WRK</t>
  </si>
  <si>
    <t>WU</t>
  </si>
  <si>
    <t>WY</t>
  </si>
  <si>
    <t>WYNN</t>
  </si>
  <si>
    <t>XEC</t>
  </si>
  <si>
    <t>XLNX</t>
  </si>
  <si>
    <t>XOM</t>
  </si>
  <si>
    <t>XRAY</t>
  </si>
  <si>
    <t>XRX</t>
  </si>
  <si>
    <t>XYL</t>
  </si>
  <si>
    <t>YUM</t>
  </si>
  <si>
    <t>ZBH</t>
  </si>
  <si>
    <t>ZION</t>
  </si>
  <si>
    <t>ZTS</t>
  </si>
  <si>
    <t>Total Market Capitalization:</t>
  </si>
  <si>
    <t>[1] Equals sum of Col. [9]</t>
  </si>
  <si>
    <t>[2] Source: Bloomberg Professional</t>
  </si>
  <si>
    <t>[3] Equals [1] − [2]</t>
  </si>
  <si>
    <t>[4] Source: Bloomberg Professional</t>
  </si>
  <si>
    <t xml:space="preserve">[5] Equals weight in S&amp;P 500 based on market capitalization </t>
  </si>
  <si>
    <t>[6] Source: Bloomberg Professional</t>
  </si>
  <si>
    <t>[7] Source: Bloomberg Professional</t>
  </si>
  <si>
    <t>[8] Equals ([6] x (1 + (0.5 x [7]))) + [7]</t>
  </si>
  <si>
    <t>[9] Equals Col. [5] x Col. [8]</t>
  </si>
  <si>
    <t>Market DCF Method Based - Value Line</t>
  </si>
  <si>
    <t>Implied Market 
Risk Premium</t>
  </si>
  <si>
    <t>Estimated 
Dividend Yield</t>
  </si>
  <si>
    <t>Long-Term 
Growth Est.</t>
  </si>
  <si>
    <t>[6] Source: Value Line</t>
  </si>
  <si>
    <t>Bloomberg</t>
  </si>
  <si>
    <t>Capital Asset Pricing Model Results</t>
  </si>
  <si>
    <t>Risk-Free Rate</t>
  </si>
  <si>
    <t>Average Beta Coefficient</t>
  </si>
  <si>
    <t>Bloomberg Market DCF Derived</t>
  </si>
  <si>
    <t>Value Line Market DCF Derived</t>
  </si>
  <si>
    <t>PROXY GROUP AVERAGE BLOOMBERG BETA COEFFICIENT</t>
  </si>
  <si>
    <t>PROXY GROUP AVERAGE VALUE LINE AVERAGE BETA COEFFICIENT</t>
  </si>
  <si>
    <t>[5] Equals Col. [1] + (Col. [2] x Col. [3])</t>
  </si>
  <si>
    <t>Bond Yield Plus Risk Premium</t>
  </si>
  <si>
    <t>Constant</t>
  </si>
  <si>
    <t>Slope</t>
  </si>
  <si>
    <t>30-Year Treasury Yield</t>
  </si>
  <si>
    <t>Return on Equity</t>
  </si>
  <si>
    <t>Current 30-Year Treasury</t>
  </si>
  <si>
    <t>[1] Constant of regression equation</t>
  </si>
  <si>
    <t>[2] Slope of regression equation</t>
  </si>
  <si>
    <t>[3] Source: Current = Bloomberg Professional</t>
  </si>
  <si>
    <t>[4] Equals [1] + ln([3]) x [2]</t>
  </si>
  <si>
    <t>[5] Equals [3] + [4]</t>
  </si>
  <si>
    <t>[6] Source: S&amp;P Global Market Intelligence</t>
  </si>
  <si>
    <t>[7] Source: S&amp;P Global Market Intelligence</t>
  </si>
  <si>
    <t>[9] Equals [7] - [8]</t>
  </si>
  <si>
    <t>Date of Natural Gas Rate Case</t>
  </si>
  <si>
    <t>Adjusted</t>
  </si>
  <si>
    <t>[8] Source: Bloomberg Professional, equals 187-trading day average (i.e. lag period)</t>
  </si>
  <si>
    <t>Agilent Technologies Inc</t>
  </si>
  <si>
    <t>American Airlines Group Inc</t>
  </si>
  <si>
    <t>Advance Auto Parts Inc</t>
  </si>
  <si>
    <t>Apple Inc</t>
  </si>
  <si>
    <t>AbbVie Inc</t>
  </si>
  <si>
    <t>AmerisourceBergen Corp</t>
  </si>
  <si>
    <t>ABIOMED Inc</t>
  </si>
  <si>
    <t>ABMD</t>
  </si>
  <si>
    <t>Abbott Laboratories</t>
  </si>
  <si>
    <t>Accenture PLC</t>
  </si>
  <si>
    <t>Adobe Inc</t>
  </si>
  <si>
    <t>Analog Devices Inc</t>
  </si>
  <si>
    <t>Archer-Daniels-Midland Co</t>
  </si>
  <si>
    <t>Automatic Data Processing Inc</t>
  </si>
  <si>
    <t>Alliance Data Systems Corp</t>
  </si>
  <si>
    <t>Autodesk Inc</t>
  </si>
  <si>
    <t>Ameren Corp</t>
  </si>
  <si>
    <t>American Electric Power Co Inc</t>
  </si>
  <si>
    <t>AES Corp/VA</t>
  </si>
  <si>
    <t>Aflac Inc</t>
  </si>
  <si>
    <t>Allergan PLC</t>
  </si>
  <si>
    <t>American International Group Inc</t>
  </si>
  <si>
    <t>Apartment Investment &amp; Management Co</t>
  </si>
  <si>
    <t>Assurant Inc</t>
  </si>
  <si>
    <t>Arthur J Gallagher &amp; Co</t>
  </si>
  <si>
    <t>Akamai Technologies Inc</t>
  </si>
  <si>
    <t>Albemarle Corp</t>
  </si>
  <si>
    <t>Align Technology Inc</t>
  </si>
  <si>
    <t>Alaska Air Group Inc</t>
  </si>
  <si>
    <t>Allstate Corp/The</t>
  </si>
  <si>
    <t>Allegion PLC</t>
  </si>
  <si>
    <t>Alexion Pharmaceuticals Inc</t>
  </si>
  <si>
    <t>Applied Materials Inc</t>
  </si>
  <si>
    <t>Advanced Micro Devices Inc</t>
  </si>
  <si>
    <t>AMETEK Inc</t>
  </si>
  <si>
    <t>Affiliated Managers Group Inc</t>
  </si>
  <si>
    <t>Amgen Inc</t>
  </si>
  <si>
    <t>Ameriprise Financial Inc</t>
  </si>
  <si>
    <t>American Tower Corp</t>
  </si>
  <si>
    <t>Amazon.com Inc</t>
  </si>
  <si>
    <t>Arista Networks Inc</t>
  </si>
  <si>
    <t>ANET</t>
  </si>
  <si>
    <t>ANSYS Inc</t>
  </si>
  <si>
    <t>Anthem Inc</t>
  </si>
  <si>
    <t>Aon PLC</t>
  </si>
  <si>
    <t>AO Smith Corp</t>
  </si>
  <si>
    <t>Apache Corp</t>
  </si>
  <si>
    <t>Air Products &amp; Chemicals Inc</t>
  </si>
  <si>
    <t>Amphenol Corp</t>
  </si>
  <si>
    <t>Aptiv PLC</t>
  </si>
  <si>
    <t>Alexandria Real Estate Equities Inc</t>
  </si>
  <si>
    <t>Arconic Inc</t>
  </si>
  <si>
    <t>Activision Blizzard Inc</t>
  </si>
  <si>
    <t>AvalonBay Communities Inc</t>
  </si>
  <si>
    <t>Broadcom Inc</t>
  </si>
  <si>
    <t>Avery Dennison Corp</t>
  </si>
  <si>
    <t>American Water Works Co Inc</t>
  </si>
  <si>
    <t>American Express Co</t>
  </si>
  <si>
    <t>AutoZone Inc</t>
  </si>
  <si>
    <t>Boeing Co/The</t>
  </si>
  <si>
    <t>Bank of America Corp</t>
  </si>
  <si>
    <t>Baxter International Inc</t>
  </si>
  <si>
    <t>BB&amp;T Corp</t>
  </si>
  <si>
    <t>Best Buy Co Inc</t>
  </si>
  <si>
    <t>Becton Dickinson and Co</t>
  </si>
  <si>
    <t>Franklin Resources Inc</t>
  </si>
  <si>
    <t>Brown-Forman Corp</t>
  </si>
  <si>
    <t>Baker Hughes a GE Co</t>
  </si>
  <si>
    <t>Biogen Inc</t>
  </si>
  <si>
    <t>Bank of New York Mellon Corp/The</t>
  </si>
  <si>
    <t>Booking Holdings Inc</t>
  </si>
  <si>
    <t>BlackRock Inc</t>
  </si>
  <si>
    <t>Ball Corp</t>
  </si>
  <si>
    <t>Bristol-Myers Squibb Co</t>
  </si>
  <si>
    <t>Broadridge Financial Solutions Inc</t>
  </si>
  <si>
    <t>BR</t>
  </si>
  <si>
    <t>Berkshire Hathaway Inc</t>
  </si>
  <si>
    <t>Boston Scientific Corp</t>
  </si>
  <si>
    <t>BorgWarner Inc</t>
  </si>
  <si>
    <t>Boston Properties Inc</t>
  </si>
  <si>
    <t>Citigroup Inc</t>
  </si>
  <si>
    <t>Conagra Brands Inc</t>
  </si>
  <si>
    <t>Cardinal Health Inc</t>
  </si>
  <si>
    <t>Caterpillar Inc</t>
  </si>
  <si>
    <t>Chubb Ltd</t>
  </si>
  <si>
    <t>Cboe Global Markets Inc</t>
  </si>
  <si>
    <t>CBRE Group Inc</t>
  </si>
  <si>
    <t>CBS Corp</t>
  </si>
  <si>
    <t>Crown Castle International Corp</t>
  </si>
  <si>
    <t>Carnival Corp</t>
  </si>
  <si>
    <t>Cadence Design Systems Inc</t>
  </si>
  <si>
    <t>Celgene Corp</t>
  </si>
  <si>
    <t>CE</t>
  </si>
  <si>
    <t>Cerner Corp</t>
  </si>
  <si>
    <t>CF Industries Holdings Inc</t>
  </si>
  <si>
    <t>Citizens Financial Group Inc</t>
  </si>
  <si>
    <t>Church &amp; Dwight Co Inc</t>
  </si>
  <si>
    <t>CH Robinson Worldwide Inc</t>
  </si>
  <si>
    <t>Charter Communications Inc</t>
  </si>
  <si>
    <t>Cigna Corp</t>
  </si>
  <si>
    <t>Cincinnati Financial Corp</t>
  </si>
  <si>
    <t>Colgate-Palmolive Co</t>
  </si>
  <si>
    <t>Clorox Co/The</t>
  </si>
  <si>
    <t>Comerica Inc</t>
  </si>
  <si>
    <t>Comcast Corp</t>
  </si>
  <si>
    <t>CME Group Inc</t>
  </si>
  <si>
    <t>Chipotle Mexican Grill Inc</t>
  </si>
  <si>
    <t>Cummins Inc</t>
  </si>
  <si>
    <t>CMS Energy Corp</t>
  </si>
  <si>
    <t>Centene Corp</t>
  </si>
  <si>
    <t>CenterPoint Energy Inc</t>
  </si>
  <si>
    <t>Capital One Financial Corp</t>
  </si>
  <si>
    <t>Cabot Oil &amp; Gas Corp</t>
  </si>
  <si>
    <t>Cooper Cos Inc/The</t>
  </si>
  <si>
    <t>ConocoPhillips</t>
  </si>
  <si>
    <t>Costco Wholesale Corp</t>
  </si>
  <si>
    <t>Coty Inc</t>
  </si>
  <si>
    <t>Campbell Soup Co</t>
  </si>
  <si>
    <t>Copart Inc</t>
  </si>
  <si>
    <t>salesforce.com Inc</t>
  </si>
  <si>
    <t>CPRI</t>
  </si>
  <si>
    <t>Cisco Systems Inc</t>
  </si>
  <si>
    <t>CPRT</t>
  </si>
  <si>
    <t>CSX Corp</t>
  </si>
  <si>
    <t>Cintas Corp</t>
  </si>
  <si>
    <t>CenturyLink Inc</t>
  </si>
  <si>
    <t>Cognizant Technology Solutions Corp</t>
  </si>
  <si>
    <t>Citrix Systems Inc</t>
  </si>
  <si>
    <t>CVS Health Corp</t>
  </si>
  <si>
    <t>Chevron Corp</t>
  </si>
  <si>
    <t>Concho Resources Inc</t>
  </si>
  <si>
    <t>Dominion Energy Inc</t>
  </si>
  <si>
    <t>Delta Air Lines Inc</t>
  </si>
  <si>
    <t>Deere &amp; Co</t>
  </si>
  <si>
    <t>Discover Financial Services</t>
  </si>
  <si>
    <t>Dollar General Corp</t>
  </si>
  <si>
    <t>Quest Diagnostics Inc</t>
  </si>
  <si>
    <t>DR Horton Inc</t>
  </si>
  <si>
    <t>Danaher Corp</t>
  </si>
  <si>
    <t>Walt Disney Co/The</t>
  </si>
  <si>
    <t>Discovery Inc</t>
  </si>
  <si>
    <t>DISH Network Corp</t>
  </si>
  <si>
    <t>Digital Realty Trust Inc</t>
  </si>
  <si>
    <t>Dollar Tree Inc</t>
  </si>
  <si>
    <t>Dover Corp</t>
  </si>
  <si>
    <t>Duke Realty Corp</t>
  </si>
  <si>
    <t>Darden Restaurants Inc</t>
  </si>
  <si>
    <t>DTE Energy Co</t>
  </si>
  <si>
    <t>Duke Energy Corp</t>
  </si>
  <si>
    <t>DaVita Inc</t>
  </si>
  <si>
    <t>Devon Energy Corp</t>
  </si>
  <si>
    <t>DXC Technology Co</t>
  </si>
  <si>
    <t>Electronic Arts Inc</t>
  </si>
  <si>
    <t>eBay Inc</t>
  </si>
  <si>
    <t>Ecolab Inc</t>
  </si>
  <si>
    <t>Consolidated Edison Inc</t>
  </si>
  <si>
    <t>Equifax Inc</t>
  </si>
  <si>
    <t>Edison International</t>
  </si>
  <si>
    <t>Estee Lauder Cos Inc/The</t>
  </si>
  <si>
    <t>Eastman Chemical Co</t>
  </si>
  <si>
    <t>Emerson Electric Co</t>
  </si>
  <si>
    <t>EOG Resources Inc</t>
  </si>
  <si>
    <t>Equinix Inc</t>
  </si>
  <si>
    <t>Equity Residential</t>
  </si>
  <si>
    <t>Eversource Energy</t>
  </si>
  <si>
    <t>Essex Property Trust Inc</t>
  </si>
  <si>
    <t>E*TRADE Financial Corp</t>
  </si>
  <si>
    <t>Eaton Corp PLC</t>
  </si>
  <si>
    <t>Entergy Corp</t>
  </si>
  <si>
    <t>Evergy Inc</t>
  </si>
  <si>
    <t>Edwards Lifesciences Corp</t>
  </si>
  <si>
    <t>EVRG</t>
  </si>
  <si>
    <t>Exelon Corp</t>
  </si>
  <si>
    <t>Expeditors International of Washington I</t>
  </si>
  <si>
    <t>Expedia Group Inc</t>
  </si>
  <si>
    <t>Extra Space Storage Inc</t>
  </si>
  <si>
    <t>Ford Motor Co</t>
  </si>
  <si>
    <t>Diamondback Energy Inc</t>
  </si>
  <si>
    <t>Fastenal Co</t>
  </si>
  <si>
    <t>FANG</t>
  </si>
  <si>
    <t>Facebook Inc</t>
  </si>
  <si>
    <t>Fortune Brands Home &amp; Security Inc</t>
  </si>
  <si>
    <t>Freeport-McMoRan Inc</t>
  </si>
  <si>
    <t>FedEx Corp</t>
  </si>
  <si>
    <t>FirstEnergy Corp</t>
  </si>
  <si>
    <t>F5 Networks Inc</t>
  </si>
  <si>
    <t>Fidelity National Information Services I</t>
  </si>
  <si>
    <t>Fiserv Inc</t>
  </si>
  <si>
    <t>Fifth Third Bancorp</t>
  </si>
  <si>
    <t>FLIR Systems Inc</t>
  </si>
  <si>
    <t>Flowserve Corp</t>
  </si>
  <si>
    <t>FleetCor Technologies Inc</t>
  </si>
  <si>
    <t>FMC Corp</t>
  </si>
  <si>
    <t>FLT</t>
  </si>
  <si>
    <t>Federal Realty Investment Trust</t>
  </si>
  <si>
    <t>TechnipFMC PLC</t>
  </si>
  <si>
    <t>FRC</t>
  </si>
  <si>
    <t>Fortinet Inc</t>
  </si>
  <si>
    <t>Fortive Corp</t>
  </si>
  <si>
    <t>General Dynamics Corp</t>
  </si>
  <si>
    <t>FTNT</t>
  </si>
  <si>
    <t>General Electric Co</t>
  </si>
  <si>
    <t>Gilead Sciences Inc</t>
  </si>
  <si>
    <t>General Mills Inc</t>
  </si>
  <si>
    <t>Corning Inc</t>
  </si>
  <si>
    <t>General Motors Co</t>
  </si>
  <si>
    <t>Alphabet Inc</t>
  </si>
  <si>
    <t>Genuine Parts Co</t>
  </si>
  <si>
    <t>Global Payments Inc</t>
  </si>
  <si>
    <t>Gap Inc/The</t>
  </si>
  <si>
    <t>Garmin Ltd</t>
  </si>
  <si>
    <t>Goldman Sachs Group Inc/The</t>
  </si>
  <si>
    <t>WW Grainger Inc</t>
  </si>
  <si>
    <t>Halliburton Co</t>
  </si>
  <si>
    <t>Hasbro Inc</t>
  </si>
  <si>
    <t>Huntington Bancshares Inc/OH</t>
  </si>
  <si>
    <t>Hanesbrands Inc</t>
  </si>
  <si>
    <t>HCA Healthcare Inc</t>
  </si>
  <si>
    <t>HCP Inc</t>
  </si>
  <si>
    <t>Home Depot Inc/The</t>
  </si>
  <si>
    <t>Hess Corp</t>
  </si>
  <si>
    <t>HollyFrontier Corp</t>
  </si>
  <si>
    <t>Hartford Financial Services Group Inc/Th</t>
  </si>
  <si>
    <t>Huntington Ingalls Industries Inc</t>
  </si>
  <si>
    <t>HFC</t>
  </si>
  <si>
    <t>Hilton Worldwide Holdings Inc</t>
  </si>
  <si>
    <t>Harley-Davidson Inc</t>
  </si>
  <si>
    <t>Hologic Inc</t>
  </si>
  <si>
    <t>Honeywell International Inc</t>
  </si>
  <si>
    <t>Helmerich &amp; Payne Inc</t>
  </si>
  <si>
    <t>Hewlett Packard Enterprise Co</t>
  </si>
  <si>
    <t>HP Inc</t>
  </si>
  <si>
    <t>H&amp;R Block Inc</t>
  </si>
  <si>
    <t>Hormel Foods Corp</t>
  </si>
  <si>
    <t>Henry Schein Inc</t>
  </si>
  <si>
    <t>Host Hotels &amp; Resorts Inc</t>
  </si>
  <si>
    <t>Hershey Co/The</t>
  </si>
  <si>
    <t>Humana Inc</t>
  </si>
  <si>
    <t>International Business Machines Corp</t>
  </si>
  <si>
    <t>Intercontinental Exchange Inc</t>
  </si>
  <si>
    <t>IDEXX Laboratories Inc</t>
  </si>
  <si>
    <t>International Flavors &amp; Fragrances Inc</t>
  </si>
  <si>
    <t>Illumina Inc</t>
  </si>
  <si>
    <t>Incyte Corp</t>
  </si>
  <si>
    <t>IHS Markit Ltd</t>
  </si>
  <si>
    <t>Intel Corp</t>
  </si>
  <si>
    <t>Intuit Inc</t>
  </si>
  <si>
    <t>International Paper Co</t>
  </si>
  <si>
    <t>Interpublic Group of Cos Inc/The</t>
  </si>
  <si>
    <t>IPG Photonics Corp</t>
  </si>
  <si>
    <t>IQVIA Holdings Inc</t>
  </si>
  <si>
    <t>Ingersoll-Rand PLC</t>
  </si>
  <si>
    <t>Iron Mountain Inc</t>
  </si>
  <si>
    <t>Intuitive Surgical Inc</t>
  </si>
  <si>
    <t>Gartner Inc</t>
  </si>
  <si>
    <t>Illinois Tool Works Inc</t>
  </si>
  <si>
    <t>Invesco Ltd</t>
  </si>
  <si>
    <t>JB Hunt Transport Services Inc</t>
  </si>
  <si>
    <t>Johnson Controls International plc</t>
  </si>
  <si>
    <t>Jacobs Engineering Group Inc</t>
  </si>
  <si>
    <t>Jack Henry &amp; Associates Inc</t>
  </si>
  <si>
    <t>Johnson &amp; Johnson</t>
  </si>
  <si>
    <t>Juniper Networks Inc</t>
  </si>
  <si>
    <t>JKHY</t>
  </si>
  <si>
    <t>JPMorgan Chase &amp; Co</t>
  </si>
  <si>
    <t>Nordstrom Inc</t>
  </si>
  <si>
    <t>Kellogg Co</t>
  </si>
  <si>
    <t>KeyCorp</t>
  </si>
  <si>
    <t>Keysight Technologies Inc</t>
  </si>
  <si>
    <t>Kraft Heinz Co/The</t>
  </si>
  <si>
    <t>Kimco Realty Corp</t>
  </si>
  <si>
    <t>KEYS</t>
  </si>
  <si>
    <t>Kimberly-Clark Corp</t>
  </si>
  <si>
    <t>Kinder Morgan Inc/DE</t>
  </si>
  <si>
    <t>CarMax Inc</t>
  </si>
  <si>
    <t>Coca-Cola Co/The</t>
  </si>
  <si>
    <t>Kroger Co/The</t>
  </si>
  <si>
    <t>Kohl's Corp</t>
  </si>
  <si>
    <t>Kansas City Southern</t>
  </si>
  <si>
    <t>Loews Corp</t>
  </si>
  <si>
    <t>L Brands Inc</t>
  </si>
  <si>
    <t>Leggett &amp; Platt Inc</t>
  </si>
  <si>
    <t>Lennar Corp</t>
  </si>
  <si>
    <t>Laboratory Corp of America Holdings</t>
  </si>
  <si>
    <t>Linde PLC</t>
  </si>
  <si>
    <t>LKQ Corp</t>
  </si>
  <si>
    <t>LIN</t>
  </si>
  <si>
    <t>Eli Lilly &amp; Co</t>
  </si>
  <si>
    <t>Lockheed Martin Corp</t>
  </si>
  <si>
    <t>Lincoln National Corp</t>
  </si>
  <si>
    <t>Alliant Energy Corp</t>
  </si>
  <si>
    <t>Lowe's Cos Inc</t>
  </si>
  <si>
    <t>Lam Research Corp</t>
  </si>
  <si>
    <t>Southwest Airlines Co</t>
  </si>
  <si>
    <t>Lamb Weston Holdings Inc</t>
  </si>
  <si>
    <t>LyondellBasell Industries NV</t>
  </si>
  <si>
    <t>LW</t>
  </si>
  <si>
    <t>Macy's Inc</t>
  </si>
  <si>
    <t>Mastercard Inc</t>
  </si>
  <si>
    <t>Mid-America Apartment Communities Inc</t>
  </si>
  <si>
    <t>Macerich Co/The</t>
  </si>
  <si>
    <t>Marriott International Inc/MD</t>
  </si>
  <si>
    <t>Masco Corp</t>
  </si>
  <si>
    <t>McDonald's Corp</t>
  </si>
  <si>
    <t>Microchip Technology Inc</t>
  </si>
  <si>
    <t>McKesson Corp</t>
  </si>
  <si>
    <t>Moody's Corp</t>
  </si>
  <si>
    <t>Mondelez International Inc</t>
  </si>
  <si>
    <t>Medtronic PLC</t>
  </si>
  <si>
    <t>MetLife Inc</t>
  </si>
  <si>
    <t>MGM Resorts International</t>
  </si>
  <si>
    <t>Mohawk Industries Inc</t>
  </si>
  <si>
    <t>McCormick &amp; Co Inc/MD</t>
  </si>
  <si>
    <t>Martin Marietta Materials Inc</t>
  </si>
  <si>
    <t>Marsh &amp; McLennan Cos Inc</t>
  </si>
  <si>
    <t>3M Co</t>
  </si>
  <si>
    <t>Monster Beverage Corp</t>
  </si>
  <si>
    <t>Altria Group Inc</t>
  </si>
  <si>
    <t>Mosaic Co/The</t>
  </si>
  <si>
    <t>Marathon Petroleum Corp</t>
  </si>
  <si>
    <t>Merck &amp; Co Inc</t>
  </si>
  <si>
    <t>Marathon Oil Corp</t>
  </si>
  <si>
    <t>Morgan Stanley</t>
  </si>
  <si>
    <t>MSCI Inc</t>
  </si>
  <si>
    <t>Microsoft Corp</t>
  </si>
  <si>
    <t>MSCI</t>
  </si>
  <si>
    <t>Motorola Solutions Inc</t>
  </si>
  <si>
    <t>M&amp;T Bank Corp</t>
  </si>
  <si>
    <t>Mettler-Toledo International Inc</t>
  </si>
  <si>
    <t>Micron Technology Inc</t>
  </si>
  <si>
    <t>Maxim Integrated Products Inc</t>
  </si>
  <si>
    <t>Mylan NV</t>
  </si>
  <si>
    <t>MXIM</t>
  </si>
  <si>
    <t>Noble Energy Inc</t>
  </si>
  <si>
    <t>Norwegian Cruise Line Holdings Ltd</t>
  </si>
  <si>
    <t>Nasdaq Inc</t>
  </si>
  <si>
    <t>NextEra Energy Inc</t>
  </si>
  <si>
    <t>Netflix Inc</t>
  </si>
  <si>
    <t>NiSource Inc</t>
  </si>
  <si>
    <t>NIKE Inc</t>
  </si>
  <si>
    <t>Nektar Therapeutics</t>
  </si>
  <si>
    <t>Nielsen Holdings PLC</t>
  </si>
  <si>
    <t>Northrop Grumman Corp</t>
  </si>
  <si>
    <t>National Oilwell Varco Inc</t>
  </si>
  <si>
    <t>NRG Energy Inc</t>
  </si>
  <si>
    <t>Norfolk Southern Corp</t>
  </si>
  <si>
    <t>NetApp Inc</t>
  </si>
  <si>
    <t>Northern Trust Corp</t>
  </si>
  <si>
    <t>Nucor Corp</t>
  </si>
  <si>
    <t>NVIDIA Corp</t>
  </si>
  <si>
    <t>Newell Brands Inc</t>
  </si>
  <si>
    <t>News Corp</t>
  </si>
  <si>
    <t>Realty Income Corp</t>
  </si>
  <si>
    <t>ONEOK Inc</t>
  </si>
  <si>
    <t>Omnicom Group Inc</t>
  </si>
  <si>
    <t>Oracle Corp</t>
  </si>
  <si>
    <t>O'Reilly Automotive Inc</t>
  </si>
  <si>
    <t>Occidental Petroleum Corp</t>
  </si>
  <si>
    <t>Paychex Inc</t>
  </si>
  <si>
    <t>People's United Financial Inc</t>
  </si>
  <si>
    <t>PACCAR Inc</t>
  </si>
  <si>
    <t>Public Service Enterprise Group Inc</t>
  </si>
  <si>
    <t>PepsiCo Inc</t>
  </si>
  <si>
    <t>Pfizer Inc</t>
  </si>
  <si>
    <t>Principal Financial Group Inc</t>
  </si>
  <si>
    <t>Procter &amp; Gamble Co/The</t>
  </si>
  <si>
    <t>Progressive Corp/The</t>
  </si>
  <si>
    <t>Parker-Hannifin Corp</t>
  </si>
  <si>
    <t>PulteGroup Inc</t>
  </si>
  <si>
    <t>Packaging Corp of America</t>
  </si>
  <si>
    <t>PerkinElmer Inc</t>
  </si>
  <si>
    <t>Prologis Inc</t>
  </si>
  <si>
    <t>Philip Morris International Inc</t>
  </si>
  <si>
    <t>PNC Financial Services Group Inc/The</t>
  </si>
  <si>
    <t>Pentair PLC</t>
  </si>
  <si>
    <t>Pinnacle West Capital Corp</t>
  </si>
  <si>
    <t>PPG Industries Inc</t>
  </si>
  <si>
    <t>PPL Corp</t>
  </si>
  <si>
    <t>Perrigo Co PLC</t>
  </si>
  <si>
    <t>Prudential Financial Inc</t>
  </si>
  <si>
    <t>Public Storage</t>
  </si>
  <si>
    <t>Phillips 66</t>
  </si>
  <si>
    <t>PVH Corp</t>
  </si>
  <si>
    <t>Quanta Services Inc</t>
  </si>
  <si>
    <t>Pioneer Natural Resources Co</t>
  </si>
  <si>
    <t>PayPal Holdings Inc</t>
  </si>
  <si>
    <t>QUALCOMM Inc</t>
  </si>
  <si>
    <t>Qorvo Inc</t>
  </si>
  <si>
    <t>Royal Caribbean Cruises Ltd</t>
  </si>
  <si>
    <t>Everest Re Group Ltd</t>
  </si>
  <si>
    <t>Regency Centers Corp</t>
  </si>
  <si>
    <t>Regeneron Pharmaceuticals Inc</t>
  </si>
  <si>
    <t>Regions Financial Corp</t>
  </si>
  <si>
    <t>Robert Half International Inc</t>
  </si>
  <si>
    <t>Raymond James Financial Inc</t>
  </si>
  <si>
    <t>Ralph Lauren Corp</t>
  </si>
  <si>
    <t>ResMed Inc</t>
  </si>
  <si>
    <t>Rockwell Automation Inc</t>
  </si>
  <si>
    <t>Rollins Inc</t>
  </si>
  <si>
    <t>ROL</t>
  </si>
  <si>
    <t>Roper Technologies Inc</t>
  </si>
  <si>
    <t>Ross Stores Inc</t>
  </si>
  <si>
    <t>Republic Services Inc</t>
  </si>
  <si>
    <t>Raytheon Co</t>
  </si>
  <si>
    <t>SBA Communications Corp</t>
  </si>
  <si>
    <t>Starbucks Corp</t>
  </si>
  <si>
    <t>Charles Schwab Corp/The</t>
  </si>
  <si>
    <t>Sealed Air Corp</t>
  </si>
  <si>
    <t>Sherwin-Williams Co/The</t>
  </si>
  <si>
    <t>SVB Financial Group</t>
  </si>
  <si>
    <t>JM Smucker Co/The</t>
  </si>
  <si>
    <t>Schlumberger Ltd</t>
  </si>
  <si>
    <t>SL Green Realty Corp</t>
  </si>
  <si>
    <t>Snap-on Inc</t>
  </si>
  <si>
    <t>Synopsys Inc</t>
  </si>
  <si>
    <t>Southern Co/The</t>
  </si>
  <si>
    <t>Simon Property Group Inc</t>
  </si>
  <si>
    <t>S&amp;P Global Inc</t>
  </si>
  <si>
    <t>Sempra Energy</t>
  </si>
  <si>
    <t>SunTrust Banks Inc</t>
  </si>
  <si>
    <t>State Street Corp</t>
  </si>
  <si>
    <t>Seagate Technology PLC</t>
  </si>
  <si>
    <t>Constellation Brands Inc</t>
  </si>
  <si>
    <t>Stanley Black &amp; Decker Inc</t>
  </si>
  <si>
    <t>Skyworks Solutions Inc</t>
  </si>
  <si>
    <t>Synchrony Financial</t>
  </si>
  <si>
    <t>Stryker Corp</t>
  </si>
  <si>
    <t>Symantec Corp</t>
  </si>
  <si>
    <t>Sysco Corp</t>
  </si>
  <si>
    <t>AT&amp;T Inc</t>
  </si>
  <si>
    <t>Molson Coors Brewing Co</t>
  </si>
  <si>
    <t>TransDigm Group Inc</t>
  </si>
  <si>
    <t>TE Connectivity Ltd</t>
  </si>
  <si>
    <t>TFX</t>
  </si>
  <si>
    <t>Target Corp</t>
  </si>
  <si>
    <t>Tiffany &amp; Co</t>
  </si>
  <si>
    <t>TJX Cos Inc/The</t>
  </si>
  <si>
    <t>Thermo Fisher Scientific Inc</t>
  </si>
  <si>
    <t>Tapestry Inc</t>
  </si>
  <si>
    <t>TripAdvisor Inc</t>
  </si>
  <si>
    <t>T Rowe Price Group Inc</t>
  </si>
  <si>
    <t>Travelers Cos Inc/The</t>
  </si>
  <si>
    <t>Tractor Supply Co</t>
  </si>
  <si>
    <t>Tyson Foods Inc</t>
  </si>
  <si>
    <t>Take-Two Interactive Software Inc</t>
  </si>
  <si>
    <t>Twitter Inc</t>
  </si>
  <si>
    <t>TWTR</t>
  </si>
  <si>
    <t>Texas Instruments Inc</t>
  </si>
  <si>
    <t>Textron Inc</t>
  </si>
  <si>
    <t>Under Armour Inc</t>
  </si>
  <si>
    <t>UDR Inc</t>
  </si>
  <si>
    <t>Universal Health Services Inc</t>
  </si>
  <si>
    <t>Ulta Beauty Inc</t>
  </si>
  <si>
    <t>UnitedHealth Group Inc</t>
  </si>
  <si>
    <t>Unum Group</t>
  </si>
  <si>
    <t>Union Pacific Corp</t>
  </si>
  <si>
    <t>United Parcel Service Inc</t>
  </si>
  <si>
    <t>United Rentals Inc</t>
  </si>
  <si>
    <t>US Bancorp</t>
  </si>
  <si>
    <t>United Technologies Corp</t>
  </si>
  <si>
    <t>Visa Inc</t>
  </si>
  <si>
    <t>Varian Medical Systems Inc</t>
  </si>
  <si>
    <t>VF Corp</t>
  </si>
  <si>
    <t>Viacom Inc</t>
  </si>
  <si>
    <t>Valero Energy Corp</t>
  </si>
  <si>
    <t>Vulcan Materials Co</t>
  </si>
  <si>
    <t>Vornado Realty Trust</t>
  </si>
  <si>
    <t>Verisk Analytics Inc</t>
  </si>
  <si>
    <t>VeriSign Inc</t>
  </si>
  <si>
    <t>Vertex Pharmaceuticals Inc</t>
  </si>
  <si>
    <t>Ventas Inc</t>
  </si>
  <si>
    <t>Verizon Communications Inc</t>
  </si>
  <si>
    <t>Waters Corp</t>
  </si>
  <si>
    <t>Walgreens Boots Alliance Inc</t>
  </si>
  <si>
    <t>WellCare Health Plans Inc</t>
  </si>
  <si>
    <t>WCG</t>
  </si>
  <si>
    <t>Western Digital Corp</t>
  </si>
  <si>
    <t>WEC Energy Group Inc</t>
  </si>
  <si>
    <t>Welltower Inc</t>
  </si>
  <si>
    <t>Wells Fargo &amp; Co</t>
  </si>
  <si>
    <t>Whirlpool Corp</t>
  </si>
  <si>
    <t>Willis Towers Watson PLC</t>
  </si>
  <si>
    <t>Waste Management Inc</t>
  </si>
  <si>
    <t>Williams Cos Inc/The</t>
  </si>
  <si>
    <t>Walmart Inc</t>
  </si>
  <si>
    <t>Westrock Co</t>
  </si>
  <si>
    <t>Western Union Co/The</t>
  </si>
  <si>
    <t>Weyerhaeuser Co</t>
  </si>
  <si>
    <t>Wynn Resorts Ltd</t>
  </si>
  <si>
    <t>Cimarex Energy Co</t>
  </si>
  <si>
    <t>Xcel Energy Inc</t>
  </si>
  <si>
    <t>Xilinx Inc</t>
  </si>
  <si>
    <t>Exxon Mobil Corp</t>
  </si>
  <si>
    <t>DENTSPLY SIRONA Inc</t>
  </si>
  <si>
    <t>Xylem Inc/NY</t>
  </si>
  <si>
    <t>Yum! Brands Inc</t>
  </si>
  <si>
    <t>Zimmer Biomet Holdings Inc</t>
  </si>
  <si>
    <t>Zions Bancorp NA</t>
  </si>
  <si>
    <t>Zoetis Inc</t>
  </si>
  <si>
    <t>Celanese Corp</t>
  </si>
  <si>
    <t>Capri Holdings Ltd</t>
  </si>
  <si>
    <t>First Republic Bank/CA</t>
  </si>
  <si>
    <t>Teleflex Inc</t>
  </si>
  <si>
    <t>Atmos Energy Corp</t>
  </si>
  <si>
    <t>Wabtec Corp</t>
  </si>
  <si>
    <t>WAB</t>
  </si>
  <si>
    <t xml:space="preserve"> CAPM Result</t>
  </si>
  <si>
    <t>[6] Equals Col. [1] + (Col. [2] x Col. [4])</t>
  </si>
  <si>
    <t>Projected Earnings per share 2022-2024</t>
  </si>
  <si>
    <t>Projected Dividend Declared per share 2022-24</t>
  </si>
  <si>
    <t>Projected Book Value per Share 2022-24</t>
  </si>
  <si>
    <t>Projected Common Shares Outstanding 2022-24</t>
  </si>
  <si>
    <t>2019 High Price</t>
  </si>
  <si>
    <t>2019 Low Price</t>
  </si>
  <si>
    <t>Projected Book Value per Share 2019</t>
  </si>
  <si>
    <t>[9] Equals ([8] / [7]) ^ 0.25 - 1</t>
  </si>
  <si>
    <t>[6] Equals [1] x [5]</t>
  </si>
  <si>
    <t>[4] Equals = ([3] / [2])^(1/4)-1</t>
  </si>
  <si>
    <t>[5] Equals (2 x (1 + [4])) / (2 + [4])</t>
  </si>
  <si>
    <t>[3] Source: Value Line</t>
  </si>
  <si>
    <t>Median</t>
  </si>
  <si>
    <t>ROE</t>
  </si>
  <si>
    <t>Factor</t>
  </si>
  <si>
    <t>% Increase</t>
  </si>
  <si>
    <t>2022-24</t>
  </si>
  <si>
    <t>Adjustment</t>
  </si>
  <si>
    <t>Shares Outstanding</t>
  </si>
  <si>
    <t>Expected</t>
  </si>
  <si>
    <t>Expected Earnings Analysis</t>
  </si>
  <si>
    <t>[6] Source: Ibbotson Associates, 2018 Ibbotson SBBI Market Report</t>
  </si>
  <si>
    <t>[5] Source: Bloomberg Professional Services, 30-day average</t>
  </si>
  <si>
    <t>[4] Source: Bloomberg Professional Services, 30-day average</t>
  </si>
  <si>
    <t>[3] Source: Bloomberg Professional Services</t>
  </si>
  <si>
    <t>[2] WG's MD ratebase of $1,099.443M (from Exhibit RET-1, at 1) mutiplied by the recommended equity ratio of 51.69% (from Exhibit DIB-1).</t>
  </si>
  <si>
    <t>[1] WGL Holdings, Inc. SEC Form 10-K for the fiscal year ended September 30, 2017, at 9.</t>
  </si>
  <si>
    <t>Difference from Proxy Group Median</t>
  </si>
  <si>
    <t>7th Decile Size Premium</t>
  </si>
  <si>
    <t xml:space="preserve">Size Premium </t>
  </si>
  <si>
    <t>High</t>
  </si>
  <si>
    <t>Low</t>
  </si>
  <si>
    <t>Decile</t>
  </si>
  <si>
    <t>Market Capitalization ($Mil) [6]</t>
  </si>
  <si>
    <t>MEAN</t>
  </si>
  <si>
    <t>MEDIAN</t>
  </si>
  <si>
    <t>Market to Book Ratio</t>
  </si>
  <si>
    <t>Market Cap ($Mil)</t>
  </si>
  <si>
    <t xml:space="preserve">Customers (Mil) </t>
  </si>
  <si>
    <t>Company Name</t>
  </si>
  <si>
    <t>Piedmont NC Implied Market Cap</t>
  </si>
  <si>
    <t>Median Market to Book for Comp Group</t>
  </si>
  <si>
    <t>Piedmont NC Equity</t>
  </si>
  <si>
    <t>($Mil)</t>
  </si>
  <si>
    <t>Small Size Premium</t>
  </si>
  <si>
    <t>ECAPM Result</t>
  </si>
  <si>
    <t xml:space="preserve"> ECAPM Result</t>
  </si>
  <si>
    <t>[7] Equals Col. [1] + (0.75 x Col. [2] x Col. [3]) + (0.25 x Col. [3])</t>
  </si>
  <si>
    <t>[8] Equals Col. [1] + (0.75 x Col. [2] x Col. [4]) + (0.25 x Col. [4])</t>
  </si>
  <si>
    <t>[9] Source: Bloomberg Professional</t>
  </si>
  <si>
    <t>[1] See Notes [9] and [10]</t>
  </si>
  <si>
    <t>Northwest Natural Holding Company</t>
  </si>
  <si>
    <t>Common Equity</t>
  </si>
  <si>
    <t>Long-Term Debt</t>
  </si>
  <si>
    <t>允䅁䉁䅅䅁䍁䅁䅁䅁䅁䅁䅁杄䅁䑁䅉䅍硁䑁䅣兕硁䅁䅁杄䅁䅁䄴䅁祁䑁䅁免㍁䙁䅅杍䅁䅁䅍䅁佁䅁䅁杍睁䑁䅅睎剂䑁䅍䅁䵁䅁䅁杄䅁䑁䅉䅍硁䑁䅣兕ぁ䅁䅁兄䅁䅁䄴䅁祁䑁䅁免㑁䙁䅅免䅁䅁䅧䅁佁䅁䅁杍睁䑁䅅䅏剂䑁䅉䅁䱁䅁䅁杄䅁䑁䅉䅍硁䑁䅧兕穁䅁䅁元䅁䅁䄴䅁祁䑁䅁免㑁䙁䅅䅎䅁䅁䅙䅁佁䅁䅁杍睁䑁䅅兏剂䑁䅅䅁䭁䅁䅁杍䅁䕁䅍睢瑂䝁䄰睢畂䍁䅁兒硂䡁䅕兡あ䡁䅫䅉潁䙁䅉党睂䝁䄸杣あ䝁䅕䅚灁䅁䅁兂䅁䍁䅉䅁䑂䡁䅕杣祂䝁䅕杢あ䍁䄸杕求䡁䅍䅤桂䡁䅑党歂䅁䅁䅂䅁䍁䅑䅁䩂䝁䄴督あ䝁䅫䅤ㅂ䡁䅑兡療䝁䄴䅉佂䝁䅅兢求䍁䅁䅁偁䅁䅁䅔䅁䕁䄴睢畂䍁䄰睙ㅂ䡁䅉杣求䝁䄴䅤杁䕁䅷睢畂䝁䅣兌あ䝁䅕杣瑂䍁䅁䅒求䝁䅉䅤杁䍁䅧杕求䡁䅁睢祂䡁䅑党歂䍁䅫䅁䡁䅁䅁杪䅁䕁䄸䅣あ䝁䅫睢畂䡁䅍杏䑂䡁䅕杣祂䑁䄰杕求䡁䅁睢祂䡁䅑党歂䍁䅁睙ㅂ䡁䅉杣求䝁䄴睙㕂䍁䅷兔桂䝁䅣児乂䕁䅫督あ䝁䅅杢歂䝁䅅杣歂䍁䅷睑療䝁䄴杤乂䝁䅕䅤潂䝁䄸䅚㥁䕁䄰兓祂䝁䅕睙療䝁䄰兢求䝁䄴䅚求䝁䅑䅁䉁䅁䅁杋䅁䙁䅍杔䵂䍁䅁兓畂䡁䅍䅤灂䡁䅑兤あ䝁䅫睢畂䍁䅁睓求䡁䅫䅉䅁䉁䅁䅁允䅁䅁䅖灂䝁䅍睡求䡁䅉䅉䅁䅁䅉䅁䅁䅁䅁</t>
  </si>
  <si>
    <t>Dow Inc</t>
  </si>
  <si>
    <t>DOW</t>
  </si>
  <si>
    <t>Fox Corp</t>
  </si>
  <si>
    <t>Newmont Goldcorp Corp</t>
  </si>
  <si>
    <t>Bloomberg and Value Line Derived Market Risk Premium</t>
  </si>
  <si>
    <t>Current 30-Year Treasury [9]</t>
  </si>
  <si>
    <t>Date</t>
  </si>
  <si>
    <t>Dividend</t>
  </si>
  <si>
    <t>Bloomberg and Value Line Beta Coefficients</t>
  </si>
  <si>
    <t>Near Term Projected 30-Year Treasury [10]</t>
  </si>
  <si>
    <t>Near Term Projected 30-Year Treasury</t>
  </si>
  <si>
    <t>Long Term Projected 30-Year Treasury</t>
  </si>
  <si>
    <t>2019 Price Midpoint</t>
  </si>
  <si>
    <t>[8] Source: Schedule RBH-2, Value Line</t>
  </si>
  <si>
    <t>Utility</t>
  </si>
  <si>
    <t/>
  </si>
  <si>
    <t>[2] Source: Bloomberg Professional, equals indicated number of trading day average as of September 30, 2019</t>
  </si>
  <si>
    <t>Amcor PLC</t>
  </si>
  <si>
    <t>AMCR</t>
  </si>
  <si>
    <t>CDW Corp/DE</t>
  </si>
  <si>
    <t>CDW</t>
  </si>
  <si>
    <t>Corteva Inc</t>
  </si>
  <si>
    <t>CTVA</t>
  </si>
  <si>
    <t>DuPont de Nemours Inc</t>
  </si>
  <si>
    <t>DD</t>
  </si>
  <si>
    <t>Globe Life Inc</t>
  </si>
  <si>
    <t>GL</t>
  </si>
  <si>
    <t>IDEX Corp</t>
  </si>
  <si>
    <t>IEX</t>
  </si>
  <si>
    <t>KLA Corp</t>
  </si>
  <si>
    <t>Leidos Holdings Inc</t>
  </si>
  <si>
    <t>LDOS</t>
  </si>
  <si>
    <t>L3Harris Technologies Inc</t>
  </si>
  <si>
    <t>LHX</t>
  </si>
  <si>
    <t>MarketAxess Holdings Inc</t>
  </si>
  <si>
    <t>MKTX</t>
  </si>
  <si>
    <t>NVR Inc</t>
  </si>
  <si>
    <t>NVR</t>
  </si>
  <si>
    <t>T-Mobile US Inc</t>
  </si>
  <si>
    <t>TMUS</t>
  </si>
  <si>
    <t>United Airlines Holdings Inc</t>
  </si>
  <si>
    <t>Xerox Holdings Corp</t>
  </si>
  <si>
    <t># of Cases:</t>
  </si>
  <si>
    <t>Average ROE:</t>
  </si>
  <si>
    <r>
      <rPr>
        <sz val="10"/>
        <color theme="0"/>
        <rFont val="Arial"/>
        <family val="2"/>
      </rPr>
      <t xml:space="preserve">[3] </t>
    </r>
    <r>
      <rPr>
        <sz val="10"/>
        <color theme="1"/>
        <rFont val="Arial"/>
        <family val="2"/>
        <scheme val="minor"/>
      </rPr>
      <t>Long Term Projected = Blue Chip Financial Forecasts, Vol. 38, No. 6, June 1, 2019, at 14.</t>
    </r>
  </si>
  <si>
    <t>2019Q2</t>
  </si>
  <si>
    <t>2019Q1</t>
  </si>
  <si>
    <t>2018Q4</t>
  </si>
  <si>
    <t>2018Q3</t>
  </si>
  <si>
    <t>2018Q2</t>
  </si>
  <si>
    <t>2018Q1</t>
  </si>
  <si>
    <t>2017Q4</t>
  </si>
  <si>
    <t>2017Q3</t>
  </si>
  <si>
    <r>
      <rPr>
        <sz val="10"/>
        <color theme="0"/>
        <rFont val="Arial"/>
        <family val="2"/>
      </rPr>
      <t xml:space="preserve">[3] </t>
    </r>
    <r>
      <rPr>
        <sz val="10"/>
        <color theme="1"/>
        <rFont val="Arial"/>
        <family val="2"/>
        <scheme val="minor"/>
      </rPr>
      <t>Near Term Projected = Blue Chip Financial Forecasts, Vol. 38, No. 10, October 1, 2019, at 2.</t>
    </r>
  </si>
  <si>
    <t>[10] Source: Blue Chip Financial Forecasts, Vol. 38, No. 10, October 1, 2019, at 2.</t>
  </si>
  <si>
    <t>[2] Source: DEW 2.5</t>
  </si>
  <si>
    <t>[3] Source: DEW 2.4</t>
  </si>
  <si>
    <t>State</t>
  </si>
  <si>
    <t>Parent Company Ticker</t>
  </si>
  <si>
    <t>Case Identification</t>
  </si>
  <si>
    <t>Case Type</t>
  </si>
  <si>
    <t>Date Authorized</t>
  </si>
  <si>
    <t>Authorized 
ROE</t>
  </si>
  <si>
    <t>Wyoming</t>
  </si>
  <si>
    <t>BRK.A</t>
  </si>
  <si>
    <t>Colorado</t>
  </si>
  <si>
    <t>Public Service Co. of CO</t>
  </si>
  <si>
    <t>Washington</t>
  </si>
  <si>
    <t>Minnesota</t>
  </si>
  <si>
    <t>Michigan</t>
  </si>
  <si>
    <t>Wisconsin Public Service Corp.</t>
  </si>
  <si>
    <t>Missouri</t>
  </si>
  <si>
    <t>West Virginia</t>
  </si>
  <si>
    <t>Wisconsin</t>
  </si>
  <si>
    <t>Consumers Energy Co.</t>
  </si>
  <si>
    <t>Northern States Power Co - WI</t>
  </si>
  <si>
    <t>Oregon</t>
  </si>
  <si>
    <t>Texas</t>
  </si>
  <si>
    <t>Idaho</t>
  </si>
  <si>
    <t>Avista Corp.</t>
  </si>
  <si>
    <t>AVA</t>
  </si>
  <si>
    <t>Arkansas</t>
  </si>
  <si>
    <t>Indiana</t>
  </si>
  <si>
    <t>Northern IN Public Svc Co.</t>
  </si>
  <si>
    <t>Tennessee</t>
  </si>
  <si>
    <t>Arizona</t>
  </si>
  <si>
    <t>FTS</t>
  </si>
  <si>
    <t>Madison Gas and Electric Co.</t>
  </si>
  <si>
    <t>MGEE</t>
  </si>
  <si>
    <t>Oklahoma</t>
  </si>
  <si>
    <t>Wisconsin Power and Light Co</t>
  </si>
  <si>
    <t>Florida</t>
  </si>
  <si>
    <t>California</t>
  </si>
  <si>
    <t>AQN</t>
  </si>
  <si>
    <t>South Carolina</t>
  </si>
  <si>
    <t>BKH</t>
  </si>
  <si>
    <t>Nevada</t>
  </si>
  <si>
    <t>Sierra Pacific Power Co.</t>
  </si>
  <si>
    <t>North Carolina</t>
  </si>
  <si>
    <t>MDU Resources Group Inc.</t>
  </si>
  <si>
    <t>MDU</t>
  </si>
  <si>
    <t>North Dakota</t>
  </si>
  <si>
    <t>Kentucky</t>
  </si>
  <si>
    <t>Louisville Gas &amp; Electric Co.</t>
  </si>
  <si>
    <t>San Diego Gas &amp; Electric Co.</t>
  </si>
  <si>
    <t>Alaska</t>
  </si>
  <si>
    <t>Puget Sound Energy Inc.</t>
  </si>
  <si>
    <t>Iowa</t>
  </si>
  <si>
    <t>Interstate Power &amp; Light Co.</t>
  </si>
  <si>
    <t>Duke Energy Kentucky Inc.</t>
  </si>
  <si>
    <t>Source: Regulatory Research Associates</t>
  </si>
  <si>
    <t>Minimum</t>
  </si>
  <si>
    <t>Maximum</t>
  </si>
  <si>
    <t xml:space="preserve">2015-2019 Reported Authorized Returns on Equity, Natural Gas Utitlity Rate Cases  </t>
  </si>
  <si>
    <t>C-U-17643</t>
  </si>
  <si>
    <t>Illinois</t>
  </si>
  <si>
    <t>North Shore Gas Co.</t>
  </si>
  <si>
    <t>D-14-0224</t>
  </si>
  <si>
    <t>Peoples Gas Light &amp; Coke Co.</t>
  </si>
  <si>
    <t>D-14-0225</t>
  </si>
  <si>
    <t>D-UG-284</t>
  </si>
  <si>
    <t>Atmos Energy Corp.</t>
  </si>
  <si>
    <t>D-14-00146</t>
  </si>
  <si>
    <t>New York</t>
  </si>
  <si>
    <t>Central Hudson Gas &amp; Electric</t>
  </si>
  <si>
    <t>C-14-G-0319</t>
  </si>
  <si>
    <t>Virginia</t>
  </si>
  <si>
    <t>Columbia Gas of Virginia Inc</t>
  </si>
  <si>
    <t>C-PUE-2014-00020</t>
  </si>
  <si>
    <t>Massachusetts</t>
  </si>
  <si>
    <t>Bay State Gas Company</t>
  </si>
  <si>
    <t>DPU 15-50</t>
  </si>
  <si>
    <t>Mountaineer Gas Co.</t>
  </si>
  <si>
    <t>C-15-0003-G-42T</t>
  </si>
  <si>
    <t>Orange &amp; Rockland Utlts Inc.</t>
  </si>
  <si>
    <t>C-14-G-0494</t>
  </si>
  <si>
    <t>NSTAR Gas Co.</t>
  </si>
  <si>
    <t>DPU 14-150</t>
  </si>
  <si>
    <t>D-6690-UR-124 (Gas)</t>
  </si>
  <si>
    <t>D-4220-UR-121 (Gas)</t>
  </si>
  <si>
    <t>Ameren Illinois</t>
  </si>
  <si>
    <t>D-15-0142</t>
  </si>
  <si>
    <t>Michigan Gas Utilities Corp.</t>
  </si>
  <si>
    <t>C-U-17880</t>
  </si>
  <si>
    <t>C-AVU-G-15-01</t>
  </si>
  <si>
    <t>D-UG-150205</t>
  </si>
  <si>
    <t>Oklahoma Natural Gas Co</t>
  </si>
  <si>
    <t>Ca-PUD201500213</t>
  </si>
  <si>
    <t>Black Hills Energy Arkansas</t>
  </si>
  <si>
    <t>D-15-011-U</t>
  </si>
  <si>
    <t>Liberty Utilities (NE Nat Gas)</t>
  </si>
  <si>
    <t>DPU 15-75</t>
  </si>
  <si>
    <t>D-15AL-0135G</t>
  </si>
  <si>
    <t>D-UG 288</t>
  </si>
  <si>
    <t>Fitchburg Gas &amp; Electric Light</t>
  </si>
  <si>
    <t>UTL</t>
  </si>
  <si>
    <t>DPU 15-81</t>
  </si>
  <si>
    <t>CenterPoint Energy Resources</t>
  </si>
  <si>
    <t>D-G-008/GR-15-424</t>
  </si>
  <si>
    <t>Maine</t>
  </si>
  <si>
    <t>Maine Natural Gas</t>
  </si>
  <si>
    <t>IBE</t>
  </si>
  <si>
    <t>D-2015-00005</t>
  </si>
  <si>
    <t>Maryland</t>
  </si>
  <si>
    <t>Baltimore Gas and Electric Co.</t>
  </si>
  <si>
    <t>C-9406 (gas)</t>
  </si>
  <si>
    <t>NY State Electric &amp; Gas Corp.</t>
  </si>
  <si>
    <t>C-15-G-0284</t>
  </si>
  <si>
    <t>Rochester Gas &amp; Electric Corp.</t>
  </si>
  <si>
    <t>C-15-G-0286</t>
  </si>
  <si>
    <t>D-15-098-U</t>
  </si>
  <si>
    <t>New Jersey</t>
  </si>
  <si>
    <t>New Jersey Natural Gas Co.</t>
  </si>
  <si>
    <t>D-GR-15111304</t>
  </si>
  <si>
    <t>Texas Gas Service Co.</t>
  </si>
  <si>
    <t>D-GUD-10506</t>
  </si>
  <si>
    <t>Minnesota Energy Resources</t>
  </si>
  <si>
    <t>D-G-011/GR-15-736</t>
  </si>
  <si>
    <t>Piedmont Natural Gas Co.</t>
  </si>
  <si>
    <t>D-2016-7-G</t>
  </si>
  <si>
    <t>Public Service Co. of NC</t>
  </si>
  <si>
    <t>D-G-5, Sub 565</t>
  </si>
  <si>
    <t>D-3270-UR-121 (Gas)</t>
  </si>
  <si>
    <t>D-6680-UR-120 (Gas)</t>
  </si>
  <si>
    <t>DTE Gas Co.</t>
  </si>
  <si>
    <t>C-U-17999</t>
  </si>
  <si>
    <t>Brooklyn Union Gas Co.</t>
  </si>
  <si>
    <t>NG.</t>
  </si>
  <si>
    <t>C-16-G-0059</t>
  </si>
  <si>
    <t>KeySpan Gas East Corp.</t>
  </si>
  <si>
    <t>C-16-G-0058</t>
  </si>
  <si>
    <t>Delaware</t>
  </si>
  <si>
    <t>Chesapeake Utilities Corp.</t>
  </si>
  <si>
    <t>D-15-1734</t>
  </si>
  <si>
    <t>D-16-06007</t>
  </si>
  <si>
    <t>Consolidated Edison Co. of NY</t>
  </si>
  <si>
    <t>C-16-G-0061</t>
  </si>
  <si>
    <t>Georgia</t>
  </si>
  <si>
    <t>Atlanta Gas Light Co.</t>
  </si>
  <si>
    <t>D-40828</t>
  </si>
  <si>
    <t>District of Columbia</t>
  </si>
  <si>
    <t>Washington Gas Light Co.</t>
  </si>
  <si>
    <t>ALA</t>
  </si>
  <si>
    <t>FC-1137</t>
  </si>
  <si>
    <t>Southwest Gas Corp.</t>
  </si>
  <si>
    <t>D-G-01551A-16-0107</t>
  </si>
  <si>
    <t>Natl Fuel Gas Distribution Cor</t>
  </si>
  <si>
    <t>NFG</t>
  </si>
  <si>
    <t>C-16-G-0257</t>
  </si>
  <si>
    <t>Intermountain Gas Co.</t>
  </si>
  <si>
    <t>C-INT-G-16-2</t>
  </si>
  <si>
    <t>D-GUD-10567</t>
  </si>
  <si>
    <t>Delmarva Power &amp; Light Co.</t>
  </si>
  <si>
    <t>D-16-0650</t>
  </si>
  <si>
    <t>C-2016-00371 (gas)</t>
  </si>
  <si>
    <t>Elizabethtown Gas Co.</t>
  </si>
  <si>
    <t>D-GR-16090826</t>
  </si>
  <si>
    <t>Montana</t>
  </si>
  <si>
    <t>NorthWestern Corp.</t>
  </si>
  <si>
    <t>NWE</t>
  </si>
  <si>
    <t>D-D2016.9.68</t>
  </si>
  <si>
    <t>C-U-18124</t>
  </si>
  <si>
    <t>D-UG 325</t>
  </si>
  <si>
    <t>Columbia Gas of Maryland Inc</t>
  </si>
  <si>
    <t>C-9447</t>
  </si>
  <si>
    <t>ENSTAR Natural Gas Co.</t>
  </si>
  <si>
    <t>D-U-16-066</t>
  </si>
  <si>
    <t>D-2017-7-G</t>
  </si>
  <si>
    <t>South Jersey Gas Co.</t>
  </si>
  <si>
    <t>D-GR-17010071</t>
  </si>
  <si>
    <t>Advice No. 2611-G</t>
  </si>
  <si>
    <t>Southern California Gas Co.</t>
  </si>
  <si>
    <t>Advice No. 5192</t>
  </si>
  <si>
    <t>D-UG-170034</t>
  </si>
  <si>
    <t>D-4220-UR-123 (Gas)</t>
  </si>
  <si>
    <t>Connecticut</t>
  </si>
  <si>
    <t>Southern Connecticut Gas Co.</t>
  </si>
  <si>
    <t>D-17-05-42</t>
  </si>
  <si>
    <t>C-AVU-G-17-01</t>
  </si>
  <si>
    <t>Northern Illinois Gas Co.</t>
  </si>
  <si>
    <t>D-17-0124</t>
  </si>
  <si>
    <t>Missouri Gas Energy</t>
  </si>
  <si>
    <t>C-GR-2017-0216</t>
  </si>
  <si>
    <t>Spire Missouri Inc.</t>
  </si>
  <si>
    <t>C-GR-2017-0215</t>
  </si>
  <si>
    <t>Northern Utilities Inc.</t>
  </si>
  <si>
    <t>D-2017-00065</t>
  </si>
  <si>
    <t>Niagara Mohawk Power Corp.</t>
  </si>
  <si>
    <t>C-17-G-0239</t>
  </si>
  <si>
    <t>Pivotal Utility Holdings Inc.</t>
  </si>
  <si>
    <t>20170179-GU</t>
  </si>
  <si>
    <t>D-UG-170486</t>
  </si>
  <si>
    <t>New Hampshire</t>
  </si>
  <si>
    <t>Liberty Utilities EnergyNorth</t>
  </si>
  <si>
    <t>D-DG-17-048</t>
  </si>
  <si>
    <t>D-DG-17-070</t>
  </si>
  <si>
    <t>C-2017-00349</t>
  </si>
  <si>
    <t>D2017.9.79</t>
  </si>
  <si>
    <t>Liberty Utilities (Midstates)</t>
  </si>
  <si>
    <t>C-GR-2018-0013</t>
  </si>
  <si>
    <t>C-17-G-0460</t>
  </si>
  <si>
    <t>Black Hills Northwest Wyoming</t>
  </si>
  <si>
    <t>D-30011-97-GR-17</t>
  </si>
  <si>
    <t>Cascade Natural Gas Corp.</t>
  </si>
  <si>
    <t>D-UG-170929</t>
  </si>
  <si>
    <t>Rhode Island</t>
  </si>
  <si>
    <t>Narragansett Electric Co.</t>
  </si>
  <si>
    <t>D-4770 (gas)</t>
  </si>
  <si>
    <t>C-U-18424</t>
  </si>
  <si>
    <t>C-U-18999</t>
  </si>
  <si>
    <t>D-6680-UR-121 (Gas)</t>
  </si>
  <si>
    <t>Ca-44988</t>
  </si>
  <si>
    <t>D-3270-UR-122 (Gas)</t>
  </si>
  <si>
    <t>C-PU-17-295</t>
  </si>
  <si>
    <t>D-2018-7-G</t>
  </si>
  <si>
    <t>Boston Gas Co.</t>
  </si>
  <si>
    <t>DPU-17-170 (Boston Gas)</t>
  </si>
  <si>
    <t>Colonial Gas Co.</t>
  </si>
  <si>
    <t>DPU-17-170 (Colonial Gas)</t>
  </si>
  <si>
    <t>D-17-071-U</t>
  </si>
  <si>
    <t>Chattanooga Gas Co.</t>
  </si>
  <si>
    <t>D-18-00017</t>
  </si>
  <si>
    <t>Northwest Natural Gas Co.</t>
  </si>
  <si>
    <t>D-UG-344</t>
  </si>
  <si>
    <t>Public Service Electric Gas</t>
  </si>
  <si>
    <t>D-GR18010030</t>
  </si>
  <si>
    <t>D-18-0463</t>
  </si>
  <si>
    <t>D-G-011/GR-17-563</t>
  </si>
  <si>
    <t>D-17-0978</t>
  </si>
  <si>
    <t>C-9481</t>
  </si>
  <si>
    <t>Yankee Gas Services Co.</t>
  </si>
  <si>
    <t>D-18-05-10</t>
  </si>
  <si>
    <t>D-RPU-2018-0002</t>
  </si>
  <si>
    <t>CT Natural Gas Corp.</t>
  </si>
  <si>
    <t>D-18-05-16</t>
  </si>
  <si>
    <t>D-17AL-0363G</t>
  </si>
  <si>
    <t>D-18-05031 (Southern)</t>
  </si>
  <si>
    <t>D-18-05031 (Northern)</t>
  </si>
  <si>
    <t>C-9484</t>
  </si>
  <si>
    <t>Berkshire Gas Co.</t>
  </si>
  <si>
    <t>DPU 18-40</t>
  </si>
  <si>
    <t>C-18-G-0068</t>
  </si>
  <si>
    <t>C-2018-00261</t>
  </si>
  <si>
    <t>C-2018-00295 (gas)</t>
  </si>
  <si>
    <t>C-2018-00281</t>
  </si>
  <si>
    <t>D-GUD-10779 (Mid-Tex Division)</t>
  </si>
  <si>
    <t>D-4220-UR-124 (Gas)</t>
  </si>
  <si>
    <t>C-U-20322</t>
  </si>
  <si>
    <t>Distribution</t>
  </si>
  <si>
    <t>2019 Average</t>
  </si>
  <si>
    <t>2019 Median</t>
  </si>
  <si>
    <t>2019 # &gt;9.50%</t>
  </si>
  <si>
    <t>Total 2019</t>
  </si>
  <si>
    <t>%</t>
  </si>
  <si>
    <t>Proof Concept: Earnings, Dividends, Book Value and
Stock Price Growth Rate Equivalence in Constant Growth DCF</t>
  </si>
  <si>
    <t>Line Description</t>
  </si>
  <si>
    <t>IMPLIED GROWTH RATE AT ALLOWED ROE:</t>
  </si>
  <si>
    <t>Input</t>
  </si>
  <si>
    <t>Assumes g = Allowed ROE - Div. Yield</t>
  </si>
  <si>
    <t>Assumed Growth Rate</t>
  </si>
  <si>
    <t>Total Return</t>
  </si>
  <si>
    <t>Payout Ratio</t>
  </si>
  <si>
    <t>Book Value/Share</t>
  </si>
  <si>
    <t>BV/S Escalates at Constant Growth g</t>
  </si>
  <si>
    <t>Demonstrating Constant BV/S growth</t>
  </si>
  <si>
    <t>Earnings based on ROE applied to BV/S</t>
  </si>
  <si>
    <t>Earnings/share</t>
  </si>
  <si>
    <t>Demonstrating Constant EPS growth</t>
  </si>
  <si>
    <t>Demonstrating Constant Return Earned based on BV/S and EPS</t>
  </si>
  <si>
    <t>Allowed ROE</t>
  </si>
  <si>
    <t>Div/S based on EPS and Constant  Payout ratio</t>
  </si>
  <si>
    <t>Dividends/Share</t>
  </si>
  <si>
    <t>Demonstrating Constant Div/S growth</t>
  </si>
  <si>
    <t>Retained Earnings based on difference between EPS and Div/S</t>
  </si>
  <si>
    <t>Earnings retained to book value</t>
  </si>
  <si>
    <t>Demonstrating Constant growth in Retained Earnings</t>
  </si>
  <si>
    <t>Demonstrating Constant Market/Book ratio</t>
  </si>
  <si>
    <t>Market/Book Ratio</t>
  </si>
  <si>
    <t>DCF calculation of market price = [Div/S]*[1+g]/[ROE-g]</t>
  </si>
  <si>
    <t>Market Price</t>
  </si>
  <si>
    <t>Demonstrating Price Appreciation equals Long Term Growth Rate</t>
  </si>
  <si>
    <t>Price Appreciation</t>
  </si>
  <si>
    <t xml:space="preserve">  &lt;== Price appreciation should equal long term growth rate</t>
  </si>
  <si>
    <t>Demonstrating Constant Price/Earnings Ratio</t>
  </si>
  <si>
    <t>Price/Earnings</t>
  </si>
  <si>
    <t>Present Value Factor calculated based upon the current period and the Constant ROE</t>
  </si>
  <si>
    <t>Present Value Factor</t>
  </si>
  <si>
    <t>CASE 1</t>
  </si>
  <si>
    <t>DIVIDENDS IN PERPETUITY</t>
  </si>
  <si>
    <t>Present value of Div/S obtained by multiplying nominal Div/S by the Present Value Factor for the period</t>
  </si>
  <si>
    <t>Present Value Dividend</t>
  </si>
  <si>
    <t>Total Value of investment sum of all Present Value Dividends in perpetuity (250 instances for demonstration purposes)</t>
  </si>
  <si>
    <t>Value of Investment</t>
  </si>
  <si>
    <t>CASE 2</t>
  </si>
  <si>
    <t>10-YEAR HOLDING PERIOD</t>
  </si>
  <si>
    <t>Present Value of Dividend</t>
  </si>
  <si>
    <t>Present value of Stock Price obtained by multiplying nominal Stock Price by the Present Value Factor for the 10th Period (Terminal Value)</t>
  </si>
  <si>
    <t>Present Value of Stock Price</t>
  </si>
  <si>
    <t xml:space="preserve"> --</t>
  </si>
  <si>
    <t>Value of dividends = sum of all Present Value Dividends for periods 1-10</t>
  </si>
  <si>
    <t>Value of Dividends</t>
  </si>
  <si>
    <t>Value of Stock Price</t>
  </si>
  <si>
    <t>Total Value of investment sum of all Present Value Dividends for periods 1-10 and Present Value of Stock in period 10 (Terminal Value)</t>
  </si>
  <si>
    <t>CASE 3</t>
  </si>
  <si>
    <t>5-YEAR HOLDING PERIOD</t>
  </si>
  <si>
    <t>Present value of Stock Price obtained by multiplying nominal Stock Price by the Present Value Factor for the 5th Period (Terminal Value)</t>
  </si>
  <si>
    <t>Value of dividends = sum of all Present Value Dividends for periods 1-5</t>
  </si>
  <si>
    <t>Total Value of investment sum of all Present Value Dividends for periods 1-5 and Present Value of Stock in period 5 (Terminal Value)</t>
  </si>
  <si>
    <t>[1] Note, for purposes of this exhibit, these data are illustrative only.</t>
  </si>
  <si>
    <t>[2] Note: Illustrative only.</t>
  </si>
  <si>
    <t>Natural Gas Utility Payout Ratios</t>
  </si>
  <si>
    <t>ATO US Equity</t>
  </si>
  <si>
    <t>CPK US Equity</t>
  </si>
  <si>
    <t>SR US Equity</t>
  </si>
  <si>
    <t>NJR US Equity</t>
  </si>
  <si>
    <t>NI US Equity</t>
  </si>
  <si>
    <t>NWN US Equity</t>
  </si>
  <si>
    <t>OGS US Equity</t>
  </si>
  <si>
    <t>SJI US Equity</t>
  </si>
  <si>
    <t>SWX US Equity</t>
  </si>
  <si>
    <t>UGI US Equity</t>
  </si>
  <si>
    <t>TRAIL_12M_DILUTED_EPS</t>
  </si>
  <si>
    <t>EQY_DPS</t>
  </si>
  <si>
    <t>Payout %</t>
  </si>
  <si>
    <t>#N/A N/A</t>
  </si>
  <si>
    <t>Gas Universe Average Payout Ratio</t>
  </si>
  <si>
    <t>Current Payout Ratios</t>
  </si>
  <si>
    <t>Projected Payout Ratios</t>
  </si>
  <si>
    <t>Spire Inc</t>
  </si>
  <si>
    <t>2022-2024</t>
  </si>
  <si>
    <t>Updated Proxy Group</t>
  </si>
  <si>
    <t>Source: Bloomberg Professional Services, Value Line</t>
  </si>
  <si>
    <t>Stock Price</t>
  </si>
  <si>
    <t>Value Line DPS 2021-2023</t>
  </si>
  <si>
    <t>Stage 1 Growth</t>
  </si>
  <si>
    <t>Long Term Growth</t>
  </si>
  <si>
    <t>Cost of Equity (IRR)</t>
  </si>
  <si>
    <t>End of Year Dividends: 
Cost of Equity (XIRR)</t>
  </si>
  <si>
    <t>Mid-Year Dividends: 
Cost of Equity (XIRR)</t>
  </si>
  <si>
    <t>Mid-Year</t>
  </si>
  <si>
    <t>End-of-Year</t>
  </si>
  <si>
    <t>Please note that the slight discrepancy (approximately 0.01%) results from cash flows beyond year 150 not included in Mr. Lawton's model, but implicity incorporated in the terminal value</t>
  </si>
  <si>
    <t>Mid-Yr Excl &lt;7.50%, &gt;12.50%</t>
  </si>
  <si>
    <t>EOY Excl &lt;7.50%, &gt;12.50%</t>
  </si>
  <si>
    <t>Mr. Coleman's Constant Growth DCF Analysis - As Filed</t>
  </si>
  <si>
    <t>Mr. Coleman's Constant Growth DCF Analysis - Updated Zacks and First Call Growth Rates, Removing NWN</t>
  </si>
  <si>
    <t>Single State DCF Model Using Value Line Forecast Growth Rates</t>
  </si>
  <si>
    <t>Projected 3-5 Year EPS Growth</t>
  </si>
  <si>
    <t>Projected 3-5 Year Dividend Growth</t>
  </si>
  <si>
    <t>Estimated COE EPS Growth</t>
  </si>
  <si>
    <t>Estimated COE Dividend Growth</t>
  </si>
  <si>
    <t>75-25 Wtd. Growth</t>
  </si>
  <si>
    <t>Estimated Cost of Equity Wtd. Growth</t>
  </si>
  <si>
    <t>Single State DCF Model Using average of Zacks, First Call and Value Line Forecast Growth Rates</t>
  </si>
  <si>
    <t>Calculated Value Line Earnings 2018 - 2023  Growth</t>
  </si>
  <si>
    <t>Average Earnings Growth W/O VL Calculated Growth</t>
  </si>
  <si>
    <t>Average 
ROE</t>
  </si>
  <si>
    <t>Average ROE excluding VL Calculated Growth</t>
  </si>
  <si>
    <t>[1] Source: Value Line August 30, 2019</t>
  </si>
  <si>
    <t>[2] Source: Yahoo Finance, 30 trading day average as of October 1, 2019</t>
  </si>
  <si>
    <t>[4] Source: Zacks</t>
  </si>
  <si>
    <t>[4] Source: Zacks (9/30/19)</t>
  </si>
  <si>
    <t>[5] Source: Yahoo! Finance</t>
  </si>
  <si>
    <t>[5] Source: Yahoo! Finance (9/30/19)</t>
  </si>
  <si>
    <t>[7] Rate Calculated from Value Line Growth Estimates</t>
  </si>
  <si>
    <t>[8] Equals Average([4],[5], [6], [7])</t>
  </si>
  <si>
    <t>[9] Equals Average([4], [5], [6])</t>
  </si>
  <si>
    <t>[10] Equals [3] + [8]</t>
  </si>
  <si>
    <t>[11] Equals [3] + [9]</t>
  </si>
  <si>
    <t>[2] Source: Bloomberg Professional, equals indicated number of trading day average as of May 17, 2019</t>
  </si>
  <si>
    <t>NA</t>
  </si>
  <si>
    <t>midpoint</t>
  </si>
  <si>
    <t>DPS 2022-2024</t>
  </si>
  <si>
    <t>ANNUAL CHANGE IN DIVIDEND</t>
  </si>
  <si>
    <t>CURRENT PRICE</t>
  </si>
  <si>
    <t>YEAR 1 DIVIDEND</t>
  </si>
  <si>
    <t>YEAR 2 DIVIDEND</t>
  </si>
  <si>
    <t>YEAR 3 DIVIDEND</t>
  </si>
  <si>
    <t>YEAR 4 DIVIDEND</t>
  </si>
  <si>
    <t>YEAR 5 DIVIDEND</t>
  </si>
  <si>
    <t>GROWTH YEARS 5-150</t>
  </si>
  <si>
    <t>TWO-STAGE ROE</t>
  </si>
  <si>
    <t>ADJUSTED TWO-STAGE ROE</t>
  </si>
  <si>
    <t>PRICE</t>
  </si>
  <si>
    <t>IRR</t>
  </si>
  <si>
    <t>Hypothetical Example: Flotation Cost Recovery</t>
  </si>
  <si>
    <t>Flotation Costs</t>
  </si>
  <si>
    <t>Market Value</t>
  </si>
  <si>
    <t>Growth Rate</t>
  </si>
  <si>
    <t>Adjusted ROE</t>
  </si>
  <si>
    <t>Flotation Cost Recovery:</t>
  </si>
  <si>
    <t>No</t>
  </si>
  <si>
    <t>DCF Estimate</t>
  </si>
  <si>
    <t>Common Stock</t>
  </si>
  <si>
    <t>Retained Earnings</t>
  </si>
  <si>
    <t>Book Value</t>
  </si>
  <si>
    <t>Market/ Book Value</t>
  </si>
  <si>
    <t>Earnings  Per Share</t>
  </si>
  <si>
    <t>Dividends Per Share</t>
  </si>
  <si>
    <t>Yes</t>
  </si>
  <si>
    <t>Analysis Using Mr. Gorman's Rolling Average Equity Risk Premium Data</t>
  </si>
  <si>
    <t>Rolling</t>
  </si>
  <si>
    <t>Authorized</t>
  </si>
  <si>
    <t>30-Year</t>
  </si>
  <si>
    <t xml:space="preserve">Indicated </t>
  </si>
  <si>
    <t>5-Year</t>
  </si>
  <si>
    <t>10-Year</t>
  </si>
  <si>
    <t>Year</t>
  </si>
  <si>
    <t>Electric</t>
  </si>
  <si>
    <t>Treasury</t>
  </si>
  <si>
    <t xml:space="preserve">Risk </t>
  </si>
  <si>
    <t>Returns</t>
  </si>
  <si>
    <t>Bond Yield</t>
  </si>
  <si>
    <t>Premium</t>
  </si>
  <si>
    <t>Source: FEA Exhibit 1.12</t>
  </si>
  <si>
    <t>Utility Bond</t>
  </si>
  <si>
    <t>Source: FEA Exhibit 1.13</t>
  </si>
  <si>
    <t>SUMMARY OUTPUT</t>
  </si>
  <si>
    <t>Regression Statistics</t>
  </si>
  <si>
    <t>MRP:</t>
  </si>
  <si>
    <t>Rf:</t>
  </si>
  <si>
    <t>Multiple R</t>
  </si>
  <si>
    <t>ROE:</t>
  </si>
  <si>
    <t>R Square</t>
  </si>
  <si>
    <t>Adjusted R Square</t>
  </si>
  <si>
    <t>Standard Error</t>
  </si>
  <si>
    <t>Observations</t>
  </si>
  <si>
    <t>ANOVA</t>
  </si>
  <si>
    <t>df</t>
  </si>
  <si>
    <t>SS</t>
  </si>
  <si>
    <t>Significance F</t>
  </si>
  <si>
    <t>Regression</t>
  </si>
  <si>
    <t>Residual</t>
  </si>
  <si>
    <t>Total</t>
  </si>
  <si>
    <t>Coefficients</t>
  </si>
  <si>
    <t>t Stat</t>
  </si>
  <si>
    <t>P-value</t>
  </si>
  <si>
    <t>Lower 95%</t>
  </si>
  <si>
    <t>Upper 95%</t>
  </si>
  <si>
    <t>Intercept</t>
  </si>
  <si>
    <t>Five Year Avg Treasury</t>
  </si>
  <si>
    <t>Five Year Avg Utility Bond</t>
  </si>
  <si>
    <t>Analysis Using Mr. Gorman's Annual Equity Risk Premium Data</t>
  </si>
  <si>
    <t>Utility "A" Bond Yield</t>
  </si>
  <si>
    <t>Treasury Bond Yield</t>
  </si>
  <si>
    <t>Credit Spread</t>
  </si>
  <si>
    <t>Treasury
Equity Risk Premium</t>
  </si>
  <si>
    <t>Utility Bond
Equity Risk Premium</t>
  </si>
  <si>
    <t>Treasury Yield</t>
  </si>
  <si>
    <t>RESIDUAL OUTPUT</t>
  </si>
  <si>
    <t>Observation</t>
  </si>
  <si>
    <t>Predicted Treasury
Equity Risk Premium</t>
  </si>
  <si>
    <t>Residuals</t>
  </si>
  <si>
    <r>
      <t>(e</t>
    </r>
    <r>
      <rPr>
        <vertAlign val="subscript"/>
        <sz val="10"/>
        <rFont val="Arial"/>
        <family val="2"/>
      </rPr>
      <t>t</t>
    </r>
    <r>
      <rPr>
        <sz val="10"/>
        <rFont val="Arial"/>
        <family val="2"/>
      </rPr>
      <t xml:space="preserve"> - e</t>
    </r>
    <r>
      <rPr>
        <vertAlign val="subscript"/>
        <sz val="10"/>
        <rFont val="Arial"/>
        <family val="2"/>
      </rPr>
      <t>(t-1)</t>
    </r>
    <r>
      <rPr>
        <sz val="10"/>
        <rFont val="Arial"/>
        <family val="2"/>
      </rPr>
      <t>)</t>
    </r>
    <r>
      <rPr>
        <vertAlign val="superscript"/>
        <sz val="10"/>
        <rFont val="Arial"/>
        <family val="2"/>
      </rPr>
      <t>2</t>
    </r>
  </si>
  <si>
    <r>
      <t>(e</t>
    </r>
    <r>
      <rPr>
        <vertAlign val="subscript"/>
        <sz val="10"/>
        <rFont val="Arial"/>
        <family val="2"/>
      </rPr>
      <t>t</t>
    </r>
    <r>
      <rPr>
        <sz val="10"/>
        <rFont val="Arial"/>
        <family val="2"/>
      </rPr>
      <t>)</t>
    </r>
    <r>
      <rPr>
        <vertAlign val="superscript"/>
        <sz val="10"/>
        <rFont val="Arial"/>
        <family val="2"/>
      </rPr>
      <t>2</t>
    </r>
  </si>
  <si>
    <t>Predicted Utility Bond
Equity Risk Premium</t>
  </si>
  <si>
    <t>Source: FEA Exhibits 1.12 and 1.13</t>
  </si>
  <si>
    <t>Durbin-Watson</t>
  </si>
  <si>
    <t>(1% significance)</t>
  </si>
  <si>
    <t>dL</t>
  </si>
  <si>
    <t>4-dL</t>
  </si>
  <si>
    <t>4-dU</t>
  </si>
  <si>
    <t xml:space="preserve">dU </t>
  </si>
  <si>
    <t>DW&gt;2</t>
  </si>
  <si>
    <t>DW&lt;4-dU?</t>
  </si>
  <si>
    <t>No Autocorrelation</t>
  </si>
  <si>
    <t>dU&lt;DW&lt;2</t>
  </si>
  <si>
    <t>DW&lt;4-dU</t>
  </si>
  <si>
    <t>Frequency Distribution of Market Risk Premium, 1926 - 2018</t>
  </si>
  <si>
    <t>Large Company Stocks Total Returns</t>
  </si>
  <si>
    <t>Long-Term Government Bond Income Returns</t>
  </si>
  <si>
    <t>MRP</t>
  </si>
  <si>
    <t>Jan-Dec*</t>
  </si>
  <si>
    <t>Bin</t>
  </si>
  <si>
    <t>Frequency</t>
  </si>
  <si>
    <t>Cumulative %</t>
  </si>
  <si>
    <t>Count:</t>
  </si>
  <si>
    <t>Highest MRP from Direct</t>
  </si>
  <si>
    <t>Rank</t>
  </si>
  <si>
    <t>Historical Market Return</t>
  </si>
  <si>
    <t>Hevert</t>
  </si>
  <si>
    <t>% Rank</t>
  </si>
  <si>
    <t xml:space="preserve">Occurrence </t>
  </si>
  <si>
    <t>Std. Dev.</t>
  </si>
  <si>
    <t>Source: Duff &amp; Phelps, 2019 SBBI, Appendix A-1, A-7</t>
  </si>
  <si>
    <t>Mr. Gorman's Financial Integrity Analysis (FEA Exhibit 1.18, As Filed)</t>
  </si>
  <si>
    <t>Retail</t>
  </si>
  <si>
    <t>Cost of Service</t>
  </si>
  <si>
    <t>S&amp;P Benchmark (Medial Volatility)</t>
  </si>
  <si>
    <t>Line</t>
  </si>
  <si>
    <t>Description</t>
  </si>
  <si>
    <t>Amount</t>
  </si>
  <si>
    <t>Intermediate</t>
  </si>
  <si>
    <t>Significant</t>
  </si>
  <si>
    <t>Aggressive</t>
  </si>
  <si>
    <t>Reference</t>
  </si>
  <si>
    <t>(1)</t>
  </si>
  <si>
    <t>(5)</t>
  </si>
  <si>
    <t>2020 test year</t>
  </si>
  <si>
    <t>Rate Base (Total Company - 2020 Test Year)</t>
  </si>
  <si>
    <t>DEU Exhibit 3.02</t>
  </si>
  <si>
    <t>Weight</t>
  </si>
  <si>
    <t>Cost</t>
  </si>
  <si>
    <t>Weighted Cost</t>
  </si>
  <si>
    <t>Pre-Tax Weighted</t>
  </si>
  <si>
    <t>Weighted Common Return</t>
  </si>
  <si>
    <t>FEA Exhibit 1.18 Page 2, Line 2, Col. 3.</t>
  </si>
  <si>
    <t>Pre-Tax Rate of Return</t>
  </si>
  <si>
    <t>FEA Exhibit 1.18 Page 2, Line 3, Col. 4.</t>
  </si>
  <si>
    <t>Income to Common</t>
  </si>
  <si>
    <t>Line 1 x Line 2.</t>
  </si>
  <si>
    <t>EBIT</t>
  </si>
  <si>
    <t>Line 1 x Line 3.</t>
  </si>
  <si>
    <t>Depreciation &amp; Amortization</t>
  </si>
  <si>
    <t>AFUDC Debt Interest</t>
  </si>
  <si>
    <t>FEA Exhibit 1.18 Page 2, Line 9, Col. 1.</t>
  </si>
  <si>
    <t>Deferred Income Taxes and ITC</t>
  </si>
  <si>
    <t>Funds from Operations (FFO)</t>
  </si>
  <si>
    <t>Sum of Line 4 and Lines 6 through 8.</t>
  </si>
  <si>
    <t>Tax Conversion Factor</t>
  </si>
  <si>
    <t>EBITDA</t>
  </si>
  <si>
    <t>Sum of Lines 5 through 7 and Line 11.</t>
  </si>
  <si>
    <t>Total Adjusted Debt Ratio</t>
  </si>
  <si>
    <t>FEA Exhibit 1.18 Page 2, Line 5 + Line 6, Col. 2</t>
  </si>
  <si>
    <t>Debt to EBITDA</t>
  </si>
  <si>
    <t>2.0x - 3.0x</t>
  </si>
  <si>
    <t>3.0x - 4.0x</t>
  </si>
  <si>
    <t>4.0x - 5.0x</t>
  </si>
  <si>
    <t>(FEA Exhibit 1.18 Page 2, Line 5 + Line 6)/ Line 10, Col. 1</t>
  </si>
  <si>
    <t>FFO to Total Debt</t>
  </si>
  <si>
    <t>23% - 35%</t>
  </si>
  <si>
    <t>13% - 23%</t>
  </si>
  <si>
    <t>9% - 13%</t>
  </si>
  <si>
    <t>Indicative Credit Rating</t>
  </si>
  <si>
    <t>AA</t>
  </si>
  <si>
    <t>A-</t>
  </si>
  <si>
    <t>S&amp;P Methodology, November 19, 2013</t>
  </si>
  <si>
    <t>S&amp;P's Credit Metrics - ROE to Meet Upper Bound Debt/EBITDA Significant Test (7.39% ROE)</t>
  </si>
  <si>
    <t>2.5x - 3.5x</t>
  </si>
  <si>
    <t>3.5x - 4.5x</t>
  </si>
  <si>
    <t>4.5x - 5.5x</t>
  </si>
  <si>
    <t>S&amp;P's Credit Metrics - ROE to Meet Upper Bound Debt/EBITDA Significant Test at Company's Proposed 10.50% ROE</t>
  </si>
  <si>
    <t>Source: FEA Exhibit 1.18.</t>
  </si>
  <si>
    <t>CAPM vs. ECAPM Security Market Line</t>
  </si>
  <si>
    <t xml:space="preserve"> Using Mr. Gorman's Inputs</t>
  </si>
  <si>
    <t xml:space="preserve">ECAPM </t>
  </si>
  <si>
    <t>ECAPM alpha</t>
  </si>
  <si>
    <t>Factors</t>
  </si>
  <si>
    <t>Beta</t>
  </si>
  <si>
    <t>CAPM</t>
  </si>
  <si>
    <t>ECAPM</t>
  </si>
  <si>
    <t>Raw Beta</t>
  </si>
  <si>
    <t>Alt. ECAPM</t>
  </si>
  <si>
    <t>Raw Beta ECAPM</t>
  </si>
  <si>
    <t>Source: Exhibit S-4, Schedule D-5, page 7</t>
  </si>
  <si>
    <t>Alternative Bond Yield Plus Risk Premium Analyses</t>
  </si>
  <si>
    <t>LN(30-Year Treasury)</t>
  </si>
  <si>
    <t>Moody's Utility Baa Credit Spread</t>
  </si>
  <si>
    <t>VIX</t>
  </si>
  <si>
    <t>Long Term Average [5]</t>
  </si>
  <si>
    <t>30-Yr. Treasury Yield [6]</t>
  </si>
  <si>
    <t>Risk Premium [7]</t>
  </si>
  <si>
    <t>Return on Equity [8]</t>
  </si>
  <si>
    <t>Near-Term Projected 30-Year Treasury</t>
  </si>
  <si>
    <t>Long-Term Projected 30-Year Treasury</t>
  </si>
  <si>
    <t>Mr. Gorman's Projected 30-Year Treasury</t>
  </si>
  <si>
    <t>Moody's Utility A Credit Spread</t>
  </si>
  <si>
    <t>[1] Constant of regression equation (1993 - 2019)</t>
  </si>
  <si>
    <t>[2] Equals Regression Coefficient of 30-year Treasury Yield variable</t>
  </si>
  <si>
    <t>[3] Equals Regression Coefficient of Credit Spread variable</t>
  </si>
  <si>
    <t>[4] Equals Regression Coefficient of VIX variable</t>
  </si>
  <si>
    <t>[5] Long-Term Historical Average of each variable</t>
  </si>
  <si>
    <t>[6] Source: Current = Bloomberg Professional as of 9/30/2019</t>
  </si>
  <si>
    <r>
      <rPr>
        <sz val="10"/>
        <color theme="0"/>
        <rFont val="Arial"/>
        <family val="2"/>
      </rPr>
      <t>[6]</t>
    </r>
    <r>
      <rPr>
        <sz val="10"/>
        <color theme="1"/>
        <rFont val="Arial"/>
        <family val="2"/>
      </rPr>
      <t xml:space="preserve"> Near-Term = Blue Chip Financial Forecasts, Vol. 38, No. 8, October 1, 2019, at 2</t>
    </r>
  </si>
  <si>
    <r>
      <rPr>
        <sz val="10"/>
        <color theme="0"/>
        <rFont val="Arial"/>
        <family val="2"/>
      </rPr>
      <t xml:space="preserve">[6] </t>
    </r>
    <r>
      <rPr>
        <sz val="10"/>
        <color theme="1"/>
        <rFont val="Arial"/>
        <family val="2"/>
      </rPr>
      <t>Long-Term Projected = Blue Chip Financial Forecasts, Vol. 38, No. 6, June 1, 2019, at 14</t>
    </r>
  </si>
  <si>
    <t>[6] Direct Testiony of Michael P. Gorman, at 59.</t>
  </si>
  <si>
    <t xml:space="preserve">[7] Equals [1] + (ln([6]) x [2]) + ([3] x [5]) + ([4] x [5]) </t>
  </si>
  <si>
    <t>[8] Equals [6] + [7]</t>
  </si>
  <si>
    <t>[9] Source: S&amp;P Global Market Intelligence</t>
  </si>
  <si>
    <t>[10] Source: S&amp;P Global Market Intelligence</t>
  </si>
  <si>
    <t>[11] Source: Bloomberg Professional, equals 200-trading day average (i.e. lag period)</t>
  </si>
  <si>
    <t>[12] Source: Bloomberg Professional, equals 200-trading day average (i.e. lag period)</t>
  </si>
  <si>
    <t>[13] Equals LN[11]</t>
  </si>
  <si>
    <t>[14] Equals [12] - [11]</t>
  </si>
  <si>
    <t>[15] Source: Bloomberg Professional, equals 200-trading day average (i.e. lag period)</t>
  </si>
  <si>
    <t>[16] Equals [10] - [11]</t>
  </si>
  <si>
    <t>Date of Rate Case</t>
  </si>
  <si>
    <t>Moody's Utility A Yield</t>
  </si>
  <si>
    <t>Average:</t>
  </si>
  <si>
    <t>30-Year US Treasury Bond Yields</t>
  </si>
  <si>
    <t>(Risk Free Rate Assumptions)</t>
  </si>
  <si>
    <t>Current</t>
  </si>
  <si>
    <t>Near-Term</t>
  </si>
  <si>
    <t>Assumed Risk Free Rate</t>
  </si>
  <si>
    <t>Bloomberg DCF Derived Ex-Ante Total Market Return</t>
  </si>
  <si>
    <t>Bloomberg DCF Derived Ex-Ante Market Risk Premium</t>
  </si>
  <si>
    <t>Bloomberg Proxy Group Average Beta Coefficient</t>
  </si>
  <si>
    <t>CAPM Results</t>
  </si>
  <si>
    <t>ECAPM Results</t>
  </si>
  <si>
    <t>Average of CAPM and ECAPM Results</t>
  </si>
  <si>
    <t>Reflects the October 1, 2019 Blue Chip Financial Forecast - Near-Term Average 30-year Treasury yield (Q4:2019 through Q1:2021)</t>
  </si>
  <si>
    <t>Southwest Gas Holdings, Inc.</t>
  </si>
  <si>
    <t xml:space="preserve">Mr. Lawton's Multi-Stage DCF Model - 150 Year Cash Flow </t>
  </si>
  <si>
    <t>Moody's Sensitivity Analysis [1]</t>
  </si>
  <si>
    <t>Company Requested Cost of Capital</t>
  </si>
  <si>
    <t>Ratio</t>
  </si>
  <si>
    <t>Cost Rate</t>
  </si>
  <si>
    <t>Weighted Cost W/ FIT</t>
  </si>
  <si>
    <t>Return</t>
  </si>
  <si>
    <t>Return &amp; Taxes</t>
  </si>
  <si>
    <t>Long Term Debt</t>
  </si>
  <si>
    <t>Rate Base Investment</t>
  </si>
  <si>
    <t>Mr. Lawton's Recommendation</t>
  </si>
  <si>
    <t>Company Filed Case</t>
  </si>
  <si>
    <t>Rate of Return</t>
  </si>
  <si>
    <t>Depreciation / Amortization</t>
  </si>
  <si>
    <t>EBITDA Cash Flow</t>
  </si>
  <si>
    <t>Total Debt</t>
  </si>
  <si>
    <t>Total Interest</t>
  </si>
  <si>
    <t>Debt Percentage</t>
  </si>
  <si>
    <t>Moody's Financial Metrics Description</t>
  </si>
  <si>
    <t>Moody's "A" Benchmarks</t>
  </si>
  <si>
    <t>CFO/ Debt (%)</t>
  </si>
  <si>
    <t>35% - 45%</t>
  </si>
  <si>
    <t>Taxes</t>
  </si>
  <si>
    <t>Federal Income Tax</t>
  </si>
  <si>
    <t>(1 - 21.00%)</t>
  </si>
  <si>
    <t>Tax Gross-Up Factor</t>
  </si>
  <si>
    <t>(1 / 79.00%)</t>
  </si>
  <si>
    <t>[2] Source: Moody's Investors Service, Regulated Electric and Gas Utilities Rating Methodology, June 23, 2017, at 22.</t>
  </si>
  <si>
    <t>Company Requested Rate Base</t>
  </si>
  <si>
    <t>Minimum ROE to Maintain "A" Benchmarks</t>
  </si>
  <si>
    <t>Minimum Benchmark Case</t>
  </si>
  <si>
    <t>Total Capital</t>
  </si>
  <si>
    <t>Financial Metrics - As Filed</t>
  </si>
  <si>
    <t>Current Deferred Income Taxes</t>
  </si>
  <si>
    <t>CFO-Dividends/Debt (%)</t>
  </si>
  <si>
    <t>19% - 27%</t>
  </si>
  <si>
    <t>15% - 23%</t>
  </si>
  <si>
    <t>Financial Metrics - Minimum Benchmark Test</t>
  </si>
  <si>
    <t>[1] Source: Exhibit (OCS-3.11), Page 1.</t>
  </si>
  <si>
    <t>Minimum Benchmark of 7.85%</t>
  </si>
  <si>
    <t>DEU Exhibit 2.01 with Mr. Lawton's Outlier Screens Applied (Excluding ROEs &lt; 7.50% or &gt;12.50%)</t>
  </si>
  <si>
    <t>Mr. Lawton's Exhibit (OCS-3.7)</t>
  </si>
  <si>
    <t>Excluding ROE Results &lt; 8.70% and &gt;12.50%</t>
  </si>
  <si>
    <t>[1] Source: Exhibit (OCS-3.7)</t>
  </si>
  <si>
    <t>Mr. Lawton's Exhibit (OCS-3.8)</t>
  </si>
  <si>
    <t>NEXT YEAR DPS 2020</t>
  </si>
  <si>
    <t>[1] Source: Exhibit (OCS-3.8)</t>
  </si>
  <si>
    <t xml:space="preserve">Mr. Oliver's CAPM and ECAPM Analysis </t>
  </si>
  <si>
    <t>Equals Line 2 - Line 1</t>
  </si>
  <si>
    <t>Mr. Coleman's Constant Growth DCF Analysis - Corrected Expected Dividend Yield and SR and SWX Data</t>
  </si>
  <si>
    <t>Line 9 / (FEA Exhibit 1.18 Page 2, Line 5 + Line 6, Col. 1)</t>
  </si>
  <si>
    <t>DEU Exhibit 2.03R</t>
  </si>
  <si>
    <t>DEU Exhibit 2.04R</t>
  </si>
  <si>
    <r>
      <t xml:space="preserve">Based on daily average yield for the month of September 2019 as reported on </t>
    </r>
    <r>
      <rPr>
        <i/>
        <u/>
        <sz val="10"/>
        <color rgb="FF0070C0"/>
        <rFont val="Arial"/>
        <family val="2"/>
      </rPr>
      <t>Treasury Bonds.gov</t>
    </r>
    <r>
      <rPr>
        <sz val="10"/>
        <color rgb="FF0070C0"/>
        <rFont val="Arial"/>
        <family val="2"/>
      </rPr>
      <t>.</t>
    </r>
    <r>
      <rPr>
        <sz val="10"/>
        <rFont val="Arial"/>
        <family val="2"/>
      </rPr>
      <t xml:space="preserve">  ANGC Exhibit 1.01</t>
    </r>
  </si>
  <si>
    <t xml:space="preserve"> ANGC Exhibit 1.04, page 1</t>
  </si>
  <si>
    <t>2019 # &gt;= 9.70%</t>
  </si>
  <si>
    <t>S&amp;P's Credit Metrics - ROE to Meet Lower Bound Debt/EBITDA Significant Test (12.09% ROE)</t>
  </si>
  <si>
    <t>Updated Market Risk Premia and Beta Coefficient</t>
  </si>
  <si>
    <t>Source: Exhibit (OCS-3.8)</t>
  </si>
  <si>
    <t>Proxy Group Capital Structure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</si>
</sst>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0.0000"/>
    <numFmt numFmtId="167" formatCode="_(&quot;$&quot;* #,##0.00000_);_(&quot;$&quot;* \(#,##0.00000\);_(&quot;$&quot;* &quot;-&quot;?????_);_(@_)"/>
    <numFmt numFmtId="168" formatCode="0.00_);\(0.00\)"/>
    <numFmt numFmtId="169" formatCode="&quot;$&quot;* #,##0_);&quot;$&quot;* \(#,##0\)"/>
    <numFmt numFmtId="170" formatCode="_(* #,##0.00000_);_(* \(#,##0.00000\);_(* &quot;-&quot;?????_);_(@_)"/>
    <numFmt numFmtId="171" formatCode="General_)"/>
    <numFmt numFmtId="172" formatCode="&quot;$&quot;#,##0.00"/>
    <numFmt numFmtId="173" formatCode="0.0000%"/>
    <numFmt numFmtId="174" formatCode="&quot;[&quot;0&quot;]&quot;"/>
    <numFmt numFmtId="175" formatCode="0.0%"/>
    <numFmt numFmtId="176" formatCode="_(&quot;$&quot;* #,##0.000_);_(&quot;$&quot;* \(#,##0.000\);_(&quot;$&quot;* &quot;-&quot;??_);_(@_)"/>
    <numFmt numFmtId="177" formatCode="&quot;$&quot;#,##0.000"/>
    <numFmt numFmtId="178" formatCode="#,##0.00;[Red]\(#,##0.00\)"/>
    <numFmt numFmtId="179" formatCode="_(* #,##0.0000_);_(* \(#,##0.0000\);_(* &quot;-&quot;??_);_(@_)"/>
    <numFmt numFmtId="180" formatCode="&quot;$&quot;#,##0"/>
    <numFmt numFmtId="181" formatCode="0.000%"/>
    <numFmt numFmtId="182" formatCode="mm/dd/yy"/>
    <numFmt numFmtId="183" formatCode="_(* #,##0.00000_);_(* \(#,##0.00000\);_(* &quot;-&quot;??_);_(@_)"/>
    <numFmt numFmtId="184" formatCode="0_);\(0\)"/>
    <numFmt numFmtId="185" formatCode="_(&quot;$&quot;* #,##0_);_(&quot;$&quot;* \(#,##0\);_(&quot;$&quot;* &quot;-&quot;??_);_(@_)"/>
    <numFmt numFmtId="186" formatCode="0.0000000%"/>
    <numFmt numFmtId="187" formatCode="_(* #,##0_);_(* \(#,##0\);_(* &quot;-&quot;??_);_(@_)"/>
    <numFmt numFmtId="188" formatCode="0.00\x"/>
    <numFmt numFmtId="189" formatCode="0.0\x"/>
    <numFmt numFmtId="190" formatCode="_(* #,##0.000_);_(* \(#,##0.000\);_(* &quot;-&quot;??_);_(@_)"/>
    <numFmt numFmtId="191" formatCode="0.00000E+00"/>
  </numFmts>
  <fonts count="125">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scheme val="minor"/>
    </font>
    <font>
      <sz val="10"/>
      <color theme="1"/>
      <name val="Arial"/>
      <family val="2"/>
    </font>
    <font>
      <sz val="10"/>
      <name val="Arial"/>
      <family val="2"/>
    </font>
    <font>
      <u/>
      <sz val="11"/>
      <color theme="10"/>
      <name val="Arial"/>
      <family val="2"/>
      <scheme val="minor"/>
    </font>
    <font>
      <u/>
      <sz val="10"/>
      <color theme="10"/>
      <name val="Arial"/>
      <family val="2"/>
    </font>
    <font>
      <b/>
      <sz val="10"/>
      <name val="Arial"/>
      <family val="2"/>
    </font>
    <font>
      <b/>
      <u val="singleAccounting"/>
      <sz val="8"/>
      <color indexed="8"/>
      <name val="Arial"/>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Arial"/>
      <family val="2"/>
    </font>
    <font>
      <b/>
      <sz val="8"/>
      <name val="Arial"/>
      <family val="2"/>
    </font>
    <font>
      <sz val="8"/>
      <color indexed="8"/>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color rgb="FF0000FF"/>
      <name val="Arial"/>
      <family val="2"/>
    </font>
    <font>
      <sz val="10"/>
      <color indexed="8"/>
      <name val="Arial"/>
      <family val="2"/>
    </font>
    <font>
      <sz val="10"/>
      <color indexed="9"/>
      <name val="Arial"/>
      <family val="2"/>
    </font>
    <font>
      <sz val="10"/>
      <color rgb="FFFF6600"/>
      <name val="Arial"/>
      <family val="2"/>
    </font>
    <font>
      <sz val="10"/>
      <color indexed="20"/>
      <name val="Arial"/>
      <family val="2"/>
    </font>
    <font>
      <b/>
      <sz val="11"/>
      <color indexed="9"/>
      <name val="Calibri"/>
      <family val="2"/>
    </font>
    <font>
      <b/>
      <sz val="10"/>
      <color indexed="52"/>
      <name val="Arial"/>
      <family val="2"/>
    </font>
    <font>
      <b/>
      <sz val="8"/>
      <color indexed="8"/>
      <name val="Verdana"/>
      <family val="2"/>
    </font>
    <font>
      <sz val="11"/>
      <color indexed="8"/>
      <name val="Calibri"/>
      <family val="2"/>
    </font>
    <font>
      <sz val="12"/>
      <color theme="1"/>
      <name val="Arial"/>
      <family val="2"/>
    </font>
    <font>
      <sz val="12"/>
      <color indexed="8"/>
      <name val="Arial"/>
      <family val="2"/>
    </font>
    <font>
      <sz val="10"/>
      <color rgb="FF000000"/>
      <name val="Times New Roman"/>
      <family val="1"/>
    </font>
    <font>
      <sz val="11"/>
      <color theme="1"/>
      <name val="Calibri"/>
      <family val="2"/>
    </font>
    <font>
      <b/>
      <sz val="9"/>
      <name val="Arial"/>
      <family val="2"/>
    </font>
    <font>
      <sz val="12"/>
      <name val="Tms Rmn"/>
    </font>
    <font>
      <sz val="24"/>
      <name val="Arial"/>
      <family val="2"/>
    </font>
    <font>
      <sz val="10"/>
      <name val="Helv"/>
    </font>
    <font>
      <i/>
      <sz val="10"/>
      <color indexed="23"/>
      <name val="Arial"/>
      <family val="2"/>
    </font>
    <font>
      <sz val="10"/>
      <color indexed="17"/>
      <name val="Arial"/>
      <family val="2"/>
    </font>
    <font>
      <sz val="10"/>
      <color rgb="FF660066"/>
      <name val="Arial"/>
      <family val="2"/>
    </font>
    <font>
      <b/>
      <sz val="11"/>
      <name val="Arial"/>
      <family val="2"/>
    </font>
    <font>
      <b/>
      <sz val="15"/>
      <color indexed="56"/>
      <name val="Arial"/>
      <family val="2"/>
    </font>
    <font>
      <b/>
      <sz val="13"/>
      <color indexed="56"/>
      <name val="Arial"/>
      <family val="2"/>
    </font>
    <font>
      <b/>
      <sz val="11"/>
      <color indexed="56"/>
      <name val="Arial"/>
      <family val="2"/>
    </font>
    <font>
      <u/>
      <sz val="8.5"/>
      <color theme="10"/>
      <name val="Arial"/>
      <family val="2"/>
    </font>
    <font>
      <u/>
      <sz val="11"/>
      <color theme="10"/>
      <name val="Calibri"/>
      <family val="2"/>
    </font>
    <font>
      <sz val="10"/>
      <color indexed="62"/>
      <name val="Arial"/>
      <family val="2"/>
    </font>
    <font>
      <sz val="1"/>
      <color indexed="9"/>
      <name val="Symbol"/>
      <family val="1"/>
      <charset val="2"/>
    </font>
    <font>
      <b/>
      <sz val="12"/>
      <name val="Tms Rmn"/>
    </font>
    <font>
      <sz val="10"/>
      <color indexed="52"/>
      <name val="Arial"/>
      <family val="2"/>
    </font>
    <font>
      <sz val="10"/>
      <color indexed="60"/>
      <name val="Arial"/>
      <family val="2"/>
    </font>
    <font>
      <b/>
      <u val="singleAccounting"/>
      <sz val="8"/>
      <color indexed="8"/>
      <name val="Verdana"/>
      <family val="2"/>
    </font>
    <font>
      <b/>
      <sz val="12"/>
      <color indexed="8"/>
      <name val="Verdana"/>
      <family val="2"/>
    </font>
    <font>
      <sz val="10"/>
      <name val="Times New Roman"/>
      <family val="1"/>
    </font>
    <font>
      <sz val="10"/>
      <name val="Courier"/>
      <family val="3"/>
    </font>
    <font>
      <sz val="12"/>
      <name val="Arial"/>
      <family val="2"/>
    </font>
    <font>
      <sz val="10"/>
      <name val="MS Sans Serif"/>
      <family val="2"/>
    </font>
    <font>
      <sz val="11"/>
      <color theme="1"/>
      <name val="Arial"/>
      <family val="2"/>
    </font>
    <font>
      <sz val="10"/>
      <name val="Geneva"/>
      <family val="2"/>
    </font>
    <font>
      <sz val="12"/>
      <name val="Arial MT"/>
    </font>
    <font>
      <b/>
      <i/>
      <sz val="10"/>
      <color indexed="8"/>
      <name val="Arial"/>
      <family val="2"/>
    </font>
    <font>
      <b/>
      <sz val="11"/>
      <color indexed="21"/>
      <name val="Arial"/>
      <family val="2"/>
    </font>
    <font>
      <b/>
      <sz val="22"/>
      <color indexed="21"/>
      <name val="Times New Roman"/>
      <family val="1"/>
    </font>
    <font>
      <sz val="9.75"/>
      <name val="Arial"/>
      <family val="2"/>
    </font>
    <font>
      <b/>
      <sz val="10"/>
      <name val="MS Sans Serif"/>
      <family val="2"/>
    </font>
    <font>
      <b/>
      <sz val="8"/>
      <color indexed="9"/>
      <name val="Verdana"/>
      <family val="2"/>
    </font>
    <font>
      <vertAlign val="subscript"/>
      <sz val="8"/>
      <color indexed="8"/>
      <name val="Arial"/>
      <family val="2"/>
    </font>
    <font>
      <vertAlign val="superscript"/>
      <sz val="8"/>
      <color indexed="8"/>
      <name val="Arial"/>
      <family val="2"/>
    </font>
    <font>
      <u/>
      <sz val="10"/>
      <name val="Arial"/>
      <family val="2"/>
    </font>
    <font>
      <b/>
      <sz val="8"/>
      <color indexed="8"/>
      <name val="Arial"/>
      <family val="2"/>
    </font>
    <font>
      <i/>
      <sz val="8"/>
      <color indexed="8"/>
      <name val="Arial"/>
      <family val="2"/>
    </font>
    <font>
      <sz val="12"/>
      <color indexed="13"/>
      <name val="Tms Rmn"/>
    </font>
    <font>
      <b/>
      <sz val="18"/>
      <color indexed="56"/>
      <name val="Cambria"/>
      <family val="2"/>
    </font>
    <font>
      <b/>
      <sz val="13"/>
      <color indexed="8"/>
      <name val="Verdana"/>
      <family val="2"/>
    </font>
    <font>
      <sz val="12"/>
      <color indexed="8"/>
      <name val="Arial MT"/>
    </font>
    <font>
      <sz val="12"/>
      <color theme="1"/>
      <name val="Arial"/>
      <family val="2"/>
      <scheme val="minor"/>
    </font>
    <font>
      <sz val="10"/>
      <color theme="1"/>
      <name val="Calibri"/>
      <family val="2"/>
    </font>
    <font>
      <sz val="10"/>
      <name val="Arial"/>
      <family val="2"/>
    </font>
    <font>
      <sz val="10"/>
      <name val="Arial"/>
      <family val="2"/>
    </font>
    <font>
      <sz val="10"/>
      <color theme="1"/>
      <name val="Arial"/>
      <family val="2"/>
      <scheme val="minor"/>
    </font>
    <font>
      <sz val="10"/>
      <color rgb="FFFF0000"/>
      <name val="Arial"/>
      <family val="2"/>
    </font>
    <font>
      <sz val="10"/>
      <color rgb="FF000000"/>
      <name val="Arial"/>
      <family val="2"/>
    </font>
    <font>
      <sz val="10"/>
      <color theme="0"/>
      <name val="Arial"/>
      <family val="2"/>
    </font>
    <font>
      <b/>
      <i/>
      <sz val="10"/>
      <color theme="1"/>
      <name val="Arial"/>
      <family val="2"/>
    </font>
    <font>
      <b/>
      <i/>
      <sz val="10"/>
      <name val="Arial"/>
      <family val="2"/>
    </font>
    <font>
      <sz val="10"/>
      <name val="Arial"/>
      <family val="2"/>
      <scheme val="minor"/>
    </font>
    <font>
      <b/>
      <sz val="10"/>
      <color indexed="10"/>
      <name val="Arial"/>
      <family val="2"/>
    </font>
    <font>
      <u/>
      <sz val="11"/>
      <color rgb="FF0563C1"/>
      <name val="Calibri"/>
      <family val="2"/>
    </font>
    <font>
      <b/>
      <sz val="10"/>
      <color theme="1"/>
      <name val="Arial"/>
      <family val="2"/>
      <scheme val="minor"/>
    </font>
    <font>
      <b/>
      <sz val="10"/>
      <color theme="1"/>
      <name val="Arial"/>
      <family val="2"/>
    </font>
    <font>
      <i/>
      <sz val="11"/>
      <color theme="1"/>
      <name val="Arial"/>
      <family val="2"/>
      <scheme val="minor"/>
    </font>
    <font>
      <i/>
      <sz val="10"/>
      <color theme="1"/>
      <name val="Arial"/>
      <family val="2"/>
    </font>
    <font>
      <vertAlign val="subscript"/>
      <sz val="10"/>
      <name val="Arial"/>
      <family val="2"/>
    </font>
    <font>
      <vertAlign val="superscript"/>
      <sz val="10"/>
      <name val="Arial"/>
      <family val="2"/>
    </font>
    <font>
      <i/>
      <sz val="10"/>
      <color rgb="FF000000"/>
      <name val="Arial"/>
      <family val="2"/>
    </font>
    <font>
      <u/>
      <sz val="10"/>
      <color theme="1"/>
      <name val="Arial"/>
      <family val="2"/>
    </font>
    <font>
      <i/>
      <sz val="10"/>
      <name val="Arial"/>
      <family val="2"/>
    </font>
    <font>
      <sz val="10"/>
      <name val="Verdana"/>
      <family val="2"/>
    </font>
    <font>
      <i/>
      <u/>
      <sz val="10"/>
      <color rgb="FF0070C0"/>
      <name val="Arial"/>
      <family val="2"/>
    </font>
    <font>
      <sz val="10"/>
      <color rgb="FF0070C0"/>
      <name val="Arial"/>
      <family val="2"/>
    </font>
    <font>
      <b/>
      <sz val="10"/>
      <color indexed="8"/>
      <name val="Arial"/>
      <family val="2"/>
    </font>
  </fonts>
  <fills count="71">
    <fill>
      <patternFill patternType="none"/>
    </fill>
    <fill>
      <patternFill patternType="gray125"/>
    </fill>
    <fill>
      <patternFill patternType="solid">
        <fgColor indexed="60"/>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4F81BD"/>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mediumGray">
        <fgColor indexed="22"/>
      </patternFill>
    </fill>
    <fill>
      <patternFill patternType="solid">
        <fgColor indexed="56"/>
        <bgColor indexed="64"/>
      </patternFill>
    </fill>
    <fill>
      <patternFill patternType="solid">
        <fgColor indexed="12"/>
      </patternFill>
    </fill>
    <fill>
      <patternFill patternType="solid">
        <fgColor rgb="FFFFFF00"/>
        <bgColor indexed="64"/>
      </patternFill>
    </fill>
    <fill>
      <patternFill patternType="lightUp"/>
    </fill>
    <fill>
      <patternFill patternType="solid">
        <fgColor theme="0" tint="-0.14996795556505021"/>
        <bgColor indexed="64"/>
      </patternFill>
    </fill>
  </fills>
  <borders count="5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medium">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8"/>
      </left>
      <right style="thin">
        <color indexed="8"/>
      </right>
      <top style="double">
        <color indexed="8"/>
      </top>
      <bottom style="thin">
        <color indexed="8"/>
      </bottom>
      <diagonal/>
    </border>
    <border>
      <left/>
      <right/>
      <top/>
      <bottom style="medium">
        <color indexed="8"/>
      </bottom>
      <diagonal/>
    </border>
    <border>
      <left/>
      <right/>
      <top/>
      <bottom style="medium">
        <color auto="1"/>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auto="1"/>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right/>
      <top style="medium">
        <color auto="1"/>
      </top>
      <bottom style="thin">
        <color auto="1"/>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s>
  <cellStyleXfs count="33781">
    <xf numFmtId="0" fontId="0" fillId="0" borderId="0"/>
    <xf numFmtId="0" fontId="15"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 fillId="0" borderId="0"/>
    <xf numFmtId="0" fontId="19" fillId="2" borderId="0" applyAlignment="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0" fontId="20" fillId="3" borderId="0" applyNumberFormat="0" applyBorder="0" applyAlignment="0" applyProtection="0"/>
    <xf numFmtId="0" fontId="20" fillId="3"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Protection="0">
      <alignment horizontal="center"/>
    </xf>
    <xf numFmtId="0" fontId="24" fillId="4" borderId="0" applyNumberFormat="0" applyBorder="0" applyProtection="0">
      <alignment horizontal="center"/>
    </xf>
    <xf numFmtId="0" fontId="25" fillId="4" borderId="0" applyNumberFormat="0" applyBorder="0" applyAlignment="0" applyProtection="0"/>
    <xf numFmtId="0" fontId="25" fillId="4" borderId="0" applyNumberFormat="0" applyBorder="0" applyAlignment="0" applyProtection="0"/>
    <xf numFmtId="0" fontId="15" fillId="0" borderId="0" applyNumberFormat="0" applyFont="0" applyFill="0" applyBorder="0" applyProtection="0">
      <alignment horizontal="right"/>
    </xf>
    <xf numFmtId="0" fontId="15" fillId="0" borderId="0" applyNumberFormat="0" applyFont="0" applyFill="0" applyBorder="0" applyProtection="0">
      <alignment horizontal="right"/>
    </xf>
    <xf numFmtId="0" fontId="15" fillId="0" borderId="0" applyNumberFormat="0" applyFont="0" applyFill="0" applyBorder="0" applyProtection="0">
      <alignment horizontal="left"/>
    </xf>
    <xf numFmtId="0" fontId="15" fillId="0" borderId="0" applyNumberFormat="0" applyFont="0" applyFill="0" applyBorder="0" applyProtection="0">
      <alignment horizontal="left"/>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5" borderId="0" applyNumberFormat="0" applyFont="0" applyBorder="0" applyAlignment="0" applyProtection="0"/>
    <xf numFmtId="0" fontId="15" fillId="5" borderId="0" applyNumberFormat="0" applyFont="0" applyBorder="0" applyAlignment="0" applyProtection="0"/>
    <xf numFmtId="166" fontId="15" fillId="0" borderId="0" applyFont="0" applyFill="0" applyBorder="0" applyAlignment="0" applyProtection="0"/>
    <xf numFmtId="166"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28" fillId="0" borderId="0" applyAlignment="0"/>
    <xf numFmtId="0" fontId="14" fillId="0" borderId="0"/>
    <xf numFmtId="0" fontId="15" fillId="0" borderId="0"/>
    <xf numFmtId="9" fontId="15" fillId="0" borderId="0" applyFont="0" applyFill="0" applyBorder="0" applyAlignment="0" applyProtection="0"/>
    <xf numFmtId="0" fontId="13"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2" fontId="15" fillId="0" borderId="0" applyFill="0" applyBorder="0" applyProtection="0">
      <alignment horizontal="left"/>
    </xf>
    <xf numFmtId="42" fontId="44" fillId="0" borderId="0" applyFill="0" applyBorder="0" applyAlignment="0" applyProtection="0"/>
    <xf numFmtId="44" fontId="14" fillId="0" borderId="0">
      <alignment horizontal="left"/>
    </xf>
    <xf numFmtId="167" fontId="15" fillId="0" borderId="14" applyBorder="0">
      <alignment horizontal="center"/>
    </xf>
    <xf numFmtId="167" fontId="15" fillId="0" borderId="14" applyBorder="0">
      <alignment horizontal="center"/>
    </xf>
    <xf numFmtId="167" fontId="15" fillId="0" borderId="14" applyBorder="0">
      <alignment horizontal="center"/>
    </xf>
    <xf numFmtId="167" fontId="15" fillId="0" borderId="14" applyBorder="0">
      <alignment horizontal="center"/>
    </xf>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45" fillId="3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45" fillId="3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5" fillId="39"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45" fillId="4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45" fillId="41"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5" fillId="4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45" fillId="4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45" fillId="44"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45" fillId="4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45" fillId="4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45"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45" fillId="4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6" fillId="47"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6" fillId="4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6" fillId="45"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6" fillId="48"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6" fillId="49"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6" fillId="5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6" fillId="51"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6" fillId="52"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6" fillId="53"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6" fillId="48"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6" fillId="49"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6" fillId="54" borderId="0" applyNumberFormat="0" applyBorder="0" applyAlignment="0" applyProtection="0"/>
    <xf numFmtId="43" fontId="14" fillId="0" borderId="0">
      <alignment horizontal="left"/>
    </xf>
    <xf numFmtId="168" fontId="14" fillId="0" borderId="0">
      <alignment horizontal="left"/>
    </xf>
    <xf numFmtId="37" fontId="15" fillId="0" borderId="0" applyNumberFormat="0" applyBorder="0" applyAlignment="0"/>
    <xf numFmtId="38" fontId="47" fillId="0" borderId="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48" fillId="38" borderId="0" applyNumberFormat="0" applyBorder="0" applyAlignment="0" applyProtection="0"/>
    <xf numFmtId="0" fontId="49" fillId="55" borderId="0"/>
    <xf numFmtId="0" fontId="37" fillId="10" borderId="8" applyNumberFormat="0" applyAlignment="0" applyProtection="0"/>
    <xf numFmtId="0" fontId="37" fillId="10" borderId="8" applyNumberFormat="0" applyAlignment="0" applyProtection="0"/>
    <xf numFmtId="0" fontId="37" fillId="10" borderId="8" applyNumberFormat="0" applyAlignment="0" applyProtection="0"/>
    <xf numFmtId="0" fontId="37" fillId="10" borderId="8" applyNumberFormat="0" applyAlignment="0" applyProtection="0"/>
    <xf numFmtId="0" fontId="50" fillId="56" borderId="15" applyNumberFormat="0" applyAlignment="0" applyProtection="0"/>
    <xf numFmtId="0" fontId="45" fillId="0" borderId="0" applyAlignment="0"/>
    <xf numFmtId="0" fontId="39" fillId="11" borderId="11" applyNumberFormat="0" applyAlignment="0" applyProtection="0"/>
    <xf numFmtId="0" fontId="39" fillId="11" borderId="11" applyNumberFormat="0" applyAlignment="0" applyProtection="0"/>
    <xf numFmtId="0" fontId="39" fillId="11" borderId="11" applyNumberFormat="0" applyAlignment="0" applyProtection="0"/>
    <xf numFmtId="0" fontId="39" fillId="11" borderId="11" applyNumberFormat="0" applyAlignment="0" applyProtection="0"/>
    <xf numFmtId="0" fontId="24" fillId="57" borderId="16" applyNumberFormat="0" applyAlignment="0" applyProtection="0"/>
    <xf numFmtId="0" fontId="51" fillId="0" borderId="0" applyAlignment="0"/>
    <xf numFmtId="37" fontId="14" fillId="0" borderId="0">
      <alignment horizontal="center"/>
    </xf>
    <xf numFmtId="37" fontId="15" fillId="0" borderId="0" applyNumberFormat="0" applyFill="0" applyBorder="0" applyProtection="0">
      <alignment horizontal="centerContinuous"/>
    </xf>
    <xf numFmtId="37" fontId="14" fillId="0" borderId="2">
      <alignment horizontal="center"/>
    </xf>
    <xf numFmtId="37" fontId="14" fillId="0" borderId="2">
      <alignment horizontal="center"/>
    </xf>
    <xf numFmtId="37" fontId="14" fillId="0" borderId="2">
      <alignment horizontal="center"/>
    </xf>
    <xf numFmtId="37" fontId="14" fillId="0" borderId="2">
      <alignment horizontal="center"/>
    </xf>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5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5"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3" fontId="15" fillId="0" borderId="0" applyFont="0" applyFill="0" applyBorder="0" applyAlignment="0" applyProtection="0"/>
    <xf numFmtId="37" fontId="15" fillId="0" borderId="0" applyFill="0" applyBorder="0" applyAlignment="0" applyProtection="0"/>
    <xf numFmtId="0" fontId="15" fillId="0" borderId="0" applyNumberFormat="0" applyFill="0" applyBorder="0" applyAlignment="0" applyProtection="0"/>
    <xf numFmtId="4" fontId="57" fillId="0" borderId="17" applyFill="0" applyProtection="0">
      <alignment horizontal="center" vertical="center" wrapText="1"/>
    </xf>
    <xf numFmtId="4" fontId="57" fillId="0" borderId="17" applyFill="0" applyProtection="0">
      <alignment horizontal="center" vertical="center" wrapText="1"/>
    </xf>
    <xf numFmtId="0" fontId="15" fillId="0" borderId="0" applyNumberForma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44"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1" fontId="15" fillId="0" borderId="0" applyFill="0" applyBorder="0" applyAlignment="0" applyProtection="0"/>
    <xf numFmtId="42" fontId="15" fillId="0" borderId="1"/>
    <xf numFmtId="42" fontId="15" fillId="0" borderId="1"/>
    <xf numFmtId="43" fontId="15" fillId="0" borderId="0" applyBorder="0">
      <alignment horizontal="left"/>
    </xf>
    <xf numFmtId="5" fontId="15" fillId="0" borderId="0" applyFill="0" applyBorder="0" applyAlignment="0" applyProtection="0"/>
    <xf numFmtId="0" fontId="58" fillId="0" borderId="0"/>
    <xf numFmtId="0" fontId="58" fillId="0" borderId="0"/>
    <xf numFmtId="0" fontId="58" fillId="0" borderId="18"/>
    <xf numFmtId="0" fontId="15" fillId="0" borderId="0" applyFont="0" applyFill="0" applyBorder="0" applyAlignment="0" applyProtection="0"/>
    <xf numFmtId="169" fontId="15" fillId="0" borderId="0"/>
    <xf numFmtId="7" fontId="59" fillId="0" borderId="19"/>
    <xf numFmtId="4" fontId="60" fillId="0" borderId="0" applyFont="0" applyBorder="0">
      <alignment horizontal="justify"/>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61" fillId="0" borderId="0" applyNumberFormat="0" applyFill="0" applyBorder="0" applyAlignment="0" applyProtection="0"/>
    <xf numFmtId="2" fontId="15" fillId="0" borderId="0" applyFont="0" applyFill="0" applyBorder="0" applyAlignment="0" applyProtection="0"/>
    <xf numFmtId="38" fontId="44" fillId="0" borderId="0"/>
    <xf numFmtId="170" fontId="15" fillId="0" borderId="0">
      <alignment horizontal="center"/>
    </xf>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62" fillId="39" borderId="0" applyNumberFormat="0" applyBorder="0" applyAlignment="0" applyProtection="0"/>
    <xf numFmtId="38" fontId="63" fillId="0" borderId="0"/>
    <xf numFmtId="49" fontId="64" fillId="0" borderId="0" applyNumberFormat="0" applyFill="0" applyBorder="0" applyProtection="0">
      <alignment horizontal="centerContinuous"/>
    </xf>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65" fillId="0" borderId="20"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66" fillId="0" borderId="21"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67" fillId="0" borderId="22"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7" fillId="0" borderId="0" applyNumberFormat="0" applyFill="0" applyBorder="0" applyAlignment="0" applyProtection="0"/>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applyNumberFormat="0" applyFill="0" applyBorder="0" applyAlignment="0" applyProtection="0"/>
    <xf numFmtId="0" fontId="54" fillId="58" borderId="0"/>
    <xf numFmtId="0" fontId="54" fillId="58" borderId="0"/>
    <xf numFmtId="0" fontId="35" fillId="9" borderId="8" applyNumberFormat="0" applyAlignment="0" applyProtection="0"/>
    <xf numFmtId="0" fontId="35" fillId="9" borderId="8" applyNumberFormat="0" applyAlignment="0" applyProtection="0"/>
    <xf numFmtId="0" fontId="35" fillId="9" borderId="8" applyNumberFormat="0" applyAlignment="0" applyProtection="0"/>
    <xf numFmtId="0" fontId="35" fillId="9" borderId="8" applyNumberFormat="0" applyAlignment="0" applyProtection="0"/>
    <xf numFmtId="0" fontId="70" fillId="42" borderId="15" applyNumberFormat="0" applyAlignment="0" applyProtection="0"/>
    <xf numFmtId="0" fontId="71" fillId="0" borderId="0" applyAlignment="0"/>
    <xf numFmtId="0" fontId="72" fillId="59" borderId="18"/>
    <xf numFmtId="37" fontId="26" fillId="0" borderId="0" applyBorder="0" applyAlignment="0" applyProtection="0"/>
    <xf numFmtId="0" fontId="26" fillId="60" borderId="0"/>
    <xf numFmtId="41" fontId="44" fillId="0" borderId="0" applyFill="0" applyBorder="0" applyAlignment="0" applyProtection="0"/>
    <xf numFmtId="0" fontId="38" fillId="0" borderId="10" applyNumberFormat="0" applyFill="0" applyAlignment="0" applyProtection="0"/>
    <xf numFmtId="0" fontId="38" fillId="0" borderId="10" applyNumberFormat="0" applyFill="0" applyAlignment="0" applyProtection="0"/>
    <xf numFmtId="0" fontId="38" fillId="0" borderId="10" applyNumberFormat="0" applyFill="0" applyAlignment="0" applyProtection="0"/>
    <xf numFmtId="0" fontId="38" fillId="0" borderId="10" applyNumberFormat="0" applyFill="0" applyAlignment="0" applyProtection="0"/>
    <xf numFmtId="0" fontId="73" fillId="0" borderId="23" applyNumberFormat="0" applyFill="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61" borderId="0" applyNumberFormat="0" applyBorder="0" applyAlignment="0" applyProtection="0"/>
    <xf numFmtId="0" fontId="75" fillId="5" borderId="0" applyAlignment="0"/>
    <xf numFmtId="0" fontId="24" fillId="3" borderId="0" applyAlignment="0"/>
    <xf numFmtId="0" fontId="76" fillId="0" borderId="0" applyAlignment="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3" fillId="0" borderId="0"/>
    <xf numFmtId="0" fontId="15" fillId="0" borderId="0"/>
    <xf numFmtId="0" fontId="13" fillId="0" borderId="0"/>
    <xf numFmtId="0" fontId="13"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55" fillId="0" borderId="0"/>
    <xf numFmtId="0" fontId="5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5" fillId="0" borderId="0"/>
    <xf numFmtId="0" fontId="13" fillId="0" borderId="0"/>
    <xf numFmtId="0" fontId="13" fillId="0" borderId="0"/>
    <xf numFmtId="0" fontId="15"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55" fillId="0" borderId="0"/>
    <xf numFmtId="0" fontId="15" fillId="0" borderId="0"/>
    <xf numFmtId="0" fontId="13" fillId="0" borderId="0"/>
    <xf numFmtId="0" fontId="15" fillId="0" borderId="0"/>
    <xf numFmtId="0" fontId="15" fillId="0" borderId="0"/>
    <xf numFmtId="0" fontId="13" fillId="0" borderId="0"/>
    <xf numFmtId="0" fontId="15" fillId="0" borderId="0"/>
    <xf numFmtId="0" fontId="56" fillId="0" borderId="0"/>
    <xf numFmtId="0" fontId="56" fillId="0" borderId="0"/>
    <xf numFmtId="0" fontId="5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xf numFmtId="0" fontId="13" fillId="0" borderId="0"/>
    <xf numFmtId="0" fontId="13" fillId="0" borderId="0"/>
    <xf numFmtId="0" fontId="56" fillId="0" borderId="0"/>
    <xf numFmtId="0" fontId="13" fillId="0" borderId="0"/>
    <xf numFmtId="0" fontId="13"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56" fillId="0" borderId="0"/>
    <xf numFmtId="0" fontId="56" fillId="0" borderId="0"/>
    <xf numFmtId="0" fontId="56" fillId="0" borderId="0"/>
    <xf numFmtId="0" fontId="53" fillId="0" borderId="0"/>
    <xf numFmtId="0" fontId="53" fillId="0" borderId="0"/>
    <xf numFmtId="0" fontId="15" fillId="0" borderId="0"/>
    <xf numFmtId="0" fontId="53" fillId="0" borderId="0"/>
    <xf numFmtId="0" fontId="15" fillId="0" borderId="0"/>
    <xf numFmtId="0" fontId="15" fillId="0" borderId="0"/>
    <xf numFmtId="0" fontId="77" fillId="0" borderId="0"/>
    <xf numFmtId="0" fontId="78" fillId="0" borderId="0"/>
    <xf numFmtId="0" fontId="14" fillId="0" borderId="0"/>
    <xf numFmtId="0" fontId="15"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7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5" fillId="0" borderId="0"/>
    <xf numFmtId="0" fontId="13"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5"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5"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3" fillId="0" borderId="0"/>
    <xf numFmtId="0" fontId="14" fillId="0" borderId="0"/>
    <xf numFmtId="0" fontId="13" fillId="0" borderId="0"/>
    <xf numFmtId="0" fontId="14" fillId="0" borderId="0"/>
    <xf numFmtId="0" fontId="15" fillId="0" borderId="0"/>
    <xf numFmtId="0" fontId="15"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4" fillId="0" borderId="0"/>
    <xf numFmtId="0" fontId="13" fillId="0" borderId="0"/>
    <xf numFmtId="0" fontId="15" fillId="0" borderId="0"/>
    <xf numFmtId="0" fontId="14" fillId="0" borderId="0"/>
    <xf numFmtId="0" fontId="14" fillId="0" borderId="0"/>
    <xf numFmtId="0" fontId="13"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5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5"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0" borderId="0"/>
    <xf numFmtId="0" fontId="53" fillId="0" borderId="0"/>
    <xf numFmtId="0" fontId="53" fillId="0" borderId="0"/>
    <xf numFmtId="0" fontId="53" fillId="0" borderId="0"/>
    <xf numFmtId="0" fontId="15" fillId="0" borderId="0"/>
    <xf numFmtId="0" fontId="13" fillId="0" borderId="0"/>
    <xf numFmtId="0" fontId="13" fillId="0" borderId="0"/>
    <xf numFmtId="0" fontId="14" fillId="0" borderId="0"/>
    <xf numFmtId="0" fontId="15"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5"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5"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5"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14" fillId="0" borderId="0"/>
    <xf numFmtId="0" fontId="14" fillId="0" borderId="0"/>
    <xf numFmtId="0" fontId="15" fillId="0" borderId="0" applyNumberFormat="0" applyFill="0" applyBorder="0" applyAlignment="0" applyProtection="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81" fillId="0" borderId="0"/>
    <xf numFmtId="0" fontId="14" fillId="0" borderId="0"/>
    <xf numFmtId="0" fontId="13" fillId="0" borderId="0"/>
    <xf numFmtId="0" fontId="14" fillId="0" borderId="0"/>
    <xf numFmtId="0" fontId="13"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4" fillId="0" borderId="0"/>
    <xf numFmtId="0" fontId="14" fillId="0" borderId="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4" fillId="0" borderId="0"/>
    <xf numFmtId="0" fontId="14" fillId="0" borderId="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4" fillId="0" borderId="0"/>
    <xf numFmtId="0" fontId="14" fillId="0" borderId="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5"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5" fillId="0" borderId="0"/>
    <xf numFmtId="0" fontId="14" fillId="0" borderId="0"/>
    <xf numFmtId="0" fontId="13" fillId="0" borderId="0"/>
    <xf numFmtId="0" fontId="14" fillId="0" borderId="0"/>
    <xf numFmtId="0" fontId="13"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5" fillId="0" borderId="0"/>
    <xf numFmtId="0" fontId="14" fillId="0" borderId="0"/>
    <xf numFmtId="0" fontId="56"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4" fillId="0" borderId="0"/>
    <xf numFmtId="0" fontId="14" fillId="0" borderId="0"/>
    <xf numFmtId="0" fontId="15"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56"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14" fillId="0" borderId="0"/>
    <xf numFmtId="0" fontId="56" fillId="0" borderId="0"/>
    <xf numFmtId="0" fontId="15" fillId="0" borderId="0"/>
    <xf numFmtId="0" fontId="56" fillId="0" borderId="0"/>
    <xf numFmtId="0" fontId="56" fillId="0" borderId="0"/>
    <xf numFmtId="0" fontId="14"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56" fillId="0" borderId="0"/>
    <xf numFmtId="0" fontId="56" fillId="0" borderId="0"/>
    <xf numFmtId="0" fontId="14" fillId="0" borderId="0"/>
    <xf numFmtId="0" fontId="15" fillId="0" borderId="0"/>
    <xf numFmtId="0" fontId="14" fillId="0" borderId="0"/>
    <xf numFmtId="0" fontId="14" fillId="0" borderId="0"/>
    <xf numFmtId="0" fontId="56" fillId="0" borderId="0"/>
    <xf numFmtId="0" fontId="56" fillId="0" borderId="0"/>
    <xf numFmtId="0" fontId="14"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15" fillId="0" borderId="0" applyNumberFormat="0" applyFill="0" applyBorder="0" applyAlignment="0" applyProtection="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5"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applyNumberForma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3"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14" fillId="0" borderId="0"/>
    <xf numFmtId="0" fontId="15" fillId="0" borderId="0"/>
    <xf numFmtId="0" fontId="15" fillId="0" borderId="0"/>
    <xf numFmtId="0" fontId="14" fillId="0" borderId="0"/>
    <xf numFmtId="0" fontId="14" fillId="0" borderId="0"/>
    <xf numFmtId="0" fontId="83" fillId="0" borderId="0"/>
    <xf numFmtId="0" fontId="83" fillId="0" borderId="0"/>
    <xf numFmtId="0" fontId="14"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83" fillId="0" borderId="0"/>
    <xf numFmtId="0" fontId="14" fillId="0" borderId="0"/>
    <xf numFmtId="0" fontId="15" fillId="0" borderId="0"/>
    <xf numFmtId="0" fontId="14" fillId="0" borderId="0"/>
    <xf numFmtId="0" fontId="83" fillId="0" borderId="0"/>
    <xf numFmtId="0" fontId="15" fillId="0" borderId="0"/>
    <xf numFmtId="0" fontId="14" fillId="0" borderId="0"/>
    <xf numFmtId="0" fontId="14" fillId="0" borderId="0"/>
    <xf numFmtId="0" fontId="83" fillId="0" borderId="0"/>
    <xf numFmtId="0" fontId="15" fillId="0" borderId="0"/>
    <xf numFmtId="0" fontId="14" fillId="0" borderId="0"/>
    <xf numFmtId="0" fontId="14" fillId="0" borderId="0"/>
    <xf numFmtId="0" fontId="83" fillId="0" borderId="0"/>
    <xf numFmtId="0" fontId="15" fillId="0" borderId="0"/>
    <xf numFmtId="0" fontId="14" fillId="0" borderId="0"/>
    <xf numFmtId="0" fontId="14" fillId="0" borderId="0"/>
    <xf numFmtId="0" fontId="83" fillId="0" borderId="0"/>
    <xf numFmtId="0" fontId="15" fillId="0" borderId="0"/>
    <xf numFmtId="0" fontId="14" fillId="0" borderId="0"/>
    <xf numFmtId="0" fontId="14" fillId="0" borderId="0"/>
    <xf numFmtId="0" fontId="83" fillId="0" borderId="0"/>
    <xf numFmtId="0" fontId="15" fillId="0" borderId="0"/>
    <xf numFmtId="0" fontId="14" fillId="0" borderId="0"/>
    <xf numFmtId="0" fontId="14" fillId="0" borderId="0"/>
    <xf numFmtId="0" fontId="83"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xf numFmtId="0" fontId="14" fillId="0" borderId="0"/>
    <xf numFmtId="0" fontId="15"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xf numFmtId="0" fontId="14" fillId="0" borderId="0"/>
    <xf numFmtId="0" fontId="15"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xf numFmtId="0" fontId="14" fillId="0" borderId="0"/>
    <xf numFmtId="0" fontId="15"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5" fillId="0" borderId="0"/>
    <xf numFmtId="0" fontId="14" fillId="0" borderId="0"/>
    <xf numFmtId="0" fontId="15"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5"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5" fillId="0" borderId="0"/>
    <xf numFmtId="0" fontId="14" fillId="0" borderId="0"/>
    <xf numFmtId="0" fontId="14" fillId="0" borderId="0"/>
    <xf numFmtId="0" fontId="13" fillId="0" borderId="0"/>
    <xf numFmtId="0" fontId="14" fillId="0" borderId="0"/>
    <xf numFmtId="0" fontId="15" fillId="0" borderId="0"/>
    <xf numFmtId="0" fontId="14" fillId="0" borderId="0"/>
    <xf numFmtId="0" fontId="13" fillId="0" borderId="0"/>
    <xf numFmtId="0" fontId="15" fillId="0" borderId="0"/>
    <xf numFmtId="0" fontId="14" fillId="0" borderId="0"/>
    <xf numFmtId="0" fontId="15" fillId="0" borderId="0"/>
    <xf numFmtId="0" fontId="14" fillId="0" borderId="0"/>
    <xf numFmtId="0" fontId="15"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5"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5"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5"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5" fillId="0" borderId="0"/>
    <xf numFmtId="0" fontId="13" fillId="0" borderId="0"/>
    <xf numFmtId="0" fontId="15" fillId="0" borderId="0"/>
    <xf numFmtId="0" fontId="14" fillId="0" borderId="0"/>
    <xf numFmtId="0" fontId="14" fillId="0" borderId="0"/>
    <xf numFmtId="0" fontId="13"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5"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15" fillId="0" borderId="0"/>
    <xf numFmtId="0" fontId="56" fillId="0" borderId="0"/>
    <xf numFmtId="0" fontId="56" fillId="0" borderId="0"/>
    <xf numFmtId="0" fontId="14" fillId="0" borderId="0"/>
    <xf numFmtId="0" fontId="14" fillId="0" borderId="0"/>
    <xf numFmtId="0" fontId="56" fillId="0" borderId="0"/>
    <xf numFmtId="0" fontId="14" fillId="0" borderId="0"/>
    <xf numFmtId="0" fontId="56" fillId="0" borderId="0"/>
    <xf numFmtId="0" fontId="14" fillId="0" borderId="0"/>
    <xf numFmtId="0" fontId="56"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56" fillId="0" borderId="0"/>
    <xf numFmtId="0" fontId="14"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56"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5" fillId="0" borderId="0"/>
    <xf numFmtId="0" fontId="14"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4"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37" fontId="15" fillId="0" borderId="0" applyFill="0" applyBorder="0" applyAlignment="0" applyProtection="0"/>
    <xf numFmtId="0" fontId="14" fillId="0" borderId="0"/>
    <xf numFmtId="37" fontId="15" fillId="0" borderId="0" applyFill="0" applyBorder="0" applyProtection="0"/>
    <xf numFmtId="0" fontId="14" fillId="0" borderId="0"/>
    <xf numFmtId="37" fontId="15" fillId="0" borderId="0" applyBorder="0" applyAlignment="0" applyProtection="0"/>
    <xf numFmtId="0" fontId="14" fillId="0" borderId="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4" fillId="0" borderId="0"/>
    <xf numFmtId="0" fontId="13" fillId="12" borderId="12" applyNumberFormat="0" applyFont="0" applyAlignment="0" applyProtection="0"/>
    <xf numFmtId="0" fontId="14" fillId="0" borderId="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4" fillId="0" borderId="0"/>
    <xf numFmtId="0" fontId="13" fillId="12" borderId="12" applyNumberFormat="0" applyFont="0" applyAlignment="0" applyProtection="0"/>
    <xf numFmtId="0" fontId="14" fillId="0" borderId="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4" fillId="0" borderId="0"/>
    <xf numFmtId="0" fontId="13" fillId="12" borderId="12" applyNumberFormat="0" applyFont="0" applyAlignment="0" applyProtection="0"/>
    <xf numFmtId="0" fontId="14" fillId="0" borderId="0"/>
    <xf numFmtId="0" fontId="13" fillId="12" borderId="12" applyNumberFormat="0" applyFont="0" applyAlignment="0" applyProtection="0"/>
    <xf numFmtId="0" fontId="13" fillId="12" borderId="12" applyNumberFormat="0" applyFont="0" applyAlignment="0" applyProtection="0"/>
    <xf numFmtId="0" fontId="14" fillId="0" borderId="0"/>
    <xf numFmtId="0" fontId="13" fillId="12" borderId="12" applyNumberFormat="0" applyFont="0" applyAlignment="0" applyProtection="0"/>
    <xf numFmtId="0" fontId="14" fillId="0" borderId="0"/>
    <xf numFmtId="0" fontId="13" fillId="12" borderId="12" applyNumberFormat="0" applyFont="0" applyAlignment="0" applyProtection="0"/>
    <xf numFmtId="0" fontId="13" fillId="12" borderId="12" applyNumberFormat="0" applyFont="0" applyAlignment="0" applyProtection="0"/>
    <xf numFmtId="0" fontId="14" fillId="0" borderId="0"/>
    <xf numFmtId="0" fontId="14" fillId="0" borderId="0"/>
    <xf numFmtId="0" fontId="14" fillId="0" borderId="0"/>
    <xf numFmtId="0" fontId="14" fillId="0" borderId="0"/>
    <xf numFmtId="0" fontId="13" fillId="12" borderId="12" applyNumberFormat="0" applyFont="0" applyAlignment="0" applyProtection="0"/>
    <xf numFmtId="0" fontId="13" fillId="12" borderId="12" applyNumberFormat="0" applyFont="0" applyAlignment="0" applyProtection="0"/>
    <xf numFmtId="0" fontId="15" fillId="62" borderId="24" applyNumberFormat="0" applyFont="0" applyAlignment="0" applyProtection="0"/>
    <xf numFmtId="0" fontId="14" fillId="0" borderId="0"/>
    <xf numFmtId="0" fontId="14" fillId="0" borderId="0"/>
    <xf numFmtId="0" fontId="13" fillId="12" borderId="12" applyNumberFormat="0" applyFont="0" applyAlignment="0" applyProtection="0"/>
    <xf numFmtId="0" fontId="36" fillId="10" borderId="9" applyNumberFormat="0" applyAlignment="0" applyProtection="0"/>
    <xf numFmtId="0" fontId="14" fillId="0" borderId="0"/>
    <xf numFmtId="0" fontId="36" fillId="10" borderId="9" applyNumberFormat="0" applyAlignment="0" applyProtection="0"/>
    <xf numFmtId="0" fontId="14" fillId="0" borderId="0"/>
    <xf numFmtId="0" fontId="36" fillId="10" borderId="9" applyNumberFormat="0" applyAlignment="0" applyProtection="0"/>
    <xf numFmtId="0" fontId="14" fillId="0" borderId="0"/>
    <xf numFmtId="0" fontId="36" fillId="10" borderId="9" applyNumberFormat="0" applyAlignment="0" applyProtection="0"/>
    <xf numFmtId="0" fontId="14" fillId="0" borderId="0"/>
    <xf numFmtId="0" fontId="14" fillId="0" borderId="0"/>
    <xf numFmtId="40" fontId="45" fillId="58" borderId="0">
      <alignment horizontal="right"/>
    </xf>
    <xf numFmtId="0" fontId="14" fillId="0" borderId="0"/>
    <xf numFmtId="0" fontId="84" fillId="63" borderId="0">
      <alignment horizontal="center"/>
    </xf>
    <xf numFmtId="0" fontId="14" fillId="0" borderId="0"/>
    <xf numFmtId="0" fontId="24" fillId="64" borderId="25"/>
    <xf numFmtId="0" fontId="14" fillId="0" borderId="0"/>
    <xf numFmtId="0" fontId="85" fillId="0" borderId="0" applyBorder="0">
      <alignment horizontal="centerContinuous"/>
    </xf>
    <xf numFmtId="0" fontId="14" fillId="0" borderId="0"/>
    <xf numFmtId="0" fontId="86" fillId="0" borderId="0" applyBorder="0">
      <alignment horizontal="centerContinuous"/>
    </xf>
    <xf numFmtId="0" fontId="14" fillId="0" borderId="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5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5"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0" fontId="14" fillId="0" borderId="0"/>
    <xf numFmtId="9" fontId="45"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45" fillId="0" borderId="0" applyFont="0" applyFill="0" applyBorder="0" applyAlignment="0" applyProtection="0"/>
    <xf numFmtId="9" fontId="45"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6" fillId="0" borderId="0" applyFont="0" applyFill="0" applyBorder="0" applyAlignment="0" applyProtection="0"/>
    <xf numFmtId="9" fontId="56"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6" fillId="0" borderId="0" applyFont="0" applyFill="0" applyBorder="0" applyAlignment="0" applyProtection="0"/>
    <xf numFmtId="9" fontId="1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56"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6" fillId="0" borderId="0" applyFont="0" applyFill="0" applyBorder="0" applyAlignment="0" applyProtection="0"/>
    <xf numFmtId="9" fontId="56"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6" fillId="0" borderId="0" applyFont="0" applyFill="0" applyBorder="0" applyAlignment="0" applyProtection="0"/>
    <xf numFmtId="0" fontId="14" fillId="0" borderId="0"/>
    <xf numFmtId="9" fontId="56"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4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8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87"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5"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5"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6"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56"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56" fillId="0" borderId="0" applyFont="0" applyFill="0" applyBorder="0" applyAlignment="0" applyProtection="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55" fillId="0" borderId="0" applyFont="0" applyFill="0" applyBorder="0" applyAlignment="0" applyProtection="0"/>
    <xf numFmtId="0" fontId="14" fillId="0" borderId="0"/>
    <xf numFmtId="9" fontId="55" fillId="0" borderId="0" applyFont="0" applyFill="0" applyBorder="0" applyAlignment="0" applyProtection="0"/>
    <xf numFmtId="9" fontId="14"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0" fontId="15" fillId="0" borderId="0" applyNumberForma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6"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9" fontId="52"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14" fillId="0" borderId="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9" fontId="77" fillId="0" borderId="0" applyFont="0" applyFill="0" applyBorder="0" applyAlignment="0" applyProtection="0"/>
    <xf numFmtId="37" fontId="26" fillId="0" borderId="0" applyNumberFormat="0" applyBorder="0" applyAlignment="0"/>
    <xf numFmtId="0" fontId="14" fillId="0" borderId="0"/>
    <xf numFmtId="0" fontId="80" fillId="0" borderId="0" applyNumberFormat="0" applyFont="0" applyFill="0" applyBorder="0" applyAlignment="0" applyProtection="0">
      <alignment horizontal="left"/>
    </xf>
    <xf numFmtId="0" fontId="14" fillId="0" borderId="0"/>
    <xf numFmtId="15" fontId="80" fillId="0" borderId="0" applyFont="0" applyFill="0" applyBorder="0" applyAlignment="0" applyProtection="0"/>
    <xf numFmtId="0" fontId="14" fillId="0" borderId="0"/>
    <xf numFmtId="4" fontId="80" fillId="0" borderId="0" applyFont="0" applyFill="0" applyBorder="0" applyAlignment="0" applyProtection="0"/>
    <xf numFmtId="0" fontId="14" fillId="0" borderId="0"/>
    <xf numFmtId="0" fontId="88" fillId="0" borderId="17">
      <alignment horizontal="center"/>
    </xf>
    <xf numFmtId="0" fontId="14" fillId="0" borderId="0"/>
    <xf numFmtId="0" fontId="88" fillId="0" borderId="17">
      <alignment horizontal="center"/>
    </xf>
    <xf numFmtId="3" fontId="80" fillId="0" borderId="0" applyFont="0" applyFill="0" applyBorder="0" applyAlignment="0" applyProtection="0"/>
    <xf numFmtId="0" fontId="14" fillId="0" borderId="0"/>
    <xf numFmtId="0" fontId="80" fillId="65" borderId="0" applyNumberFormat="0" applyFont="0" applyBorder="0" applyAlignment="0" applyProtection="0"/>
    <xf numFmtId="0" fontId="14" fillId="0" borderId="0"/>
    <xf numFmtId="0" fontId="58" fillId="0" borderId="0"/>
    <xf numFmtId="0" fontId="14" fillId="0" borderId="0"/>
    <xf numFmtId="0" fontId="58" fillId="0" borderId="0"/>
    <xf numFmtId="0" fontId="14" fillId="0" borderId="0"/>
    <xf numFmtId="0" fontId="89" fillId="66" borderId="0" applyAlignment="0"/>
    <xf numFmtId="49" fontId="15" fillId="0" borderId="0">
      <alignment horizontal="left" wrapText="1"/>
    </xf>
    <xf numFmtId="0" fontId="14" fillId="0" borderId="0"/>
    <xf numFmtId="0" fontId="15" fillId="5" borderId="0" applyNumberFormat="0" applyFont="0" applyBorder="0" applyAlignment="0" applyProtection="0"/>
    <xf numFmtId="0" fontId="15" fillId="5" borderId="0" applyNumberFormat="0" applyFont="0" applyBorder="0" applyAlignment="0" applyProtection="0"/>
    <xf numFmtId="0" fontId="15" fillId="5" borderId="0" applyNumberFormat="0" applyFont="0" applyBorder="0" applyAlignment="0" applyProtection="0"/>
    <xf numFmtId="0" fontId="15" fillId="5" borderId="0" applyNumberFormat="0" applyFont="0" applyBorder="0" applyAlignment="0" applyProtection="0"/>
    <xf numFmtId="0" fontId="14" fillId="0" borderId="0"/>
    <xf numFmtId="0" fontId="20" fillId="3" borderId="0" applyNumberFormat="0" applyBorder="0" applyAlignment="0" applyProtection="0"/>
    <xf numFmtId="0" fontId="14" fillId="0" borderId="0"/>
    <xf numFmtId="0" fontId="20" fillId="3" borderId="0" applyNumberFormat="0" applyBorder="0" applyAlignment="0" applyProtection="0"/>
    <xf numFmtId="0" fontId="14" fillId="0" borderId="0"/>
    <xf numFmtId="0" fontId="20" fillId="3" borderId="0" applyNumberFormat="0" applyBorder="0" applyAlignment="0" applyProtection="0"/>
    <xf numFmtId="0" fontId="14" fillId="0" borderId="0"/>
    <xf numFmtId="0" fontId="14" fillId="0" borderId="0"/>
    <xf numFmtId="0" fontId="14" fillId="0" borderId="0"/>
    <xf numFmtId="0" fontId="21" fillId="0" borderId="0" applyNumberFormat="0" applyFill="0" applyBorder="0" applyAlignment="0" applyProtection="0"/>
    <xf numFmtId="0" fontId="14" fillId="0" borderId="0"/>
    <xf numFmtId="0" fontId="21" fillId="0" borderId="0" applyNumberFormat="0" applyFill="0" applyBorder="0" applyAlignment="0" applyProtection="0"/>
    <xf numFmtId="0" fontId="14" fillId="0" borderId="0"/>
    <xf numFmtId="0" fontId="21" fillId="0" borderId="0" applyNumberFormat="0" applyFill="0" applyBorder="0" applyAlignment="0" applyProtection="0"/>
    <xf numFmtId="0" fontId="14" fillId="0" borderId="0"/>
    <xf numFmtId="0" fontId="14" fillId="0" borderId="0"/>
    <xf numFmtId="0" fontId="14" fillId="0" borderId="0"/>
    <xf numFmtId="0" fontId="22" fillId="3" borderId="0" applyNumberFormat="0" applyBorder="0" applyAlignment="0" applyProtection="0"/>
    <xf numFmtId="0" fontId="14" fillId="0" borderId="0"/>
    <xf numFmtId="0" fontId="22" fillId="3" borderId="0" applyNumberFormat="0" applyBorder="0" applyAlignment="0" applyProtection="0"/>
    <xf numFmtId="0" fontId="14" fillId="0" borderId="0"/>
    <xf numFmtId="0" fontId="22" fillId="3" borderId="0" applyNumberFormat="0" applyBorder="0" applyAlignment="0" applyProtection="0"/>
    <xf numFmtId="0" fontId="14" fillId="0" borderId="0"/>
    <xf numFmtId="0" fontId="14" fillId="0" borderId="0"/>
    <xf numFmtId="0" fontId="14" fillId="0" borderId="0"/>
    <xf numFmtId="0" fontId="23" fillId="0" borderId="0" applyNumberFormat="0" applyFill="0" applyBorder="0" applyAlignment="0" applyProtection="0"/>
    <xf numFmtId="0" fontId="14" fillId="0" borderId="0"/>
    <xf numFmtId="0" fontId="23" fillId="0" borderId="0" applyNumberFormat="0" applyFill="0" applyBorder="0" applyAlignment="0" applyProtection="0"/>
    <xf numFmtId="0" fontId="14" fillId="0" borderId="0"/>
    <xf numFmtId="0" fontId="23" fillId="0" borderId="0" applyNumberFormat="0" applyFill="0" applyBorder="0" applyAlignment="0" applyProtection="0"/>
    <xf numFmtId="0" fontId="14" fillId="0" borderId="0"/>
    <xf numFmtId="0" fontId="14" fillId="0" borderId="0"/>
    <xf numFmtId="0" fontId="18"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applyNumberFormat="0" applyFill="0" applyBorder="0" applyAlignment="0" applyProtection="0"/>
    <xf numFmtId="0" fontId="14" fillId="0" borderId="0"/>
    <xf numFmtId="0" fontId="18" fillId="0" borderId="0" applyNumberFormat="0" applyFill="0" applyBorder="0" applyAlignment="0" applyProtection="0"/>
    <xf numFmtId="0" fontId="14" fillId="0" borderId="0"/>
    <xf numFmtId="0" fontId="24" fillId="4" borderId="0" applyNumberFormat="0" applyBorder="0" applyAlignment="0" applyProtection="0"/>
    <xf numFmtId="0" fontId="14" fillId="0" borderId="0"/>
    <xf numFmtId="0" fontId="14" fillId="0" borderId="0"/>
    <xf numFmtId="0" fontId="24" fillId="4" borderId="0" applyNumberFormat="0" applyBorder="0" applyAlignment="0" applyProtection="0"/>
    <xf numFmtId="0" fontId="24" fillId="4" borderId="0" applyNumberFormat="0" applyBorder="0" applyAlignment="0" applyProtection="0"/>
    <xf numFmtId="0" fontId="14" fillId="0" borderId="0"/>
    <xf numFmtId="0" fontId="14" fillId="0" borderId="0"/>
    <xf numFmtId="0" fontId="24" fillId="4" borderId="0" applyNumberFormat="0" applyBorder="0" applyAlignment="0" applyProtection="0"/>
    <xf numFmtId="0" fontId="14" fillId="0" borderId="0"/>
    <xf numFmtId="0" fontId="24" fillId="4" borderId="0" applyNumberFormat="0" applyBorder="0" applyAlignment="0" applyProtection="0"/>
    <xf numFmtId="0" fontId="14" fillId="0" borderId="0"/>
    <xf numFmtId="0" fontId="14" fillId="0" borderId="0"/>
    <xf numFmtId="0" fontId="24" fillId="4" borderId="0" applyNumberFormat="0" applyBorder="0" applyAlignment="0" applyProtection="0"/>
    <xf numFmtId="0" fontId="24" fillId="4" borderId="0" applyNumberFormat="0" applyBorder="0" applyAlignment="0" applyProtection="0"/>
    <xf numFmtId="0" fontId="14" fillId="0" borderId="0"/>
    <xf numFmtId="0" fontId="24" fillId="4" borderId="0" applyNumberFormat="0" applyBorder="0" applyProtection="0">
      <alignment horizontal="center"/>
    </xf>
    <xf numFmtId="0" fontId="14" fillId="0" borderId="0"/>
    <xf numFmtId="0" fontId="24" fillId="4" borderId="0" applyNumberFormat="0" applyBorder="0" applyProtection="0">
      <alignment horizontal="center"/>
    </xf>
    <xf numFmtId="0" fontId="14" fillId="0" borderId="0"/>
    <xf numFmtId="0" fontId="24" fillId="4" borderId="0" applyNumberFormat="0" applyBorder="0" applyProtection="0">
      <alignment horizontal="center"/>
    </xf>
    <xf numFmtId="0" fontId="14" fillId="0" borderId="0"/>
    <xf numFmtId="0" fontId="14" fillId="0" borderId="0"/>
    <xf numFmtId="0" fontId="14" fillId="0" borderId="0"/>
    <xf numFmtId="0" fontId="25" fillId="4" borderId="0" applyNumberFormat="0" applyBorder="0" applyAlignment="0" applyProtection="0"/>
    <xf numFmtId="0" fontId="14" fillId="0" borderId="0"/>
    <xf numFmtId="0" fontId="25" fillId="4" borderId="0" applyNumberFormat="0" applyBorder="0" applyAlignment="0" applyProtection="0"/>
    <xf numFmtId="0" fontId="14" fillId="0" borderId="0"/>
    <xf numFmtId="0" fontId="25" fillId="4" borderId="0" applyNumberFormat="0" applyBorder="0" applyAlignment="0" applyProtection="0"/>
    <xf numFmtId="0" fontId="14" fillId="0" borderId="0"/>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4" fillId="0" borderId="0"/>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righ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4" fillId="0" borderId="0"/>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5" fillId="0" borderId="0" applyNumberFormat="0" applyFont="0" applyFill="0" applyBorder="0" applyProtection="0">
      <alignment horizontal="left"/>
    </xf>
    <xf numFmtId="0" fontId="14" fillId="0" borderId="0"/>
    <xf numFmtId="0" fontId="14" fillId="0" borderId="0"/>
    <xf numFmtId="0" fontId="26" fillId="0" borderId="0" applyNumberFormat="0" applyFill="0" applyBorder="0" applyAlignment="0" applyProtection="0"/>
    <xf numFmtId="0" fontId="14" fillId="0" borderId="0"/>
    <xf numFmtId="0" fontId="26" fillId="0" borderId="0" applyNumberFormat="0" applyFill="0" applyBorder="0" applyAlignment="0" applyProtection="0"/>
    <xf numFmtId="0" fontId="14" fillId="0" borderId="0"/>
    <xf numFmtId="0" fontId="2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4" fillId="0" borderId="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0" fontId="15" fillId="5" borderId="0" applyNumberFormat="0" applyFont="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0" fontId="14" fillId="0" borderId="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166"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0" fontId="14" fillId="0" borderId="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2"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0" fontId="14" fillId="0" borderId="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165" fontId="15" fillId="0" borderId="0" applyFont="0" applyFill="0" applyBorder="0" applyAlignment="0" applyProtection="0"/>
    <xf numFmtId="0" fontId="14" fillId="0" borderId="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0" borderId="17" applyNumberFormat="0" applyFont="0" applyFill="0" applyAlignment="0" applyProtection="0"/>
    <xf numFmtId="0" fontId="14" fillId="0" borderId="0"/>
    <xf numFmtId="0" fontId="15" fillId="0" borderId="17" applyNumberFormat="0" applyFont="0" applyFill="0" applyAlignment="0" applyProtection="0"/>
    <xf numFmtId="0" fontId="15" fillId="5" borderId="0" applyNumberFormat="0" applyFon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0" fillId="0" borderId="0" applyAlignment="0"/>
    <xf numFmtId="0" fontId="91" fillId="0" borderId="0" applyAlignment="0"/>
    <xf numFmtId="0" fontId="58" fillId="0" borderId="18"/>
    <xf numFmtId="0" fontId="14" fillId="0" borderId="0"/>
    <xf numFmtId="0" fontId="58" fillId="0" borderId="18"/>
    <xf numFmtId="0" fontId="14" fillId="0" borderId="0"/>
    <xf numFmtId="37" fontId="92" fillId="0" borderId="0">
      <alignment horizontal="left"/>
    </xf>
    <xf numFmtId="0" fontId="14" fillId="0" borderId="0"/>
    <xf numFmtId="37" fontId="15" fillId="0" borderId="0">
      <alignment horizontal="left" indent="1"/>
    </xf>
    <xf numFmtId="0" fontId="14" fillId="0" borderId="0"/>
    <xf numFmtId="37" fontId="15" fillId="0" borderId="0">
      <alignment horizontal="left" indent="2"/>
    </xf>
    <xf numFmtId="0" fontId="14" fillId="0" borderId="0"/>
    <xf numFmtId="37" fontId="15" fillId="0" borderId="0">
      <alignment horizontal="left" indent="3"/>
    </xf>
    <xf numFmtId="0" fontId="14" fillId="0" borderId="0"/>
    <xf numFmtId="37" fontId="92" fillId="0" borderId="0">
      <alignment horizontal="left"/>
    </xf>
    <xf numFmtId="0" fontId="14" fillId="0" borderId="0"/>
    <xf numFmtId="37" fontId="92" fillId="0" borderId="0">
      <alignment horizontal="left" indent="1"/>
    </xf>
    <xf numFmtId="0" fontId="14" fillId="0" borderId="0"/>
    <xf numFmtId="49" fontId="14" fillId="0" borderId="0">
      <alignment horizontal="left" vertical="center" wrapText="1" indent="1"/>
    </xf>
    <xf numFmtId="0" fontId="14" fillId="0" borderId="0"/>
    <xf numFmtId="0" fontId="93" fillId="0" borderId="0" applyAlignment="0"/>
    <xf numFmtId="0" fontId="94" fillId="0" borderId="0" applyAlignment="0"/>
    <xf numFmtId="0" fontId="95" fillId="67" borderId="0"/>
    <xf numFmtId="0" fontId="14" fillId="0" borderId="0"/>
    <xf numFmtId="0" fontId="95" fillId="67" borderId="0"/>
    <xf numFmtId="0" fontId="14" fillId="0" borderId="0"/>
    <xf numFmtId="0" fontId="96" fillId="0" borderId="0" applyNumberFormat="0" applyFill="0" applyBorder="0" applyAlignment="0" applyProtection="0"/>
    <xf numFmtId="0" fontId="14" fillId="0" borderId="0"/>
    <xf numFmtId="0" fontId="96" fillId="0" borderId="0" applyNumberFormat="0" applyFill="0" applyBorder="0" applyAlignment="0" applyProtection="0"/>
    <xf numFmtId="0" fontId="14" fillId="0" borderId="0"/>
    <xf numFmtId="0" fontId="96" fillId="0" borderId="0" applyNumberFormat="0" applyFill="0" applyBorder="0" applyAlignment="0" applyProtection="0"/>
    <xf numFmtId="0" fontId="14" fillId="0" borderId="0"/>
    <xf numFmtId="0" fontId="97" fillId="0" borderId="0" applyAlignment="0"/>
    <xf numFmtId="0" fontId="42" fillId="0" borderId="13" applyNumberFormat="0" applyFill="0" applyAlignment="0" applyProtection="0"/>
    <xf numFmtId="0" fontId="14" fillId="0" borderId="0"/>
    <xf numFmtId="0" fontId="42" fillId="0" borderId="13" applyNumberFormat="0" applyFill="0" applyAlignment="0" applyProtection="0"/>
    <xf numFmtId="0" fontId="14" fillId="0" borderId="0"/>
    <xf numFmtId="0" fontId="42" fillId="0" borderId="13" applyNumberFormat="0" applyFill="0" applyAlignment="0" applyProtection="0"/>
    <xf numFmtId="0" fontId="14" fillId="0" borderId="0"/>
    <xf numFmtId="0" fontId="42" fillId="0" borderId="13" applyNumberFormat="0" applyFill="0" applyAlignment="0" applyProtection="0"/>
    <xf numFmtId="0" fontId="14" fillId="0" borderId="0"/>
    <xf numFmtId="0" fontId="14" fillId="0" borderId="0"/>
    <xf numFmtId="0" fontId="72" fillId="0" borderId="26"/>
    <xf numFmtId="0" fontId="14" fillId="0" borderId="0"/>
    <xf numFmtId="0" fontId="72" fillId="0" borderId="26"/>
    <xf numFmtId="0" fontId="14" fillId="0" borderId="0"/>
    <xf numFmtId="0" fontId="72" fillId="0" borderId="18"/>
    <xf numFmtId="0" fontId="14" fillId="0" borderId="0"/>
    <xf numFmtId="0" fontId="72" fillId="0" borderId="18"/>
    <xf numFmtId="0" fontId="14" fillId="0" borderId="0"/>
    <xf numFmtId="171" fontId="98" fillId="0" borderId="0"/>
    <xf numFmtId="0" fontId="14" fillId="0" borderId="0"/>
    <xf numFmtId="39" fontId="59" fillId="0" borderId="27"/>
    <xf numFmtId="0" fontId="40" fillId="0" borderId="0" applyNumberFormat="0" applyFill="0" applyBorder="0" applyAlignment="0" applyProtection="0"/>
    <xf numFmtId="0" fontId="14" fillId="0" borderId="0"/>
    <xf numFmtId="0" fontId="40" fillId="0" borderId="0" applyNumberFormat="0" applyFill="0" applyBorder="0" applyAlignment="0" applyProtection="0"/>
    <xf numFmtId="0" fontId="14" fillId="0" borderId="0"/>
    <xf numFmtId="0" fontId="40" fillId="0" borderId="0" applyNumberFormat="0" applyFill="0" applyBorder="0" applyAlignment="0" applyProtection="0"/>
    <xf numFmtId="0" fontId="14" fillId="0" borderId="0"/>
    <xf numFmtId="0" fontId="40" fillId="0" borderId="0" applyNumberFormat="0" applyFill="0" applyBorder="0" applyAlignment="0" applyProtection="0"/>
    <xf numFmtId="0" fontId="14" fillId="0" borderId="0"/>
    <xf numFmtId="0" fontId="14" fillId="0" borderId="0"/>
    <xf numFmtId="0" fontId="13" fillId="0" borderId="0"/>
    <xf numFmtId="0" fontId="12" fillId="0" borderId="0"/>
    <xf numFmtId="0" fontId="13" fillId="0" borderId="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5"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9" fillId="0" borderId="0" applyFont="0" applyFill="0" applyBorder="0" applyAlignment="0" applyProtection="0"/>
    <xf numFmtId="4" fontId="57" fillId="0" borderId="4" applyFill="0" applyProtection="0">
      <alignment horizontal="center" vertical="center" wrapText="1"/>
    </xf>
    <xf numFmtId="4" fontId="57" fillId="0" borderId="4" applyFill="0" applyProtection="0">
      <alignment horizontal="center" vertical="center"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7" fontId="59" fillId="0" borderId="19"/>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8" fillId="0" borderId="4">
      <alignment horizontal="center"/>
    </xf>
    <xf numFmtId="0" fontId="88" fillId="0" borderId="4">
      <alignment horizontal="center"/>
    </xf>
    <xf numFmtId="0" fontId="24" fillId="4" borderId="0" applyNumberFormat="0" applyBorder="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37" fontId="12" fillId="0" borderId="2">
      <alignment horizontal="center"/>
    </xf>
    <xf numFmtId="37" fontId="12" fillId="0" borderId="2">
      <alignment horizontal="center"/>
    </xf>
    <xf numFmtId="37" fontId="12" fillId="0" borderId="2">
      <alignment horizontal="center"/>
    </xf>
    <xf numFmtId="37" fontId="12" fillId="0" borderId="2">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57" fillId="0" borderId="4" applyFill="0" applyProtection="0">
      <alignment horizontal="center" vertical="center" wrapText="1"/>
    </xf>
    <xf numFmtId="4" fontId="57" fillId="0" borderId="4" applyFill="0" applyProtection="0">
      <alignment horizontal="center" vertical="center" wrapText="1"/>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0" fontId="13" fillId="12" borderId="12"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8" fillId="0" borderId="4">
      <alignment horizontal="center"/>
    </xf>
    <xf numFmtId="0" fontId="88" fillId="0" borderId="4">
      <alignment horizontal="center"/>
    </xf>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5" fillId="0" borderId="4" applyNumberFormat="0" applyFon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5" fillId="0" borderId="0"/>
    <xf numFmtId="0" fontId="10" fillId="0" borderId="0"/>
    <xf numFmtId="0" fontId="101" fillId="0" borderId="0"/>
    <xf numFmtId="0" fontId="102" fillId="0" borderId="0"/>
    <xf numFmtId="9" fontId="9" fillId="0" borderId="0" applyFont="0" applyFill="0" applyBorder="0" applyAlignment="0" applyProtection="0"/>
    <xf numFmtId="0" fontId="100" fillId="0" borderId="0"/>
    <xf numFmtId="43" fontId="100"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15" fillId="0" borderId="0"/>
    <xf numFmtId="0" fontId="15" fillId="0" borderId="0"/>
    <xf numFmtId="0" fontId="15" fillId="0" borderId="0"/>
    <xf numFmtId="0" fontId="15" fillId="0" borderId="28" applyNumberFormat="0" applyFont="0" applyFill="0" applyAlignment="0" applyProtection="0"/>
    <xf numFmtId="0" fontId="53" fillId="0" borderId="0"/>
    <xf numFmtId="43" fontId="53"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4" fontId="53" fillId="0" borderId="0" applyFont="0" applyFill="0" applyBorder="0" applyAlignment="0" applyProtection="0"/>
    <xf numFmtId="9" fontId="9" fillId="0" borderId="0" applyFont="0" applyFill="0" applyBorder="0" applyAlignment="0" applyProtection="0"/>
    <xf numFmtId="0" fontId="15" fillId="0" borderId="0"/>
    <xf numFmtId="0" fontId="15" fillId="0" borderId="0"/>
    <xf numFmtId="0" fontId="15" fillId="0" borderId="0"/>
    <xf numFmtId="0" fontId="15" fillId="0" borderId="0"/>
    <xf numFmtId="0" fontId="53" fillId="0" borderId="0"/>
    <xf numFmtId="9" fontId="9" fillId="0" borderId="0" applyFont="0" applyFill="0" applyBorder="0" applyAlignment="0" applyProtection="0"/>
    <xf numFmtId="0" fontId="9"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1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15" fillId="0" borderId="0"/>
    <xf numFmtId="0" fontId="15"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11" fillId="0" borderId="0" applyNumberFormat="0" applyFill="0" applyBorder="0" applyAlignment="0" applyProtection="0">
      <alignment vertical="top"/>
      <protection locked="0"/>
    </xf>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3" fillId="0" borderId="0"/>
    <xf numFmtId="9" fontId="13" fillId="0" borderId="0" applyFont="0" applyFill="0" applyBorder="0" applyAlignment="0" applyProtection="0"/>
    <xf numFmtId="0" fontId="13" fillId="0" borderId="0"/>
    <xf numFmtId="0" fontId="1" fillId="0" borderId="0"/>
    <xf numFmtId="0" fontId="1"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44" fontId="13" fillId="0" borderId="0" applyFont="0" applyFill="0" applyBorder="0" applyAlignment="0" applyProtection="0"/>
    <xf numFmtId="0" fontId="1" fillId="0" borderId="0"/>
    <xf numFmtId="9" fontId="99"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100" fillId="0" borderId="0"/>
    <xf numFmtId="0" fontId="13" fillId="0" borderId="0"/>
    <xf numFmtId="0" fontId="13" fillId="0" borderId="0"/>
    <xf numFmtId="0" fontId="13" fillId="0" borderId="0"/>
    <xf numFmtId="0" fontId="1" fillId="0" borderId="0"/>
    <xf numFmtId="9" fontId="13" fillId="0" borderId="0" applyFont="0" applyFill="0" applyBorder="0" applyAlignment="0" applyProtection="0"/>
    <xf numFmtId="0" fontId="1" fillId="0" borderId="0"/>
    <xf numFmtId="43" fontId="100"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9" fontId="13" fillId="0" borderId="0" applyFont="0" applyFill="0" applyBorder="0" applyAlignment="0" applyProtection="0"/>
    <xf numFmtId="0" fontId="100" fillId="0" borderId="0"/>
    <xf numFmtId="9" fontId="100" fillId="0" borderId="0" applyFont="0" applyFill="0" applyBorder="0" applyAlignment="0" applyProtection="0"/>
    <xf numFmtId="0" fontId="1" fillId="0" borderId="0"/>
    <xf numFmtId="9" fontId="13" fillId="0" borderId="0" applyFont="0" applyFill="0" applyBorder="0" applyAlignment="0" applyProtection="0"/>
    <xf numFmtId="0" fontId="121" fillId="0" borderId="0"/>
    <xf numFmtId="9" fontId="99" fillId="0" borderId="0" applyFont="0" applyFill="0" applyBorder="0" applyAlignment="0" applyProtection="0"/>
    <xf numFmtId="9" fontId="12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853">
    <xf numFmtId="0" fontId="0" fillId="0" borderId="0" xfId="0"/>
    <xf numFmtId="0" fontId="3" fillId="0" borderId="0" xfId="33714" applyAlignment="1">
      <alignment horizontal="centerContinuous"/>
    </xf>
    <xf numFmtId="0" fontId="3" fillId="0" borderId="0" xfId="33714"/>
    <xf numFmtId="0" fontId="15" fillId="0" borderId="0" xfId="33714" applyFont="1" applyAlignment="1">
      <alignment horizontal="center"/>
    </xf>
    <xf numFmtId="0" fontId="3" fillId="0" borderId="0" xfId="33714" applyAlignment="1">
      <alignment horizontal="center"/>
    </xf>
    <xf numFmtId="0" fontId="3" fillId="0" borderId="0" xfId="33714" applyAlignment="1">
      <alignment horizontal="center" wrapText="1"/>
    </xf>
    <xf numFmtId="0" fontId="15" fillId="0" borderId="0" xfId="33714" applyFont="1"/>
    <xf numFmtId="10" fontId="3" fillId="0" borderId="0" xfId="33714" applyNumberFormat="1" applyAlignment="1">
      <alignment horizontal="center"/>
    </xf>
    <xf numFmtId="172" fontId="3" fillId="0" borderId="0" xfId="33714" applyNumberFormat="1" applyAlignment="1">
      <alignment horizontal="center"/>
    </xf>
    <xf numFmtId="0" fontId="3" fillId="0" borderId="1" xfId="33714" applyBorder="1"/>
    <xf numFmtId="0" fontId="3" fillId="0" borderId="2" xfId="33714" applyBorder="1"/>
    <xf numFmtId="0" fontId="3" fillId="0" borderId="0" xfId="33714" applyAlignment="1">
      <alignment horizontal="right"/>
    </xf>
    <xf numFmtId="0" fontId="45" fillId="0" borderId="0" xfId="33714" applyFont="1"/>
    <xf numFmtId="10" fontId="45" fillId="0" borderId="0" xfId="33714" applyNumberFormat="1" applyFont="1" applyAlignment="1">
      <alignment horizontal="center"/>
    </xf>
    <xf numFmtId="0" fontId="107" fillId="0" borderId="0" xfId="33714" applyFont="1"/>
    <xf numFmtId="164" fontId="3" fillId="0" borderId="0" xfId="33714" applyNumberFormat="1" applyAlignment="1">
      <alignment horizontal="center"/>
    </xf>
    <xf numFmtId="2" fontId="3" fillId="0" borderId="0" xfId="33714" applyNumberFormat="1" applyAlignment="1">
      <alignment horizontal="center"/>
    </xf>
    <xf numFmtId="0" fontId="3" fillId="0" borderId="3" xfId="33714" applyBorder="1" applyAlignment="1">
      <alignment horizontal="center"/>
    </xf>
    <xf numFmtId="10" fontId="3" fillId="0" borderId="3" xfId="33714" applyNumberFormat="1" applyBorder="1" applyAlignment="1">
      <alignment horizontal="center"/>
    </xf>
    <xf numFmtId="164" fontId="3" fillId="0" borderId="3" xfId="33714" applyNumberFormat="1" applyBorder="1" applyAlignment="1">
      <alignment horizontal="center"/>
    </xf>
    <xf numFmtId="2" fontId="3" fillId="0" borderId="3" xfId="33714" applyNumberFormat="1" applyBorder="1" applyAlignment="1">
      <alignment horizontal="center"/>
    </xf>
    <xf numFmtId="0" fontId="3" fillId="0" borderId="3" xfId="33714" applyBorder="1"/>
    <xf numFmtId="0" fontId="15" fillId="0" borderId="0" xfId="33714" applyFont="1" applyAlignment="1">
      <alignment horizontal="centerContinuous"/>
    </xf>
    <xf numFmtId="174" fontId="15" fillId="0" borderId="0" xfId="33714" applyNumberFormat="1" applyFont="1" applyAlignment="1">
      <alignment horizontal="center"/>
    </xf>
    <xf numFmtId="0" fontId="15" fillId="0" borderId="1" xfId="33714" applyFont="1" applyBorder="1"/>
    <xf numFmtId="0" fontId="15" fillId="0" borderId="2" xfId="33714" applyFont="1" applyBorder="1"/>
    <xf numFmtId="0" fontId="15" fillId="0" borderId="2" xfId="33714" applyFont="1" applyBorder="1" applyAlignment="1">
      <alignment horizontal="center" wrapText="1"/>
    </xf>
    <xf numFmtId="0" fontId="108" fillId="0" borderId="0" xfId="33714" applyFont="1"/>
    <xf numFmtId="164" fontId="15" fillId="0" borderId="0" xfId="33714" applyNumberFormat="1" applyFont="1" applyAlignment="1">
      <alignment horizontal="center"/>
    </xf>
    <xf numFmtId="10" fontId="15" fillId="0" borderId="0" xfId="33714" applyNumberFormat="1" applyFont="1" applyAlignment="1">
      <alignment horizontal="center"/>
    </xf>
    <xf numFmtId="0" fontId="15" fillId="0" borderId="35" xfId="33714" applyFont="1" applyBorder="1"/>
    <xf numFmtId="0" fontId="15" fillId="0" borderId="35" xfId="33714" applyFont="1" applyBorder="1" applyAlignment="1">
      <alignment horizontal="center" wrapText="1"/>
    </xf>
    <xf numFmtId="0" fontId="45" fillId="0" borderId="35" xfId="33714" applyFont="1" applyBorder="1"/>
    <xf numFmtId="0" fontId="15" fillId="0" borderId="0" xfId="33631" applyAlignment="1">
      <alignment horizontal="center"/>
    </xf>
    <xf numFmtId="0" fontId="15" fillId="0" borderId="35" xfId="33631" applyBorder="1" applyAlignment="1">
      <alignment horizontal="center" wrapText="1"/>
    </xf>
    <xf numFmtId="0" fontId="15" fillId="0" borderId="0" xfId="33714" applyFont="1" applyAlignment="1">
      <alignment horizontal="right"/>
    </xf>
    <xf numFmtId="10" fontId="3" fillId="0" borderId="0" xfId="11697" applyNumberFormat="1" applyFont="1"/>
    <xf numFmtId="14" fontId="15" fillId="0" borderId="0" xfId="33631" applyNumberFormat="1"/>
    <xf numFmtId="14" fontId="15" fillId="0" borderId="0" xfId="33703" applyNumberFormat="1" applyFont="1"/>
    <xf numFmtId="14" fontId="3" fillId="0" borderId="0" xfId="33703" applyNumberFormat="1"/>
    <xf numFmtId="14" fontId="104" fillId="0" borderId="0" xfId="33631" applyNumberFormat="1" applyFont="1"/>
    <xf numFmtId="14" fontId="15" fillId="0" borderId="35" xfId="33631" applyNumberFormat="1" applyBorder="1" applyAlignment="1">
      <alignment horizontal="center" wrapText="1"/>
    </xf>
    <xf numFmtId="0" fontId="15" fillId="0" borderId="0" xfId="33714" applyFont="1" applyAlignment="1">
      <alignment horizontal="center" wrapText="1"/>
    </xf>
    <xf numFmtId="0" fontId="15" fillId="0" borderId="0" xfId="33631"/>
    <xf numFmtId="0" fontId="15" fillId="0" borderId="0" xfId="33631" applyAlignment="1">
      <alignment horizontal="centerContinuous"/>
    </xf>
    <xf numFmtId="10" fontId="103" fillId="0" borderId="0" xfId="11697" applyNumberFormat="1" applyFont="1" applyAlignment="1">
      <alignment horizontal="centerContinuous"/>
    </xf>
    <xf numFmtId="10" fontId="103" fillId="0" borderId="0" xfId="11697" applyNumberFormat="1" applyFont="1" applyAlignment="1">
      <alignment horizontal="center"/>
    </xf>
    <xf numFmtId="10" fontId="103" fillId="0" borderId="30" xfId="120" applyNumberFormat="1" applyFont="1" applyBorder="1" applyAlignment="1">
      <alignment horizontal="center"/>
    </xf>
    <xf numFmtId="10" fontId="103" fillId="0" borderId="31" xfId="120" applyNumberFormat="1" applyFont="1" applyBorder="1" applyAlignment="1">
      <alignment horizontal="center"/>
    </xf>
    <xf numFmtId="0" fontId="15" fillId="0" borderId="30" xfId="33631" applyBorder="1"/>
    <xf numFmtId="0" fontId="15" fillId="0" borderId="3" xfId="33631" applyBorder="1"/>
    <xf numFmtId="1" fontId="103" fillId="0" borderId="0" xfId="11697" applyNumberFormat="1" applyFont="1" applyAlignment="1">
      <alignment horizontal="right"/>
    </xf>
    <xf numFmtId="10" fontId="15" fillId="0" borderId="0" xfId="33631" applyNumberFormat="1" applyAlignment="1">
      <alignment horizontal="center"/>
    </xf>
    <xf numFmtId="10" fontId="15" fillId="0" borderId="0" xfId="33631" applyNumberFormat="1"/>
    <xf numFmtId="10" fontId="103" fillId="0" borderId="35" xfId="11697" applyNumberFormat="1" applyFont="1" applyBorder="1" applyAlignment="1">
      <alignment horizontal="center"/>
    </xf>
    <xf numFmtId="1" fontId="103" fillId="0" borderId="35" xfId="11697" applyNumberFormat="1" applyFont="1" applyBorder="1" applyAlignment="1">
      <alignment horizontal="right"/>
    </xf>
    <xf numFmtId="10" fontId="103" fillId="0" borderId="35" xfId="11697" applyNumberFormat="1" applyFont="1" applyBorder="1" applyAlignment="1">
      <alignment horizontal="left"/>
    </xf>
    <xf numFmtId="10" fontId="103" fillId="0" borderId="0" xfId="11697" applyNumberFormat="1" applyFont="1"/>
    <xf numFmtId="10" fontId="103" fillId="0" borderId="0" xfId="11667" applyNumberFormat="1" applyFont="1" applyAlignment="1">
      <alignment horizontal="center"/>
    </xf>
    <xf numFmtId="0" fontId="103" fillId="0" borderId="0" xfId="33703" applyFont="1" applyAlignment="1">
      <alignment horizontal="center"/>
    </xf>
    <xf numFmtId="0" fontId="15" fillId="0" borderId="0" xfId="33631" applyAlignment="1">
      <alignment wrapText="1"/>
    </xf>
    <xf numFmtId="3" fontId="103" fillId="0" borderId="0" xfId="11697" applyNumberFormat="1" applyFont="1" applyAlignment="1">
      <alignment horizontal="center"/>
    </xf>
    <xf numFmtId="10" fontId="103" fillId="0" borderId="0" xfId="117" applyNumberFormat="1" applyFont="1"/>
    <xf numFmtId="0" fontId="15" fillId="0" borderId="0" xfId="0" applyFont="1" applyAlignment="1">
      <alignment horizontal="center"/>
    </xf>
    <xf numFmtId="0" fontId="15" fillId="0" borderId="35" xfId="0" applyFont="1" applyBorder="1" applyAlignment="1">
      <alignment horizontal="center" wrapText="1"/>
    </xf>
    <xf numFmtId="0" fontId="15" fillId="0" borderId="33" xfId="0" applyFont="1" applyBorder="1"/>
    <xf numFmtId="0" fontId="15" fillId="0" borderId="25" xfId="0" applyFont="1" applyBorder="1"/>
    <xf numFmtId="0" fontId="15" fillId="0" borderId="0" xfId="0" applyFont="1"/>
    <xf numFmtId="10" fontId="15" fillId="0" borderId="33" xfId="0" applyNumberFormat="1" applyFont="1" applyBorder="1" applyAlignment="1">
      <alignment horizontal="center"/>
    </xf>
    <xf numFmtId="10" fontId="15" fillId="0" borderId="25" xfId="0" applyNumberFormat="1" applyFont="1" applyBorder="1" applyAlignment="1">
      <alignment horizontal="center"/>
    </xf>
    <xf numFmtId="10" fontId="15" fillId="0" borderId="0" xfId="0" applyNumberFormat="1" applyFont="1" applyAlignment="1">
      <alignment horizontal="center"/>
    </xf>
    <xf numFmtId="10" fontId="15" fillId="0" borderId="30" xfId="0" applyNumberFormat="1" applyFont="1" applyBorder="1" applyAlignment="1">
      <alignment horizontal="center"/>
    </xf>
    <xf numFmtId="0" fontId="15" fillId="0" borderId="33" xfId="0" applyFont="1" applyBorder="1" applyAlignment="1">
      <alignment horizontal="center" wrapText="1"/>
    </xf>
    <xf numFmtId="0" fontId="15" fillId="0" borderId="29" xfId="0" applyFont="1" applyBorder="1" applyAlignment="1">
      <alignment horizontal="center" wrapText="1"/>
    </xf>
    <xf numFmtId="0" fontId="45" fillId="0" borderId="32" xfId="0" applyFont="1" applyBorder="1" applyAlignment="1">
      <alignment horizontal="center" wrapText="1"/>
    </xf>
    <xf numFmtId="0" fontId="45" fillId="0" borderId="34" xfId="0" applyFont="1" applyBorder="1" applyAlignment="1">
      <alignment horizontal="center" wrapText="1"/>
    </xf>
    <xf numFmtId="0" fontId="45" fillId="0" borderId="31" xfId="0" applyFont="1" applyBorder="1" applyAlignment="1">
      <alignment horizontal="center" wrapText="1"/>
    </xf>
    <xf numFmtId="0" fontId="15" fillId="0" borderId="29" xfId="0" applyFont="1" applyBorder="1"/>
    <xf numFmtId="0" fontId="45" fillId="0" borderId="0" xfId="33714" applyFont="1" applyAlignment="1">
      <alignment horizontal="center"/>
    </xf>
    <xf numFmtId="0" fontId="45" fillId="0" borderId="0" xfId="33697" applyFont="1" applyAlignment="1">
      <alignment horizontal="center"/>
    </xf>
    <xf numFmtId="0" fontId="45" fillId="0" borderId="3" xfId="33697" applyFont="1" applyBorder="1" applyAlignment="1">
      <alignment horizontal="center" wrapText="1"/>
    </xf>
    <xf numFmtId="10" fontId="45" fillId="0" borderId="2" xfId="33697" applyNumberFormat="1" applyFont="1" applyBorder="1" applyAlignment="1">
      <alignment horizontal="center"/>
    </xf>
    <xf numFmtId="10" fontId="45" fillId="0" borderId="0" xfId="33714" applyNumberFormat="1" applyFont="1"/>
    <xf numFmtId="0" fontId="45" fillId="0" borderId="1" xfId="33714" applyFont="1" applyBorder="1"/>
    <xf numFmtId="10" fontId="45" fillId="0" borderId="1" xfId="33714" applyNumberFormat="1" applyFont="1" applyBorder="1"/>
    <xf numFmtId="0" fontId="103" fillId="0" borderId="0" xfId="33697" applyFont="1" applyAlignment="1">
      <alignment horizontal="center"/>
    </xf>
    <xf numFmtId="0" fontId="45" fillId="0" borderId="3" xfId="33714" applyFont="1" applyBorder="1" applyAlignment="1">
      <alignment horizontal="center" wrapText="1"/>
    </xf>
    <xf numFmtId="10" fontId="109" fillId="0" borderId="0" xfId="21092" applyNumberFormat="1" applyFont="1" applyAlignment="1">
      <alignment horizontal="center"/>
    </xf>
    <xf numFmtId="173" fontId="109" fillId="0" borderId="0" xfId="21092" applyNumberFormat="1" applyFont="1" applyAlignment="1">
      <alignment horizontal="center"/>
    </xf>
    <xf numFmtId="0" fontId="45" fillId="0" borderId="0" xfId="33714" applyFont="1" applyAlignment="1">
      <alignment horizontal="right"/>
    </xf>
    <xf numFmtId="10" fontId="45" fillId="0" borderId="1" xfId="33714" applyNumberFormat="1" applyFont="1" applyBorder="1" applyAlignment="1">
      <alignment horizontal="center"/>
    </xf>
    <xf numFmtId="10" fontId="15" fillId="0" borderId="1" xfId="33714" applyNumberFormat="1" applyFont="1" applyBorder="1" applyAlignment="1">
      <alignment horizontal="center"/>
    </xf>
    <xf numFmtId="0" fontId="105" fillId="0" borderId="2" xfId="33697" applyFont="1" applyBorder="1"/>
    <xf numFmtId="0" fontId="105" fillId="0" borderId="0" xfId="33697" applyFont="1" applyAlignment="1">
      <alignment horizontal="center"/>
    </xf>
    <xf numFmtId="0" fontId="105" fillId="0" borderId="0" xfId="33714" applyFont="1"/>
    <xf numFmtId="0" fontId="105" fillId="0" borderId="0" xfId="33697" applyFont="1"/>
    <xf numFmtId="0" fontId="3" fillId="0" borderId="0" xfId="33696" applyAlignment="1">
      <alignment horizontal="centerContinuous"/>
    </xf>
    <xf numFmtId="0" fontId="3" fillId="0" borderId="0" xfId="33696"/>
    <xf numFmtId="0" fontId="45" fillId="0" borderId="0" xfId="33696" applyFont="1"/>
    <xf numFmtId="0" fontId="45" fillId="0" borderId="0" xfId="33696" applyFont="1" applyAlignment="1">
      <alignment horizontal="center"/>
    </xf>
    <xf numFmtId="0" fontId="45" fillId="0" borderId="3" xfId="33696" applyFont="1" applyBorder="1" applyAlignment="1">
      <alignment horizontal="center" wrapText="1"/>
    </xf>
    <xf numFmtId="10" fontId="45" fillId="0" borderId="2" xfId="33696" applyNumberFormat="1" applyFont="1" applyBorder="1" applyAlignment="1">
      <alignment horizontal="center"/>
    </xf>
    <xf numFmtId="10" fontId="45" fillId="0" borderId="0" xfId="33696" applyNumberFormat="1" applyFont="1"/>
    <xf numFmtId="10" fontId="45" fillId="0" borderId="1" xfId="33696" applyNumberFormat="1" applyFont="1" applyBorder="1"/>
    <xf numFmtId="0" fontId="45" fillId="0" borderId="1" xfId="33696" applyFont="1" applyBorder="1"/>
    <xf numFmtId="0" fontId="3" fillId="0" borderId="0" xfId="33696" applyAlignment="1">
      <alignment horizontal="center"/>
    </xf>
    <xf numFmtId="43" fontId="3" fillId="0" borderId="0" xfId="649" applyFont="1" applyAlignment="1">
      <alignment horizontal="right"/>
    </xf>
    <xf numFmtId="10" fontId="45" fillId="0" borderId="0" xfId="33715" applyNumberFormat="1" applyFont="1" applyAlignment="1">
      <alignment horizontal="center"/>
    </xf>
    <xf numFmtId="10" fontId="45" fillId="0" borderId="0" xfId="33696" applyNumberFormat="1" applyFont="1" applyAlignment="1">
      <alignment horizontal="center"/>
    </xf>
    <xf numFmtId="173" fontId="45" fillId="0" borderId="0" xfId="33696" applyNumberFormat="1" applyFont="1" applyAlignment="1">
      <alignment horizontal="center"/>
    </xf>
    <xf numFmtId="0" fontId="45" fillId="0" borderId="1" xfId="33696" applyFont="1" applyBorder="1" applyAlignment="1">
      <alignment horizontal="right"/>
    </xf>
    <xf numFmtId="10" fontId="45" fillId="0" borderId="1" xfId="33696" applyNumberFormat="1" applyFont="1" applyBorder="1" applyAlignment="1">
      <alignment horizontal="center"/>
    </xf>
    <xf numFmtId="173" fontId="45" fillId="0" borderId="1" xfId="33696" applyNumberFormat="1" applyFont="1" applyBorder="1" applyAlignment="1">
      <alignment horizontal="center"/>
    </xf>
    <xf numFmtId="10" fontId="3" fillId="0" borderId="1" xfId="33715" applyNumberFormat="1" applyBorder="1" applyAlignment="1">
      <alignment horizontal="center"/>
    </xf>
    <xf numFmtId="0" fontId="45" fillId="0" borderId="2" xfId="33696" applyFont="1" applyBorder="1"/>
    <xf numFmtId="43" fontId="45" fillId="0" borderId="0" xfId="33696" applyNumberFormat="1" applyFont="1"/>
    <xf numFmtId="10" fontId="45" fillId="0" borderId="0" xfId="33715" applyNumberFormat="1" applyFont="1"/>
    <xf numFmtId="10" fontId="3" fillId="0" borderId="0" xfId="33715" applyNumberFormat="1" applyAlignment="1">
      <alignment horizontal="center"/>
    </xf>
    <xf numFmtId="0" fontId="3" fillId="0" borderId="0" xfId="33703" applyAlignment="1">
      <alignment horizontal="center"/>
    </xf>
    <xf numFmtId="0" fontId="15" fillId="0" borderId="3" xfId="33714" applyFont="1" applyBorder="1" applyAlignment="1">
      <alignment horizontal="center" wrapText="1"/>
    </xf>
    <xf numFmtId="0" fontId="3" fillId="0" borderId="3" xfId="33714" applyBorder="1" applyAlignment="1">
      <alignment horizontal="center" wrapText="1"/>
    </xf>
    <xf numFmtId="0" fontId="103" fillId="0" borderId="3" xfId="33703" applyFont="1" applyBorder="1" applyAlignment="1">
      <alignment horizontal="center" wrapText="1"/>
    </xf>
    <xf numFmtId="0" fontId="3" fillId="0" borderId="0" xfId="33703"/>
    <xf numFmtId="0" fontId="3" fillId="0" borderId="0" xfId="33717" applyAlignment="1">
      <alignment horizontal="centerContinuous"/>
    </xf>
    <xf numFmtId="0" fontId="3" fillId="0" borderId="0" xfId="33717"/>
    <xf numFmtId="0" fontId="3" fillId="0" borderId="2" xfId="33717" applyBorder="1"/>
    <xf numFmtId="0" fontId="3" fillId="0" borderId="2" xfId="33717" applyBorder="1" applyAlignment="1">
      <alignment horizontal="center"/>
    </xf>
    <xf numFmtId="10" fontId="15" fillId="0" borderId="2" xfId="33715" applyNumberFormat="1" applyFont="1" applyBorder="1" applyAlignment="1">
      <alignment horizontal="center" wrapText="1"/>
    </xf>
    <xf numFmtId="0" fontId="15" fillId="0" borderId="2" xfId="33717" applyFont="1" applyBorder="1" applyAlignment="1">
      <alignment horizontal="center" wrapText="1"/>
    </xf>
    <xf numFmtId="0" fontId="3" fillId="0" borderId="0" xfId="33717" applyAlignment="1">
      <alignment horizontal="center"/>
    </xf>
    <xf numFmtId="0" fontId="26" fillId="0" borderId="0" xfId="33717" applyFont="1" applyAlignment="1">
      <alignment horizontal="center" wrapText="1"/>
    </xf>
    <xf numFmtId="0" fontId="15" fillId="0" borderId="0" xfId="33717" applyFont="1" applyAlignment="1">
      <alignment horizontal="center" wrapText="1"/>
    </xf>
    <xf numFmtId="10" fontId="26" fillId="0" borderId="0" xfId="33715" applyNumberFormat="1" applyFont="1" applyAlignment="1">
      <alignment horizontal="center" wrapText="1"/>
    </xf>
    <xf numFmtId="10" fontId="15" fillId="0" borderId="0" xfId="33715" applyNumberFormat="1" applyFont="1" applyAlignment="1">
      <alignment horizontal="center" wrapText="1"/>
    </xf>
    <xf numFmtId="0" fontId="15" fillId="0" borderId="0" xfId="33717" applyFont="1"/>
    <xf numFmtId="0" fontId="15" fillId="0" borderId="0" xfId="19061" applyFont="1"/>
    <xf numFmtId="10" fontId="15" fillId="0" borderId="0" xfId="33721" applyNumberFormat="1" applyFont="1" applyAlignment="1">
      <alignment horizontal="center"/>
    </xf>
    <xf numFmtId="2" fontId="15" fillId="0" borderId="0" xfId="33721" applyNumberFormat="1" applyFont="1"/>
    <xf numFmtId="10" fontId="15" fillId="0" borderId="0" xfId="33721" applyNumberFormat="1" applyFont="1"/>
    <xf numFmtId="0" fontId="15" fillId="0" borderId="35" xfId="19061" applyFont="1" applyBorder="1"/>
    <xf numFmtId="10" fontId="15" fillId="0" borderId="0" xfId="19061" applyNumberFormat="1" applyFont="1" applyAlignment="1">
      <alignment horizontal="center"/>
    </xf>
    <xf numFmtId="0" fontId="3" fillId="0" borderId="0" xfId="19061" applyFont="1" applyAlignment="1">
      <alignment horizontal="center"/>
    </xf>
    <xf numFmtId="10" fontId="15" fillId="0" borderId="36" xfId="19061" applyNumberFormat="1" applyFont="1" applyBorder="1" applyAlignment="1">
      <alignment horizontal="center"/>
    </xf>
    <xf numFmtId="0" fontId="15" fillId="0" borderId="36" xfId="19061" applyFont="1" applyBorder="1"/>
    <xf numFmtId="10" fontId="15" fillId="0" borderId="36" xfId="33721" applyNumberFormat="1" applyFont="1" applyBorder="1" applyAlignment="1">
      <alignment horizontal="center"/>
    </xf>
    <xf numFmtId="2" fontId="15" fillId="0" borderId="36" xfId="19061" applyNumberFormat="1" applyFont="1" applyBorder="1" applyAlignment="1">
      <alignment horizontal="center"/>
    </xf>
    <xf numFmtId="175" fontId="15" fillId="0" borderId="36" xfId="19061" applyNumberFormat="1" applyFont="1" applyBorder="1" applyAlignment="1">
      <alignment horizontal="center"/>
    </xf>
    <xf numFmtId="0" fontId="15" fillId="0" borderId="36" xfId="19061" applyFont="1" applyBorder="1" applyAlignment="1">
      <alignment horizontal="center"/>
    </xf>
    <xf numFmtId="164" fontId="15" fillId="0" borderId="0" xfId="19061" applyNumberFormat="1" applyFont="1" applyAlignment="1">
      <alignment horizontal="center"/>
    </xf>
    <xf numFmtId="2" fontId="15" fillId="0" borderId="0" xfId="19061" applyNumberFormat="1" applyFont="1" applyAlignment="1">
      <alignment horizontal="center"/>
    </xf>
    <xf numFmtId="175" fontId="15" fillId="0" borderId="0" xfId="19061" applyNumberFormat="1" applyFont="1" applyAlignment="1">
      <alignment horizontal="center"/>
    </xf>
    <xf numFmtId="0" fontId="15" fillId="0" borderId="0" xfId="19061" applyFont="1" applyAlignment="1">
      <alignment horizontal="center"/>
    </xf>
    <xf numFmtId="0" fontId="15" fillId="0" borderId="0" xfId="4964" applyFont="1"/>
    <xf numFmtId="0" fontId="15" fillId="0" borderId="0" xfId="19061" applyFont="1" applyAlignment="1">
      <alignment horizontal="center" wrapText="1"/>
    </xf>
    <xf numFmtId="0" fontId="15" fillId="0" borderId="35" xfId="19061" applyFont="1" applyBorder="1" applyAlignment="1">
      <alignment horizontal="center" wrapText="1"/>
    </xf>
    <xf numFmtId="0" fontId="15" fillId="0" borderId="35" xfId="19061" applyFont="1" applyBorder="1" applyAlignment="1">
      <alignment horizontal="center"/>
    </xf>
    <xf numFmtId="0" fontId="15" fillId="0" borderId="35" xfId="4964" applyFont="1" applyBorder="1"/>
    <xf numFmtId="0" fontId="3" fillId="0" borderId="0" xfId="9870" applyFont="1"/>
    <xf numFmtId="176" fontId="15" fillId="0" borderId="0" xfId="2630" applyNumberFormat="1"/>
    <xf numFmtId="44" fontId="15" fillId="0" borderId="0" xfId="2630"/>
    <xf numFmtId="0" fontId="15" fillId="0" borderId="0" xfId="6143" applyFont="1"/>
    <xf numFmtId="0" fontId="3" fillId="0" borderId="0" xfId="6143" applyFont="1"/>
    <xf numFmtId="0" fontId="15" fillId="0" borderId="0" xfId="6187" applyFont="1"/>
    <xf numFmtId="0" fontId="15" fillId="0" borderId="0" xfId="6304" applyFont="1"/>
    <xf numFmtId="0" fontId="15" fillId="0" borderId="0" xfId="6143" applyFont="1" applyAlignment="1">
      <alignment horizontal="left"/>
    </xf>
    <xf numFmtId="0" fontId="15" fillId="68" borderId="0" xfId="6143" applyFont="1" applyFill="1"/>
    <xf numFmtId="0" fontId="15" fillId="68" borderId="0" xfId="26688" applyFont="1" applyFill="1"/>
    <xf numFmtId="0" fontId="15" fillId="0" borderId="35" xfId="6143" applyFont="1" applyBorder="1"/>
    <xf numFmtId="10" fontId="15" fillId="0" borderId="0" xfId="117" applyNumberFormat="1" applyAlignment="1">
      <alignment horizontal="center"/>
    </xf>
    <xf numFmtId="176" fontId="15" fillId="0" borderId="0" xfId="2468" applyNumberFormat="1"/>
    <xf numFmtId="0" fontId="15" fillId="0" borderId="0" xfId="4437"/>
    <xf numFmtId="0" fontId="15" fillId="0" borderId="0" xfId="6183"/>
    <xf numFmtId="0" fontId="15" fillId="0" borderId="0" xfId="4437" applyAlignment="1">
      <alignment horizontal="left"/>
    </xf>
    <xf numFmtId="0" fontId="3" fillId="0" borderId="0" xfId="33719" applyAlignment="1">
      <alignment horizontal="center"/>
    </xf>
    <xf numFmtId="10" fontId="15" fillId="0" borderId="35" xfId="11697" applyNumberFormat="1" applyBorder="1" applyAlignment="1">
      <alignment horizontal="center"/>
    </xf>
    <xf numFmtId="176" fontId="15" fillId="0" borderId="35" xfId="2630" applyNumberFormat="1" applyBorder="1"/>
    <xf numFmtId="0" fontId="3" fillId="0" borderId="35" xfId="33719" applyBorder="1" applyAlignment="1">
      <alignment horizontal="center"/>
    </xf>
    <xf numFmtId="10" fontId="15" fillId="0" borderId="0" xfId="11697" applyNumberFormat="1" applyAlignment="1">
      <alignment horizontal="center"/>
    </xf>
    <xf numFmtId="0" fontId="15" fillId="0" borderId="0" xfId="33719" applyFont="1" applyAlignment="1">
      <alignment horizontal="center"/>
    </xf>
    <xf numFmtId="10" fontId="3" fillId="0" borderId="0" xfId="9870" applyNumberFormat="1" applyFont="1"/>
    <xf numFmtId="0" fontId="15" fillId="0" borderId="0" xfId="6143" applyFont="1" applyAlignment="1">
      <alignment wrapText="1"/>
    </xf>
    <xf numFmtId="0" fontId="15" fillId="0" borderId="35" xfId="6143" applyFont="1" applyBorder="1" applyAlignment="1">
      <alignment horizontal="center" wrapText="1"/>
    </xf>
    <xf numFmtId="0" fontId="15" fillId="0" borderId="35" xfId="6143" applyFont="1" applyBorder="1" applyAlignment="1">
      <alignment horizontal="center"/>
    </xf>
    <xf numFmtId="0" fontId="15" fillId="0" borderId="35" xfId="6143" applyFont="1" applyBorder="1" applyAlignment="1">
      <alignment horizontal="centerContinuous"/>
    </xf>
    <xf numFmtId="44" fontId="15" fillId="0" borderId="35" xfId="2630" applyBorder="1"/>
    <xf numFmtId="10" fontId="15" fillId="0" borderId="0" xfId="11697" applyNumberFormat="1"/>
    <xf numFmtId="2" fontId="15" fillId="0" borderId="35" xfId="2630" applyNumberFormat="1" applyBorder="1" applyAlignment="1">
      <alignment horizontal="center"/>
    </xf>
    <xf numFmtId="172" fontId="15" fillId="0" borderId="35" xfId="2630" applyNumberFormat="1" applyBorder="1" applyAlignment="1">
      <alignment horizontal="center" vertical="top" wrapText="1"/>
    </xf>
    <xf numFmtId="165" fontId="15" fillId="0" borderId="35" xfId="22910" applyNumberFormat="1" applyFont="1" applyBorder="1" applyAlignment="1">
      <alignment horizontal="center"/>
    </xf>
    <xf numFmtId="177" fontId="3" fillId="0" borderId="0" xfId="9870" applyNumberFormat="1" applyFont="1"/>
    <xf numFmtId="10" fontId="15" fillId="0" borderId="0" xfId="6143" applyNumberFormat="1" applyFont="1"/>
    <xf numFmtId="2" fontId="15" fillId="0" borderId="0" xfId="2630" applyNumberFormat="1" applyAlignment="1">
      <alignment horizontal="center"/>
    </xf>
    <xf numFmtId="172" fontId="15" fillId="0" borderId="0" xfId="2630" applyNumberFormat="1" applyAlignment="1">
      <alignment horizontal="center" vertical="top" wrapText="1"/>
    </xf>
    <xf numFmtId="165" fontId="15" fillId="0" borderId="0" xfId="22910" applyNumberFormat="1" applyFont="1" applyAlignment="1">
      <alignment horizontal="center"/>
    </xf>
    <xf numFmtId="0" fontId="3" fillId="0" borderId="0" xfId="9870" applyFont="1" applyAlignment="1">
      <alignment horizontal="right"/>
    </xf>
    <xf numFmtId="10" fontId="15" fillId="0" borderId="0" xfId="6143" applyNumberFormat="1" applyFont="1" applyAlignment="1">
      <alignment horizontal="right" wrapText="1"/>
    </xf>
    <xf numFmtId="164" fontId="3" fillId="0" borderId="35" xfId="6143" applyNumberFormat="1" applyFont="1" applyBorder="1" applyAlignment="1">
      <alignment horizontal="center"/>
    </xf>
    <xf numFmtId="0" fontId="3" fillId="0" borderId="35" xfId="6143" applyFont="1" applyBorder="1" applyAlignment="1">
      <alignment horizontal="center"/>
    </xf>
    <xf numFmtId="0" fontId="3" fillId="0" borderId="35" xfId="6143" applyFont="1" applyBorder="1"/>
    <xf numFmtId="164" fontId="3" fillId="0" borderId="0" xfId="6143" applyNumberFormat="1" applyFont="1" applyAlignment="1">
      <alignment horizontal="center"/>
    </xf>
    <xf numFmtId="0" fontId="3" fillId="0" borderId="0" xfId="6143" applyFont="1" applyAlignment="1">
      <alignment horizontal="center" wrapText="1"/>
    </xf>
    <xf numFmtId="176" fontId="15" fillId="0" borderId="3" xfId="2630" applyNumberFormat="1" applyBorder="1" applyAlignment="1">
      <alignment horizontal="center" wrapText="1"/>
    </xf>
    <xf numFmtId="0" fontId="15" fillId="0" borderId="35" xfId="6143" applyFont="1" applyBorder="1" applyAlignment="1">
      <alignment wrapText="1"/>
    </xf>
    <xf numFmtId="0" fontId="15" fillId="0" borderId="0" xfId="6143" applyFont="1" applyAlignment="1">
      <alignment horizontal="center"/>
    </xf>
    <xf numFmtId="0" fontId="108" fillId="0" borderId="35" xfId="6143" applyFont="1" applyBorder="1" applyAlignment="1">
      <alignment horizontal="left"/>
    </xf>
    <xf numFmtId="0" fontId="15" fillId="0" borderId="0" xfId="6143" applyFont="1" applyAlignment="1">
      <alignment horizontal="centerContinuous"/>
    </xf>
    <xf numFmtId="10" fontId="3" fillId="0" borderId="0" xfId="21092" applyNumberFormat="1" applyFont="1"/>
    <xf numFmtId="164" fontId="15" fillId="0" borderId="0" xfId="6143" applyNumberFormat="1" applyFont="1"/>
    <xf numFmtId="10" fontId="15" fillId="0" borderId="0" xfId="33718" applyNumberFormat="1" applyFont="1" applyAlignment="1">
      <alignment horizontal="right" vertical="top" wrapText="1"/>
    </xf>
    <xf numFmtId="165" fontId="15" fillId="0" borderId="35" xfId="6143" applyNumberFormat="1" applyFont="1" applyBorder="1" applyAlignment="1">
      <alignment horizontal="center"/>
    </xf>
    <xf numFmtId="176" fontId="15" fillId="0" borderId="0" xfId="2630" applyNumberFormat="1" applyAlignment="1">
      <alignment horizontal="right" vertical="top"/>
    </xf>
    <xf numFmtId="2" fontId="15" fillId="0" borderId="0" xfId="1717" applyNumberFormat="1" applyAlignment="1">
      <alignment horizontal="center" vertical="center"/>
    </xf>
    <xf numFmtId="165" fontId="15" fillId="0" borderId="0" xfId="6143" applyNumberFormat="1" applyFont="1" applyAlignment="1">
      <alignment horizontal="center"/>
    </xf>
    <xf numFmtId="9" fontId="15" fillId="0" borderId="0" xfId="11526" applyFont="1"/>
    <xf numFmtId="176" fontId="110" fillId="0" borderId="0" xfId="2630" applyNumberFormat="1" applyFont="1" applyAlignment="1">
      <alignment horizontal="left" vertical="top"/>
    </xf>
    <xf numFmtId="172" fontId="15" fillId="68" borderId="0" xfId="2630" quotePrefix="1" applyNumberFormat="1" applyFill="1" applyAlignment="1">
      <alignment horizontal="center" vertical="top" wrapText="1"/>
    </xf>
    <xf numFmtId="165" fontId="3" fillId="0" borderId="0" xfId="6304" applyNumberFormat="1" applyFont="1" applyAlignment="1">
      <alignment horizontal="center"/>
    </xf>
    <xf numFmtId="176" fontId="15" fillId="0" borderId="0" xfId="2630" applyNumberFormat="1" applyAlignment="1">
      <alignment horizontal="centerContinuous"/>
    </xf>
    <xf numFmtId="10" fontId="15" fillId="0" borderId="0" xfId="33705" applyNumberFormat="1" applyFont="1" applyAlignment="1">
      <alignment horizontal="centerContinuous"/>
    </xf>
    <xf numFmtId="0" fontId="17" fillId="0" borderId="0" xfId="4111" applyFont="1" applyAlignment="1" applyProtection="1"/>
    <xf numFmtId="176" fontId="15" fillId="68" borderId="3" xfId="2630" applyNumberFormat="1" applyFill="1" applyBorder="1" applyAlignment="1">
      <alignment horizontal="center" wrapText="1"/>
    </xf>
    <xf numFmtId="0" fontId="3" fillId="0" borderId="36" xfId="33714" applyBorder="1"/>
    <xf numFmtId="164" fontId="3" fillId="0" borderId="0" xfId="33714" applyNumberFormat="1"/>
    <xf numFmtId="0" fontId="3" fillId="0" borderId="3" xfId="33714" applyFill="1" applyBorder="1" applyAlignment="1">
      <alignment horizontal="center" wrapText="1"/>
    </xf>
    <xf numFmtId="0" fontId="103" fillId="0" borderId="3" xfId="33703" applyFont="1" applyFill="1" applyBorder="1" applyAlignment="1">
      <alignment horizontal="center" wrapText="1"/>
    </xf>
    <xf numFmtId="0" fontId="3" fillId="0" borderId="0" xfId="33714" applyFill="1" applyAlignment="1">
      <alignment horizontal="center" wrapText="1"/>
    </xf>
    <xf numFmtId="0" fontId="15" fillId="0" borderId="0" xfId="33714" applyFont="1" applyFill="1"/>
    <xf numFmtId="0" fontId="3" fillId="0" borderId="0" xfId="33714" applyFill="1"/>
    <xf numFmtId="10" fontId="3" fillId="0" borderId="0" xfId="33714" applyNumberFormat="1" applyFill="1" applyAlignment="1">
      <alignment horizontal="center"/>
    </xf>
    <xf numFmtId="10" fontId="3" fillId="0" borderId="1" xfId="33714" applyNumberFormat="1" applyFill="1" applyBorder="1" applyAlignment="1">
      <alignment horizontal="center"/>
    </xf>
    <xf numFmtId="10" fontId="3" fillId="0" borderId="2" xfId="33714" applyNumberFormat="1" applyFill="1" applyBorder="1" applyAlignment="1">
      <alignment horizontal="center"/>
    </xf>
    <xf numFmtId="0" fontId="3" fillId="0" borderId="0" xfId="33714" applyFill="1" applyAlignment="1">
      <alignment horizontal="right"/>
    </xf>
    <xf numFmtId="0" fontId="3" fillId="0" borderId="0" xfId="33714" applyFill="1" applyAlignment="1">
      <alignment horizontal="center"/>
    </xf>
    <xf numFmtId="175" fontId="15" fillId="0" borderId="0" xfId="19061" applyNumberFormat="1" applyFont="1" applyFill="1" applyAlignment="1">
      <alignment horizontal="center"/>
    </xf>
    <xf numFmtId="2" fontId="15" fillId="0" borderId="0" xfId="19061" applyNumberFormat="1" applyFont="1" applyFill="1" applyAlignment="1">
      <alignment horizontal="center"/>
    </xf>
    <xf numFmtId="10" fontId="103" fillId="0" borderId="0" xfId="0" applyNumberFormat="1" applyFont="1" applyAlignment="1">
      <alignment horizontal="center"/>
    </xf>
    <xf numFmtId="0" fontId="3" fillId="0" borderId="0" xfId="33714" applyAlignment="1">
      <alignment horizontal="center"/>
    </xf>
    <xf numFmtId="0" fontId="15" fillId="0" borderId="0" xfId="19061" applyFont="1" applyAlignment="1">
      <alignment horizontal="center"/>
    </xf>
    <xf numFmtId="10" fontId="3" fillId="0" borderId="0" xfId="33717" applyNumberFormat="1" applyBorder="1"/>
    <xf numFmtId="0" fontId="15" fillId="0" borderId="0" xfId="33717" applyFont="1" applyBorder="1" applyAlignment="1">
      <alignment horizontal="right"/>
    </xf>
    <xf numFmtId="0" fontId="3" fillId="0" borderId="35" xfId="33717" applyBorder="1"/>
    <xf numFmtId="0" fontId="15" fillId="0" borderId="35" xfId="33717" applyFont="1" applyBorder="1"/>
    <xf numFmtId="0" fontId="15" fillId="0" borderId="35" xfId="33717" applyFont="1" applyBorder="1" applyAlignment="1">
      <alignment horizontal="right"/>
    </xf>
    <xf numFmtId="10" fontId="3" fillId="0" borderId="35" xfId="33717" applyNumberFormat="1" applyBorder="1"/>
    <xf numFmtId="0" fontId="15" fillId="0" borderId="0" xfId="0" applyFont="1" applyBorder="1"/>
    <xf numFmtId="0" fontId="15" fillId="0" borderId="37" xfId="0" applyFont="1" applyBorder="1"/>
    <xf numFmtId="10" fontId="15" fillId="0" borderId="31" xfId="0" applyNumberFormat="1" applyFont="1" applyBorder="1" applyAlignment="1">
      <alignment horizontal="center"/>
    </xf>
    <xf numFmtId="0" fontId="2" fillId="0" borderId="0" xfId="33714" applyFont="1"/>
    <xf numFmtId="0" fontId="103" fillId="0" borderId="0" xfId="0" applyFont="1"/>
    <xf numFmtId="0" fontId="103" fillId="0" borderId="0" xfId="0" applyNumberFormat="1" applyFont="1" applyAlignment="1">
      <alignment horizontal="left" wrapText="1"/>
    </xf>
    <xf numFmtId="0" fontId="103" fillId="0" borderId="0" xfId="0" applyFont="1" applyAlignment="1">
      <alignment wrapText="1"/>
    </xf>
    <xf numFmtId="1" fontId="103" fillId="0" borderId="0" xfId="0" applyNumberFormat="1" applyFont="1" applyAlignment="1">
      <alignment horizontal="right"/>
    </xf>
    <xf numFmtId="0" fontId="103" fillId="0" borderId="0" xfId="0" applyNumberFormat="1" applyFont="1" applyAlignment="1">
      <alignment horizontal="right"/>
    </xf>
    <xf numFmtId="1" fontId="103" fillId="0" borderId="0" xfId="0" applyNumberFormat="1" applyFont="1" applyAlignment="1">
      <alignment horizontal="left"/>
    </xf>
    <xf numFmtId="0" fontId="103" fillId="0" borderId="0" xfId="0" applyNumberFormat="1" applyFont="1" applyAlignment="1">
      <alignment horizontal="left"/>
    </xf>
    <xf numFmtId="3" fontId="103" fillId="0" borderId="0" xfId="0" applyNumberFormat="1" applyFont="1" applyAlignment="1">
      <alignment horizontal="right"/>
    </xf>
    <xf numFmtId="0" fontId="103" fillId="0" borderId="0" xfId="0" applyFont="1" applyAlignment="1">
      <alignment horizontal="center"/>
    </xf>
    <xf numFmtId="10" fontId="103" fillId="0" borderId="0" xfId="0" applyNumberFormat="1" applyFont="1" applyAlignment="1">
      <alignment horizontal="left"/>
    </xf>
    <xf numFmtId="10" fontId="103" fillId="0" borderId="35" xfId="0" applyNumberFormat="1" applyFont="1" applyBorder="1" applyAlignment="1">
      <alignment horizontal="left"/>
    </xf>
    <xf numFmtId="10" fontId="103" fillId="0" borderId="35" xfId="0" applyNumberFormat="1" applyFont="1" applyBorder="1" applyAlignment="1">
      <alignment horizontal="center"/>
    </xf>
    <xf numFmtId="0" fontId="103" fillId="0" borderId="35" xfId="0" applyFont="1" applyBorder="1" applyAlignment="1">
      <alignment horizontal="center"/>
    </xf>
    <xf numFmtId="0" fontId="103" fillId="0" borderId="35" xfId="0" applyFont="1" applyBorder="1"/>
    <xf numFmtId="0" fontId="103" fillId="0" borderId="0" xfId="0" applyFont="1" applyAlignment="1">
      <alignment horizontal="centerContinuous"/>
    </xf>
    <xf numFmtId="172" fontId="3" fillId="0" borderId="0" xfId="33714" applyNumberFormat="1" applyFill="1" applyAlignment="1">
      <alignment horizontal="center"/>
    </xf>
    <xf numFmtId="10" fontId="3" fillId="0" borderId="0" xfId="33722" applyNumberFormat="1" applyFont="1" applyFill="1"/>
    <xf numFmtId="10" fontId="3" fillId="0" borderId="0" xfId="33722" applyNumberFormat="1" applyFont="1" applyAlignment="1">
      <alignment horizontal="center"/>
    </xf>
    <xf numFmtId="0" fontId="3" fillId="0" borderId="0" xfId="33717" applyFill="1"/>
    <xf numFmtId="0" fontId="3" fillId="0" borderId="0" xfId="33717" applyFill="1" applyAlignment="1">
      <alignment horizontal="center"/>
    </xf>
    <xf numFmtId="2" fontId="15" fillId="0" borderId="0" xfId="33715" quotePrefix="1" applyNumberFormat="1" applyFont="1" applyFill="1" applyAlignment="1">
      <alignment horizontal="right"/>
    </xf>
    <xf numFmtId="10" fontId="15" fillId="0" borderId="0" xfId="33715" applyNumberFormat="1" applyFont="1" applyFill="1"/>
    <xf numFmtId="44" fontId="15" fillId="0" borderId="0" xfId="33711" applyFont="1" applyFill="1"/>
    <xf numFmtId="43" fontId="15" fillId="0" borderId="0" xfId="33716" applyFont="1" applyFill="1"/>
    <xf numFmtId="0" fontId="15" fillId="0" borderId="0" xfId="33717" applyFont="1" applyFill="1" applyBorder="1"/>
    <xf numFmtId="2" fontId="3" fillId="0" borderId="0" xfId="33717" applyNumberFormat="1" applyFill="1" applyBorder="1"/>
    <xf numFmtId="10" fontId="3" fillId="0" borderId="0" xfId="33717" applyNumberFormat="1" applyFill="1" applyBorder="1"/>
    <xf numFmtId="2" fontId="15" fillId="0" borderId="0" xfId="33717" applyNumberFormat="1" applyFont="1" applyFill="1" applyBorder="1"/>
    <xf numFmtId="10" fontId="3" fillId="0" borderId="0" xfId="33722" applyNumberFormat="1" applyFont="1" applyFill="1" applyBorder="1"/>
    <xf numFmtId="0" fontId="3" fillId="0" borderId="0" xfId="33717" applyFill="1" applyBorder="1"/>
    <xf numFmtId="10" fontId="45" fillId="0" borderId="35" xfId="33714" applyNumberFormat="1" applyFont="1" applyFill="1" applyBorder="1" applyAlignment="1">
      <alignment horizontal="center"/>
    </xf>
    <xf numFmtId="164" fontId="15" fillId="0" borderId="35" xfId="33714" applyNumberFormat="1" applyFont="1" applyFill="1" applyBorder="1" applyAlignment="1">
      <alignment horizontal="center"/>
    </xf>
    <xf numFmtId="10" fontId="15" fillId="0" borderId="35" xfId="33714" applyNumberFormat="1" applyFont="1" applyFill="1" applyBorder="1" applyAlignment="1">
      <alignment horizontal="center"/>
    </xf>
    <xf numFmtId="10" fontId="15" fillId="0" borderId="33" xfId="0" applyNumberFormat="1" applyFont="1" applyFill="1" applyBorder="1" applyAlignment="1">
      <alignment horizontal="center"/>
    </xf>
    <xf numFmtId="10" fontId="15" fillId="0" borderId="25" xfId="0" applyNumberFormat="1" applyFont="1" applyFill="1" applyBorder="1" applyAlignment="1">
      <alignment horizontal="center"/>
    </xf>
    <xf numFmtId="0" fontId="1" fillId="0" borderId="0" xfId="33714" applyFont="1" applyFill="1"/>
    <xf numFmtId="10" fontId="15" fillId="0" borderId="34" xfId="33714" applyNumberFormat="1" applyFont="1" applyFill="1" applyBorder="1" applyAlignment="1">
      <alignment horizontal="center"/>
    </xf>
    <xf numFmtId="10" fontId="15" fillId="0" borderId="0" xfId="19061" applyNumberFormat="1" applyFont="1"/>
    <xf numFmtId="10" fontId="103" fillId="0" borderId="0" xfId="0" applyNumberFormat="1" applyFont="1"/>
    <xf numFmtId="0" fontId="15" fillId="0" borderId="35" xfId="33714" applyFont="1" applyFill="1" applyBorder="1"/>
    <xf numFmtId="10" fontId="15" fillId="0" borderId="0" xfId="33714" applyNumberFormat="1" applyFont="1" applyFill="1" applyAlignment="1">
      <alignment horizontal="center"/>
    </xf>
    <xf numFmtId="0" fontId="15" fillId="0" borderId="0" xfId="33729" applyFont="1" applyAlignment="1">
      <alignment horizontal="center" wrapText="1"/>
    </xf>
    <xf numFmtId="0" fontId="15" fillId="0" borderId="35" xfId="4964" applyFont="1" applyBorder="1" applyAlignment="1">
      <alignment horizontal="center"/>
    </xf>
    <xf numFmtId="0" fontId="1" fillId="0" borderId="0" xfId="33703" applyFont="1"/>
    <xf numFmtId="10" fontId="15" fillId="0" borderId="2" xfId="33715" applyNumberFormat="1" applyFont="1" applyFill="1" applyBorder="1" applyAlignment="1">
      <alignment horizontal="center" wrapText="1"/>
    </xf>
    <xf numFmtId="0" fontId="15" fillId="0" borderId="35" xfId="19061" applyFont="1" applyFill="1" applyBorder="1" applyAlignment="1">
      <alignment horizontal="center" wrapText="1"/>
    </xf>
    <xf numFmtId="164" fontId="3" fillId="0" borderId="0" xfId="33714" applyNumberFormat="1" applyFill="1" applyAlignment="1">
      <alignment horizontal="center"/>
    </xf>
    <xf numFmtId="43" fontId="3" fillId="0" borderId="36" xfId="649" applyFont="1" applyBorder="1" applyAlignment="1">
      <alignment horizontal="right"/>
    </xf>
    <xf numFmtId="0" fontId="45" fillId="0" borderId="3" xfId="33696" applyFont="1" applyFill="1" applyBorder="1" applyAlignment="1">
      <alignment horizontal="center" wrapText="1"/>
    </xf>
    <xf numFmtId="0" fontId="45" fillId="0" borderId="3" xfId="33697" applyFont="1" applyFill="1" applyBorder="1" applyAlignment="1">
      <alignment horizontal="center" wrapText="1"/>
    </xf>
    <xf numFmtId="43" fontId="109" fillId="0" borderId="0" xfId="33732" applyFont="1" applyAlignment="1">
      <alignment horizontal="right"/>
    </xf>
    <xf numFmtId="43" fontId="45" fillId="0" borderId="0" xfId="33732" applyFont="1" applyAlignment="1">
      <alignment horizontal="right"/>
    </xf>
    <xf numFmtId="10" fontId="103" fillId="0" borderId="0" xfId="11697" applyNumberFormat="1" applyFont="1" applyFill="1"/>
    <xf numFmtId="14" fontId="103" fillId="0" borderId="0" xfId="0" applyNumberFormat="1" applyFont="1"/>
    <xf numFmtId="14" fontId="103" fillId="0" borderId="39" xfId="0" applyNumberFormat="1" applyFont="1" applyBorder="1"/>
    <xf numFmtId="10" fontId="103" fillId="0" borderId="39" xfId="117" applyNumberFormat="1" applyFont="1" applyBorder="1"/>
    <xf numFmtId="10" fontId="103" fillId="0" borderId="39" xfId="11697" applyNumberFormat="1" applyFont="1" applyBorder="1" applyAlignment="1">
      <alignment horizontal="center"/>
    </xf>
    <xf numFmtId="0" fontId="15" fillId="0" borderId="0" xfId="33631" applyAlignment="1">
      <alignment horizontal="right"/>
    </xf>
    <xf numFmtId="10" fontId="15" fillId="0" borderId="0" xfId="33631" applyNumberFormat="1" applyFill="1" applyAlignment="1">
      <alignment horizontal="center"/>
    </xf>
    <xf numFmtId="10" fontId="15" fillId="0" borderId="35" xfId="33631" applyNumberFormat="1" applyFill="1" applyBorder="1" applyAlignment="1">
      <alignment horizontal="center"/>
    </xf>
    <xf numFmtId="10" fontId="1" fillId="0" borderId="0" xfId="11697" applyNumberFormat="1" applyFont="1" applyFill="1"/>
    <xf numFmtId="10" fontId="103" fillId="0" borderId="0" xfId="11697" applyNumberFormat="1" applyFont="1" applyFill="1" applyAlignment="1">
      <alignment horizontal="center"/>
    </xf>
    <xf numFmtId="0" fontId="103" fillId="0" borderId="39" xfId="0" applyFont="1" applyBorder="1"/>
    <xf numFmtId="0" fontId="103" fillId="0" borderId="39" xfId="0" applyFont="1" applyBorder="1" applyAlignment="1">
      <alignment horizontal="center"/>
    </xf>
    <xf numFmtId="0" fontId="109" fillId="0" borderId="39" xfId="0" applyFont="1" applyBorder="1" applyAlignment="1">
      <alignment horizontal="right" wrapText="1"/>
    </xf>
    <xf numFmtId="0" fontId="103" fillId="0" borderId="39" xfId="0" applyFont="1" applyBorder="1" applyAlignment="1">
      <alignment horizontal="left"/>
    </xf>
    <xf numFmtId="10" fontId="109" fillId="0" borderId="0" xfId="117" applyNumberFormat="1" applyFont="1"/>
    <xf numFmtId="10" fontId="103" fillId="0" borderId="36" xfId="0" applyNumberFormat="1" applyFont="1" applyBorder="1" applyAlignment="1">
      <alignment horizontal="center"/>
    </xf>
    <xf numFmtId="0" fontId="45" fillId="0" borderId="0" xfId="33714" applyFont="1" applyFill="1"/>
    <xf numFmtId="0" fontId="1" fillId="0" borderId="0" xfId="33729" applyAlignment="1">
      <alignment horizontal="center"/>
    </xf>
    <xf numFmtId="0" fontId="1" fillId="0" borderId="0" xfId="33735" applyAlignment="1">
      <alignment horizontal="centerContinuous"/>
    </xf>
    <xf numFmtId="0" fontId="15" fillId="0" borderId="0" xfId="33735" applyFont="1" applyAlignment="1">
      <alignment horizontal="centerContinuous"/>
    </xf>
    <xf numFmtId="0" fontId="1" fillId="0" borderId="0" xfId="33735"/>
    <xf numFmtId="0" fontId="1" fillId="0" borderId="35" xfId="33735" applyBorder="1" applyAlignment="1">
      <alignment horizontal="center"/>
    </xf>
    <xf numFmtId="0" fontId="1" fillId="0" borderId="35" xfId="33735" applyBorder="1" applyAlignment="1">
      <alignment horizontal="center" wrapText="1"/>
    </xf>
    <xf numFmtId="0" fontId="15" fillId="0" borderId="0" xfId="33736" applyFont="1" applyAlignment="1">
      <alignment horizontal="left" vertical="top"/>
    </xf>
    <xf numFmtId="0" fontId="1" fillId="0" borderId="0" xfId="33736" applyFont="1" applyAlignment="1">
      <alignment horizontal="left" vertical="top" wrapText="1"/>
    </xf>
    <xf numFmtId="0" fontId="15" fillId="0" borderId="0" xfId="33736" applyFont="1" applyAlignment="1">
      <alignment horizontal="center" vertical="top"/>
    </xf>
    <xf numFmtId="0" fontId="1" fillId="0" borderId="0" xfId="33736" applyFont="1" applyAlignment="1">
      <alignment horizontal="left" vertical="top"/>
    </xf>
    <xf numFmtId="14" fontId="15" fillId="0" borderId="0" xfId="33736" applyNumberFormat="1" applyFont="1" applyAlignment="1">
      <alignment horizontal="center" vertical="top"/>
    </xf>
    <xf numFmtId="178" fontId="15" fillId="0" borderId="0" xfId="33736" applyNumberFormat="1" applyFont="1" applyAlignment="1">
      <alignment horizontal="center" vertical="top"/>
    </xf>
    <xf numFmtId="0" fontId="1" fillId="0" borderId="0" xfId="33736" applyFont="1" applyAlignment="1">
      <alignment horizontal="center" vertical="top"/>
    </xf>
    <xf numFmtId="14" fontId="1" fillId="0" borderId="0" xfId="33736" applyNumberFormat="1" applyFont="1" applyAlignment="1">
      <alignment horizontal="center" vertical="top"/>
    </xf>
    <xf numFmtId="178" fontId="1" fillId="0" borderId="0" xfId="33736" applyNumberFormat="1" applyFont="1" applyAlignment="1">
      <alignment horizontal="center" vertical="top"/>
    </xf>
    <xf numFmtId="0" fontId="1" fillId="0" borderId="0" xfId="33735" applyAlignment="1">
      <alignment horizontal="center"/>
    </xf>
    <xf numFmtId="14" fontId="1" fillId="0" borderId="0" xfId="33735" applyNumberFormat="1" applyAlignment="1">
      <alignment horizontal="center"/>
    </xf>
    <xf numFmtId="2" fontId="1" fillId="0" borderId="0" xfId="33735" applyNumberFormat="1"/>
    <xf numFmtId="0" fontId="1" fillId="0" borderId="0" xfId="33735" applyAlignment="1">
      <alignment horizontal="right"/>
    </xf>
    <xf numFmtId="2" fontId="1" fillId="0" borderId="0" xfId="33735" applyNumberFormat="1" applyAlignment="1">
      <alignment horizontal="center"/>
    </xf>
    <xf numFmtId="2" fontId="1" fillId="0" borderId="0" xfId="33737" applyNumberFormat="1" applyFont="1"/>
    <xf numFmtId="10" fontId="1" fillId="0" borderId="0" xfId="33737" applyNumberFormat="1" applyFont="1"/>
    <xf numFmtId="178" fontId="1" fillId="0" borderId="0" xfId="33735" applyNumberFormat="1" applyAlignment="1">
      <alignment horizontal="center"/>
    </xf>
    <xf numFmtId="10" fontId="1" fillId="0" borderId="0" xfId="33728" applyNumberFormat="1" applyFont="1" applyAlignment="1">
      <alignment horizontal="center"/>
    </xf>
    <xf numFmtId="0" fontId="1" fillId="0" borderId="0" xfId="33735" applyAlignment="1">
      <alignment horizontal="left"/>
    </xf>
    <xf numFmtId="10" fontId="1" fillId="0" borderId="0" xfId="33722" applyNumberFormat="1" applyFont="1"/>
    <xf numFmtId="10" fontId="1" fillId="0" borderId="0" xfId="33722" applyNumberFormat="1" applyFont="1" applyAlignment="1">
      <alignment horizontal="center"/>
    </xf>
    <xf numFmtId="0" fontId="1" fillId="0" borderId="0" xfId="33738" applyFont="1"/>
    <xf numFmtId="0" fontId="92" fillId="0" borderId="38" xfId="33738" applyFont="1" applyBorder="1"/>
    <xf numFmtId="0" fontId="1" fillId="0" borderId="38" xfId="33738" applyFont="1" applyBorder="1"/>
    <xf numFmtId="0" fontId="15" fillId="0" borderId="36" xfId="33738" applyFont="1" applyBorder="1" applyAlignment="1">
      <alignment wrapText="1"/>
    </xf>
    <xf numFmtId="0" fontId="1" fillId="0" borderId="36" xfId="33738" applyFont="1" applyBorder="1"/>
    <xf numFmtId="10" fontId="1" fillId="0" borderId="36" xfId="33738" applyNumberFormat="1" applyFont="1" applyBorder="1"/>
    <xf numFmtId="0" fontId="15" fillId="0" borderId="0" xfId="33738" applyFont="1" applyAlignment="1">
      <alignment wrapText="1"/>
    </xf>
    <xf numFmtId="0" fontId="15" fillId="0" borderId="0" xfId="33738" applyFont="1"/>
    <xf numFmtId="10" fontId="15" fillId="0" borderId="0" xfId="33738" applyNumberFormat="1" applyFont="1"/>
    <xf numFmtId="10" fontId="1" fillId="0" borderId="0" xfId="33738" applyNumberFormat="1" applyFont="1"/>
    <xf numFmtId="0" fontId="1" fillId="0" borderId="0" xfId="33738" applyFont="1" applyAlignment="1">
      <alignment wrapText="1"/>
    </xf>
    <xf numFmtId="0" fontId="15" fillId="0" borderId="28" xfId="33738" applyFont="1" applyBorder="1" applyAlignment="1">
      <alignment wrapText="1"/>
    </xf>
    <xf numFmtId="0" fontId="1" fillId="0" borderId="28" xfId="33738" applyFont="1" applyBorder="1"/>
    <xf numFmtId="0" fontId="1" fillId="0" borderId="38" xfId="33738" applyFont="1" applyBorder="1" applyAlignment="1">
      <alignment wrapText="1"/>
    </xf>
    <xf numFmtId="44" fontId="1" fillId="0" borderId="0" xfId="33738" applyNumberFormat="1" applyFont="1"/>
    <xf numFmtId="44" fontId="1" fillId="69" borderId="0" xfId="33738" applyNumberFormat="1" applyFont="1" applyFill="1"/>
    <xf numFmtId="10" fontId="15" fillId="69" borderId="0" xfId="33738" applyNumberFormat="1" applyFont="1" applyFill="1"/>
    <xf numFmtId="10" fontId="1" fillId="69" borderId="0" xfId="33738" applyNumberFormat="1" applyFont="1" applyFill="1"/>
    <xf numFmtId="164" fontId="1" fillId="0" borderId="0" xfId="33738" applyNumberFormat="1" applyFont="1"/>
    <xf numFmtId="0" fontId="1" fillId="69" borderId="0" xfId="33738" applyFont="1" applyFill="1"/>
    <xf numFmtId="0" fontId="15" fillId="0" borderId="0" xfId="33738" applyFont="1" applyAlignment="1">
      <alignment horizontal="center"/>
    </xf>
    <xf numFmtId="2" fontId="1" fillId="0" borderId="0" xfId="33738" applyNumberFormat="1" applyFont="1"/>
    <xf numFmtId="179" fontId="1" fillId="0" borderId="28" xfId="33738" applyNumberFormat="1" applyFont="1" applyBorder="1"/>
    <xf numFmtId="179" fontId="1" fillId="69" borderId="28" xfId="33738" applyNumberFormat="1" applyFont="1" applyFill="1" applyBorder="1"/>
    <xf numFmtId="43" fontId="1" fillId="0" borderId="28" xfId="33738" applyNumberFormat="1" applyFont="1" applyBorder="1"/>
    <xf numFmtId="0" fontId="18" fillId="0" borderId="38" xfId="33738" applyFont="1" applyBorder="1" applyAlignment="1">
      <alignment wrapText="1"/>
    </xf>
    <xf numFmtId="0" fontId="18" fillId="0" borderId="38" xfId="33738" applyFont="1" applyBorder="1"/>
    <xf numFmtId="179" fontId="1" fillId="0" borderId="38" xfId="33738" applyNumberFormat="1" applyFont="1" applyBorder="1"/>
    <xf numFmtId="0" fontId="1" fillId="0" borderId="36" xfId="33738" applyFont="1" applyBorder="1" applyAlignment="1">
      <alignment horizontal="left" indent="1"/>
    </xf>
    <xf numFmtId="179" fontId="1" fillId="0" borderId="0" xfId="33738" applyNumberFormat="1" applyFont="1"/>
    <xf numFmtId="179" fontId="1" fillId="69" borderId="0" xfId="33738" applyNumberFormat="1" applyFont="1" applyFill="1"/>
    <xf numFmtId="43" fontId="1" fillId="0" borderId="0" xfId="33738" applyNumberFormat="1" applyFont="1"/>
    <xf numFmtId="0" fontId="1" fillId="0" borderId="28" xfId="33738" applyFont="1" applyBorder="1" applyAlignment="1">
      <alignment horizontal="left" indent="1"/>
    </xf>
    <xf numFmtId="44" fontId="1" fillId="0" borderId="28" xfId="33738" applyNumberFormat="1" applyFont="1" applyBorder="1"/>
    <xf numFmtId="0" fontId="1" fillId="0" borderId="0" xfId="33738" applyFont="1" applyAlignment="1">
      <alignment horizontal="left" indent="1"/>
    </xf>
    <xf numFmtId="0" fontId="1" fillId="0" borderId="0" xfId="33738" applyFont="1" applyAlignment="1">
      <alignment horizontal="right"/>
    </xf>
    <xf numFmtId="0" fontId="1" fillId="0" borderId="0" xfId="0" applyFont="1"/>
    <xf numFmtId="14" fontId="1" fillId="0" borderId="0" xfId="0" applyNumberFormat="1" applyFont="1"/>
    <xf numFmtId="0" fontId="1" fillId="0" borderId="30" xfId="0" applyFont="1" applyBorder="1"/>
    <xf numFmtId="0" fontId="1" fillId="0" borderId="3" xfId="0" applyFont="1" applyBorder="1"/>
    <xf numFmtId="10" fontId="1" fillId="0" borderId="31" xfId="33722" applyNumberFormat="1" applyFont="1" applyBorder="1"/>
    <xf numFmtId="0" fontId="81" fillId="0" borderId="0" xfId="0" applyFont="1"/>
    <xf numFmtId="14" fontId="81" fillId="0" borderId="0" xfId="0" applyNumberFormat="1" applyFont="1"/>
    <xf numFmtId="10" fontId="1" fillId="0" borderId="0" xfId="0" applyNumberFormat="1" applyFont="1"/>
    <xf numFmtId="0" fontId="1" fillId="0" borderId="0" xfId="33739" applyAlignment="1">
      <alignment horizontal="left"/>
    </xf>
    <xf numFmtId="0" fontId="1" fillId="0" borderId="0" xfId="33739"/>
    <xf numFmtId="0" fontId="1" fillId="0" borderId="0" xfId="33739" applyAlignment="1">
      <alignment horizontal="center"/>
    </xf>
    <xf numFmtId="0" fontId="1" fillId="0" borderId="0" xfId="33740" applyAlignment="1">
      <alignment horizontal="center" wrapText="1"/>
    </xf>
    <xf numFmtId="0" fontId="1" fillId="0" borderId="35" xfId="33739" applyBorder="1" applyAlignment="1">
      <alignment horizontal="center"/>
    </xf>
    <xf numFmtId="0" fontId="1" fillId="0" borderId="0" xfId="33740" applyAlignment="1">
      <alignment horizontal="center"/>
    </xf>
    <xf numFmtId="0" fontId="1" fillId="0" borderId="0" xfId="33739" applyAlignment="1">
      <alignment horizontal="right"/>
    </xf>
    <xf numFmtId="172" fontId="1" fillId="0" borderId="0" xfId="33741" applyNumberFormat="1" applyFont="1" applyAlignment="1">
      <alignment horizontal="center"/>
    </xf>
    <xf numFmtId="2" fontId="1" fillId="0" borderId="0" xfId="33739" applyNumberFormat="1"/>
    <xf numFmtId="0" fontId="1" fillId="0" borderId="0" xfId="33739" applyAlignment="1">
      <alignment wrapText="1"/>
    </xf>
    <xf numFmtId="10" fontId="1" fillId="0" borderId="0" xfId="33742" applyNumberFormat="1" applyFont="1" applyAlignment="1">
      <alignment horizontal="center"/>
    </xf>
    <xf numFmtId="10" fontId="1" fillId="0" borderId="0" xfId="33742" applyNumberFormat="1" applyFont="1" applyFill="1" applyBorder="1"/>
    <xf numFmtId="10" fontId="1" fillId="0" borderId="0" xfId="33743" applyNumberFormat="1" applyFont="1" applyFill="1" applyAlignment="1">
      <alignment horizontal="center"/>
    </xf>
    <xf numFmtId="10" fontId="1" fillId="0" borderId="40" xfId="33739" applyNumberFormat="1" applyBorder="1"/>
    <xf numFmtId="10" fontId="1" fillId="0" borderId="0" xfId="33739" applyNumberFormat="1" applyAlignment="1">
      <alignment horizontal="center"/>
    </xf>
    <xf numFmtId="10" fontId="1" fillId="0" borderId="0" xfId="33744" applyNumberFormat="1" applyFont="1" applyFill="1" applyAlignment="1">
      <alignment horizontal="center"/>
    </xf>
    <xf numFmtId="10" fontId="1" fillId="0" borderId="0" xfId="33739" applyNumberFormat="1"/>
    <xf numFmtId="0" fontId="1" fillId="0" borderId="0" xfId="33741" applyFont="1" applyAlignment="1">
      <alignment horizontal="right"/>
    </xf>
    <xf numFmtId="10" fontId="1" fillId="0" borderId="40" xfId="33741" applyNumberFormat="1" applyFont="1" applyBorder="1"/>
    <xf numFmtId="0" fontId="1" fillId="0" borderId="0" xfId="33741" applyFont="1"/>
    <xf numFmtId="10" fontId="1" fillId="0" borderId="0" xfId="33741" applyNumberFormat="1" applyFont="1"/>
    <xf numFmtId="14" fontId="1" fillId="0" borderId="0" xfId="33739" applyNumberFormat="1"/>
    <xf numFmtId="7" fontId="1" fillId="0" borderId="0" xfId="33745" applyNumberFormat="1" applyFont="1" applyFill="1"/>
    <xf numFmtId="44" fontId="1" fillId="0" borderId="0" xfId="33745" applyFont="1" applyFill="1"/>
    <xf numFmtId="44" fontId="1" fillId="0" borderId="0" xfId="33739" applyNumberFormat="1"/>
    <xf numFmtId="0" fontId="1" fillId="0" borderId="0" xfId="33739" applyAlignment="1">
      <alignment horizontal="left" wrapText="1"/>
    </xf>
    <xf numFmtId="0" fontId="1" fillId="0" borderId="0" xfId="33739" applyAlignment="1">
      <alignment horizontal="center"/>
    </xf>
    <xf numFmtId="0" fontId="1" fillId="0" borderId="0" xfId="33739"/>
    <xf numFmtId="0" fontId="1" fillId="0" borderId="39" xfId="33735" applyBorder="1" applyAlignment="1">
      <alignment horizontal="center"/>
    </xf>
    <xf numFmtId="0" fontId="1" fillId="0" borderId="39" xfId="33735" applyBorder="1"/>
    <xf numFmtId="0" fontId="1" fillId="0" borderId="39" xfId="33736" applyFont="1" applyBorder="1" applyAlignment="1">
      <alignment horizontal="left" vertical="top"/>
    </xf>
    <xf numFmtId="14" fontId="1" fillId="0" borderId="39" xfId="33735" applyNumberFormat="1" applyBorder="1" applyAlignment="1">
      <alignment horizontal="center"/>
    </xf>
    <xf numFmtId="178" fontId="1" fillId="0" borderId="39" xfId="33736" applyNumberFormat="1" applyFont="1" applyBorder="1" applyAlignment="1">
      <alignment horizontal="center" vertical="top"/>
    </xf>
    <xf numFmtId="0" fontId="1" fillId="0" borderId="0" xfId="33729"/>
    <xf numFmtId="0" fontId="1" fillId="0" borderId="0" xfId="33729" applyAlignment="1">
      <alignment horizontal="centerContinuous"/>
    </xf>
    <xf numFmtId="10" fontId="1" fillId="0" borderId="0" xfId="33729" applyNumberFormat="1"/>
    <xf numFmtId="10" fontId="1" fillId="0" borderId="0" xfId="33729" applyNumberFormat="1" applyAlignment="1">
      <alignment horizontal="center"/>
    </xf>
    <xf numFmtId="0" fontId="15" fillId="0" borderId="0" xfId="33729" applyFont="1" applyAlignment="1">
      <alignment horizontal="center"/>
    </xf>
    <xf numFmtId="0" fontId="1" fillId="0" borderId="0" xfId="33727" applyAlignment="1">
      <alignment horizontal="center"/>
    </xf>
    <xf numFmtId="0" fontId="15" fillId="0" borderId="3" xfId="33729" applyFont="1" applyBorder="1" applyAlignment="1">
      <alignment horizontal="center" wrapText="1"/>
    </xf>
    <xf numFmtId="0" fontId="1" fillId="0" borderId="0" xfId="33729" applyAlignment="1">
      <alignment horizontal="center" wrapText="1"/>
    </xf>
    <xf numFmtId="0" fontId="1" fillId="0" borderId="3" xfId="33729" applyBorder="1" applyAlignment="1">
      <alignment horizontal="center" wrapText="1"/>
    </xf>
    <xf numFmtId="0" fontId="15" fillId="0" borderId="0" xfId="33729" applyFont="1"/>
    <xf numFmtId="172" fontId="1" fillId="0" borderId="0" xfId="33729" applyNumberFormat="1" applyAlignment="1">
      <alignment horizontal="center"/>
    </xf>
    <xf numFmtId="0" fontId="105" fillId="0" borderId="0" xfId="33746" applyFont="1"/>
    <xf numFmtId="0" fontId="1" fillId="0" borderId="36" xfId="33729" applyBorder="1"/>
    <xf numFmtId="10" fontId="1" fillId="0" borderId="36" xfId="33729" applyNumberFormat="1" applyBorder="1" applyAlignment="1">
      <alignment horizontal="center"/>
    </xf>
    <xf numFmtId="0" fontId="1" fillId="0" borderId="39" xfId="33729" applyBorder="1"/>
    <xf numFmtId="10" fontId="1" fillId="0" borderId="39" xfId="33729" applyNumberFormat="1" applyBorder="1" applyAlignment="1">
      <alignment horizontal="center"/>
    </xf>
    <xf numFmtId="0" fontId="1" fillId="0" borderId="0" xfId="33729" applyAlignment="1">
      <alignment horizontal="right"/>
    </xf>
    <xf numFmtId="10" fontId="1" fillId="0" borderId="0" xfId="33722" applyNumberFormat="1" applyFont="1" applyFill="1"/>
    <xf numFmtId="0" fontId="1" fillId="0" borderId="0" xfId="33727"/>
    <xf numFmtId="2" fontId="1" fillId="0" borderId="0" xfId="33735" applyNumberFormat="1" applyAlignment="1">
      <alignment horizontal="right"/>
    </xf>
    <xf numFmtId="0" fontId="112" fillId="0" borderId="0" xfId="19062" applyFont="1" applyAlignment="1">
      <alignment horizontal="center"/>
    </xf>
    <xf numFmtId="0" fontId="103" fillId="0" borderId="3" xfId="33727" applyFont="1" applyBorder="1" applyAlignment="1">
      <alignment horizontal="center" wrapText="1"/>
    </xf>
    <xf numFmtId="0" fontId="105" fillId="0" borderId="0" xfId="33746" applyFont="1" applyAlignment="1">
      <alignment horizontal="center"/>
    </xf>
    <xf numFmtId="178" fontId="1" fillId="0" borderId="0" xfId="33735" applyNumberFormat="1"/>
    <xf numFmtId="0" fontId="1" fillId="0" borderId="0" xfId="33748"/>
    <xf numFmtId="0" fontId="1" fillId="0" borderId="0" xfId="33748" applyAlignment="1">
      <alignment horizontal="right"/>
    </xf>
    <xf numFmtId="10" fontId="1" fillId="0" borderId="0" xfId="33749" applyNumberFormat="1" applyFont="1"/>
    <xf numFmtId="44" fontId="1" fillId="0" borderId="0" xfId="33750" applyFont="1"/>
    <xf numFmtId="10" fontId="1" fillId="0" borderId="0" xfId="33748" applyNumberFormat="1"/>
    <xf numFmtId="10" fontId="1" fillId="0" borderId="0" xfId="33751" applyNumberFormat="1" applyFont="1" applyAlignment="1">
      <alignment horizontal="right"/>
    </xf>
    <xf numFmtId="0" fontId="113" fillId="0" borderId="0" xfId="33748" applyFont="1"/>
    <xf numFmtId="0" fontId="113" fillId="0" borderId="0" xfId="33748" applyFont="1" applyAlignment="1">
      <alignment horizontal="right"/>
    </xf>
    <xf numFmtId="10" fontId="113" fillId="0" borderId="0" xfId="33748" applyNumberFormat="1" applyFont="1" applyAlignment="1">
      <alignment horizontal="right"/>
    </xf>
    <xf numFmtId="0" fontId="1" fillId="0" borderId="0" xfId="33748" applyAlignment="1">
      <alignment wrapText="1"/>
    </xf>
    <xf numFmtId="0" fontId="1" fillId="0" borderId="0" xfId="33748" applyAlignment="1">
      <alignment horizontal="right" wrapText="1"/>
    </xf>
    <xf numFmtId="0" fontId="1" fillId="0" borderId="39" xfId="33748" applyBorder="1" applyAlignment="1">
      <alignment horizontal="center" wrapText="1"/>
    </xf>
    <xf numFmtId="179" fontId="1" fillId="0" borderId="0" xfId="33752" applyNumberFormat="1" applyFont="1"/>
    <xf numFmtId="44" fontId="1" fillId="0" borderId="39" xfId="33750" applyFont="1" applyBorder="1"/>
    <xf numFmtId="179" fontId="1" fillId="0" borderId="39" xfId="33752" applyNumberFormat="1" applyFont="1" applyBorder="1"/>
    <xf numFmtId="10" fontId="1" fillId="0" borderId="39" xfId="33749" applyNumberFormat="1" applyFont="1" applyBorder="1"/>
    <xf numFmtId="0" fontId="1" fillId="0" borderId="41" xfId="33748" applyBorder="1"/>
    <xf numFmtId="10" fontId="1" fillId="0" borderId="41" xfId="33749" applyNumberFormat="1" applyFont="1" applyBorder="1"/>
    <xf numFmtId="179" fontId="1" fillId="0" borderId="0" xfId="33749" applyNumberFormat="1" applyFont="1"/>
    <xf numFmtId="0" fontId="15" fillId="0" borderId="0" xfId="4253" applyAlignment="1">
      <alignment horizontal="center"/>
    </xf>
    <xf numFmtId="0" fontId="15" fillId="0" borderId="0" xfId="4253"/>
    <xf numFmtId="0" fontId="92" fillId="0" borderId="0" xfId="4253" applyFont="1" applyAlignment="1">
      <alignment horizontal="center"/>
    </xf>
    <xf numFmtId="182" fontId="15" fillId="0" borderId="0" xfId="4253" applyNumberFormat="1" applyAlignment="1">
      <alignment horizontal="center"/>
    </xf>
    <xf numFmtId="10" fontId="1" fillId="0" borderId="0" xfId="120" applyNumberFormat="1" applyFont="1" applyAlignment="1">
      <alignment horizontal="center"/>
    </xf>
    <xf numFmtId="0" fontId="15" fillId="0" borderId="0" xfId="4253" applyAlignment="1">
      <alignment horizontal="center" wrapText="1"/>
    </xf>
    <xf numFmtId="0" fontId="1" fillId="0" borderId="0" xfId="33739" applyAlignment="1">
      <alignment horizontal="center" wrapText="1"/>
    </xf>
    <xf numFmtId="182" fontId="15" fillId="0" borderId="0" xfId="4253" applyNumberFormat="1" applyAlignment="1">
      <alignment horizontal="right"/>
    </xf>
    <xf numFmtId="10" fontId="15" fillId="0" borderId="0" xfId="120" applyNumberFormat="1" applyAlignment="1">
      <alignment horizontal="center"/>
    </xf>
    <xf numFmtId="43" fontId="15" fillId="0" borderId="39" xfId="33753" applyFont="1" applyBorder="1" applyAlignment="1">
      <alignment horizontal="center"/>
    </xf>
    <xf numFmtId="10" fontId="15" fillId="0" borderId="39" xfId="120" applyNumberFormat="1" applyBorder="1" applyAlignment="1">
      <alignment horizontal="center"/>
    </xf>
    <xf numFmtId="0" fontId="15" fillId="0" borderId="39" xfId="4253" applyBorder="1" applyAlignment="1">
      <alignment horizontal="center"/>
    </xf>
    <xf numFmtId="37" fontId="15" fillId="0" borderId="39" xfId="33753" applyNumberFormat="1" applyFont="1" applyBorder="1" applyAlignment="1">
      <alignment horizontal="center"/>
    </xf>
    <xf numFmtId="43" fontId="15" fillId="0" borderId="0" xfId="33753" applyFont="1"/>
    <xf numFmtId="0" fontId="15" fillId="0" borderId="0" xfId="4253" applyAlignment="1">
      <alignment horizontal="right"/>
    </xf>
    <xf numFmtId="10" fontId="15" fillId="0" borderId="0" xfId="120" applyNumberFormat="1" applyAlignment="1">
      <alignment horizontal="center" wrapText="1"/>
    </xf>
    <xf numFmtId="10" fontId="15" fillId="0" borderId="0" xfId="4253" applyNumberFormat="1" applyAlignment="1">
      <alignment horizontal="center"/>
    </xf>
    <xf numFmtId="10" fontId="1" fillId="0" borderId="0" xfId="33754" applyNumberFormat="1" applyFont="1"/>
    <xf numFmtId="0" fontId="114" fillId="0" borderId="0" xfId="0" applyFont="1" applyAlignment="1">
      <alignment horizontal="centerContinuous"/>
    </xf>
    <xf numFmtId="10" fontId="1" fillId="0" borderId="0" xfId="33755" applyNumberFormat="1" applyFont="1"/>
    <xf numFmtId="0" fontId="114" fillId="0" borderId="0" xfId="0" applyFont="1" applyAlignment="1">
      <alignment horizontal="center"/>
    </xf>
    <xf numFmtId="49" fontId="15" fillId="0" borderId="0" xfId="4253" applyNumberFormat="1" applyAlignment="1">
      <alignment horizontal="center"/>
    </xf>
    <xf numFmtId="0" fontId="1" fillId="0" borderId="0" xfId="33755" applyFont="1"/>
    <xf numFmtId="0" fontId="15" fillId="0" borderId="0" xfId="4253" applyAlignment="1">
      <alignment horizontal="left"/>
    </xf>
    <xf numFmtId="0" fontId="1" fillId="0" borderId="0" xfId="33756" applyFont="1"/>
    <xf numFmtId="0" fontId="1" fillId="0" borderId="0" xfId="33757" applyFont="1"/>
    <xf numFmtId="0" fontId="114" fillId="0" borderId="38" xfId="0" applyFont="1" applyBorder="1" applyAlignment="1">
      <alignment horizontal="centerContinuous"/>
    </xf>
    <xf numFmtId="0" fontId="1" fillId="0" borderId="0" xfId="33758" applyAlignment="1">
      <alignment horizontal="right"/>
    </xf>
    <xf numFmtId="10" fontId="1" fillId="0" borderId="0" xfId="33759" applyNumberFormat="1" applyFont="1" applyAlignment="1">
      <alignment horizontal="center"/>
    </xf>
    <xf numFmtId="10" fontId="1" fillId="0" borderId="0" xfId="33758" applyNumberFormat="1" applyAlignment="1">
      <alignment horizontal="right"/>
    </xf>
    <xf numFmtId="10" fontId="1" fillId="0" borderId="0" xfId="33758" applyNumberFormat="1" applyAlignment="1">
      <alignment horizontal="center"/>
    </xf>
    <xf numFmtId="0" fontId="115" fillId="0" borderId="0" xfId="33757" applyFont="1" applyAlignment="1">
      <alignment horizontal="centerContinuous"/>
    </xf>
    <xf numFmtId="0" fontId="1" fillId="0" borderId="0" xfId="33758"/>
    <xf numFmtId="0" fontId="0" fillId="0" borderId="28" xfId="0" applyBorder="1"/>
    <xf numFmtId="0" fontId="114" fillId="0" borderId="38" xfId="0" applyFont="1" applyBorder="1" applyAlignment="1">
      <alignment horizontal="center"/>
    </xf>
    <xf numFmtId="0" fontId="115" fillId="0" borderId="0" xfId="33757" applyFont="1" applyAlignment="1">
      <alignment horizontal="center"/>
    </xf>
    <xf numFmtId="10" fontId="1" fillId="0" borderId="0" xfId="33757" applyNumberFormat="1" applyFont="1"/>
    <xf numFmtId="0" fontId="115" fillId="0" borderId="0" xfId="33729" applyFont="1" applyAlignment="1">
      <alignment horizontal="center"/>
    </xf>
    <xf numFmtId="0" fontId="1" fillId="0" borderId="0" xfId="33760" applyAlignment="1">
      <alignment horizontal="right"/>
    </xf>
    <xf numFmtId="10" fontId="1" fillId="0" borderId="0" xfId="33760" applyNumberFormat="1"/>
    <xf numFmtId="0" fontId="1" fillId="0" borderId="0" xfId="33754" applyFont="1"/>
    <xf numFmtId="0" fontId="1" fillId="0" borderId="39" xfId="33754" applyFont="1" applyBorder="1" applyAlignment="1">
      <alignment horizontal="center" wrapText="1"/>
    </xf>
    <xf numFmtId="0" fontId="1" fillId="0" borderId="0" xfId="33754" applyFont="1" applyAlignment="1">
      <alignment horizontal="center" wrapText="1"/>
    </xf>
    <xf numFmtId="0" fontId="1" fillId="0" borderId="0" xfId="33754" applyFont="1" applyAlignment="1">
      <alignment horizontal="center"/>
    </xf>
    <xf numFmtId="10" fontId="1" fillId="0" borderId="0" xfId="33754" applyNumberFormat="1" applyFont="1" applyAlignment="1">
      <alignment horizontal="center"/>
    </xf>
    <xf numFmtId="10" fontId="0" fillId="0" borderId="0" xfId="0" applyNumberFormat="1"/>
    <xf numFmtId="10" fontId="0" fillId="0" borderId="0" xfId="33722" applyNumberFormat="1" applyFont="1"/>
    <xf numFmtId="0" fontId="114" fillId="0" borderId="38" xfId="0" applyFont="1" applyBorder="1" applyAlignment="1">
      <alignment horizontal="center" wrapText="1"/>
    </xf>
    <xf numFmtId="0" fontId="1" fillId="0" borderId="38" xfId="33755" applyFont="1" applyBorder="1" applyAlignment="1">
      <alignment horizontal="center"/>
    </xf>
    <xf numFmtId="183" fontId="15" fillId="0" borderId="0" xfId="33761" applyNumberFormat="1" applyFont="1"/>
    <xf numFmtId="10" fontId="15" fillId="0" borderId="0" xfId="4253" applyNumberFormat="1"/>
    <xf numFmtId="183" fontId="15" fillId="0" borderId="28" xfId="33761" applyNumberFormat="1" applyFont="1" applyBorder="1"/>
    <xf numFmtId="183" fontId="1" fillId="0" borderId="0" xfId="33754" applyNumberFormat="1" applyFont="1"/>
    <xf numFmtId="0" fontId="1" fillId="0" borderId="0" xfId="33754" applyFont="1" applyAlignment="1">
      <alignment horizontal="right"/>
    </xf>
    <xf numFmtId="2" fontId="1" fillId="0" borderId="0" xfId="33754" applyNumberFormat="1" applyFont="1"/>
    <xf numFmtId="0" fontId="1" fillId="0" borderId="0" xfId="33754" quotePrefix="1" applyFont="1"/>
    <xf numFmtId="0" fontId="115" fillId="0" borderId="0" xfId="33729" applyFont="1" applyAlignment="1">
      <alignment horizontal="centerContinuous"/>
    </xf>
    <xf numFmtId="0" fontId="114" fillId="0" borderId="0" xfId="0" applyFont="1" applyAlignment="1">
      <alignment horizontal="center" wrapText="1"/>
    </xf>
    <xf numFmtId="0" fontId="1" fillId="0" borderId="0" xfId="33762" applyFont="1" applyAlignment="1">
      <alignment horizontal="centerContinuous"/>
    </xf>
    <xf numFmtId="0" fontId="1" fillId="0" borderId="0" xfId="33762" applyFont="1" applyAlignment="1">
      <alignment horizontal="center"/>
    </xf>
    <xf numFmtId="43" fontId="105" fillId="0" borderId="0" xfId="1822" applyFont="1" applyAlignment="1">
      <alignment horizontal="centerContinuous" vertical="top"/>
    </xf>
    <xf numFmtId="0" fontId="0" fillId="0" borderId="0" xfId="33762" applyFont="1" applyAlignment="1">
      <alignment horizontal="centerContinuous"/>
    </xf>
    <xf numFmtId="0" fontId="1" fillId="0" borderId="0" xfId="33739" applyAlignment="1">
      <alignment horizontal="centerContinuous"/>
    </xf>
    <xf numFmtId="0" fontId="1" fillId="0" borderId="0" xfId="33762" applyFont="1" applyAlignment="1">
      <alignment wrapText="1"/>
    </xf>
    <xf numFmtId="0" fontId="113" fillId="0" borderId="0" xfId="33739" applyFont="1" applyAlignment="1">
      <alignment vertical="center"/>
    </xf>
    <xf numFmtId="0" fontId="18" fillId="0" borderId="3" xfId="4253" applyFont="1" applyBorder="1" applyAlignment="1">
      <alignment horizontal="center" vertical="center" wrapText="1"/>
    </xf>
    <xf numFmtId="0" fontId="18" fillId="0" borderId="3" xfId="4253" applyFont="1" applyBorder="1" applyAlignment="1">
      <alignment horizontal="left" vertical="center" wrapText="1"/>
    </xf>
    <xf numFmtId="43" fontId="118" fillId="0" borderId="0" xfId="1822" applyFont="1" applyAlignment="1">
      <alignment horizontal="center" vertical="top"/>
    </xf>
    <xf numFmtId="0" fontId="118" fillId="0" borderId="0" xfId="4648" applyFont="1" applyAlignment="1">
      <alignment horizontal="center" vertical="top"/>
    </xf>
    <xf numFmtId="0" fontId="1" fillId="0" borderId="0" xfId="33763" applyFont="1" applyAlignment="1">
      <alignment horizontal="center"/>
    </xf>
    <xf numFmtId="1" fontId="15" fillId="0" borderId="36" xfId="4253" applyNumberFormat="1" applyBorder="1" applyAlignment="1">
      <alignment horizontal="center" vertical="center"/>
    </xf>
    <xf numFmtId="166" fontId="15" fillId="0" borderId="36" xfId="4253" applyNumberFormat="1" applyBorder="1" applyAlignment="1">
      <alignment horizontal="center" vertical="center"/>
    </xf>
    <xf numFmtId="10" fontId="1" fillId="0" borderId="0" xfId="33764" applyNumberFormat="1" applyFont="1"/>
    <xf numFmtId="43" fontId="118" fillId="0" borderId="38" xfId="1822" applyFont="1" applyBorder="1" applyAlignment="1">
      <alignment horizontal="center" vertical="top"/>
    </xf>
    <xf numFmtId="0" fontId="118" fillId="0" borderId="38" xfId="4648" applyFont="1" applyBorder="1" applyAlignment="1">
      <alignment horizontal="center" vertical="top"/>
    </xf>
    <xf numFmtId="0" fontId="105" fillId="0" borderId="0" xfId="4648" applyFont="1" applyAlignment="1">
      <alignment vertical="top"/>
    </xf>
    <xf numFmtId="175" fontId="1" fillId="0" borderId="0" xfId="33765" applyNumberFormat="1" applyFont="1" applyAlignment="1">
      <alignment vertical="top"/>
    </xf>
    <xf numFmtId="1" fontId="15" fillId="0" borderId="0" xfId="4253" applyNumberFormat="1" applyAlignment="1">
      <alignment horizontal="center" vertical="center"/>
    </xf>
    <xf numFmtId="166" fontId="15" fillId="0" borderId="0" xfId="4253" applyNumberFormat="1" applyAlignment="1">
      <alignment horizontal="center" vertical="center"/>
    </xf>
    <xf numFmtId="0" fontId="105" fillId="0" borderId="0" xfId="4648" applyFont="1" applyAlignment="1">
      <alignment horizontal="center" vertical="top"/>
    </xf>
    <xf numFmtId="0" fontId="105" fillId="0" borderId="28" xfId="4648" applyFont="1" applyBorder="1" applyAlignment="1">
      <alignment horizontal="center" vertical="top"/>
    </xf>
    <xf numFmtId="175" fontId="1" fillId="0" borderId="0" xfId="33765" applyNumberFormat="1" applyFont="1" applyAlignment="1">
      <alignment horizontal="center" vertical="top"/>
    </xf>
    <xf numFmtId="1" fontId="15" fillId="0" borderId="39" xfId="4253" applyNumberFormat="1" applyBorder="1" applyAlignment="1">
      <alignment horizontal="center" vertical="center"/>
    </xf>
    <xf numFmtId="166" fontId="15" fillId="0" borderId="39" xfId="4253" applyNumberFormat="1" applyBorder="1" applyAlignment="1">
      <alignment horizontal="center" vertical="center"/>
    </xf>
    <xf numFmtId="166" fontId="1" fillId="0" borderId="0" xfId="33739" applyNumberFormat="1"/>
    <xf numFmtId="181" fontId="1" fillId="0" borderId="0" xfId="33765" applyNumberFormat="1" applyFont="1" applyAlignment="1">
      <alignment vertical="top"/>
    </xf>
    <xf numFmtId="0" fontId="1" fillId="0" borderId="39" xfId="33739" applyBorder="1"/>
    <xf numFmtId="43" fontId="105" fillId="0" borderId="39" xfId="1822" applyFont="1" applyBorder="1" applyAlignment="1">
      <alignment horizontal="right" vertical="top"/>
    </xf>
    <xf numFmtId="0" fontId="105" fillId="0" borderId="39" xfId="4648" applyFont="1" applyBorder="1" applyAlignment="1">
      <alignment horizontal="center" vertical="top"/>
    </xf>
    <xf numFmtId="166" fontId="15" fillId="0" borderId="0" xfId="15311" applyNumberFormat="1" applyAlignment="1">
      <alignment horizontal="center" vertical="center"/>
    </xf>
    <xf numFmtId="0" fontId="1" fillId="0" borderId="0" xfId="33762" applyFont="1"/>
    <xf numFmtId="10" fontId="105" fillId="0" borderId="0" xfId="33744" applyNumberFormat="1" applyFont="1" applyAlignment="1">
      <alignment horizontal="center" vertical="top"/>
    </xf>
    <xf numFmtId="10" fontId="15" fillId="0" borderId="0" xfId="4253" applyNumberFormat="1" applyAlignment="1">
      <alignment horizontal="center" vertical="center" wrapText="1"/>
    </xf>
    <xf numFmtId="0" fontId="1" fillId="0" borderId="0" xfId="33760"/>
    <xf numFmtId="10" fontId="105" fillId="0" borderId="0" xfId="33744" applyNumberFormat="1" applyFont="1" applyAlignment="1">
      <alignment horizontal="right" vertical="top"/>
    </xf>
    <xf numFmtId="10" fontId="15" fillId="0" borderId="0" xfId="4253" applyNumberFormat="1" applyAlignment="1">
      <alignment vertical="center" wrapText="1"/>
    </xf>
    <xf numFmtId="0" fontId="105" fillId="0" borderId="0" xfId="4648" applyFont="1" applyAlignment="1">
      <alignment horizontal="left" vertical="top"/>
    </xf>
    <xf numFmtId="166" fontId="1" fillId="0" borderId="39" xfId="33762" applyNumberFormat="1" applyFont="1" applyBorder="1" applyAlignment="1">
      <alignment horizontal="center" wrapText="1"/>
    </xf>
    <xf numFmtId="0" fontId="1" fillId="0" borderId="39" xfId="33762" applyFont="1" applyBorder="1" applyAlignment="1">
      <alignment horizontal="center"/>
    </xf>
    <xf numFmtId="0" fontId="1" fillId="0" borderId="0" xfId="33740"/>
    <xf numFmtId="10" fontId="1" fillId="0" borderId="0" xfId="33766" applyNumberFormat="1" applyFont="1" applyAlignment="1">
      <alignment horizontal="center"/>
    </xf>
    <xf numFmtId="10" fontId="105" fillId="0" borderId="0" xfId="33766" applyNumberFormat="1" applyFont="1" applyAlignment="1">
      <alignment horizontal="center" vertical="top"/>
    </xf>
    <xf numFmtId="0" fontId="105" fillId="0" borderId="0" xfId="1822" applyNumberFormat="1" applyFont="1" applyAlignment="1">
      <alignment horizontal="left" vertical="top"/>
    </xf>
    <xf numFmtId="10" fontId="1" fillId="0" borderId="0" xfId="33762" applyNumberFormat="1" applyFont="1"/>
    <xf numFmtId="175" fontId="105" fillId="0" borderId="0" xfId="33766" applyNumberFormat="1" applyFont="1" applyAlignment="1">
      <alignment horizontal="center" vertical="top"/>
    </xf>
    <xf numFmtId="0" fontId="15" fillId="0" borderId="0" xfId="4253" applyAlignment="1">
      <alignment horizontal="center" vertical="center"/>
    </xf>
    <xf numFmtId="0" fontId="15" fillId="0" borderId="39" xfId="4253" applyBorder="1" applyAlignment="1">
      <alignment horizontal="center" vertical="center"/>
    </xf>
    <xf numFmtId="166" fontId="1" fillId="0" borderId="0" xfId="33762" applyNumberFormat="1" applyFont="1"/>
    <xf numFmtId="0" fontId="15" fillId="0" borderId="0" xfId="4253" applyAlignment="1">
      <alignment horizontal="left" vertical="center"/>
    </xf>
    <xf numFmtId="2" fontId="105" fillId="0" borderId="0" xfId="4648" applyNumberFormat="1" applyFont="1" applyAlignment="1">
      <alignment horizontal="left" vertical="top"/>
    </xf>
    <xf numFmtId="175" fontId="105" fillId="0" borderId="0" xfId="33744" applyNumberFormat="1" applyFont="1" applyAlignment="1">
      <alignment horizontal="left" vertical="top"/>
    </xf>
    <xf numFmtId="0" fontId="1" fillId="0" borderId="0" xfId="8398" applyFont="1"/>
    <xf numFmtId="0" fontId="1" fillId="0" borderId="0" xfId="8398" applyFont="1" applyAlignment="1">
      <alignment horizontal="center"/>
    </xf>
    <xf numFmtId="0" fontId="119" fillId="0" borderId="0" xfId="8398" applyFont="1" applyAlignment="1">
      <alignment horizontal="center"/>
    </xf>
    <xf numFmtId="0" fontId="1" fillId="0" borderId="0" xfId="8398" quotePrefix="1" applyFont="1" applyAlignment="1">
      <alignment horizontal="center"/>
    </xf>
    <xf numFmtId="184" fontId="1" fillId="0" borderId="0" xfId="8398" quotePrefix="1" applyNumberFormat="1" applyFont="1" applyAlignment="1">
      <alignment horizontal="center"/>
    </xf>
    <xf numFmtId="185" fontId="1" fillId="0" borderId="0" xfId="33767" applyNumberFormat="1" applyFont="1"/>
    <xf numFmtId="0" fontId="15" fillId="0" borderId="0" xfId="8398" applyFont="1"/>
    <xf numFmtId="10" fontId="1" fillId="0" borderId="0" xfId="8398" applyNumberFormat="1" applyFont="1"/>
    <xf numFmtId="181" fontId="1" fillId="0" borderId="0" xfId="8398" applyNumberFormat="1" applyFont="1"/>
    <xf numFmtId="181" fontId="1" fillId="0" borderId="0" xfId="33749" applyNumberFormat="1"/>
    <xf numFmtId="186" fontId="1" fillId="0" borderId="0" xfId="8398" applyNumberFormat="1" applyFont="1"/>
    <xf numFmtId="10" fontId="1" fillId="0" borderId="0" xfId="21787" applyNumberFormat="1" applyFont="1"/>
    <xf numFmtId="10" fontId="1" fillId="0" borderId="39" xfId="33722" applyNumberFormat="1" applyFont="1" applyBorder="1" applyAlignment="1">
      <alignment horizontal="center"/>
    </xf>
    <xf numFmtId="181" fontId="1" fillId="0" borderId="39" xfId="8398" applyNumberFormat="1" applyFont="1" applyBorder="1"/>
    <xf numFmtId="181" fontId="1" fillId="0" borderId="39" xfId="33749" applyNumberFormat="1" applyBorder="1"/>
    <xf numFmtId="0" fontId="1" fillId="0" borderId="39" xfId="8398" applyFont="1" applyBorder="1"/>
    <xf numFmtId="0" fontId="1" fillId="0" borderId="39" xfId="8398" applyFont="1" applyBorder="1" applyAlignment="1">
      <alignment horizontal="center"/>
    </xf>
    <xf numFmtId="181" fontId="1" fillId="0" borderId="0" xfId="8398" applyNumberFormat="1" applyFont="1" applyAlignment="1">
      <alignment vertical="center"/>
    </xf>
    <xf numFmtId="0" fontId="1" fillId="0" borderId="0" xfId="8398" applyFont="1" applyAlignment="1">
      <alignment horizontal="center" vertical="center"/>
    </xf>
    <xf numFmtId="0" fontId="1" fillId="0" borderId="0" xfId="8398" applyFont="1" applyAlignment="1">
      <alignment vertical="center"/>
    </xf>
    <xf numFmtId="10" fontId="1" fillId="0" borderId="0" xfId="33768" applyNumberFormat="1" applyFont="1"/>
    <xf numFmtId="187" fontId="1" fillId="0" borderId="0" xfId="33769" applyNumberFormat="1" applyFont="1"/>
    <xf numFmtId="3" fontId="1" fillId="0" borderId="0" xfId="8398" applyNumberFormat="1" applyFont="1"/>
    <xf numFmtId="10" fontId="1" fillId="0" borderId="0" xfId="33722" applyNumberFormat="1" applyFont="1" applyBorder="1" applyAlignment="1">
      <alignment horizontal="center" vertical="center"/>
    </xf>
    <xf numFmtId="185" fontId="1" fillId="0" borderId="0" xfId="33767" applyNumberFormat="1" applyFont="1" applyAlignment="1">
      <alignment horizontal="center"/>
    </xf>
    <xf numFmtId="187" fontId="1" fillId="0" borderId="0" xfId="8398" applyNumberFormat="1" applyFont="1"/>
    <xf numFmtId="0" fontId="1" fillId="0" borderId="0" xfId="8398" applyFont="1" applyAlignment="1">
      <alignment horizontal="left"/>
    </xf>
    <xf numFmtId="2" fontId="1" fillId="0" borderId="0" xfId="33722" applyNumberFormat="1" applyFont="1"/>
    <xf numFmtId="9" fontId="15" fillId="0" borderId="42" xfId="120" applyBorder="1" applyAlignment="1">
      <alignment horizontal="center" vertical="center"/>
    </xf>
    <xf numFmtId="175" fontId="15" fillId="0" borderId="36" xfId="11768" applyNumberFormat="1" applyBorder="1" applyAlignment="1">
      <alignment horizontal="center" vertical="center"/>
    </xf>
    <xf numFmtId="175" fontId="15" fillId="0" borderId="42" xfId="11768" applyNumberFormat="1" applyBorder="1" applyAlignment="1">
      <alignment horizontal="center" vertical="center"/>
    </xf>
    <xf numFmtId="0" fontId="1" fillId="0" borderId="29" xfId="8398" applyFont="1" applyBorder="1" applyAlignment="1">
      <alignment horizontal="center" vertical="center"/>
    </xf>
    <xf numFmtId="188" fontId="15" fillId="0" borderId="43" xfId="5336" applyNumberFormat="1" applyBorder="1" applyAlignment="1">
      <alignment horizontal="center" vertical="center"/>
    </xf>
    <xf numFmtId="189" fontId="15" fillId="0" borderId="0" xfId="5336" applyNumberFormat="1" applyAlignment="1">
      <alignment horizontal="center" vertical="center"/>
    </xf>
    <xf numFmtId="189" fontId="15" fillId="0" borderId="33" xfId="5336" applyNumberFormat="1" applyBorder="1" applyAlignment="1">
      <alignment horizontal="center" vertical="center"/>
    </xf>
    <xf numFmtId="189" fontId="15" fillId="0" borderId="40" xfId="5336" applyNumberFormat="1" applyBorder="1" applyAlignment="1">
      <alignment horizontal="center" vertical="center"/>
    </xf>
    <xf numFmtId="10" fontId="15" fillId="0" borderId="44" xfId="120" applyNumberFormat="1" applyBorder="1" applyAlignment="1">
      <alignment horizontal="center" vertical="center"/>
    </xf>
    <xf numFmtId="9" fontId="15" fillId="0" borderId="45" xfId="11768" applyBorder="1" applyAlignment="1">
      <alignment horizontal="center" vertical="center"/>
    </xf>
    <xf numFmtId="9" fontId="15" fillId="0" borderId="40" xfId="11768" applyBorder="1" applyAlignment="1">
      <alignment horizontal="center" vertical="center"/>
    </xf>
    <xf numFmtId="9" fontId="15" fillId="0" borderId="34" xfId="11768" applyBorder="1" applyAlignment="1">
      <alignment horizontal="center" vertical="center"/>
    </xf>
    <xf numFmtId="10" fontId="15" fillId="0" borderId="0" xfId="120" applyNumberFormat="1" applyAlignment="1">
      <alignment horizontal="center" vertical="center"/>
    </xf>
    <xf numFmtId="9" fontId="15" fillId="0" borderId="0" xfId="11768" applyAlignment="1">
      <alignment horizontal="center" vertical="center"/>
    </xf>
    <xf numFmtId="10" fontId="1" fillId="0" borderId="0" xfId="8398" applyNumberFormat="1" applyFont="1" applyAlignment="1">
      <alignment horizontal="center"/>
    </xf>
    <xf numFmtId="0" fontId="1" fillId="0" borderId="36" xfId="8398" applyFont="1" applyBorder="1" applyAlignment="1">
      <alignment horizontal="center"/>
    </xf>
    <xf numFmtId="181" fontId="1" fillId="0" borderId="36" xfId="8398" applyNumberFormat="1" applyFont="1" applyBorder="1"/>
    <xf numFmtId="2" fontId="1" fillId="0" borderId="0" xfId="8398" applyNumberFormat="1" applyFont="1"/>
    <xf numFmtId="9" fontId="15" fillId="0" borderId="37" xfId="120" applyBorder="1" applyAlignment="1">
      <alignment horizontal="center" vertical="center"/>
    </xf>
    <xf numFmtId="175" fontId="15" fillId="0" borderId="37" xfId="11768" applyNumberFormat="1" applyBorder="1" applyAlignment="1">
      <alignment horizontal="center" vertical="center"/>
    </xf>
    <xf numFmtId="175" fontId="15" fillId="0" borderId="46" xfId="11768" applyNumberFormat="1" applyBorder="1" applyAlignment="1">
      <alignment horizontal="center" vertical="center"/>
    </xf>
    <xf numFmtId="189" fontId="15" fillId="0" borderId="47" xfId="5336" applyNumberFormat="1" applyBorder="1" applyAlignment="1">
      <alignment horizontal="center" vertical="center"/>
    </xf>
    <xf numFmtId="189" fontId="15" fillId="0" borderId="25" xfId="5336" applyNumberFormat="1" applyBorder="1" applyAlignment="1">
      <alignment horizontal="center" vertical="center"/>
    </xf>
    <xf numFmtId="9" fontId="15" fillId="0" borderId="32" xfId="11768" applyBorder="1" applyAlignment="1">
      <alignment horizontal="center" vertical="center"/>
    </xf>
    <xf numFmtId="9" fontId="15" fillId="0" borderId="48" xfId="11768" applyBorder="1" applyAlignment="1">
      <alignment horizontal="center" vertical="center"/>
    </xf>
    <xf numFmtId="175" fontId="15" fillId="0" borderId="49" xfId="11768" applyNumberFormat="1" applyBorder="1" applyAlignment="1">
      <alignment horizontal="center" vertical="center"/>
    </xf>
    <xf numFmtId="189" fontId="15" fillId="0" borderId="50" xfId="5336" applyNumberFormat="1" applyBorder="1" applyAlignment="1">
      <alignment horizontal="center" vertical="center"/>
    </xf>
    <xf numFmtId="189" fontId="15" fillId="0" borderId="51" xfId="5336" applyNumberFormat="1" applyBorder="1" applyAlignment="1">
      <alignment horizontal="center" vertical="center"/>
    </xf>
    <xf numFmtId="9" fontId="15" fillId="0" borderId="52" xfId="11768" applyBorder="1" applyAlignment="1">
      <alignment horizontal="center" vertical="center"/>
    </xf>
    <xf numFmtId="9" fontId="15" fillId="0" borderId="53" xfId="11768" applyBorder="1" applyAlignment="1">
      <alignment horizontal="center" vertical="center"/>
    </xf>
    <xf numFmtId="10" fontId="15" fillId="0" borderId="0" xfId="33770" applyNumberFormat="1" applyFont="1" applyAlignment="1">
      <alignment horizontal="center" vertical="center"/>
    </xf>
    <xf numFmtId="0" fontId="1" fillId="0" borderId="0" xfId="33771" applyFont="1"/>
    <xf numFmtId="0" fontId="1" fillId="0" borderId="0" xfId="33771" applyFont="1" applyAlignment="1">
      <alignment horizontal="right"/>
    </xf>
    <xf numFmtId="10" fontId="1" fillId="0" borderId="0" xfId="33772" applyNumberFormat="1" applyFont="1" applyAlignment="1">
      <alignment horizontal="center"/>
    </xf>
    <xf numFmtId="2" fontId="1" fillId="0" borderId="0" xfId="33732" applyNumberFormat="1" applyFont="1" applyAlignment="1">
      <alignment horizontal="right"/>
    </xf>
    <xf numFmtId="2" fontId="1" fillId="0" borderId="0" xfId="33732" applyNumberFormat="1" applyFont="1" applyAlignment="1">
      <alignment horizontal="center"/>
    </xf>
    <xf numFmtId="2" fontId="1" fillId="0" borderId="0" xfId="33771" applyNumberFormat="1" applyFont="1" applyAlignment="1">
      <alignment horizontal="center"/>
    </xf>
    <xf numFmtId="0" fontId="1" fillId="0" borderId="0" xfId="33771" applyFont="1" applyAlignment="1">
      <alignment horizontal="center"/>
    </xf>
    <xf numFmtId="0" fontId="1" fillId="0" borderId="45" xfId="33771" applyFont="1" applyBorder="1" applyAlignment="1">
      <alignment horizontal="center" wrapText="1"/>
    </xf>
    <xf numFmtId="10" fontId="1" fillId="0" borderId="45" xfId="33772" applyNumberFormat="1" applyFont="1" applyBorder="1" applyAlignment="1">
      <alignment horizontal="center" wrapText="1"/>
    </xf>
    <xf numFmtId="2" fontId="1" fillId="0" borderId="45" xfId="33732" applyNumberFormat="1" applyFont="1" applyBorder="1" applyAlignment="1">
      <alignment horizontal="center" wrapText="1"/>
    </xf>
    <xf numFmtId="2" fontId="1" fillId="0" borderId="45" xfId="33772" applyNumberFormat="1" applyFont="1" applyBorder="1" applyAlignment="1">
      <alignment horizontal="center" wrapText="1"/>
    </xf>
    <xf numFmtId="10" fontId="1" fillId="0" borderId="0" xfId="33771" applyNumberFormat="1" applyFont="1" applyAlignment="1">
      <alignment horizontal="center"/>
    </xf>
    <xf numFmtId="2" fontId="1" fillId="0" borderId="0" xfId="33732" applyNumberFormat="1" applyFont="1"/>
    <xf numFmtId="2" fontId="1" fillId="0" borderId="0" xfId="33771" applyNumberFormat="1" applyFont="1"/>
    <xf numFmtId="10" fontId="1" fillId="0" borderId="0" xfId="11697" applyNumberFormat="1" applyFont="1" applyAlignment="1">
      <alignment horizontal="centerContinuous"/>
    </xf>
    <xf numFmtId="10" fontId="1" fillId="0" borderId="0" xfId="11697" applyNumberFormat="1" applyFont="1" applyAlignment="1">
      <alignment horizontal="center"/>
    </xf>
    <xf numFmtId="0" fontId="15" fillId="0" borderId="0" xfId="33631" applyAlignment="1">
      <alignment horizontal="center" wrapText="1"/>
    </xf>
    <xf numFmtId="164" fontId="1" fillId="0" borderId="30" xfId="120" applyNumberFormat="1" applyFont="1" applyBorder="1" applyAlignment="1">
      <alignment horizontal="center"/>
    </xf>
    <xf numFmtId="164" fontId="1" fillId="0" borderId="3" xfId="120" applyNumberFormat="1" applyFont="1" applyBorder="1" applyAlignment="1">
      <alignment horizontal="center"/>
    </xf>
    <xf numFmtId="164" fontId="15" fillId="0" borderId="3" xfId="33631" applyNumberFormat="1" applyBorder="1" applyAlignment="1">
      <alignment horizontal="center"/>
    </xf>
    <xf numFmtId="164" fontId="15" fillId="0" borderId="31" xfId="33631" applyNumberFormat="1" applyBorder="1" applyAlignment="1">
      <alignment horizontal="center"/>
    </xf>
    <xf numFmtId="164" fontId="1" fillId="0" borderId="0" xfId="120" applyNumberFormat="1" applyFont="1" applyAlignment="1">
      <alignment horizontal="center"/>
    </xf>
    <xf numFmtId="10" fontId="15" fillId="0" borderId="0" xfId="33744" applyNumberFormat="1" applyFont="1" applyAlignment="1">
      <alignment horizontal="center"/>
    </xf>
    <xf numFmtId="2" fontId="15" fillId="0" borderId="0" xfId="33631" applyNumberFormat="1" applyAlignment="1">
      <alignment horizontal="center"/>
    </xf>
    <xf numFmtId="0" fontId="15" fillId="0" borderId="45" xfId="4253" applyBorder="1"/>
    <xf numFmtId="0" fontId="15" fillId="0" borderId="45" xfId="4253" applyBorder="1" applyAlignment="1">
      <alignment horizontal="center" wrapText="1"/>
    </xf>
    <xf numFmtId="0" fontId="15" fillId="0" borderId="0" xfId="33739" applyFont="1" applyAlignment="1">
      <alignment horizontal="right"/>
    </xf>
    <xf numFmtId="10" fontId="1" fillId="0" borderId="0" xfId="117" applyNumberFormat="1" applyFont="1" applyAlignment="1">
      <alignment horizontal="center"/>
    </xf>
    <xf numFmtId="10" fontId="1" fillId="0" borderId="0" xfId="117" applyNumberFormat="1" applyFont="1" applyFill="1" applyAlignment="1">
      <alignment horizontal="center"/>
    </xf>
    <xf numFmtId="0" fontId="115" fillId="0" borderId="0" xfId="33755" applyFont="1" applyAlignment="1">
      <alignment horizontal="centerContinuous"/>
    </xf>
    <xf numFmtId="0" fontId="115" fillId="0" borderId="0" xfId="33755" applyFont="1" applyAlignment="1">
      <alignment horizontal="center"/>
    </xf>
    <xf numFmtId="10" fontId="1" fillId="0" borderId="0" xfId="11697" applyNumberFormat="1" applyFont="1" applyAlignment="1">
      <alignment horizontal="left"/>
    </xf>
    <xf numFmtId="10" fontId="1" fillId="0" borderId="0" xfId="11697" applyNumberFormat="1" applyFont="1"/>
    <xf numFmtId="10" fontId="15" fillId="0" borderId="0" xfId="11697" applyNumberFormat="1" applyFont="1" applyFill="1" applyAlignment="1">
      <alignment horizontal="left"/>
    </xf>
    <xf numFmtId="14" fontId="15" fillId="0" borderId="0" xfId="33773" applyNumberFormat="1" applyFont="1"/>
    <xf numFmtId="14" fontId="1" fillId="0" borderId="0" xfId="33773" applyNumberFormat="1"/>
    <xf numFmtId="0" fontId="1" fillId="0" borderId="0" xfId="33773" applyAlignment="1">
      <alignment horizontal="center"/>
    </xf>
    <xf numFmtId="10" fontId="1" fillId="0" borderId="0" xfId="11667" applyNumberFormat="1" applyFont="1" applyAlignment="1">
      <alignment horizontal="center"/>
    </xf>
    <xf numFmtId="14" fontId="15" fillId="0" borderId="45" xfId="33631" applyNumberFormat="1" applyBorder="1" applyAlignment="1">
      <alignment horizontal="center" wrapText="1"/>
    </xf>
    <xf numFmtId="0" fontId="15" fillId="0" borderId="45" xfId="33631" applyBorder="1" applyAlignment="1">
      <alignment horizontal="center" wrapText="1"/>
    </xf>
    <xf numFmtId="14" fontId="1" fillId="0" borderId="0" xfId="33755" applyNumberFormat="1" applyFont="1" applyAlignment="1">
      <alignment horizontal="center"/>
    </xf>
    <xf numFmtId="10" fontId="1" fillId="0" borderId="0" xfId="33774" applyNumberFormat="1" applyFont="1" applyAlignment="1">
      <alignment horizontal="center"/>
    </xf>
    <xf numFmtId="2" fontId="1" fillId="0" borderId="0" xfId="11697" applyNumberFormat="1" applyFont="1" applyAlignment="1">
      <alignment horizontal="center"/>
    </xf>
    <xf numFmtId="2" fontId="15" fillId="0" borderId="0" xfId="4253" applyNumberFormat="1" applyAlignment="1">
      <alignment horizontal="center"/>
    </xf>
    <xf numFmtId="14" fontId="1" fillId="0" borderId="0" xfId="33755" applyNumberFormat="1" applyFont="1"/>
    <xf numFmtId="10" fontId="1" fillId="0" borderId="0" xfId="33774" applyNumberFormat="1" applyFont="1"/>
    <xf numFmtId="10" fontId="1" fillId="0" borderId="0" xfId="117" applyNumberFormat="1" applyFont="1"/>
    <xf numFmtId="164" fontId="15" fillId="0" borderId="0" xfId="4253" applyNumberFormat="1"/>
    <xf numFmtId="2" fontId="1" fillId="0" borderId="0" xfId="33774" applyNumberFormat="1" applyFont="1" applyAlignment="1">
      <alignment horizontal="center"/>
    </xf>
    <xf numFmtId="3" fontId="1" fillId="0" borderId="0" xfId="11697" applyNumberFormat="1" applyFont="1" applyAlignment="1">
      <alignment horizontal="center"/>
    </xf>
    <xf numFmtId="0" fontId="15" fillId="0" borderId="0" xfId="33775" applyFont="1" applyAlignment="1">
      <alignment horizontal="center"/>
    </xf>
    <xf numFmtId="0" fontId="15" fillId="0" borderId="0" xfId="33775" applyFont="1"/>
    <xf numFmtId="0" fontId="18" fillId="0" borderId="0" xfId="33775" applyFont="1"/>
    <xf numFmtId="10" fontId="18" fillId="0" borderId="0" xfId="33775" applyNumberFormat="1" applyFont="1"/>
    <xf numFmtId="10" fontId="15" fillId="0" borderId="0" xfId="33775" applyNumberFormat="1" applyFont="1"/>
    <xf numFmtId="10" fontId="18" fillId="0" borderId="0" xfId="33775" applyNumberFormat="1" applyFont="1" applyAlignment="1">
      <alignment horizontal="center"/>
    </xf>
    <xf numFmtId="10" fontId="18" fillId="0" borderId="0" xfId="33755" applyNumberFormat="1" applyFont="1"/>
    <xf numFmtId="190" fontId="15" fillId="0" borderId="0" xfId="33752" applyNumberFormat="1" applyFont="1" applyFill="1" applyBorder="1"/>
    <xf numFmtId="10" fontId="15" fillId="0" borderId="0" xfId="33744" applyNumberFormat="1" applyFont="1" applyBorder="1"/>
    <xf numFmtId="0" fontId="1" fillId="0" borderId="0" xfId="33755" applyFont="1" applyAlignment="1">
      <alignment horizontal="center"/>
    </xf>
    <xf numFmtId="0" fontId="45" fillId="0" borderId="0" xfId="33755" applyFont="1" applyAlignment="1">
      <alignment horizontal="center"/>
    </xf>
    <xf numFmtId="10" fontId="18" fillId="0" borderId="0" xfId="33775" applyNumberFormat="1" applyFont="1" applyAlignment="1">
      <alignment horizontal="right"/>
    </xf>
    <xf numFmtId="10" fontId="15" fillId="0" borderId="0" xfId="33777" applyNumberFormat="1" applyFont="1" applyBorder="1"/>
    <xf numFmtId="0" fontId="45" fillId="0" borderId="0" xfId="33755" applyFont="1"/>
    <xf numFmtId="0" fontId="124" fillId="0" borderId="0" xfId="33755" applyFont="1"/>
    <xf numFmtId="10" fontId="124" fillId="0" borderId="0" xfId="33755" applyNumberFormat="1" applyFont="1"/>
    <xf numFmtId="0" fontId="124" fillId="0" borderId="0" xfId="33755" applyFont="1" applyAlignment="1">
      <alignment horizontal="center"/>
    </xf>
    <xf numFmtId="0" fontId="1" fillId="0" borderId="0" xfId="33739" applyAlignment="1">
      <alignment horizontal="center"/>
    </xf>
    <xf numFmtId="0" fontId="1" fillId="0" borderId="0" xfId="33739"/>
    <xf numFmtId="0" fontId="18" fillId="0" borderId="0" xfId="33775" applyFont="1" applyAlignment="1">
      <alignment horizontal="center"/>
    </xf>
    <xf numFmtId="0" fontId="1" fillId="0" borderId="0" xfId="33714" applyFont="1"/>
    <xf numFmtId="0" fontId="113" fillId="0" borderId="0" xfId="33739" applyFont="1" applyAlignment="1">
      <alignment horizontal="centerContinuous"/>
    </xf>
    <xf numFmtId="0" fontId="113" fillId="0" borderId="45" xfId="33739" applyFont="1" applyBorder="1" applyAlignment="1">
      <alignment horizontal="center" wrapText="1"/>
    </xf>
    <xf numFmtId="180" fontId="1" fillId="0" borderId="0" xfId="33739" applyNumberFormat="1"/>
    <xf numFmtId="181" fontId="1" fillId="0" borderId="0" xfId="33739" applyNumberFormat="1"/>
    <xf numFmtId="6" fontId="1" fillId="0" borderId="0" xfId="33739" applyNumberFormat="1"/>
    <xf numFmtId="172" fontId="1" fillId="0" borderId="0" xfId="33739" applyNumberFormat="1"/>
    <xf numFmtId="181" fontId="113" fillId="70" borderId="40" xfId="33739" applyNumberFormat="1" applyFont="1" applyFill="1" applyBorder="1"/>
    <xf numFmtId="180" fontId="113" fillId="0" borderId="0" xfId="33739" applyNumberFormat="1" applyFont="1"/>
    <xf numFmtId="173" fontId="1" fillId="0" borderId="0" xfId="33739" applyNumberFormat="1"/>
    <xf numFmtId="7" fontId="1" fillId="0" borderId="0" xfId="33739" applyNumberFormat="1"/>
    <xf numFmtId="8" fontId="1" fillId="0" borderId="0" xfId="33739" applyNumberFormat="1"/>
    <xf numFmtId="0" fontId="113" fillId="0" borderId="45" xfId="33739" applyFont="1" applyBorder="1"/>
    <xf numFmtId="0" fontId="113" fillId="0" borderId="0" xfId="33739" applyFont="1" applyAlignment="1">
      <alignment horizontal="center" wrapText="1"/>
    </xf>
    <xf numFmtId="5" fontId="1" fillId="0" borderId="0" xfId="33739" applyNumberFormat="1"/>
    <xf numFmtId="10" fontId="1" fillId="0" borderId="0" xfId="33739" applyNumberFormat="1" applyAlignment="1">
      <alignment horizontal="right" wrapText="1"/>
    </xf>
    <xf numFmtId="0" fontId="113" fillId="0" borderId="0" xfId="33739" applyFont="1"/>
    <xf numFmtId="0" fontId="113" fillId="0" borderId="45" xfId="33739" applyFont="1" applyBorder="1" applyAlignment="1">
      <alignment horizontal="center"/>
    </xf>
    <xf numFmtId="10" fontId="113" fillId="0" borderId="0" xfId="33739" applyNumberFormat="1" applyFont="1" applyAlignment="1">
      <alignment horizontal="right"/>
    </xf>
    <xf numFmtId="0" fontId="113" fillId="0" borderId="0" xfId="33739" applyFont="1" applyAlignment="1">
      <alignment horizontal="center"/>
    </xf>
    <xf numFmtId="2" fontId="113" fillId="0" borderId="0" xfId="33739" applyNumberFormat="1" applyFont="1"/>
    <xf numFmtId="2" fontId="113" fillId="0" borderId="0" xfId="33739" applyNumberFormat="1" applyFont="1" applyAlignment="1">
      <alignment horizontal="center"/>
    </xf>
    <xf numFmtId="10" fontId="113" fillId="0" borderId="0" xfId="33739" applyNumberFormat="1" applyFont="1"/>
    <xf numFmtId="10" fontId="1" fillId="0" borderId="45" xfId="33739" applyNumberFormat="1" applyBorder="1"/>
    <xf numFmtId="0" fontId="1" fillId="0" borderId="45" xfId="33739" applyBorder="1"/>
    <xf numFmtId="0" fontId="105" fillId="0" borderId="0" xfId="33739" applyFont="1"/>
    <xf numFmtId="10" fontId="105" fillId="0" borderId="0" xfId="33739" applyNumberFormat="1" applyFont="1"/>
    <xf numFmtId="0" fontId="105" fillId="0" borderId="0" xfId="33739" applyFont="1" applyAlignment="1">
      <alignment horizontal="left" vertical="center"/>
    </xf>
    <xf numFmtId="164" fontId="105" fillId="0" borderId="0" xfId="33739" applyNumberFormat="1" applyFont="1"/>
    <xf numFmtId="0" fontId="1" fillId="0" borderId="45" xfId="33778" applyBorder="1"/>
    <xf numFmtId="10" fontId="113" fillId="0" borderId="0" xfId="33722" applyNumberFormat="1" applyFont="1" applyAlignment="1">
      <alignment horizontal="right"/>
    </xf>
    <xf numFmtId="172" fontId="1" fillId="0" borderId="36" xfId="33729" applyNumberFormat="1" applyBorder="1" applyAlignment="1">
      <alignment horizontal="center"/>
    </xf>
    <xf numFmtId="172" fontId="1" fillId="0" borderId="39" xfId="33729" applyNumberFormat="1" applyBorder="1" applyAlignment="1">
      <alignment horizontal="center"/>
    </xf>
    <xf numFmtId="0" fontId="103" fillId="0" borderId="0" xfId="19062" applyFont="1"/>
    <xf numFmtId="172" fontId="103" fillId="0" borderId="0" xfId="19062" applyNumberFormat="1" applyFont="1"/>
    <xf numFmtId="10" fontId="103" fillId="0" borderId="0" xfId="33747" applyNumberFormat="1" applyFont="1"/>
    <xf numFmtId="0" fontId="1" fillId="0" borderId="0" xfId="33729" applyFont="1"/>
    <xf numFmtId="10" fontId="1" fillId="0" borderId="0" xfId="33729" applyNumberFormat="1" applyFont="1"/>
    <xf numFmtId="0" fontId="18" fillId="0" borderId="0" xfId="33729" applyFont="1"/>
    <xf numFmtId="0" fontId="120" fillId="0" borderId="0" xfId="33729" applyFont="1"/>
    <xf numFmtId="0" fontId="1" fillId="0" borderId="0" xfId="33755" applyFont="1" applyAlignment="1">
      <alignment horizontal="right"/>
    </xf>
    <xf numFmtId="165" fontId="1" fillId="0" borderId="0" xfId="33755" applyNumberFormat="1" applyFont="1"/>
    <xf numFmtId="175" fontId="1" fillId="0" borderId="0" xfId="33776" applyNumberFormat="1" applyFont="1" applyBorder="1"/>
    <xf numFmtId="164" fontId="1" fillId="0" borderId="0" xfId="33755" applyNumberFormat="1" applyFont="1"/>
    <xf numFmtId="15" fontId="1" fillId="0" borderId="0" xfId="33755" quotePrefix="1" applyNumberFormat="1" applyFont="1"/>
    <xf numFmtId="10" fontId="1" fillId="0" borderId="0" xfId="33722" applyNumberFormat="1" applyFont="1" applyBorder="1"/>
    <xf numFmtId="0" fontId="1" fillId="0" borderId="0" xfId="33755" quotePrefix="1" applyFont="1"/>
    <xf numFmtId="0" fontId="1" fillId="0" borderId="0" xfId="33755" applyFont="1" applyAlignment="1">
      <alignment horizontal="left"/>
    </xf>
    <xf numFmtId="10" fontId="1" fillId="0" borderId="0" xfId="33776" applyNumberFormat="1" applyFont="1" applyBorder="1"/>
    <xf numFmtId="2" fontId="1" fillId="0" borderId="0" xfId="33755" applyNumberFormat="1" applyFont="1"/>
    <xf numFmtId="10" fontId="1" fillId="0" borderId="0" xfId="33744" applyNumberFormat="1" applyFont="1"/>
    <xf numFmtId="0" fontId="15" fillId="0" borderId="0" xfId="33775" applyFont="1" applyBorder="1" applyAlignment="1">
      <alignment horizontal="center"/>
    </xf>
    <xf numFmtId="0" fontId="15" fillId="0" borderId="0" xfId="33775" applyFont="1" applyBorder="1"/>
    <xf numFmtId="0" fontId="18" fillId="0" borderId="0" xfId="33775" applyFont="1" applyBorder="1"/>
    <xf numFmtId="0" fontId="1" fillId="0" borderId="0" xfId="33755" applyFont="1" applyBorder="1"/>
    <xf numFmtId="10" fontId="18" fillId="0" borderId="0" xfId="33775" applyNumberFormat="1" applyFont="1" applyBorder="1"/>
    <xf numFmtId="0" fontId="115" fillId="0" borderId="0" xfId="33755" applyFont="1" applyBorder="1"/>
    <xf numFmtId="0" fontId="1" fillId="0" borderId="0" xfId="33729" applyFont="1" applyBorder="1"/>
    <xf numFmtId="0" fontId="18" fillId="0" borderId="0" xfId="33775" applyFont="1" applyBorder="1" applyAlignment="1">
      <alignment horizontal="center"/>
    </xf>
    <xf numFmtId="10" fontId="15" fillId="0" borderId="0" xfId="33775" applyNumberFormat="1" applyFont="1" applyBorder="1"/>
    <xf numFmtId="10" fontId="18" fillId="0" borderId="0" xfId="33775" applyNumberFormat="1" applyFont="1" applyBorder="1" applyAlignment="1">
      <alignment horizontal="center"/>
    </xf>
    <xf numFmtId="10" fontId="15" fillId="0" borderId="0" xfId="33775" applyNumberFormat="1" applyFont="1" applyBorder="1" applyAlignment="1">
      <alignment horizontal="center"/>
    </xf>
    <xf numFmtId="10" fontId="45" fillId="0" borderId="0" xfId="33729" applyNumberFormat="1" applyFont="1" applyBorder="1" applyAlignment="1">
      <alignment horizontal="right"/>
    </xf>
    <xf numFmtId="10" fontId="1" fillId="0" borderId="0" xfId="33755" applyNumberFormat="1" applyFont="1" applyBorder="1"/>
    <xf numFmtId="0" fontId="15" fillId="0" borderId="0" xfId="33775" quotePrefix="1" applyFont="1" applyBorder="1"/>
    <xf numFmtId="0" fontId="1" fillId="0" borderId="0" xfId="33755" applyFont="1" applyBorder="1" applyAlignment="1">
      <alignment horizontal="center"/>
    </xf>
    <xf numFmtId="0" fontId="1" fillId="0" borderId="0" xfId="33729" applyFont="1" applyAlignment="1">
      <alignment horizontal="center"/>
    </xf>
    <xf numFmtId="0" fontId="1" fillId="0" borderId="0" xfId="33729" applyFont="1" applyAlignment="1"/>
    <xf numFmtId="0" fontId="0" fillId="0" borderId="0" xfId="0" applyFill="1" applyBorder="1" applyAlignment="1"/>
    <xf numFmtId="0" fontId="0" fillId="0" borderId="28" xfId="0" applyFill="1" applyBorder="1" applyAlignment="1"/>
    <xf numFmtId="0" fontId="114" fillId="0" borderId="38" xfId="0" applyFont="1" applyFill="1" applyBorder="1" applyAlignment="1">
      <alignment horizontal="center"/>
    </xf>
    <xf numFmtId="0" fontId="114" fillId="0" borderId="38" xfId="0" applyFont="1" applyFill="1" applyBorder="1" applyAlignment="1">
      <alignment horizontal="centerContinuous"/>
    </xf>
    <xf numFmtId="0" fontId="0" fillId="0" borderId="0" xfId="0" applyBorder="1"/>
    <xf numFmtId="0" fontId="15" fillId="0" borderId="0" xfId="33631" applyBorder="1"/>
    <xf numFmtId="0" fontId="114" fillId="0" borderId="0" xfId="0" applyFont="1" applyFill="1" applyBorder="1" applyAlignment="1">
      <alignment horizontal="center"/>
    </xf>
    <xf numFmtId="0" fontId="15" fillId="0" borderId="0" xfId="4253" applyBorder="1"/>
    <xf numFmtId="0" fontId="1" fillId="0" borderId="0" xfId="33729" applyBorder="1"/>
    <xf numFmtId="0" fontId="115" fillId="0" borderId="0" xfId="33729" applyFont="1" applyBorder="1" applyAlignment="1">
      <alignment horizontal="center"/>
    </xf>
    <xf numFmtId="191" fontId="0" fillId="0" borderId="0" xfId="0" applyNumberFormat="1"/>
    <xf numFmtId="0" fontId="114" fillId="0" borderId="0" xfId="0" applyFont="1" applyFill="1" applyBorder="1" applyAlignment="1">
      <alignment horizontal="centerContinuous"/>
    </xf>
    <xf numFmtId="0" fontId="81" fillId="0" borderId="0" xfId="0" applyFont="1" applyFill="1"/>
    <xf numFmtId="10" fontId="1" fillId="0" borderId="0" xfId="33729" applyNumberFormat="1" applyFont="1" applyAlignment="1">
      <alignment horizontal="center"/>
    </xf>
    <xf numFmtId="9" fontId="15" fillId="0" borderId="42" xfId="120" applyNumberFormat="1" applyBorder="1" applyAlignment="1">
      <alignment horizontal="center" vertical="center"/>
    </xf>
    <xf numFmtId="0" fontId="1" fillId="0" borderId="0" xfId="33755" applyFont="1" applyFill="1"/>
    <xf numFmtId="0" fontId="15" fillId="0" borderId="0" xfId="33775" applyFont="1" applyFill="1"/>
    <xf numFmtId="0" fontId="114" fillId="0" borderId="38" xfId="0" applyFont="1" applyFill="1" applyBorder="1" applyAlignment="1">
      <alignment horizontal="left"/>
    </xf>
    <xf numFmtId="0" fontId="1" fillId="0" borderId="0" xfId="33729" applyFont="1" applyAlignment="1">
      <alignment horizontal="center"/>
    </xf>
    <xf numFmtId="0" fontId="1" fillId="0" borderId="0" xfId="33729" applyFont="1" applyFill="1"/>
    <xf numFmtId="0" fontId="1" fillId="0" borderId="0" xfId="33729" applyFont="1" applyAlignment="1">
      <alignment horizontal="centerContinuous"/>
    </xf>
    <xf numFmtId="0" fontId="1" fillId="0" borderId="0" xfId="33729" applyFont="1" applyFill="1" applyAlignment="1">
      <alignment horizontal="centerContinuous"/>
    </xf>
    <xf numFmtId="0" fontId="1" fillId="0" borderId="0" xfId="33727" applyFont="1" applyAlignment="1">
      <alignment horizontal="center"/>
    </xf>
    <xf numFmtId="0" fontId="1" fillId="0" borderId="0" xfId="33729" applyFont="1" applyAlignment="1">
      <alignment horizontal="center" wrapText="1"/>
    </xf>
    <xf numFmtId="0" fontId="1" fillId="0" borderId="3" xfId="33729" applyFont="1" applyBorder="1" applyAlignment="1">
      <alignment horizontal="center" wrapText="1"/>
    </xf>
    <xf numFmtId="172" fontId="1" fillId="0" borderId="0" xfId="33729" applyNumberFormat="1" applyFont="1" applyAlignment="1">
      <alignment horizontal="center"/>
    </xf>
    <xf numFmtId="172" fontId="1" fillId="68" borderId="0" xfId="33729" applyNumberFormat="1" applyFont="1" applyFill="1" applyAlignment="1">
      <alignment horizontal="center"/>
    </xf>
    <xf numFmtId="0" fontId="1" fillId="0" borderId="36" xfId="33729" applyFont="1" applyBorder="1"/>
    <xf numFmtId="10" fontId="1" fillId="0" borderId="36" xfId="33729" applyNumberFormat="1" applyFont="1" applyBorder="1" applyAlignment="1">
      <alignment horizontal="center"/>
    </xf>
    <xf numFmtId="0" fontId="1" fillId="0" borderId="39" xfId="33729" applyFont="1" applyBorder="1"/>
    <xf numFmtId="10" fontId="1" fillId="0" borderId="39" xfId="33729" applyNumberFormat="1" applyFont="1" applyBorder="1" applyAlignment="1">
      <alignment horizontal="center"/>
    </xf>
    <xf numFmtId="0" fontId="1" fillId="0" borderId="0" xfId="33729" applyFont="1" applyAlignment="1">
      <alignment horizontal="right"/>
    </xf>
    <xf numFmtId="16" fontId="1" fillId="0" borderId="0" xfId="33729" applyNumberFormat="1" applyFont="1"/>
    <xf numFmtId="0" fontId="1" fillId="0" borderId="0" xfId="33727" applyFont="1"/>
    <xf numFmtId="0" fontId="113" fillId="0" borderId="0" xfId="33729" applyFont="1" applyAlignment="1">
      <alignment horizontal="left"/>
    </xf>
    <xf numFmtId="0" fontId="1" fillId="0" borderId="0" xfId="33729" applyFont="1" applyAlignment="1">
      <alignment horizontal="left"/>
    </xf>
    <xf numFmtId="10" fontId="1" fillId="0" borderId="0" xfId="0" applyNumberFormat="1" applyFont="1" applyAlignment="1">
      <alignment horizontal="center"/>
    </xf>
    <xf numFmtId="0" fontId="105" fillId="0" borderId="0" xfId="33746" applyFont="1" applyAlignment="1">
      <alignment horizontal="left"/>
    </xf>
    <xf numFmtId="172" fontId="1" fillId="0" borderId="0" xfId="33729" applyNumberFormat="1" applyFont="1" applyFill="1" applyAlignment="1">
      <alignment horizontal="center"/>
    </xf>
    <xf numFmtId="10" fontId="1" fillId="0" borderId="0" xfId="33729" applyNumberFormat="1" applyFont="1" applyFill="1" applyAlignment="1">
      <alignment horizontal="center"/>
    </xf>
    <xf numFmtId="10" fontId="1" fillId="0" borderId="0" xfId="33722" applyNumberFormat="1" applyFont="1" applyFill="1" applyAlignment="1">
      <alignment horizontal="center"/>
    </xf>
    <xf numFmtId="10" fontId="1" fillId="0" borderId="0" xfId="0" applyNumberFormat="1" applyFont="1" applyFill="1" applyAlignment="1">
      <alignment horizontal="center"/>
    </xf>
    <xf numFmtId="0" fontId="1" fillId="0" borderId="0" xfId="33729" applyFont="1" applyFill="1" applyAlignment="1">
      <alignment horizontal="left"/>
    </xf>
    <xf numFmtId="10" fontId="1" fillId="0" borderId="0" xfId="33722" applyNumberFormat="1" applyFont="1" applyAlignment="1">
      <alignment horizontal="left"/>
    </xf>
    <xf numFmtId="0" fontId="1" fillId="0" borderId="0" xfId="33729" applyFont="1" applyFill="1" applyAlignment="1">
      <alignment horizontal="center"/>
    </xf>
    <xf numFmtId="10" fontId="1" fillId="0" borderId="0" xfId="33722" applyNumberFormat="1" applyFont="1" applyFill="1" applyAlignment="1">
      <alignment horizontal="left"/>
    </xf>
    <xf numFmtId="0" fontId="113" fillId="0" borderId="0" xfId="33729" applyFont="1" applyFill="1" applyAlignment="1">
      <alignment horizontal="left"/>
    </xf>
    <xf numFmtId="0" fontId="1" fillId="0" borderId="3" xfId="33729" applyFont="1" applyFill="1" applyBorder="1" applyAlignment="1">
      <alignment horizontal="center" wrapText="1"/>
    </xf>
    <xf numFmtId="0" fontId="15" fillId="0" borderId="3" xfId="33729" applyFont="1" applyFill="1" applyBorder="1" applyAlignment="1">
      <alignment horizontal="center" wrapText="1"/>
    </xf>
    <xf numFmtId="0" fontId="1" fillId="0" borderId="0" xfId="33729" applyFont="1" applyFill="1" applyAlignment="1">
      <alignment horizontal="center" wrapText="1"/>
    </xf>
    <xf numFmtId="0" fontId="105" fillId="0" borderId="0" xfId="33746" applyFont="1" applyFill="1" applyAlignment="1">
      <alignment horizontal="left"/>
    </xf>
    <xf numFmtId="0" fontId="3" fillId="0" borderId="0" xfId="33714" applyAlignment="1">
      <alignment horizontal="center"/>
    </xf>
    <xf numFmtId="0" fontId="1" fillId="0" borderId="0" xfId="33714" applyFont="1" applyAlignment="1">
      <alignment horizontal="center"/>
    </xf>
    <xf numFmtId="0" fontId="15" fillId="0" borderId="1" xfId="0" applyFont="1" applyBorder="1" applyAlignment="1">
      <alignment horizontal="center"/>
    </xf>
    <xf numFmtId="0" fontId="15" fillId="0" borderId="29" xfId="0" applyFont="1" applyBorder="1" applyAlignment="1">
      <alignment horizontal="center"/>
    </xf>
    <xf numFmtId="0" fontId="45" fillId="0" borderId="30" xfId="0" applyFont="1" applyBorder="1" applyAlignment="1">
      <alignment horizontal="center"/>
    </xf>
    <xf numFmtId="0" fontId="45" fillId="0" borderId="31" xfId="0" applyFont="1" applyBorder="1" applyAlignment="1">
      <alignment horizontal="center"/>
    </xf>
    <xf numFmtId="0" fontId="15" fillId="0" borderId="0" xfId="19061" applyFont="1" applyAlignment="1">
      <alignment horizontal="center"/>
    </xf>
    <xf numFmtId="0" fontId="15" fillId="0" borderId="35" xfId="19061" applyFont="1" applyBorder="1" applyAlignment="1">
      <alignment horizontal="center"/>
    </xf>
    <xf numFmtId="0" fontId="103" fillId="0" borderId="0" xfId="0" applyFont="1" applyAlignment="1">
      <alignment horizontal="center"/>
    </xf>
    <xf numFmtId="0" fontId="1" fillId="0" borderId="0" xfId="33729" applyFont="1" applyAlignment="1">
      <alignment horizontal="center"/>
    </xf>
    <xf numFmtId="0" fontId="1" fillId="0" borderId="0" xfId="33738" applyFont="1" applyAlignment="1">
      <alignment horizontal="center" wrapText="1"/>
    </xf>
    <xf numFmtId="0" fontId="1" fillId="0" borderId="0" xfId="0" applyFont="1" applyAlignment="1">
      <alignment horizontal="center"/>
    </xf>
    <xf numFmtId="0" fontId="1" fillId="0" borderId="0" xfId="33739" applyAlignment="1">
      <alignment horizontal="center"/>
    </xf>
    <xf numFmtId="0" fontId="1" fillId="0" borderId="0" xfId="33739" applyAlignment="1">
      <alignment horizontal="right" wrapText="1"/>
    </xf>
    <xf numFmtId="0" fontId="1" fillId="0" borderId="0" xfId="33739"/>
    <xf numFmtId="0" fontId="1" fillId="0" borderId="0" xfId="33739" applyAlignment="1">
      <alignment horizontal="left" wrapText="1"/>
    </xf>
    <xf numFmtId="0" fontId="115" fillId="0" borderId="0" xfId="33739" applyFont="1" applyAlignment="1">
      <alignment horizontal="center"/>
    </xf>
    <xf numFmtId="0" fontId="15" fillId="0" borderId="0" xfId="4253" applyAlignment="1">
      <alignment horizontal="center"/>
    </xf>
    <xf numFmtId="10" fontId="1" fillId="0" borderId="0" xfId="33749" applyNumberFormat="1" applyAlignment="1">
      <alignment horizontal="center"/>
    </xf>
    <xf numFmtId="0" fontId="113" fillId="0" borderId="28" xfId="33739" applyFont="1" applyBorder="1" applyAlignment="1">
      <alignment horizontal="center" vertical="center"/>
    </xf>
    <xf numFmtId="0" fontId="1" fillId="0" borderId="0" xfId="33771" applyFont="1" applyAlignment="1">
      <alignment horizontal="center" wrapText="1"/>
    </xf>
    <xf numFmtId="0" fontId="1" fillId="0" borderId="0" xfId="33771" applyFont="1" applyAlignment="1">
      <alignment horizontal="center"/>
    </xf>
    <xf numFmtId="0" fontId="1" fillId="0" borderId="0" xfId="33748" applyAlignment="1">
      <alignment horizontal="center"/>
    </xf>
    <xf numFmtId="0" fontId="119" fillId="0" borderId="0" xfId="8398" applyFont="1" applyAlignment="1">
      <alignment horizontal="center"/>
    </xf>
    <xf numFmtId="0" fontId="1" fillId="0" borderId="0" xfId="8398" applyFont="1" applyAlignment="1">
      <alignment horizontal="center"/>
    </xf>
    <xf numFmtId="0" fontId="1" fillId="0" borderId="39" xfId="8398" applyFont="1" applyBorder="1" applyAlignment="1">
      <alignment horizontal="center"/>
    </xf>
    <xf numFmtId="0" fontId="1" fillId="0" borderId="45" xfId="8398" applyFont="1" applyBorder="1" applyAlignment="1">
      <alignment horizontal="center"/>
    </xf>
    <xf numFmtId="0" fontId="15" fillId="0" borderId="0" xfId="33775" applyFont="1" applyBorder="1" applyAlignment="1">
      <alignment horizontal="center"/>
    </xf>
    <xf numFmtId="0" fontId="115" fillId="0" borderId="0" xfId="33755" applyFont="1" applyBorder="1" applyAlignment="1">
      <alignment horizontal="center"/>
    </xf>
    <xf numFmtId="0" fontId="15" fillId="68" borderId="0" xfId="6304" applyFont="1" applyFill="1" applyAlignment="1">
      <alignment horizontal="left" wrapText="1"/>
    </xf>
  </cellXfs>
  <cellStyles count="33781">
    <cellStyle name="_x000a_bidires=100_x000d_" xfId="123"/>
    <cellStyle name="$ Currency" xfId="124"/>
    <cellStyle name="$ Linked Amount" xfId="125"/>
    <cellStyle name="$Currency x2" xfId="126"/>
    <cellStyle name="$Gas Cost x5" xfId="127"/>
    <cellStyle name="$Gas Cost x5 2" xfId="128"/>
    <cellStyle name="$Gas Cost x5 3" xfId="129"/>
    <cellStyle name="$Gas Cost x5 4" xfId="130"/>
    <cellStyle name="20% - Accent1 2" xfId="131"/>
    <cellStyle name="20% - Accent1 2 2" xfId="132"/>
    <cellStyle name="20% - Accent1 2 2 2" xfId="133"/>
    <cellStyle name="20% - Accent1 2 2 2 2" xfId="134"/>
    <cellStyle name="20% - Accent1 2 2 2 2 2" xfId="14450"/>
    <cellStyle name="20% - Accent1 2 2 2 2 2 2" xfId="22083"/>
    <cellStyle name="20% - Accent1 2 2 2 2 3" xfId="22084"/>
    <cellStyle name="20% - Accent1 2 2 2 3" xfId="14451"/>
    <cellStyle name="20% - Accent1 2 2 2 3 2" xfId="22085"/>
    <cellStyle name="20% - Accent1 2 2 2 4" xfId="22086"/>
    <cellStyle name="20% - Accent1 2 2 3" xfId="135"/>
    <cellStyle name="20% - Accent1 2 2 3 2" xfId="14452"/>
    <cellStyle name="20% - Accent1 2 2 3 2 2" xfId="22087"/>
    <cellStyle name="20% - Accent1 2 2 3 3" xfId="22088"/>
    <cellStyle name="20% - Accent1 2 2 4" xfId="14453"/>
    <cellStyle name="20% - Accent1 2 2 4 2" xfId="22089"/>
    <cellStyle name="20% - Accent1 2 2 5" xfId="22090"/>
    <cellStyle name="20% - Accent1 2 3" xfId="136"/>
    <cellStyle name="20% - Accent1 2 3 2" xfId="137"/>
    <cellStyle name="20% - Accent1 2 3 2 2" xfId="14454"/>
    <cellStyle name="20% - Accent1 2 3 2 2 2" xfId="22091"/>
    <cellStyle name="20% - Accent1 2 3 2 3" xfId="22092"/>
    <cellStyle name="20% - Accent1 2 3 3" xfId="14455"/>
    <cellStyle name="20% - Accent1 2 3 3 2" xfId="22093"/>
    <cellStyle name="20% - Accent1 2 3 4" xfId="22094"/>
    <cellStyle name="20% - Accent1 2 4" xfId="138"/>
    <cellStyle name="20% - Accent1 2 4 2" xfId="139"/>
    <cellStyle name="20% - Accent1 2 4 2 2" xfId="14456"/>
    <cellStyle name="20% - Accent1 2 4 2 2 2" xfId="22095"/>
    <cellStyle name="20% - Accent1 2 4 2 3" xfId="22096"/>
    <cellStyle name="20% - Accent1 2 4 3" xfId="14457"/>
    <cellStyle name="20% - Accent1 2 4 3 2" xfId="22097"/>
    <cellStyle name="20% - Accent1 2 4 4" xfId="22098"/>
    <cellStyle name="20% - Accent1 2 5" xfId="140"/>
    <cellStyle name="20% - Accent1 2 5 2" xfId="14458"/>
    <cellStyle name="20% - Accent1 2 5 2 2" xfId="22099"/>
    <cellStyle name="20% - Accent1 2 5 3" xfId="22100"/>
    <cellStyle name="20% - Accent1 2 6" xfId="14459"/>
    <cellStyle name="20% - Accent1 2 6 2" xfId="22101"/>
    <cellStyle name="20% - Accent1 2 7" xfId="22102"/>
    <cellStyle name="20% - Accent1 3" xfId="141"/>
    <cellStyle name="20% - Accent1 3 2" xfId="142"/>
    <cellStyle name="20% - Accent1 3 2 2" xfId="143"/>
    <cellStyle name="20% - Accent1 3 2 2 2" xfId="144"/>
    <cellStyle name="20% - Accent1 3 2 2 2 2" xfId="14460"/>
    <cellStyle name="20% - Accent1 3 2 2 2 2 2" xfId="22103"/>
    <cellStyle name="20% - Accent1 3 2 2 2 3" xfId="22104"/>
    <cellStyle name="20% - Accent1 3 2 2 3" xfId="14461"/>
    <cellStyle name="20% - Accent1 3 2 2 3 2" xfId="22105"/>
    <cellStyle name="20% - Accent1 3 2 2 4" xfId="22106"/>
    <cellStyle name="20% - Accent1 3 2 3" xfId="145"/>
    <cellStyle name="20% - Accent1 3 2 3 2" xfId="14462"/>
    <cellStyle name="20% - Accent1 3 2 3 2 2" xfId="22107"/>
    <cellStyle name="20% - Accent1 3 2 3 3" xfId="22108"/>
    <cellStyle name="20% - Accent1 3 2 4" xfId="14463"/>
    <cellStyle name="20% - Accent1 3 2 4 2" xfId="22109"/>
    <cellStyle name="20% - Accent1 3 2 5" xfId="22110"/>
    <cellStyle name="20% - Accent1 3 3" xfId="146"/>
    <cellStyle name="20% - Accent1 3 3 2" xfId="147"/>
    <cellStyle name="20% - Accent1 3 3 2 2" xfId="14464"/>
    <cellStyle name="20% - Accent1 3 3 2 2 2" xfId="22111"/>
    <cellStyle name="20% - Accent1 3 3 2 3" xfId="22112"/>
    <cellStyle name="20% - Accent1 3 3 3" xfId="14465"/>
    <cellStyle name="20% - Accent1 3 3 3 2" xfId="22113"/>
    <cellStyle name="20% - Accent1 3 3 4" xfId="22114"/>
    <cellStyle name="20% - Accent1 3 4" xfId="148"/>
    <cellStyle name="20% - Accent1 3 4 2" xfId="14466"/>
    <cellStyle name="20% - Accent1 3 4 2 2" xfId="22115"/>
    <cellStyle name="20% - Accent1 3 4 3" xfId="22116"/>
    <cellStyle name="20% - Accent1 3 5" xfId="14467"/>
    <cellStyle name="20% - Accent1 3 5 2" xfId="22117"/>
    <cellStyle name="20% - Accent1 3 6" xfId="22118"/>
    <cellStyle name="20% - Accent1 4" xfId="149"/>
    <cellStyle name="20% - Accent1 4 2" xfId="150"/>
    <cellStyle name="20% - Accent1 4 2 2" xfId="151"/>
    <cellStyle name="20% - Accent1 4 2 2 2" xfId="152"/>
    <cellStyle name="20% - Accent1 4 2 2 2 2" xfId="14468"/>
    <cellStyle name="20% - Accent1 4 2 2 2 2 2" xfId="22119"/>
    <cellStyle name="20% - Accent1 4 2 2 2 3" xfId="22120"/>
    <cellStyle name="20% - Accent1 4 2 2 3" xfId="14469"/>
    <cellStyle name="20% - Accent1 4 2 2 3 2" xfId="22121"/>
    <cellStyle name="20% - Accent1 4 2 2 4" xfId="22122"/>
    <cellStyle name="20% - Accent1 4 2 3" xfId="153"/>
    <cellStyle name="20% - Accent1 4 2 3 2" xfId="14470"/>
    <cellStyle name="20% - Accent1 4 2 3 2 2" xfId="22123"/>
    <cellStyle name="20% - Accent1 4 2 3 3" xfId="22124"/>
    <cellStyle name="20% - Accent1 4 2 4" xfId="14471"/>
    <cellStyle name="20% - Accent1 4 2 4 2" xfId="22125"/>
    <cellStyle name="20% - Accent1 4 2 5" xfId="22126"/>
    <cellStyle name="20% - Accent1 4 3" xfId="154"/>
    <cellStyle name="20% - Accent1 4 3 2" xfId="155"/>
    <cellStyle name="20% - Accent1 4 3 2 2" xfId="14472"/>
    <cellStyle name="20% - Accent1 4 3 2 2 2" xfId="22127"/>
    <cellStyle name="20% - Accent1 4 3 2 3" xfId="22128"/>
    <cellStyle name="20% - Accent1 4 3 3" xfId="14473"/>
    <cellStyle name="20% - Accent1 4 3 3 2" xfId="22129"/>
    <cellStyle name="20% - Accent1 4 3 4" xfId="22130"/>
    <cellStyle name="20% - Accent1 4 4" xfId="156"/>
    <cellStyle name="20% - Accent1 4 4 2" xfId="14474"/>
    <cellStyle name="20% - Accent1 4 4 2 2" xfId="22131"/>
    <cellStyle name="20% - Accent1 4 4 3" xfId="22132"/>
    <cellStyle name="20% - Accent1 4 5" xfId="14475"/>
    <cellStyle name="20% - Accent1 4 5 2" xfId="22133"/>
    <cellStyle name="20% - Accent1 4 6" xfId="22134"/>
    <cellStyle name="20% - Accent1 5" xfId="157"/>
    <cellStyle name="20% - Accent1 5 2" xfId="158"/>
    <cellStyle name="20% - Accent1 5 2 2" xfId="159"/>
    <cellStyle name="20% - Accent1 5 2 2 2" xfId="160"/>
    <cellStyle name="20% - Accent1 5 2 2 2 2" xfId="14476"/>
    <cellStyle name="20% - Accent1 5 2 2 2 2 2" xfId="22135"/>
    <cellStyle name="20% - Accent1 5 2 2 2 3" xfId="22136"/>
    <cellStyle name="20% - Accent1 5 2 2 3" xfId="14477"/>
    <cellStyle name="20% - Accent1 5 2 2 3 2" xfId="22137"/>
    <cellStyle name="20% - Accent1 5 2 2 4" xfId="22138"/>
    <cellStyle name="20% - Accent1 5 2 3" xfId="161"/>
    <cellStyle name="20% - Accent1 5 2 3 2" xfId="14478"/>
    <cellStyle name="20% - Accent1 5 2 3 2 2" xfId="22139"/>
    <cellStyle name="20% - Accent1 5 2 3 3" xfId="22140"/>
    <cellStyle name="20% - Accent1 5 2 4" xfId="14479"/>
    <cellStyle name="20% - Accent1 5 2 4 2" xfId="22141"/>
    <cellStyle name="20% - Accent1 5 2 5" xfId="22142"/>
    <cellStyle name="20% - Accent1 5 3" xfId="162"/>
    <cellStyle name="20% - Accent1 5 3 2" xfId="163"/>
    <cellStyle name="20% - Accent1 5 3 2 2" xfId="14480"/>
    <cellStyle name="20% - Accent1 5 3 2 2 2" xfId="22143"/>
    <cellStyle name="20% - Accent1 5 3 2 3" xfId="22144"/>
    <cellStyle name="20% - Accent1 5 3 3" xfId="14481"/>
    <cellStyle name="20% - Accent1 5 3 3 2" xfId="22145"/>
    <cellStyle name="20% - Accent1 5 3 4" xfId="22146"/>
    <cellStyle name="20% - Accent1 5 4" xfId="164"/>
    <cellStyle name="20% - Accent1 5 4 2" xfId="14482"/>
    <cellStyle name="20% - Accent1 5 4 2 2" xfId="22147"/>
    <cellStyle name="20% - Accent1 5 4 3" xfId="22148"/>
    <cellStyle name="20% - Accent1 5 5" xfId="14483"/>
    <cellStyle name="20% - Accent1 5 5 2" xfId="22149"/>
    <cellStyle name="20% - Accent1 5 6" xfId="22150"/>
    <cellStyle name="20% - Accent1 6" xfId="165"/>
    <cellStyle name="20% - Accent2 2" xfId="166"/>
    <cellStyle name="20% - Accent2 2 2" xfId="167"/>
    <cellStyle name="20% - Accent2 2 2 2" xfId="168"/>
    <cellStyle name="20% - Accent2 2 2 2 2" xfId="169"/>
    <cellStyle name="20% - Accent2 2 2 2 2 2" xfId="14484"/>
    <cellStyle name="20% - Accent2 2 2 2 2 2 2" xfId="22151"/>
    <cellStyle name="20% - Accent2 2 2 2 2 3" xfId="22152"/>
    <cellStyle name="20% - Accent2 2 2 2 3" xfId="14485"/>
    <cellStyle name="20% - Accent2 2 2 2 3 2" xfId="22153"/>
    <cellStyle name="20% - Accent2 2 2 2 4" xfId="22154"/>
    <cellStyle name="20% - Accent2 2 2 3" xfId="170"/>
    <cellStyle name="20% - Accent2 2 2 3 2" xfId="14486"/>
    <cellStyle name="20% - Accent2 2 2 3 2 2" xfId="22155"/>
    <cellStyle name="20% - Accent2 2 2 3 3" xfId="22156"/>
    <cellStyle name="20% - Accent2 2 2 4" xfId="14487"/>
    <cellStyle name="20% - Accent2 2 2 4 2" xfId="22157"/>
    <cellStyle name="20% - Accent2 2 2 5" xfId="22158"/>
    <cellStyle name="20% - Accent2 2 3" xfId="171"/>
    <cellStyle name="20% - Accent2 2 3 2" xfId="172"/>
    <cellStyle name="20% - Accent2 2 3 2 2" xfId="14488"/>
    <cellStyle name="20% - Accent2 2 3 2 2 2" xfId="22159"/>
    <cellStyle name="20% - Accent2 2 3 2 3" xfId="22160"/>
    <cellStyle name="20% - Accent2 2 3 3" xfId="14489"/>
    <cellStyle name="20% - Accent2 2 3 3 2" xfId="22161"/>
    <cellStyle name="20% - Accent2 2 3 4" xfId="22162"/>
    <cellStyle name="20% - Accent2 2 4" xfId="173"/>
    <cellStyle name="20% - Accent2 2 4 2" xfId="174"/>
    <cellStyle name="20% - Accent2 2 4 2 2" xfId="14490"/>
    <cellStyle name="20% - Accent2 2 4 2 2 2" xfId="22163"/>
    <cellStyle name="20% - Accent2 2 4 2 3" xfId="22164"/>
    <cellStyle name="20% - Accent2 2 4 3" xfId="14491"/>
    <cellStyle name="20% - Accent2 2 4 3 2" xfId="22165"/>
    <cellStyle name="20% - Accent2 2 4 4" xfId="22166"/>
    <cellStyle name="20% - Accent2 2 5" xfId="175"/>
    <cellStyle name="20% - Accent2 2 5 2" xfId="14492"/>
    <cellStyle name="20% - Accent2 2 5 2 2" xfId="22167"/>
    <cellStyle name="20% - Accent2 2 5 3" xfId="22168"/>
    <cellStyle name="20% - Accent2 2 6" xfId="14493"/>
    <cellStyle name="20% - Accent2 2 6 2" xfId="22169"/>
    <cellStyle name="20% - Accent2 2 7" xfId="22170"/>
    <cellStyle name="20% - Accent2 3" xfId="176"/>
    <cellStyle name="20% - Accent2 3 2" xfId="177"/>
    <cellStyle name="20% - Accent2 3 2 2" xfId="178"/>
    <cellStyle name="20% - Accent2 3 2 2 2" xfId="179"/>
    <cellStyle name="20% - Accent2 3 2 2 2 2" xfId="14494"/>
    <cellStyle name="20% - Accent2 3 2 2 2 2 2" xfId="22171"/>
    <cellStyle name="20% - Accent2 3 2 2 2 3" xfId="22172"/>
    <cellStyle name="20% - Accent2 3 2 2 3" xfId="14495"/>
    <cellStyle name="20% - Accent2 3 2 2 3 2" xfId="22173"/>
    <cellStyle name="20% - Accent2 3 2 2 4" xfId="22174"/>
    <cellStyle name="20% - Accent2 3 2 3" xfId="180"/>
    <cellStyle name="20% - Accent2 3 2 3 2" xfId="14496"/>
    <cellStyle name="20% - Accent2 3 2 3 2 2" xfId="22175"/>
    <cellStyle name="20% - Accent2 3 2 3 3" xfId="22176"/>
    <cellStyle name="20% - Accent2 3 2 4" xfId="14497"/>
    <cellStyle name="20% - Accent2 3 2 4 2" xfId="22177"/>
    <cellStyle name="20% - Accent2 3 2 5" xfId="22178"/>
    <cellStyle name="20% - Accent2 3 3" xfId="181"/>
    <cellStyle name="20% - Accent2 3 3 2" xfId="182"/>
    <cellStyle name="20% - Accent2 3 3 2 2" xfId="14498"/>
    <cellStyle name="20% - Accent2 3 3 2 2 2" xfId="22179"/>
    <cellStyle name="20% - Accent2 3 3 2 3" xfId="22180"/>
    <cellStyle name="20% - Accent2 3 3 3" xfId="14499"/>
    <cellStyle name="20% - Accent2 3 3 3 2" xfId="22181"/>
    <cellStyle name="20% - Accent2 3 3 4" xfId="22182"/>
    <cellStyle name="20% - Accent2 3 4" xfId="183"/>
    <cellStyle name="20% - Accent2 3 4 2" xfId="14500"/>
    <cellStyle name="20% - Accent2 3 4 2 2" xfId="22183"/>
    <cellStyle name="20% - Accent2 3 4 3" xfId="22184"/>
    <cellStyle name="20% - Accent2 3 5" xfId="14501"/>
    <cellStyle name="20% - Accent2 3 5 2" xfId="22185"/>
    <cellStyle name="20% - Accent2 3 6" xfId="22186"/>
    <cellStyle name="20% - Accent2 4" xfId="184"/>
    <cellStyle name="20% - Accent2 4 2" xfId="185"/>
    <cellStyle name="20% - Accent2 4 2 2" xfId="186"/>
    <cellStyle name="20% - Accent2 4 2 2 2" xfId="187"/>
    <cellStyle name="20% - Accent2 4 2 2 2 2" xfId="14502"/>
    <cellStyle name="20% - Accent2 4 2 2 2 2 2" xfId="22187"/>
    <cellStyle name="20% - Accent2 4 2 2 2 3" xfId="22188"/>
    <cellStyle name="20% - Accent2 4 2 2 3" xfId="14503"/>
    <cellStyle name="20% - Accent2 4 2 2 3 2" xfId="22189"/>
    <cellStyle name="20% - Accent2 4 2 2 4" xfId="22190"/>
    <cellStyle name="20% - Accent2 4 2 3" xfId="188"/>
    <cellStyle name="20% - Accent2 4 2 3 2" xfId="14504"/>
    <cellStyle name="20% - Accent2 4 2 3 2 2" xfId="22191"/>
    <cellStyle name="20% - Accent2 4 2 3 3" xfId="22192"/>
    <cellStyle name="20% - Accent2 4 2 4" xfId="14505"/>
    <cellStyle name="20% - Accent2 4 2 4 2" xfId="22193"/>
    <cellStyle name="20% - Accent2 4 2 5" xfId="22194"/>
    <cellStyle name="20% - Accent2 4 3" xfId="189"/>
    <cellStyle name="20% - Accent2 4 3 2" xfId="190"/>
    <cellStyle name="20% - Accent2 4 3 2 2" xfId="14506"/>
    <cellStyle name="20% - Accent2 4 3 2 2 2" xfId="22195"/>
    <cellStyle name="20% - Accent2 4 3 2 3" xfId="22196"/>
    <cellStyle name="20% - Accent2 4 3 3" xfId="14507"/>
    <cellStyle name="20% - Accent2 4 3 3 2" xfId="22197"/>
    <cellStyle name="20% - Accent2 4 3 4" xfId="22198"/>
    <cellStyle name="20% - Accent2 4 4" xfId="191"/>
    <cellStyle name="20% - Accent2 4 4 2" xfId="14508"/>
    <cellStyle name="20% - Accent2 4 4 2 2" xfId="22199"/>
    <cellStyle name="20% - Accent2 4 4 3" xfId="22200"/>
    <cellStyle name="20% - Accent2 4 5" xfId="14509"/>
    <cellStyle name="20% - Accent2 4 5 2" xfId="22201"/>
    <cellStyle name="20% - Accent2 4 6" xfId="22202"/>
    <cellStyle name="20% - Accent2 5" xfId="192"/>
    <cellStyle name="20% - Accent2 5 2" xfId="193"/>
    <cellStyle name="20% - Accent2 5 2 2" xfId="194"/>
    <cellStyle name="20% - Accent2 5 2 2 2" xfId="195"/>
    <cellStyle name="20% - Accent2 5 2 2 2 2" xfId="14510"/>
    <cellStyle name="20% - Accent2 5 2 2 2 2 2" xfId="22203"/>
    <cellStyle name="20% - Accent2 5 2 2 2 3" xfId="22204"/>
    <cellStyle name="20% - Accent2 5 2 2 3" xfId="14511"/>
    <cellStyle name="20% - Accent2 5 2 2 3 2" xfId="22205"/>
    <cellStyle name="20% - Accent2 5 2 2 4" xfId="22206"/>
    <cellStyle name="20% - Accent2 5 2 3" xfId="196"/>
    <cellStyle name="20% - Accent2 5 2 3 2" xfId="14512"/>
    <cellStyle name="20% - Accent2 5 2 3 2 2" xfId="22207"/>
    <cellStyle name="20% - Accent2 5 2 3 3" xfId="22208"/>
    <cellStyle name="20% - Accent2 5 2 4" xfId="14513"/>
    <cellStyle name="20% - Accent2 5 2 4 2" xfId="22209"/>
    <cellStyle name="20% - Accent2 5 2 5" xfId="22210"/>
    <cellStyle name="20% - Accent2 5 3" xfId="197"/>
    <cellStyle name="20% - Accent2 5 3 2" xfId="198"/>
    <cellStyle name="20% - Accent2 5 3 2 2" xfId="14514"/>
    <cellStyle name="20% - Accent2 5 3 2 2 2" xfId="22211"/>
    <cellStyle name="20% - Accent2 5 3 2 3" xfId="22212"/>
    <cellStyle name="20% - Accent2 5 3 3" xfId="14515"/>
    <cellStyle name="20% - Accent2 5 3 3 2" xfId="22213"/>
    <cellStyle name="20% - Accent2 5 3 4" xfId="22214"/>
    <cellStyle name="20% - Accent2 5 4" xfId="199"/>
    <cellStyle name="20% - Accent2 5 4 2" xfId="14516"/>
    <cellStyle name="20% - Accent2 5 4 2 2" xfId="22215"/>
    <cellStyle name="20% - Accent2 5 4 3" xfId="22216"/>
    <cellStyle name="20% - Accent2 5 5" xfId="14517"/>
    <cellStyle name="20% - Accent2 5 5 2" xfId="22217"/>
    <cellStyle name="20% - Accent2 5 6" xfId="22218"/>
    <cellStyle name="20% - Accent2 6" xfId="200"/>
    <cellStyle name="20% - Accent3 2" xfId="201"/>
    <cellStyle name="20% - Accent3 2 2" xfId="202"/>
    <cellStyle name="20% - Accent3 2 2 2" xfId="203"/>
    <cellStyle name="20% - Accent3 2 2 2 2" xfId="204"/>
    <cellStyle name="20% - Accent3 2 2 2 2 2" xfId="14518"/>
    <cellStyle name="20% - Accent3 2 2 2 2 2 2" xfId="22219"/>
    <cellStyle name="20% - Accent3 2 2 2 2 3" xfId="22220"/>
    <cellStyle name="20% - Accent3 2 2 2 3" xfId="14519"/>
    <cellStyle name="20% - Accent3 2 2 2 3 2" xfId="22221"/>
    <cellStyle name="20% - Accent3 2 2 2 4" xfId="22222"/>
    <cellStyle name="20% - Accent3 2 2 3" xfId="205"/>
    <cellStyle name="20% - Accent3 2 2 3 2" xfId="14520"/>
    <cellStyle name="20% - Accent3 2 2 3 2 2" xfId="22223"/>
    <cellStyle name="20% - Accent3 2 2 3 3" xfId="22224"/>
    <cellStyle name="20% - Accent3 2 2 4" xfId="14521"/>
    <cellStyle name="20% - Accent3 2 2 4 2" xfId="22225"/>
    <cellStyle name="20% - Accent3 2 2 5" xfId="22226"/>
    <cellStyle name="20% - Accent3 2 3" xfId="206"/>
    <cellStyle name="20% - Accent3 2 3 2" xfId="207"/>
    <cellStyle name="20% - Accent3 2 3 2 2" xfId="14522"/>
    <cellStyle name="20% - Accent3 2 3 2 2 2" xfId="22227"/>
    <cellStyle name="20% - Accent3 2 3 2 3" xfId="22228"/>
    <cellStyle name="20% - Accent3 2 3 3" xfId="14523"/>
    <cellStyle name="20% - Accent3 2 3 3 2" xfId="22229"/>
    <cellStyle name="20% - Accent3 2 3 4" xfId="22230"/>
    <cellStyle name="20% - Accent3 2 4" xfId="208"/>
    <cellStyle name="20% - Accent3 2 4 2" xfId="209"/>
    <cellStyle name="20% - Accent3 2 4 2 2" xfId="14524"/>
    <cellStyle name="20% - Accent3 2 4 2 2 2" xfId="22231"/>
    <cellStyle name="20% - Accent3 2 4 2 3" xfId="22232"/>
    <cellStyle name="20% - Accent3 2 4 3" xfId="14525"/>
    <cellStyle name="20% - Accent3 2 4 3 2" xfId="22233"/>
    <cellStyle name="20% - Accent3 2 4 4" xfId="22234"/>
    <cellStyle name="20% - Accent3 2 5" xfId="210"/>
    <cellStyle name="20% - Accent3 2 5 2" xfId="14526"/>
    <cellStyle name="20% - Accent3 2 5 2 2" xfId="22235"/>
    <cellStyle name="20% - Accent3 2 5 3" xfId="22236"/>
    <cellStyle name="20% - Accent3 2 6" xfId="14527"/>
    <cellStyle name="20% - Accent3 2 6 2" xfId="22237"/>
    <cellStyle name="20% - Accent3 2 7" xfId="22238"/>
    <cellStyle name="20% - Accent3 3" xfId="211"/>
    <cellStyle name="20% - Accent3 3 2" xfId="212"/>
    <cellStyle name="20% - Accent3 3 2 2" xfId="213"/>
    <cellStyle name="20% - Accent3 3 2 2 2" xfId="214"/>
    <cellStyle name="20% - Accent3 3 2 2 2 2" xfId="14528"/>
    <cellStyle name="20% - Accent3 3 2 2 2 2 2" xfId="22239"/>
    <cellStyle name="20% - Accent3 3 2 2 2 3" xfId="22240"/>
    <cellStyle name="20% - Accent3 3 2 2 3" xfId="14529"/>
    <cellStyle name="20% - Accent3 3 2 2 3 2" xfId="22241"/>
    <cellStyle name="20% - Accent3 3 2 2 4" xfId="22242"/>
    <cellStyle name="20% - Accent3 3 2 3" xfId="215"/>
    <cellStyle name="20% - Accent3 3 2 3 2" xfId="14530"/>
    <cellStyle name="20% - Accent3 3 2 3 2 2" xfId="22243"/>
    <cellStyle name="20% - Accent3 3 2 3 3" xfId="22244"/>
    <cellStyle name="20% - Accent3 3 2 4" xfId="14531"/>
    <cellStyle name="20% - Accent3 3 2 4 2" xfId="22245"/>
    <cellStyle name="20% - Accent3 3 2 5" xfId="22246"/>
    <cellStyle name="20% - Accent3 3 3" xfId="216"/>
    <cellStyle name="20% - Accent3 3 3 2" xfId="217"/>
    <cellStyle name="20% - Accent3 3 3 2 2" xfId="14532"/>
    <cellStyle name="20% - Accent3 3 3 2 2 2" xfId="22247"/>
    <cellStyle name="20% - Accent3 3 3 2 3" xfId="22248"/>
    <cellStyle name="20% - Accent3 3 3 3" xfId="14533"/>
    <cellStyle name="20% - Accent3 3 3 3 2" xfId="22249"/>
    <cellStyle name="20% - Accent3 3 3 4" xfId="22250"/>
    <cellStyle name="20% - Accent3 3 4" xfId="218"/>
    <cellStyle name="20% - Accent3 3 4 2" xfId="14534"/>
    <cellStyle name="20% - Accent3 3 4 2 2" xfId="22251"/>
    <cellStyle name="20% - Accent3 3 4 3" xfId="22252"/>
    <cellStyle name="20% - Accent3 3 5" xfId="14535"/>
    <cellStyle name="20% - Accent3 3 5 2" xfId="22253"/>
    <cellStyle name="20% - Accent3 3 6" xfId="22254"/>
    <cellStyle name="20% - Accent3 4" xfId="219"/>
    <cellStyle name="20% - Accent3 4 2" xfId="220"/>
    <cellStyle name="20% - Accent3 4 2 2" xfId="221"/>
    <cellStyle name="20% - Accent3 4 2 2 2" xfId="222"/>
    <cellStyle name="20% - Accent3 4 2 2 2 2" xfId="14536"/>
    <cellStyle name="20% - Accent3 4 2 2 2 2 2" xfId="22255"/>
    <cellStyle name="20% - Accent3 4 2 2 2 3" xfId="22256"/>
    <cellStyle name="20% - Accent3 4 2 2 3" xfId="14537"/>
    <cellStyle name="20% - Accent3 4 2 2 3 2" xfId="22257"/>
    <cellStyle name="20% - Accent3 4 2 2 4" xfId="22258"/>
    <cellStyle name="20% - Accent3 4 2 3" xfId="223"/>
    <cellStyle name="20% - Accent3 4 2 3 2" xfId="14538"/>
    <cellStyle name="20% - Accent3 4 2 3 2 2" xfId="22259"/>
    <cellStyle name="20% - Accent3 4 2 3 3" xfId="22260"/>
    <cellStyle name="20% - Accent3 4 2 4" xfId="14539"/>
    <cellStyle name="20% - Accent3 4 2 4 2" xfId="22261"/>
    <cellStyle name="20% - Accent3 4 2 5" xfId="22262"/>
    <cellStyle name="20% - Accent3 4 3" xfId="224"/>
    <cellStyle name="20% - Accent3 4 3 2" xfId="225"/>
    <cellStyle name="20% - Accent3 4 3 2 2" xfId="14540"/>
    <cellStyle name="20% - Accent3 4 3 2 2 2" xfId="22263"/>
    <cellStyle name="20% - Accent3 4 3 2 3" xfId="22264"/>
    <cellStyle name="20% - Accent3 4 3 3" xfId="14541"/>
    <cellStyle name="20% - Accent3 4 3 3 2" xfId="22265"/>
    <cellStyle name="20% - Accent3 4 3 4" xfId="22266"/>
    <cellStyle name="20% - Accent3 4 4" xfId="226"/>
    <cellStyle name="20% - Accent3 4 4 2" xfId="14542"/>
    <cellStyle name="20% - Accent3 4 4 2 2" xfId="22267"/>
    <cellStyle name="20% - Accent3 4 4 3" xfId="22268"/>
    <cellStyle name="20% - Accent3 4 5" xfId="14543"/>
    <cellStyle name="20% - Accent3 4 5 2" xfId="22269"/>
    <cellStyle name="20% - Accent3 4 6" xfId="22270"/>
    <cellStyle name="20% - Accent3 5" xfId="227"/>
    <cellStyle name="20% - Accent3 5 2" xfId="228"/>
    <cellStyle name="20% - Accent3 5 2 2" xfId="229"/>
    <cellStyle name="20% - Accent3 5 2 2 2" xfId="230"/>
    <cellStyle name="20% - Accent3 5 2 2 2 2" xfId="14544"/>
    <cellStyle name="20% - Accent3 5 2 2 2 2 2" xfId="22271"/>
    <cellStyle name="20% - Accent3 5 2 2 2 3" xfId="22272"/>
    <cellStyle name="20% - Accent3 5 2 2 3" xfId="14545"/>
    <cellStyle name="20% - Accent3 5 2 2 3 2" xfId="22273"/>
    <cellStyle name="20% - Accent3 5 2 2 4" xfId="22274"/>
    <cellStyle name="20% - Accent3 5 2 3" xfId="231"/>
    <cellStyle name="20% - Accent3 5 2 3 2" xfId="14546"/>
    <cellStyle name="20% - Accent3 5 2 3 2 2" xfId="22275"/>
    <cellStyle name="20% - Accent3 5 2 3 3" xfId="22276"/>
    <cellStyle name="20% - Accent3 5 2 4" xfId="14547"/>
    <cellStyle name="20% - Accent3 5 2 4 2" xfId="22277"/>
    <cellStyle name="20% - Accent3 5 2 5" xfId="22278"/>
    <cellStyle name="20% - Accent3 5 3" xfId="232"/>
    <cellStyle name="20% - Accent3 5 3 2" xfId="233"/>
    <cellStyle name="20% - Accent3 5 3 2 2" xfId="14548"/>
    <cellStyle name="20% - Accent3 5 3 2 2 2" xfId="22279"/>
    <cellStyle name="20% - Accent3 5 3 2 3" xfId="22280"/>
    <cellStyle name="20% - Accent3 5 3 3" xfId="14549"/>
    <cellStyle name="20% - Accent3 5 3 3 2" xfId="22281"/>
    <cellStyle name="20% - Accent3 5 3 4" xfId="22282"/>
    <cellStyle name="20% - Accent3 5 4" xfId="234"/>
    <cellStyle name="20% - Accent3 5 4 2" xfId="14550"/>
    <cellStyle name="20% - Accent3 5 4 2 2" xfId="22283"/>
    <cellStyle name="20% - Accent3 5 4 3" xfId="22284"/>
    <cellStyle name="20% - Accent3 5 5" xfId="14551"/>
    <cellStyle name="20% - Accent3 5 5 2" xfId="22285"/>
    <cellStyle name="20% - Accent3 5 6" xfId="22286"/>
    <cellStyle name="20% - Accent3 6" xfId="235"/>
    <cellStyle name="20% - Accent4 2" xfId="236"/>
    <cellStyle name="20% - Accent4 2 2" xfId="237"/>
    <cellStyle name="20% - Accent4 2 2 2" xfId="238"/>
    <cellStyle name="20% - Accent4 2 2 2 2" xfId="239"/>
    <cellStyle name="20% - Accent4 2 2 2 2 2" xfId="14552"/>
    <cellStyle name="20% - Accent4 2 2 2 2 2 2" xfId="22287"/>
    <cellStyle name="20% - Accent4 2 2 2 2 3" xfId="22288"/>
    <cellStyle name="20% - Accent4 2 2 2 3" xfId="14553"/>
    <cellStyle name="20% - Accent4 2 2 2 3 2" xfId="22289"/>
    <cellStyle name="20% - Accent4 2 2 2 4" xfId="22290"/>
    <cellStyle name="20% - Accent4 2 2 3" xfId="240"/>
    <cellStyle name="20% - Accent4 2 2 3 2" xfId="14554"/>
    <cellStyle name="20% - Accent4 2 2 3 2 2" xfId="22291"/>
    <cellStyle name="20% - Accent4 2 2 3 3" xfId="22292"/>
    <cellStyle name="20% - Accent4 2 2 4" xfId="14555"/>
    <cellStyle name="20% - Accent4 2 2 4 2" xfId="22293"/>
    <cellStyle name="20% - Accent4 2 2 5" xfId="22294"/>
    <cellStyle name="20% - Accent4 2 3" xfId="241"/>
    <cellStyle name="20% - Accent4 2 3 2" xfId="242"/>
    <cellStyle name="20% - Accent4 2 3 2 2" xfId="14556"/>
    <cellStyle name="20% - Accent4 2 3 2 2 2" xfId="22295"/>
    <cellStyle name="20% - Accent4 2 3 2 3" xfId="22296"/>
    <cellStyle name="20% - Accent4 2 3 3" xfId="14557"/>
    <cellStyle name="20% - Accent4 2 3 3 2" xfId="22297"/>
    <cellStyle name="20% - Accent4 2 3 4" xfId="22298"/>
    <cellStyle name="20% - Accent4 2 4" xfId="243"/>
    <cellStyle name="20% - Accent4 2 4 2" xfId="244"/>
    <cellStyle name="20% - Accent4 2 4 2 2" xfId="14558"/>
    <cellStyle name="20% - Accent4 2 4 2 2 2" xfId="22299"/>
    <cellStyle name="20% - Accent4 2 4 2 3" xfId="22300"/>
    <cellStyle name="20% - Accent4 2 4 3" xfId="14559"/>
    <cellStyle name="20% - Accent4 2 4 3 2" xfId="22301"/>
    <cellStyle name="20% - Accent4 2 4 4" xfId="22302"/>
    <cellStyle name="20% - Accent4 2 5" xfId="245"/>
    <cellStyle name="20% - Accent4 2 5 2" xfId="14560"/>
    <cellStyle name="20% - Accent4 2 5 2 2" xfId="22303"/>
    <cellStyle name="20% - Accent4 2 5 3" xfId="22304"/>
    <cellStyle name="20% - Accent4 2 6" xfId="14561"/>
    <cellStyle name="20% - Accent4 2 6 2" xfId="22305"/>
    <cellStyle name="20% - Accent4 2 7" xfId="22306"/>
    <cellStyle name="20% - Accent4 3" xfId="246"/>
    <cellStyle name="20% - Accent4 3 2" xfId="247"/>
    <cellStyle name="20% - Accent4 3 2 2" xfId="248"/>
    <cellStyle name="20% - Accent4 3 2 2 2" xfId="249"/>
    <cellStyle name="20% - Accent4 3 2 2 2 2" xfId="14562"/>
    <cellStyle name="20% - Accent4 3 2 2 2 2 2" xfId="22307"/>
    <cellStyle name="20% - Accent4 3 2 2 2 3" xfId="22308"/>
    <cellStyle name="20% - Accent4 3 2 2 3" xfId="14563"/>
    <cellStyle name="20% - Accent4 3 2 2 3 2" xfId="22309"/>
    <cellStyle name="20% - Accent4 3 2 2 4" xfId="22310"/>
    <cellStyle name="20% - Accent4 3 2 3" xfId="250"/>
    <cellStyle name="20% - Accent4 3 2 3 2" xfId="14564"/>
    <cellStyle name="20% - Accent4 3 2 3 2 2" xfId="22311"/>
    <cellStyle name="20% - Accent4 3 2 3 3" xfId="22312"/>
    <cellStyle name="20% - Accent4 3 2 4" xfId="14565"/>
    <cellStyle name="20% - Accent4 3 2 4 2" xfId="22313"/>
    <cellStyle name="20% - Accent4 3 2 5" xfId="22314"/>
    <cellStyle name="20% - Accent4 3 3" xfId="251"/>
    <cellStyle name="20% - Accent4 3 3 2" xfId="252"/>
    <cellStyle name="20% - Accent4 3 3 2 2" xfId="14566"/>
    <cellStyle name="20% - Accent4 3 3 2 2 2" xfId="22315"/>
    <cellStyle name="20% - Accent4 3 3 2 3" xfId="22316"/>
    <cellStyle name="20% - Accent4 3 3 3" xfId="14567"/>
    <cellStyle name="20% - Accent4 3 3 3 2" xfId="22317"/>
    <cellStyle name="20% - Accent4 3 3 4" xfId="22318"/>
    <cellStyle name="20% - Accent4 3 4" xfId="253"/>
    <cellStyle name="20% - Accent4 3 4 2" xfId="14568"/>
    <cellStyle name="20% - Accent4 3 4 2 2" xfId="22319"/>
    <cellStyle name="20% - Accent4 3 4 3" xfId="22320"/>
    <cellStyle name="20% - Accent4 3 5" xfId="14569"/>
    <cellStyle name="20% - Accent4 3 5 2" xfId="22321"/>
    <cellStyle name="20% - Accent4 3 6" xfId="22322"/>
    <cellStyle name="20% - Accent4 4" xfId="254"/>
    <cellStyle name="20% - Accent4 4 2" xfId="255"/>
    <cellStyle name="20% - Accent4 4 2 2" xfId="256"/>
    <cellStyle name="20% - Accent4 4 2 2 2" xfId="257"/>
    <cellStyle name="20% - Accent4 4 2 2 2 2" xfId="14570"/>
    <cellStyle name="20% - Accent4 4 2 2 2 2 2" xfId="22323"/>
    <cellStyle name="20% - Accent4 4 2 2 2 3" xfId="22324"/>
    <cellStyle name="20% - Accent4 4 2 2 3" xfId="14571"/>
    <cellStyle name="20% - Accent4 4 2 2 3 2" xfId="22325"/>
    <cellStyle name="20% - Accent4 4 2 2 4" xfId="22326"/>
    <cellStyle name="20% - Accent4 4 2 3" xfId="258"/>
    <cellStyle name="20% - Accent4 4 2 3 2" xfId="14572"/>
    <cellStyle name="20% - Accent4 4 2 3 2 2" xfId="22327"/>
    <cellStyle name="20% - Accent4 4 2 3 3" xfId="22328"/>
    <cellStyle name="20% - Accent4 4 2 4" xfId="14573"/>
    <cellStyle name="20% - Accent4 4 2 4 2" xfId="22329"/>
    <cellStyle name="20% - Accent4 4 2 5" xfId="22330"/>
    <cellStyle name="20% - Accent4 4 3" xfId="259"/>
    <cellStyle name="20% - Accent4 4 3 2" xfId="260"/>
    <cellStyle name="20% - Accent4 4 3 2 2" xfId="14574"/>
    <cellStyle name="20% - Accent4 4 3 2 2 2" xfId="22331"/>
    <cellStyle name="20% - Accent4 4 3 2 3" xfId="22332"/>
    <cellStyle name="20% - Accent4 4 3 3" xfId="14575"/>
    <cellStyle name="20% - Accent4 4 3 3 2" xfId="22333"/>
    <cellStyle name="20% - Accent4 4 3 4" xfId="22334"/>
    <cellStyle name="20% - Accent4 4 4" xfId="261"/>
    <cellStyle name="20% - Accent4 4 4 2" xfId="14576"/>
    <cellStyle name="20% - Accent4 4 4 2 2" xfId="22335"/>
    <cellStyle name="20% - Accent4 4 4 3" xfId="22336"/>
    <cellStyle name="20% - Accent4 4 5" xfId="14577"/>
    <cellStyle name="20% - Accent4 4 5 2" xfId="22337"/>
    <cellStyle name="20% - Accent4 4 6" xfId="22338"/>
    <cellStyle name="20% - Accent4 5" xfId="262"/>
    <cellStyle name="20% - Accent4 5 2" xfId="263"/>
    <cellStyle name="20% - Accent4 5 2 2" xfId="264"/>
    <cellStyle name="20% - Accent4 5 2 2 2" xfId="265"/>
    <cellStyle name="20% - Accent4 5 2 2 2 2" xfId="14578"/>
    <cellStyle name="20% - Accent4 5 2 2 2 2 2" xfId="22339"/>
    <cellStyle name="20% - Accent4 5 2 2 2 3" xfId="22340"/>
    <cellStyle name="20% - Accent4 5 2 2 3" xfId="14579"/>
    <cellStyle name="20% - Accent4 5 2 2 3 2" xfId="22341"/>
    <cellStyle name="20% - Accent4 5 2 2 4" xfId="22342"/>
    <cellStyle name="20% - Accent4 5 2 3" xfId="266"/>
    <cellStyle name="20% - Accent4 5 2 3 2" xfId="14580"/>
    <cellStyle name="20% - Accent4 5 2 3 2 2" xfId="22343"/>
    <cellStyle name="20% - Accent4 5 2 3 3" xfId="22344"/>
    <cellStyle name="20% - Accent4 5 2 4" xfId="14581"/>
    <cellStyle name="20% - Accent4 5 2 4 2" xfId="22345"/>
    <cellStyle name="20% - Accent4 5 2 5" xfId="22346"/>
    <cellStyle name="20% - Accent4 5 3" xfId="267"/>
    <cellStyle name="20% - Accent4 5 3 2" xfId="268"/>
    <cellStyle name="20% - Accent4 5 3 2 2" xfId="14582"/>
    <cellStyle name="20% - Accent4 5 3 2 2 2" xfId="22347"/>
    <cellStyle name="20% - Accent4 5 3 2 3" xfId="22348"/>
    <cellStyle name="20% - Accent4 5 3 3" xfId="14583"/>
    <cellStyle name="20% - Accent4 5 3 3 2" xfId="22349"/>
    <cellStyle name="20% - Accent4 5 3 4" xfId="22350"/>
    <cellStyle name="20% - Accent4 5 4" xfId="269"/>
    <cellStyle name="20% - Accent4 5 4 2" xfId="14584"/>
    <cellStyle name="20% - Accent4 5 4 2 2" xfId="22351"/>
    <cellStyle name="20% - Accent4 5 4 3" xfId="22352"/>
    <cellStyle name="20% - Accent4 5 5" xfId="14585"/>
    <cellStyle name="20% - Accent4 5 5 2" xfId="22353"/>
    <cellStyle name="20% - Accent4 5 6" xfId="22354"/>
    <cellStyle name="20% - Accent4 6" xfId="270"/>
    <cellStyle name="20% - Accent5 2" xfId="271"/>
    <cellStyle name="20% - Accent5 2 2" xfId="272"/>
    <cellStyle name="20% - Accent5 2 2 2" xfId="273"/>
    <cellStyle name="20% - Accent5 2 2 2 2" xfId="274"/>
    <cellStyle name="20% - Accent5 2 2 2 2 2" xfId="14586"/>
    <cellStyle name="20% - Accent5 2 2 2 2 2 2" xfId="22355"/>
    <cellStyle name="20% - Accent5 2 2 2 2 3" xfId="22356"/>
    <cellStyle name="20% - Accent5 2 2 2 3" xfId="14587"/>
    <cellStyle name="20% - Accent5 2 2 2 3 2" xfId="22357"/>
    <cellStyle name="20% - Accent5 2 2 2 4" xfId="22358"/>
    <cellStyle name="20% - Accent5 2 2 3" xfId="275"/>
    <cellStyle name="20% - Accent5 2 2 3 2" xfId="14588"/>
    <cellStyle name="20% - Accent5 2 2 3 2 2" xfId="22359"/>
    <cellStyle name="20% - Accent5 2 2 3 3" xfId="22360"/>
    <cellStyle name="20% - Accent5 2 2 4" xfId="14589"/>
    <cellStyle name="20% - Accent5 2 2 4 2" xfId="22361"/>
    <cellStyle name="20% - Accent5 2 2 5" xfId="22362"/>
    <cellStyle name="20% - Accent5 2 3" xfId="276"/>
    <cellStyle name="20% - Accent5 2 3 2" xfId="277"/>
    <cellStyle name="20% - Accent5 2 3 2 2" xfId="14590"/>
    <cellStyle name="20% - Accent5 2 3 2 2 2" xfId="22363"/>
    <cellStyle name="20% - Accent5 2 3 2 3" xfId="22364"/>
    <cellStyle name="20% - Accent5 2 3 3" xfId="14591"/>
    <cellStyle name="20% - Accent5 2 3 3 2" xfId="22365"/>
    <cellStyle name="20% - Accent5 2 3 4" xfId="22366"/>
    <cellStyle name="20% - Accent5 2 4" xfId="278"/>
    <cellStyle name="20% - Accent5 2 4 2" xfId="279"/>
    <cellStyle name="20% - Accent5 2 4 2 2" xfId="14592"/>
    <cellStyle name="20% - Accent5 2 4 2 2 2" xfId="22367"/>
    <cellStyle name="20% - Accent5 2 4 2 3" xfId="22368"/>
    <cellStyle name="20% - Accent5 2 4 3" xfId="14593"/>
    <cellStyle name="20% - Accent5 2 4 3 2" xfId="22369"/>
    <cellStyle name="20% - Accent5 2 4 4" xfId="22370"/>
    <cellStyle name="20% - Accent5 2 5" xfId="280"/>
    <cellStyle name="20% - Accent5 2 5 2" xfId="14594"/>
    <cellStyle name="20% - Accent5 2 5 2 2" xfId="22371"/>
    <cellStyle name="20% - Accent5 2 5 3" xfId="22372"/>
    <cellStyle name="20% - Accent5 2 6" xfId="14595"/>
    <cellStyle name="20% - Accent5 2 6 2" xfId="22373"/>
    <cellStyle name="20% - Accent5 2 7" xfId="22374"/>
    <cellStyle name="20% - Accent5 3" xfId="281"/>
    <cellStyle name="20% - Accent5 3 2" xfId="282"/>
    <cellStyle name="20% - Accent5 3 2 2" xfId="283"/>
    <cellStyle name="20% - Accent5 3 2 2 2" xfId="284"/>
    <cellStyle name="20% - Accent5 3 2 2 2 2" xfId="14596"/>
    <cellStyle name="20% - Accent5 3 2 2 2 2 2" xfId="22375"/>
    <cellStyle name="20% - Accent5 3 2 2 2 3" xfId="22376"/>
    <cellStyle name="20% - Accent5 3 2 2 3" xfId="14597"/>
    <cellStyle name="20% - Accent5 3 2 2 3 2" xfId="22377"/>
    <cellStyle name="20% - Accent5 3 2 2 4" xfId="22378"/>
    <cellStyle name="20% - Accent5 3 2 3" xfId="285"/>
    <cellStyle name="20% - Accent5 3 2 3 2" xfId="14598"/>
    <cellStyle name="20% - Accent5 3 2 3 2 2" xfId="22379"/>
    <cellStyle name="20% - Accent5 3 2 3 3" xfId="22380"/>
    <cellStyle name="20% - Accent5 3 2 4" xfId="14599"/>
    <cellStyle name="20% - Accent5 3 2 4 2" xfId="22381"/>
    <cellStyle name="20% - Accent5 3 2 5" xfId="22382"/>
    <cellStyle name="20% - Accent5 3 3" xfId="286"/>
    <cellStyle name="20% - Accent5 3 3 2" xfId="287"/>
    <cellStyle name="20% - Accent5 3 3 2 2" xfId="14600"/>
    <cellStyle name="20% - Accent5 3 3 2 2 2" xfId="22383"/>
    <cellStyle name="20% - Accent5 3 3 2 3" xfId="22384"/>
    <cellStyle name="20% - Accent5 3 3 3" xfId="14601"/>
    <cellStyle name="20% - Accent5 3 3 3 2" xfId="22385"/>
    <cellStyle name="20% - Accent5 3 3 4" xfId="22386"/>
    <cellStyle name="20% - Accent5 3 4" xfId="288"/>
    <cellStyle name="20% - Accent5 3 4 2" xfId="14602"/>
    <cellStyle name="20% - Accent5 3 4 2 2" xfId="22387"/>
    <cellStyle name="20% - Accent5 3 4 3" xfId="22388"/>
    <cellStyle name="20% - Accent5 3 5" xfId="14603"/>
    <cellStyle name="20% - Accent5 3 5 2" xfId="22389"/>
    <cellStyle name="20% - Accent5 3 6" xfId="22390"/>
    <cellStyle name="20% - Accent5 4" xfId="289"/>
    <cellStyle name="20% - Accent5 4 2" xfId="290"/>
    <cellStyle name="20% - Accent5 4 2 2" xfId="291"/>
    <cellStyle name="20% - Accent5 4 2 2 2" xfId="292"/>
    <cellStyle name="20% - Accent5 4 2 2 2 2" xfId="14604"/>
    <cellStyle name="20% - Accent5 4 2 2 2 2 2" xfId="22391"/>
    <cellStyle name="20% - Accent5 4 2 2 2 3" xfId="22392"/>
    <cellStyle name="20% - Accent5 4 2 2 3" xfId="14605"/>
    <cellStyle name="20% - Accent5 4 2 2 3 2" xfId="22393"/>
    <cellStyle name="20% - Accent5 4 2 2 4" xfId="22394"/>
    <cellStyle name="20% - Accent5 4 2 3" xfId="293"/>
    <cellStyle name="20% - Accent5 4 2 3 2" xfId="14606"/>
    <cellStyle name="20% - Accent5 4 2 3 2 2" xfId="22395"/>
    <cellStyle name="20% - Accent5 4 2 3 3" xfId="22396"/>
    <cellStyle name="20% - Accent5 4 2 4" xfId="14607"/>
    <cellStyle name="20% - Accent5 4 2 4 2" xfId="22397"/>
    <cellStyle name="20% - Accent5 4 2 5" xfId="22398"/>
    <cellStyle name="20% - Accent5 4 3" xfId="294"/>
    <cellStyle name="20% - Accent5 4 3 2" xfId="295"/>
    <cellStyle name="20% - Accent5 4 3 2 2" xfId="14608"/>
    <cellStyle name="20% - Accent5 4 3 2 2 2" xfId="22399"/>
    <cellStyle name="20% - Accent5 4 3 2 3" xfId="22400"/>
    <cellStyle name="20% - Accent5 4 3 3" xfId="14609"/>
    <cellStyle name="20% - Accent5 4 3 3 2" xfId="22401"/>
    <cellStyle name="20% - Accent5 4 3 4" xfId="22402"/>
    <cellStyle name="20% - Accent5 4 4" xfId="296"/>
    <cellStyle name="20% - Accent5 4 4 2" xfId="14610"/>
    <cellStyle name="20% - Accent5 4 4 2 2" xfId="22403"/>
    <cellStyle name="20% - Accent5 4 4 3" xfId="22404"/>
    <cellStyle name="20% - Accent5 4 5" xfId="14611"/>
    <cellStyle name="20% - Accent5 4 5 2" xfId="22405"/>
    <cellStyle name="20% - Accent5 4 6" xfId="22406"/>
    <cellStyle name="20% - Accent5 5" xfId="297"/>
    <cellStyle name="20% - Accent5 5 2" xfId="298"/>
    <cellStyle name="20% - Accent5 5 2 2" xfId="299"/>
    <cellStyle name="20% - Accent5 5 2 2 2" xfId="300"/>
    <cellStyle name="20% - Accent5 5 2 2 2 2" xfId="14612"/>
    <cellStyle name="20% - Accent5 5 2 2 2 2 2" xfId="22407"/>
    <cellStyle name="20% - Accent5 5 2 2 2 3" xfId="22408"/>
    <cellStyle name="20% - Accent5 5 2 2 3" xfId="14613"/>
    <cellStyle name="20% - Accent5 5 2 2 3 2" xfId="22409"/>
    <cellStyle name="20% - Accent5 5 2 2 4" xfId="22410"/>
    <cellStyle name="20% - Accent5 5 2 3" xfId="301"/>
    <cellStyle name="20% - Accent5 5 2 3 2" xfId="14614"/>
    <cellStyle name="20% - Accent5 5 2 3 2 2" xfId="22411"/>
    <cellStyle name="20% - Accent5 5 2 3 3" xfId="22412"/>
    <cellStyle name="20% - Accent5 5 2 4" xfId="14615"/>
    <cellStyle name="20% - Accent5 5 2 4 2" xfId="22413"/>
    <cellStyle name="20% - Accent5 5 2 5" xfId="22414"/>
    <cellStyle name="20% - Accent5 5 3" xfId="302"/>
    <cellStyle name="20% - Accent5 5 3 2" xfId="303"/>
    <cellStyle name="20% - Accent5 5 3 2 2" xfId="14616"/>
    <cellStyle name="20% - Accent5 5 3 2 2 2" xfId="22415"/>
    <cellStyle name="20% - Accent5 5 3 2 3" xfId="22416"/>
    <cellStyle name="20% - Accent5 5 3 3" xfId="14617"/>
    <cellStyle name="20% - Accent5 5 3 3 2" xfId="22417"/>
    <cellStyle name="20% - Accent5 5 3 4" xfId="22418"/>
    <cellStyle name="20% - Accent5 5 4" xfId="304"/>
    <cellStyle name="20% - Accent5 5 4 2" xfId="14618"/>
    <cellStyle name="20% - Accent5 5 4 2 2" xfId="22419"/>
    <cellStyle name="20% - Accent5 5 4 3" xfId="22420"/>
    <cellStyle name="20% - Accent5 5 5" xfId="14619"/>
    <cellStyle name="20% - Accent5 5 5 2" xfId="22421"/>
    <cellStyle name="20% - Accent5 5 6" xfId="22422"/>
    <cellStyle name="20% - Accent5 6" xfId="305"/>
    <cellStyle name="20% - Accent6 2" xfId="306"/>
    <cellStyle name="20% - Accent6 2 2" xfId="307"/>
    <cellStyle name="20% - Accent6 2 2 2" xfId="308"/>
    <cellStyle name="20% - Accent6 2 2 2 2" xfId="309"/>
    <cellStyle name="20% - Accent6 2 2 2 2 2" xfId="14620"/>
    <cellStyle name="20% - Accent6 2 2 2 2 2 2" xfId="22423"/>
    <cellStyle name="20% - Accent6 2 2 2 2 3" xfId="22424"/>
    <cellStyle name="20% - Accent6 2 2 2 3" xfId="14621"/>
    <cellStyle name="20% - Accent6 2 2 2 3 2" xfId="22425"/>
    <cellStyle name="20% - Accent6 2 2 2 4" xfId="22426"/>
    <cellStyle name="20% - Accent6 2 2 3" xfId="310"/>
    <cellStyle name="20% - Accent6 2 2 3 2" xfId="14622"/>
    <cellStyle name="20% - Accent6 2 2 3 2 2" xfId="22427"/>
    <cellStyle name="20% - Accent6 2 2 3 3" xfId="22428"/>
    <cellStyle name="20% - Accent6 2 2 4" xfId="14623"/>
    <cellStyle name="20% - Accent6 2 2 4 2" xfId="22429"/>
    <cellStyle name="20% - Accent6 2 2 5" xfId="22430"/>
    <cellStyle name="20% - Accent6 2 3" xfId="311"/>
    <cellStyle name="20% - Accent6 2 3 2" xfId="312"/>
    <cellStyle name="20% - Accent6 2 3 2 2" xfId="14624"/>
    <cellStyle name="20% - Accent6 2 3 2 2 2" xfId="22431"/>
    <cellStyle name="20% - Accent6 2 3 2 3" xfId="22432"/>
    <cellStyle name="20% - Accent6 2 3 3" xfId="14625"/>
    <cellStyle name="20% - Accent6 2 3 3 2" xfId="22433"/>
    <cellStyle name="20% - Accent6 2 3 4" xfId="22434"/>
    <cellStyle name="20% - Accent6 2 4" xfId="313"/>
    <cellStyle name="20% - Accent6 2 4 2" xfId="314"/>
    <cellStyle name="20% - Accent6 2 4 2 2" xfId="14626"/>
    <cellStyle name="20% - Accent6 2 4 2 2 2" xfId="22435"/>
    <cellStyle name="20% - Accent6 2 4 2 3" xfId="22436"/>
    <cellStyle name="20% - Accent6 2 4 3" xfId="14627"/>
    <cellStyle name="20% - Accent6 2 4 3 2" xfId="22437"/>
    <cellStyle name="20% - Accent6 2 4 4" xfId="22438"/>
    <cellStyle name="20% - Accent6 2 5" xfId="315"/>
    <cellStyle name="20% - Accent6 2 5 2" xfId="14628"/>
    <cellStyle name="20% - Accent6 2 5 2 2" xfId="22439"/>
    <cellStyle name="20% - Accent6 2 5 3" xfId="22440"/>
    <cellStyle name="20% - Accent6 2 6" xfId="14629"/>
    <cellStyle name="20% - Accent6 2 6 2" xfId="22441"/>
    <cellStyle name="20% - Accent6 2 7" xfId="22442"/>
    <cellStyle name="20% - Accent6 3" xfId="316"/>
    <cellStyle name="20% - Accent6 3 2" xfId="317"/>
    <cellStyle name="20% - Accent6 3 2 2" xfId="318"/>
    <cellStyle name="20% - Accent6 3 2 2 2" xfId="319"/>
    <cellStyle name="20% - Accent6 3 2 2 2 2" xfId="14630"/>
    <cellStyle name="20% - Accent6 3 2 2 2 2 2" xfId="22443"/>
    <cellStyle name="20% - Accent6 3 2 2 2 3" xfId="22444"/>
    <cellStyle name="20% - Accent6 3 2 2 3" xfId="14631"/>
    <cellStyle name="20% - Accent6 3 2 2 3 2" xfId="22445"/>
    <cellStyle name="20% - Accent6 3 2 2 4" xfId="22446"/>
    <cellStyle name="20% - Accent6 3 2 3" xfId="320"/>
    <cellStyle name="20% - Accent6 3 2 3 2" xfId="14632"/>
    <cellStyle name="20% - Accent6 3 2 3 2 2" xfId="22447"/>
    <cellStyle name="20% - Accent6 3 2 3 3" xfId="22448"/>
    <cellStyle name="20% - Accent6 3 2 4" xfId="14633"/>
    <cellStyle name="20% - Accent6 3 2 4 2" xfId="22449"/>
    <cellStyle name="20% - Accent6 3 2 5" xfId="22450"/>
    <cellStyle name="20% - Accent6 3 3" xfId="321"/>
    <cellStyle name="20% - Accent6 3 3 2" xfId="322"/>
    <cellStyle name="20% - Accent6 3 3 2 2" xfId="14634"/>
    <cellStyle name="20% - Accent6 3 3 2 2 2" xfId="22451"/>
    <cellStyle name="20% - Accent6 3 3 2 3" xfId="22452"/>
    <cellStyle name="20% - Accent6 3 3 3" xfId="14635"/>
    <cellStyle name="20% - Accent6 3 3 3 2" xfId="22453"/>
    <cellStyle name="20% - Accent6 3 3 4" xfId="22454"/>
    <cellStyle name="20% - Accent6 3 4" xfId="323"/>
    <cellStyle name="20% - Accent6 3 4 2" xfId="14636"/>
    <cellStyle name="20% - Accent6 3 4 2 2" xfId="22455"/>
    <cellStyle name="20% - Accent6 3 4 3" xfId="22456"/>
    <cellStyle name="20% - Accent6 3 5" xfId="14637"/>
    <cellStyle name="20% - Accent6 3 5 2" xfId="22457"/>
    <cellStyle name="20% - Accent6 3 6" xfId="22458"/>
    <cellStyle name="20% - Accent6 4" xfId="324"/>
    <cellStyle name="20% - Accent6 4 2" xfId="325"/>
    <cellStyle name="20% - Accent6 4 2 2" xfId="326"/>
    <cellStyle name="20% - Accent6 4 2 2 2" xfId="327"/>
    <cellStyle name="20% - Accent6 4 2 2 2 2" xfId="14638"/>
    <cellStyle name="20% - Accent6 4 2 2 2 2 2" xfId="22459"/>
    <cellStyle name="20% - Accent6 4 2 2 2 3" xfId="22460"/>
    <cellStyle name="20% - Accent6 4 2 2 3" xfId="14639"/>
    <cellStyle name="20% - Accent6 4 2 2 3 2" xfId="22461"/>
    <cellStyle name="20% - Accent6 4 2 2 4" xfId="22462"/>
    <cellStyle name="20% - Accent6 4 2 3" xfId="328"/>
    <cellStyle name="20% - Accent6 4 2 3 2" xfId="14640"/>
    <cellStyle name="20% - Accent6 4 2 3 2 2" xfId="22463"/>
    <cellStyle name="20% - Accent6 4 2 3 3" xfId="22464"/>
    <cellStyle name="20% - Accent6 4 2 4" xfId="14641"/>
    <cellStyle name="20% - Accent6 4 2 4 2" xfId="22465"/>
    <cellStyle name="20% - Accent6 4 2 5" xfId="22466"/>
    <cellStyle name="20% - Accent6 4 3" xfId="329"/>
    <cellStyle name="20% - Accent6 4 3 2" xfId="330"/>
    <cellStyle name="20% - Accent6 4 3 2 2" xfId="14642"/>
    <cellStyle name="20% - Accent6 4 3 2 2 2" xfId="22467"/>
    <cellStyle name="20% - Accent6 4 3 2 3" xfId="22468"/>
    <cellStyle name="20% - Accent6 4 3 3" xfId="14643"/>
    <cellStyle name="20% - Accent6 4 3 3 2" xfId="22469"/>
    <cellStyle name="20% - Accent6 4 3 4" xfId="22470"/>
    <cellStyle name="20% - Accent6 4 4" xfId="331"/>
    <cellStyle name="20% - Accent6 4 4 2" xfId="14644"/>
    <cellStyle name="20% - Accent6 4 4 2 2" xfId="22471"/>
    <cellStyle name="20% - Accent6 4 4 3" xfId="22472"/>
    <cellStyle name="20% - Accent6 4 5" xfId="14645"/>
    <cellStyle name="20% - Accent6 4 5 2" xfId="22473"/>
    <cellStyle name="20% - Accent6 4 6" xfId="22474"/>
    <cellStyle name="20% - Accent6 5" xfId="332"/>
    <cellStyle name="20% - Accent6 5 2" xfId="333"/>
    <cellStyle name="20% - Accent6 5 2 2" xfId="334"/>
    <cellStyle name="20% - Accent6 5 2 2 2" xfId="335"/>
    <cellStyle name="20% - Accent6 5 2 2 2 2" xfId="14646"/>
    <cellStyle name="20% - Accent6 5 2 2 2 2 2" xfId="22475"/>
    <cellStyle name="20% - Accent6 5 2 2 2 3" xfId="22476"/>
    <cellStyle name="20% - Accent6 5 2 2 3" xfId="14647"/>
    <cellStyle name="20% - Accent6 5 2 2 3 2" xfId="22477"/>
    <cellStyle name="20% - Accent6 5 2 2 4" xfId="22478"/>
    <cellStyle name="20% - Accent6 5 2 3" xfId="336"/>
    <cellStyle name="20% - Accent6 5 2 3 2" xfId="14648"/>
    <cellStyle name="20% - Accent6 5 2 3 2 2" xfId="22479"/>
    <cellStyle name="20% - Accent6 5 2 3 3" xfId="22480"/>
    <cellStyle name="20% - Accent6 5 2 4" xfId="14649"/>
    <cellStyle name="20% - Accent6 5 2 4 2" xfId="22481"/>
    <cellStyle name="20% - Accent6 5 2 5" xfId="22482"/>
    <cellStyle name="20% - Accent6 5 3" xfId="337"/>
    <cellStyle name="20% - Accent6 5 3 2" xfId="338"/>
    <cellStyle name="20% - Accent6 5 3 2 2" xfId="14650"/>
    <cellStyle name="20% - Accent6 5 3 2 2 2" xfId="22483"/>
    <cellStyle name="20% - Accent6 5 3 2 3" xfId="22484"/>
    <cellStyle name="20% - Accent6 5 3 3" xfId="14651"/>
    <cellStyle name="20% - Accent6 5 3 3 2" xfId="22485"/>
    <cellStyle name="20% - Accent6 5 3 4" xfId="22486"/>
    <cellStyle name="20% - Accent6 5 4" xfId="339"/>
    <cellStyle name="20% - Accent6 5 4 2" xfId="14652"/>
    <cellStyle name="20% - Accent6 5 4 2 2" xfId="22487"/>
    <cellStyle name="20% - Accent6 5 4 3" xfId="22488"/>
    <cellStyle name="20% - Accent6 5 5" xfId="14653"/>
    <cellStyle name="20% - Accent6 5 5 2" xfId="22489"/>
    <cellStyle name="20% - Accent6 5 6" xfId="22490"/>
    <cellStyle name="20% - Accent6 6" xfId="340"/>
    <cellStyle name="40% - Accent1 2" xfId="341"/>
    <cellStyle name="40% - Accent1 2 2" xfId="342"/>
    <cellStyle name="40% - Accent1 2 2 2" xfId="343"/>
    <cellStyle name="40% - Accent1 2 2 2 2" xfId="344"/>
    <cellStyle name="40% - Accent1 2 2 2 2 2" xfId="14654"/>
    <cellStyle name="40% - Accent1 2 2 2 2 2 2" xfId="22491"/>
    <cellStyle name="40% - Accent1 2 2 2 2 3" xfId="22492"/>
    <cellStyle name="40% - Accent1 2 2 2 3" xfId="14655"/>
    <cellStyle name="40% - Accent1 2 2 2 3 2" xfId="22493"/>
    <cellStyle name="40% - Accent1 2 2 2 4" xfId="22494"/>
    <cellStyle name="40% - Accent1 2 2 3" xfId="345"/>
    <cellStyle name="40% - Accent1 2 2 3 2" xfId="14656"/>
    <cellStyle name="40% - Accent1 2 2 3 2 2" xfId="22495"/>
    <cellStyle name="40% - Accent1 2 2 3 3" xfId="22496"/>
    <cellStyle name="40% - Accent1 2 2 4" xfId="14657"/>
    <cellStyle name="40% - Accent1 2 2 4 2" xfId="22497"/>
    <cellStyle name="40% - Accent1 2 2 5" xfId="22498"/>
    <cellStyle name="40% - Accent1 2 3" xfId="346"/>
    <cellStyle name="40% - Accent1 2 3 2" xfId="347"/>
    <cellStyle name="40% - Accent1 2 3 2 2" xfId="14658"/>
    <cellStyle name="40% - Accent1 2 3 2 2 2" xfId="22499"/>
    <cellStyle name="40% - Accent1 2 3 2 3" xfId="22500"/>
    <cellStyle name="40% - Accent1 2 3 3" xfId="14659"/>
    <cellStyle name="40% - Accent1 2 3 3 2" xfId="22501"/>
    <cellStyle name="40% - Accent1 2 3 4" xfId="22502"/>
    <cellStyle name="40% - Accent1 2 4" xfId="348"/>
    <cellStyle name="40% - Accent1 2 4 2" xfId="349"/>
    <cellStyle name="40% - Accent1 2 4 2 2" xfId="14660"/>
    <cellStyle name="40% - Accent1 2 4 2 2 2" xfId="22503"/>
    <cellStyle name="40% - Accent1 2 4 2 3" xfId="22504"/>
    <cellStyle name="40% - Accent1 2 4 3" xfId="14661"/>
    <cellStyle name="40% - Accent1 2 4 3 2" xfId="22505"/>
    <cellStyle name="40% - Accent1 2 4 4" xfId="22506"/>
    <cellStyle name="40% - Accent1 2 5" xfId="350"/>
    <cellStyle name="40% - Accent1 2 5 2" xfId="14662"/>
    <cellStyle name="40% - Accent1 2 5 2 2" xfId="22507"/>
    <cellStyle name="40% - Accent1 2 5 3" xfId="22508"/>
    <cellStyle name="40% - Accent1 2 6" xfId="14663"/>
    <cellStyle name="40% - Accent1 2 6 2" xfId="22509"/>
    <cellStyle name="40% - Accent1 2 7" xfId="22510"/>
    <cellStyle name="40% - Accent1 3" xfId="351"/>
    <cellStyle name="40% - Accent1 3 2" xfId="352"/>
    <cellStyle name="40% - Accent1 3 2 2" xfId="353"/>
    <cellStyle name="40% - Accent1 3 2 2 2" xfId="354"/>
    <cellStyle name="40% - Accent1 3 2 2 2 2" xfId="14664"/>
    <cellStyle name="40% - Accent1 3 2 2 2 2 2" xfId="22511"/>
    <cellStyle name="40% - Accent1 3 2 2 2 3" xfId="22512"/>
    <cellStyle name="40% - Accent1 3 2 2 3" xfId="14665"/>
    <cellStyle name="40% - Accent1 3 2 2 3 2" xfId="22513"/>
    <cellStyle name="40% - Accent1 3 2 2 4" xfId="22514"/>
    <cellStyle name="40% - Accent1 3 2 3" xfId="355"/>
    <cellStyle name="40% - Accent1 3 2 3 2" xfId="14666"/>
    <cellStyle name="40% - Accent1 3 2 3 2 2" xfId="22515"/>
    <cellStyle name="40% - Accent1 3 2 3 3" xfId="22516"/>
    <cellStyle name="40% - Accent1 3 2 4" xfId="14667"/>
    <cellStyle name="40% - Accent1 3 2 4 2" xfId="22517"/>
    <cellStyle name="40% - Accent1 3 2 5" xfId="22518"/>
    <cellStyle name="40% - Accent1 3 3" xfId="356"/>
    <cellStyle name="40% - Accent1 3 3 2" xfId="357"/>
    <cellStyle name="40% - Accent1 3 3 2 2" xfId="14668"/>
    <cellStyle name="40% - Accent1 3 3 2 2 2" xfId="22519"/>
    <cellStyle name="40% - Accent1 3 3 2 3" xfId="22520"/>
    <cellStyle name="40% - Accent1 3 3 3" xfId="14669"/>
    <cellStyle name="40% - Accent1 3 3 3 2" xfId="22521"/>
    <cellStyle name="40% - Accent1 3 3 4" xfId="22522"/>
    <cellStyle name="40% - Accent1 3 4" xfId="358"/>
    <cellStyle name="40% - Accent1 3 4 2" xfId="14670"/>
    <cellStyle name="40% - Accent1 3 4 2 2" xfId="22523"/>
    <cellStyle name="40% - Accent1 3 4 3" xfId="22524"/>
    <cellStyle name="40% - Accent1 3 5" xfId="14671"/>
    <cellStyle name="40% - Accent1 3 5 2" xfId="22525"/>
    <cellStyle name="40% - Accent1 3 6" xfId="22526"/>
    <cellStyle name="40% - Accent1 4" xfId="359"/>
    <cellStyle name="40% - Accent1 4 2" xfId="360"/>
    <cellStyle name="40% - Accent1 4 2 2" xfId="361"/>
    <cellStyle name="40% - Accent1 4 2 2 2" xfId="362"/>
    <cellStyle name="40% - Accent1 4 2 2 2 2" xfId="14672"/>
    <cellStyle name="40% - Accent1 4 2 2 2 2 2" xfId="22527"/>
    <cellStyle name="40% - Accent1 4 2 2 2 3" xfId="22528"/>
    <cellStyle name="40% - Accent1 4 2 2 3" xfId="14673"/>
    <cellStyle name="40% - Accent1 4 2 2 3 2" xfId="22529"/>
    <cellStyle name="40% - Accent1 4 2 2 4" xfId="22530"/>
    <cellStyle name="40% - Accent1 4 2 3" xfId="363"/>
    <cellStyle name="40% - Accent1 4 2 3 2" xfId="14674"/>
    <cellStyle name="40% - Accent1 4 2 3 2 2" xfId="22531"/>
    <cellStyle name="40% - Accent1 4 2 3 3" xfId="22532"/>
    <cellStyle name="40% - Accent1 4 2 4" xfId="14675"/>
    <cellStyle name="40% - Accent1 4 2 4 2" xfId="22533"/>
    <cellStyle name="40% - Accent1 4 2 5" xfId="22534"/>
    <cellStyle name="40% - Accent1 4 3" xfId="364"/>
    <cellStyle name="40% - Accent1 4 3 2" xfId="365"/>
    <cellStyle name="40% - Accent1 4 3 2 2" xfId="14676"/>
    <cellStyle name="40% - Accent1 4 3 2 2 2" xfId="22535"/>
    <cellStyle name="40% - Accent1 4 3 2 3" xfId="22536"/>
    <cellStyle name="40% - Accent1 4 3 3" xfId="14677"/>
    <cellStyle name="40% - Accent1 4 3 3 2" xfId="22537"/>
    <cellStyle name="40% - Accent1 4 3 4" xfId="22538"/>
    <cellStyle name="40% - Accent1 4 4" xfId="366"/>
    <cellStyle name="40% - Accent1 4 4 2" xfId="14678"/>
    <cellStyle name="40% - Accent1 4 4 2 2" xfId="22539"/>
    <cellStyle name="40% - Accent1 4 4 3" xfId="22540"/>
    <cellStyle name="40% - Accent1 4 5" xfId="14679"/>
    <cellStyle name="40% - Accent1 4 5 2" xfId="22541"/>
    <cellStyle name="40% - Accent1 4 6" xfId="22542"/>
    <cellStyle name="40% - Accent1 5" xfId="367"/>
    <cellStyle name="40% - Accent1 5 2" xfId="368"/>
    <cellStyle name="40% - Accent1 5 2 2" xfId="369"/>
    <cellStyle name="40% - Accent1 5 2 2 2" xfId="370"/>
    <cellStyle name="40% - Accent1 5 2 2 2 2" xfId="14680"/>
    <cellStyle name="40% - Accent1 5 2 2 2 2 2" xfId="22543"/>
    <cellStyle name="40% - Accent1 5 2 2 2 3" xfId="22544"/>
    <cellStyle name="40% - Accent1 5 2 2 3" xfId="14681"/>
    <cellStyle name="40% - Accent1 5 2 2 3 2" xfId="22545"/>
    <cellStyle name="40% - Accent1 5 2 2 4" xfId="22546"/>
    <cellStyle name="40% - Accent1 5 2 3" xfId="371"/>
    <cellStyle name="40% - Accent1 5 2 3 2" xfId="14682"/>
    <cellStyle name="40% - Accent1 5 2 3 2 2" xfId="22547"/>
    <cellStyle name="40% - Accent1 5 2 3 3" xfId="22548"/>
    <cellStyle name="40% - Accent1 5 2 4" xfId="14683"/>
    <cellStyle name="40% - Accent1 5 2 4 2" xfId="22549"/>
    <cellStyle name="40% - Accent1 5 2 5" xfId="22550"/>
    <cellStyle name="40% - Accent1 5 3" xfId="372"/>
    <cellStyle name="40% - Accent1 5 3 2" xfId="373"/>
    <cellStyle name="40% - Accent1 5 3 2 2" xfId="14684"/>
    <cellStyle name="40% - Accent1 5 3 2 2 2" xfId="22551"/>
    <cellStyle name="40% - Accent1 5 3 2 3" xfId="22552"/>
    <cellStyle name="40% - Accent1 5 3 3" xfId="14685"/>
    <cellStyle name="40% - Accent1 5 3 3 2" xfId="22553"/>
    <cellStyle name="40% - Accent1 5 3 4" xfId="22554"/>
    <cellStyle name="40% - Accent1 5 4" xfId="374"/>
    <cellStyle name="40% - Accent1 5 4 2" xfId="14686"/>
    <cellStyle name="40% - Accent1 5 4 2 2" xfId="22555"/>
    <cellStyle name="40% - Accent1 5 4 3" xfId="22556"/>
    <cellStyle name="40% - Accent1 5 5" xfId="14687"/>
    <cellStyle name="40% - Accent1 5 5 2" xfId="22557"/>
    <cellStyle name="40% - Accent1 5 6" xfId="22558"/>
    <cellStyle name="40% - Accent1 6" xfId="375"/>
    <cellStyle name="40% - Accent2 2" xfId="376"/>
    <cellStyle name="40% - Accent2 2 2" xfId="377"/>
    <cellStyle name="40% - Accent2 2 2 2" xfId="378"/>
    <cellStyle name="40% - Accent2 2 2 2 2" xfId="379"/>
    <cellStyle name="40% - Accent2 2 2 2 2 2" xfId="14688"/>
    <cellStyle name="40% - Accent2 2 2 2 2 2 2" xfId="22559"/>
    <cellStyle name="40% - Accent2 2 2 2 2 3" xfId="22560"/>
    <cellStyle name="40% - Accent2 2 2 2 3" xfId="14689"/>
    <cellStyle name="40% - Accent2 2 2 2 3 2" xfId="22561"/>
    <cellStyle name="40% - Accent2 2 2 2 4" xfId="22562"/>
    <cellStyle name="40% - Accent2 2 2 3" xfId="380"/>
    <cellStyle name="40% - Accent2 2 2 3 2" xfId="14690"/>
    <cellStyle name="40% - Accent2 2 2 3 2 2" xfId="22563"/>
    <cellStyle name="40% - Accent2 2 2 3 3" xfId="22564"/>
    <cellStyle name="40% - Accent2 2 2 4" xfId="14691"/>
    <cellStyle name="40% - Accent2 2 2 4 2" xfId="22565"/>
    <cellStyle name="40% - Accent2 2 2 5" xfId="22566"/>
    <cellStyle name="40% - Accent2 2 3" xfId="381"/>
    <cellStyle name="40% - Accent2 2 3 2" xfId="382"/>
    <cellStyle name="40% - Accent2 2 3 2 2" xfId="14692"/>
    <cellStyle name="40% - Accent2 2 3 2 2 2" xfId="22567"/>
    <cellStyle name="40% - Accent2 2 3 2 3" xfId="22568"/>
    <cellStyle name="40% - Accent2 2 3 3" xfId="14693"/>
    <cellStyle name="40% - Accent2 2 3 3 2" xfId="22569"/>
    <cellStyle name="40% - Accent2 2 3 4" xfId="22570"/>
    <cellStyle name="40% - Accent2 2 4" xfId="383"/>
    <cellStyle name="40% - Accent2 2 4 2" xfId="384"/>
    <cellStyle name="40% - Accent2 2 4 2 2" xfId="14694"/>
    <cellStyle name="40% - Accent2 2 4 2 2 2" xfId="22571"/>
    <cellStyle name="40% - Accent2 2 4 2 3" xfId="22572"/>
    <cellStyle name="40% - Accent2 2 4 3" xfId="14695"/>
    <cellStyle name="40% - Accent2 2 4 3 2" xfId="22573"/>
    <cellStyle name="40% - Accent2 2 4 4" xfId="22574"/>
    <cellStyle name="40% - Accent2 2 5" xfId="385"/>
    <cellStyle name="40% - Accent2 2 5 2" xfId="14696"/>
    <cellStyle name="40% - Accent2 2 5 2 2" xfId="22575"/>
    <cellStyle name="40% - Accent2 2 5 3" xfId="22576"/>
    <cellStyle name="40% - Accent2 2 6" xfId="14697"/>
    <cellStyle name="40% - Accent2 2 6 2" xfId="22577"/>
    <cellStyle name="40% - Accent2 2 7" xfId="22578"/>
    <cellStyle name="40% - Accent2 3" xfId="386"/>
    <cellStyle name="40% - Accent2 3 2" xfId="387"/>
    <cellStyle name="40% - Accent2 3 2 2" xfId="388"/>
    <cellStyle name="40% - Accent2 3 2 2 2" xfId="389"/>
    <cellStyle name="40% - Accent2 3 2 2 2 2" xfId="14698"/>
    <cellStyle name="40% - Accent2 3 2 2 2 2 2" xfId="22579"/>
    <cellStyle name="40% - Accent2 3 2 2 2 3" xfId="22580"/>
    <cellStyle name="40% - Accent2 3 2 2 3" xfId="14699"/>
    <cellStyle name="40% - Accent2 3 2 2 3 2" xfId="22581"/>
    <cellStyle name="40% - Accent2 3 2 2 4" xfId="22582"/>
    <cellStyle name="40% - Accent2 3 2 3" xfId="390"/>
    <cellStyle name="40% - Accent2 3 2 3 2" xfId="14700"/>
    <cellStyle name="40% - Accent2 3 2 3 2 2" xfId="22583"/>
    <cellStyle name="40% - Accent2 3 2 3 3" xfId="22584"/>
    <cellStyle name="40% - Accent2 3 2 4" xfId="14701"/>
    <cellStyle name="40% - Accent2 3 2 4 2" xfId="22585"/>
    <cellStyle name="40% - Accent2 3 2 5" xfId="22586"/>
    <cellStyle name="40% - Accent2 3 3" xfId="391"/>
    <cellStyle name="40% - Accent2 3 3 2" xfId="392"/>
    <cellStyle name="40% - Accent2 3 3 2 2" xfId="14702"/>
    <cellStyle name="40% - Accent2 3 3 2 2 2" xfId="22587"/>
    <cellStyle name="40% - Accent2 3 3 2 3" xfId="22588"/>
    <cellStyle name="40% - Accent2 3 3 3" xfId="14703"/>
    <cellStyle name="40% - Accent2 3 3 3 2" xfId="22589"/>
    <cellStyle name="40% - Accent2 3 3 4" xfId="22590"/>
    <cellStyle name="40% - Accent2 3 4" xfId="393"/>
    <cellStyle name="40% - Accent2 3 4 2" xfId="14704"/>
    <cellStyle name="40% - Accent2 3 4 2 2" xfId="22591"/>
    <cellStyle name="40% - Accent2 3 4 3" xfId="22592"/>
    <cellStyle name="40% - Accent2 3 5" xfId="14705"/>
    <cellStyle name="40% - Accent2 3 5 2" xfId="22593"/>
    <cellStyle name="40% - Accent2 3 6" xfId="22594"/>
    <cellStyle name="40% - Accent2 4" xfId="394"/>
    <cellStyle name="40% - Accent2 4 2" xfId="395"/>
    <cellStyle name="40% - Accent2 4 2 2" xfId="396"/>
    <cellStyle name="40% - Accent2 4 2 2 2" xfId="397"/>
    <cellStyle name="40% - Accent2 4 2 2 2 2" xfId="14706"/>
    <cellStyle name="40% - Accent2 4 2 2 2 2 2" xfId="22595"/>
    <cellStyle name="40% - Accent2 4 2 2 2 3" xfId="22596"/>
    <cellStyle name="40% - Accent2 4 2 2 3" xfId="14707"/>
    <cellStyle name="40% - Accent2 4 2 2 3 2" xfId="22597"/>
    <cellStyle name="40% - Accent2 4 2 2 4" xfId="22598"/>
    <cellStyle name="40% - Accent2 4 2 3" xfId="398"/>
    <cellStyle name="40% - Accent2 4 2 3 2" xfId="14708"/>
    <cellStyle name="40% - Accent2 4 2 3 2 2" xfId="22599"/>
    <cellStyle name="40% - Accent2 4 2 3 3" xfId="22600"/>
    <cellStyle name="40% - Accent2 4 2 4" xfId="14709"/>
    <cellStyle name="40% - Accent2 4 2 4 2" xfId="22601"/>
    <cellStyle name="40% - Accent2 4 2 5" xfId="22602"/>
    <cellStyle name="40% - Accent2 4 3" xfId="399"/>
    <cellStyle name="40% - Accent2 4 3 2" xfId="400"/>
    <cellStyle name="40% - Accent2 4 3 2 2" xfId="14710"/>
    <cellStyle name="40% - Accent2 4 3 2 2 2" xfId="22603"/>
    <cellStyle name="40% - Accent2 4 3 2 3" xfId="22604"/>
    <cellStyle name="40% - Accent2 4 3 3" xfId="14711"/>
    <cellStyle name="40% - Accent2 4 3 3 2" xfId="22605"/>
    <cellStyle name="40% - Accent2 4 3 4" xfId="22606"/>
    <cellStyle name="40% - Accent2 4 4" xfId="401"/>
    <cellStyle name="40% - Accent2 4 4 2" xfId="14712"/>
    <cellStyle name="40% - Accent2 4 4 2 2" xfId="22607"/>
    <cellStyle name="40% - Accent2 4 4 3" xfId="22608"/>
    <cellStyle name="40% - Accent2 4 5" xfId="14713"/>
    <cellStyle name="40% - Accent2 4 5 2" xfId="22609"/>
    <cellStyle name="40% - Accent2 4 6" xfId="22610"/>
    <cellStyle name="40% - Accent2 5" xfId="402"/>
    <cellStyle name="40% - Accent2 5 2" xfId="403"/>
    <cellStyle name="40% - Accent2 5 2 2" xfId="404"/>
    <cellStyle name="40% - Accent2 5 2 2 2" xfId="405"/>
    <cellStyle name="40% - Accent2 5 2 2 2 2" xfId="14714"/>
    <cellStyle name="40% - Accent2 5 2 2 2 2 2" xfId="22611"/>
    <cellStyle name="40% - Accent2 5 2 2 2 3" xfId="22612"/>
    <cellStyle name="40% - Accent2 5 2 2 3" xfId="14715"/>
    <cellStyle name="40% - Accent2 5 2 2 3 2" xfId="22613"/>
    <cellStyle name="40% - Accent2 5 2 2 4" xfId="22614"/>
    <cellStyle name="40% - Accent2 5 2 3" xfId="406"/>
    <cellStyle name="40% - Accent2 5 2 3 2" xfId="14716"/>
    <cellStyle name="40% - Accent2 5 2 3 2 2" xfId="22615"/>
    <cellStyle name="40% - Accent2 5 2 3 3" xfId="22616"/>
    <cellStyle name="40% - Accent2 5 2 4" xfId="14717"/>
    <cellStyle name="40% - Accent2 5 2 4 2" xfId="22617"/>
    <cellStyle name="40% - Accent2 5 2 5" xfId="22618"/>
    <cellStyle name="40% - Accent2 5 3" xfId="407"/>
    <cellStyle name="40% - Accent2 5 3 2" xfId="408"/>
    <cellStyle name="40% - Accent2 5 3 2 2" xfId="14718"/>
    <cellStyle name="40% - Accent2 5 3 2 2 2" xfId="22619"/>
    <cellStyle name="40% - Accent2 5 3 2 3" xfId="22620"/>
    <cellStyle name="40% - Accent2 5 3 3" xfId="14719"/>
    <cellStyle name="40% - Accent2 5 3 3 2" xfId="22621"/>
    <cellStyle name="40% - Accent2 5 3 4" xfId="22622"/>
    <cellStyle name="40% - Accent2 5 4" xfId="409"/>
    <cellStyle name="40% - Accent2 5 4 2" xfId="14720"/>
    <cellStyle name="40% - Accent2 5 4 2 2" xfId="22623"/>
    <cellStyle name="40% - Accent2 5 4 3" xfId="22624"/>
    <cellStyle name="40% - Accent2 5 5" xfId="14721"/>
    <cellStyle name="40% - Accent2 5 5 2" xfId="22625"/>
    <cellStyle name="40% - Accent2 5 6" xfId="22626"/>
    <cellStyle name="40% - Accent2 6" xfId="410"/>
    <cellStyle name="40% - Accent3 2" xfId="411"/>
    <cellStyle name="40% - Accent3 2 2" xfId="412"/>
    <cellStyle name="40% - Accent3 2 2 2" xfId="413"/>
    <cellStyle name="40% - Accent3 2 2 2 2" xfId="414"/>
    <cellStyle name="40% - Accent3 2 2 2 2 2" xfId="14722"/>
    <cellStyle name="40% - Accent3 2 2 2 2 2 2" xfId="22627"/>
    <cellStyle name="40% - Accent3 2 2 2 2 3" xfId="22628"/>
    <cellStyle name="40% - Accent3 2 2 2 3" xfId="14723"/>
    <cellStyle name="40% - Accent3 2 2 2 3 2" xfId="22629"/>
    <cellStyle name="40% - Accent3 2 2 2 4" xfId="22630"/>
    <cellStyle name="40% - Accent3 2 2 3" xfId="415"/>
    <cellStyle name="40% - Accent3 2 2 3 2" xfId="14724"/>
    <cellStyle name="40% - Accent3 2 2 3 2 2" xfId="22631"/>
    <cellStyle name="40% - Accent3 2 2 3 3" xfId="22632"/>
    <cellStyle name="40% - Accent3 2 2 4" xfId="14725"/>
    <cellStyle name="40% - Accent3 2 2 4 2" xfId="22633"/>
    <cellStyle name="40% - Accent3 2 2 5" xfId="22634"/>
    <cellStyle name="40% - Accent3 2 3" xfId="416"/>
    <cellStyle name="40% - Accent3 2 3 2" xfId="417"/>
    <cellStyle name="40% - Accent3 2 3 2 2" xfId="14726"/>
    <cellStyle name="40% - Accent3 2 3 2 2 2" xfId="22635"/>
    <cellStyle name="40% - Accent3 2 3 2 3" xfId="22636"/>
    <cellStyle name="40% - Accent3 2 3 3" xfId="14727"/>
    <cellStyle name="40% - Accent3 2 3 3 2" xfId="22637"/>
    <cellStyle name="40% - Accent3 2 3 4" xfId="22638"/>
    <cellStyle name="40% - Accent3 2 4" xfId="418"/>
    <cellStyle name="40% - Accent3 2 4 2" xfId="419"/>
    <cellStyle name="40% - Accent3 2 4 2 2" xfId="14728"/>
    <cellStyle name="40% - Accent3 2 4 2 2 2" xfId="22639"/>
    <cellStyle name="40% - Accent3 2 4 2 3" xfId="22640"/>
    <cellStyle name="40% - Accent3 2 4 3" xfId="14729"/>
    <cellStyle name="40% - Accent3 2 4 3 2" xfId="22641"/>
    <cellStyle name="40% - Accent3 2 4 4" xfId="22642"/>
    <cellStyle name="40% - Accent3 2 5" xfId="420"/>
    <cellStyle name="40% - Accent3 2 5 2" xfId="14730"/>
    <cellStyle name="40% - Accent3 2 5 2 2" xfId="22643"/>
    <cellStyle name="40% - Accent3 2 5 3" xfId="22644"/>
    <cellStyle name="40% - Accent3 2 6" xfId="14731"/>
    <cellStyle name="40% - Accent3 2 6 2" xfId="22645"/>
    <cellStyle name="40% - Accent3 2 7" xfId="22646"/>
    <cellStyle name="40% - Accent3 3" xfId="421"/>
    <cellStyle name="40% - Accent3 3 2" xfId="422"/>
    <cellStyle name="40% - Accent3 3 2 2" xfId="423"/>
    <cellStyle name="40% - Accent3 3 2 2 2" xfId="424"/>
    <cellStyle name="40% - Accent3 3 2 2 2 2" xfId="14732"/>
    <cellStyle name="40% - Accent3 3 2 2 2 2 2" xfId="22647"/>
    <cellStyle name="40% - Accent3 3 2 2 2 3" xfId="22648"/>
    <cellStyle name="40% - Accent3 3 2 2 3" xfId="14733"/>
    <cellStyle name="40% - Accent3 3 2 2 3 2" xfId="22649"/>
    <cellStyle name="40% - Accent3 3 2 2 4" xfId="22650"/>
    <cellStyle name="40% - Accent3 3 2 3" xfId="425"/>
    <cellStyle name="40% - Accent3 3 2 3 2" xfId="14734"/>
    <cellStyle name="40% - Accent3 3 2 3 2 2" xfId="22651"/>
    <cellStyle name="40% - Accent3 3 2 3 3" xfId="22652"/>
    <cellStyle name="40% - Accent3 3 2 4" xfId="14735"/>
    <cellStyle name="40% - Accent3 3 2 4 2" xfId="22653"/>
    <cellStyle name="40% - Accent3 3 2 5" xfId="22654"/>
    <cellStyle name="40% - Accent3 3 3" xfId="426"/>
    <cellStyle name="40% - Accent3 3 3 2" xfId="427"/>
    <cellStyle name="40% - Accent3 3 3 2 2" xfId="14736"/>
    <cellStyle name="40% - Accent3 3 3 2 2 2" xfId="22655"/>
    <cellStyle name="40% - Accent3 3 3 2 3" xfId="22656"/>
    <cellStyle name="40% - Accent3 3 3 3" xfId="14737"/>
    <cellStyle name="40% - Accent3 3 3 3 2" xfId="22657"/>
    <cellStyle name="40% - Accent3 3 3 4" xfId="22658"/>
    <cellStyle name="40% - Accent3 3 4" xfId="428"/>
    <cellStyle name="40% - Accent3 3 4 2" xfId="14738"/>
    <cellStyle name="40% - Accent3 3 4 2 2" xfId="22659"/>
    <cellStyle name="40% - Accent3 3 4 3" xfId="22660"/>
    <cellStyle name="40% - Accent3 3 5" xfId="14739"/>
    <cellStyle name="40% - Accent3 3 5 2" xfId="22661"/>
    <cellStyle name="40% - Accent3 3 6" xfId="22662"/>
    <cellStyle name="40% - Accent3 4" xfId="429"/>
    <cellStyle name="40% - Accent3 4 2" xfId="430"/>
    <cellStyle name="40% - Accent3 4 2 2" xfId="431"/>
    <cellStyle name="40% - Accent3 4 2 2 2" xfId="432"/>
    <cellStyle name="40% - Accent3 4 2 2 2 2" xfId="14740"/>
    <cellStyle name="40% - Accent3 4 2 2 2 2 2" xfId="22663"/>
    <cellStyle name="40% - Accent3 4 2 2 2 3" xfId="22664"/>
    <cellStyle name="40% - Accent3 4 2 2 3" xfId="14741"/>
    <cellStyle name="40% - Accent3 4 2 2 3 2" xfId="22665"/>
    <cellStyle name="40% - Accent3 4 2 2 4" xfId="22666"/>
    <cellStyle name="40% - Accent3 4 2 3" xfId="433"/>
    <cellStyle name="40% - Accent3 4 2 3 2" xfId="14742"/>
    <cellStyle name="40% - Accent3 4 2 3 2 2" xfId="22667"/>
    <cellStyle name="40% - Accent3 4 2 3 3" xfId="22668"/>
    <cellStyle name="40% - Accent3 4 2 4" xfId="14743"/>
    <cellStyle name="40% - Accent3 4 2 4 2" xfId="22669"/>
    <cellStyle name="40% - Accent3 4 2 5" xfId="22670"/>
    <cellStyle name="40% - Accent3 4 3" xfId="434"/>
    <cellStyle name="40% - Accent3 4 3 2" xfId="435"/>
    <cellStyle name="40% - Accent3 4 3 2 2" xfId="14744"/>
    <cellStyle name="40% - Accent3 4 3 2 2 2" xfId="22671"/>
    <cellStyle name="40% - Accent3 4 3 2 3" xfId="22672"/>
    <cellStyle name="40% - Accent3 4 3 3" xfId="14745"/>
    <cellStyle name="40% - Accent3 4 3 3 2" xfId="22673"/>
    <cellStyle name="40% - Accent3 4 3 4" xfId="22674"/>
    <cellStyle name="40% - Accent3 4 4" xfId="436"/>
    <cellStyle name="40% - Accent3 4 4 2" xfId="14746"/>
    <cellStyle name="40% - Accent3 4 4 2 2" xfId="22675"/>
    <cellStyle name="40% - Accent3 4 4 3" xfId="22676"/>
    <cellStyle name="40% - Accent3 4 5" xfId="14747"/>
    <cellStyle name="40% - Accent3 4 5 2" xfId="22677"/>
    <cellStyle name="40% - Accent3 4 6" xfId="22678"/>
    <cellStyle name="40% - Accent3 5" xfId="437"/>
    <cellStyle name="40% - Accent3 5 2" xfId="438"/>
    <cellStyle name="40% - Accent3 5 2 2" xfId="439"/>
    <cellStyle name="40% - Accent3 5 2 2 2" xfId="440"/>
    <cellStyle name="40% - Accent3 5 2 2 2 2" xfId="14748"/>
    <cellStyle name="40% - Accent3 5 2 2 2 2 2" xfId="22679"/>
    <cellStyle name="40% - Accent3 5 2 2 2 3" xfId="22680"/>
    <cellStyle name="40% - Accent3 5 2 2 3" xfId="14749"/>
    <cellStyle name="40% - Accent3 5 2 2 3 2" xfId="22681"/>
    <cellStyle name="40% - Accent3 5 2 2 4" xfId="22682"/>
    <cellStyle name="40% - Accent3 5 2 3" xfId="441"/>
    <cellStyle name="40% - Accent3 5 2 3 2" xfId="14750"/>
    <cellStyle name="40% - Accent3 5 2 3 2 2" xfId="22683"/>
    <cellStyle name="40% - Accent3 5 2 3 3" xfId="22684"/>
    <cellStyle name="40% - Accent3 5 2 4" xfId="14751"/>
    <cellStyle name="40% - Accent3 5 2 4 2" xfId="22685"/>
    <cellStyle name="40% - Accent3 5 2 5" xfId="22686"/>
    <cellStyle name="40% - Accent3 5 3" xfId="442"/>
    <cellStyle name="40% - Accent3 5 3 2" xfId="443"/>
    <cellStyle name="40% - Accent3 5 3 2 2" xfId="14752"/>
    <cellStyle name="40% - Accent3 5 3 2 2 2" xfId="22687"/>
    <cellStyle name="40% - Accent3 5 3 2 3" xfId="22688"/>
    <cellStyle name="40% - Accent3 5 3 3" xfId="14753"/>
    <cellStyle name="40% - Accent3 5 3 3 2" xfId="22689"/>
    <cellStyle name="40% - Accent3 5 3 4" xfId="22690"/>
    <cellStyle name="40% - Accent3 5 4" xfId="444"/>
    <cellStyle name="40% - Accent3 5 4 2" xfId="14754"/>
    <cellStyle name="40% - Accent3 5 4 2 2" xfId="22691"/>
    <cellStyle name="40% - Accent3 5 4 3" xfId="22692"/>
    <cellStyle name="40% - Accent3 5 5" xfId="14755"/>
    <cellStyle name="40% - Accent3 5 5 2" xfId="22693"/>
    <cellStyle name="40% - Accent3 5 6" xfId="22694"/>
    <cellStyle name="40% - Accent3 6" xfId="445"/>
    <cellStyle name="40% - Accent4 2" xfId="446"/>
    <cellStyle name="40% - Accent4 2 2" xfId="447"/>
    <cellStyle name="40% - Accent4 2 2 2" xfId="448"/>
    <cellStyle name="40% - Accent4 2 2 2 2" xfId="449"/>
    <cellStyle name="40% - Accent4 2 2 2 2 2" xfId="14756"/>
    <cellStyle name="40% - Accent4 2 2 2 2 2 2" xfId="22695"/>
    <cellStyle name="40% - Accent4 2 2 2 2 3" xfId="22696"/>
    <cellStyle name="40% - Accent4 2 2 2 3" xfId="14757"/>
    <cellStyle name="40% - Accent4 2 2 2 3 2" xfId="22697"/>
    <cellStyle name="40% - Accent4 2 2 2 4" xfId="22698"/>
    <cellStyle name="40% - Accent4 2 2 3" xfId="450"/>
    <cellStyle name="40% - Accent4 2 2 3 2" xfId="14758"/>
    <cellStyle name="40% - Accent4 2 2 3 2 2" xfId="22699"/>
    <cellStyle name="40% - Accent4 2 2 3 3" xfId="22700"/>
    <cellStyle name="40% - Accent4 2 2 4" xfId="14759"/>
    <cellStyle name="40% - Accent4 2 2 4 2" xfId="22701"/>
    <cellStyle name="40% - Accent4 2 2 5" xfId="22702"/>
    <cellStyle name="40% - Accent4 2 3" xfId="451"/>
    <cellStyle name="40% - Accent4 2 3 2" xfId="452"/>
    <cellStyle name="40% - Accent4 2 3 2 2" xfId="14760"/>
    <cellStyle name="40% - Accent4 2 3 2 2 2" xfId="22703"/>
    <cellStyle name="40% - Accent4 2 3 2 3" xfId="22704"/>
    <cellStyle name="40% - Accent4 2 3 3" xfId="14761"/>
    <cellStyle name="40% - Accent4 2 3 3 2" xfId="22705"/>
    <cellStyle name="40% - Accent4 2 3 4" xfId="22706"/>
    <cellStyle name="40% - Accent4 2 4" xfId="453"/>
    <cellStyle name="40% - Accent4 2 4 2" xfId="454"/>
    <cellStyle name="40% - Accent4 2 4 2 2" xfId="14762"/>
    <cellStyle name="40% - Accent4 2 4 2 2 2" xfId="22707"/>
    <cellStyle name="40% - Accent4 2 4 2 3" xfId="22708"/>
    <cellStyle name="40% - Accent4 2 4 3" xfId="14763"/>
    <cellStyle name="40% - Accent4 2 4 3 2" xfId="22709"/>
    <cellStyle name="40% - Accent4 2 4 4" xfId="22710"/>
    <cellStyle name="40% - Accent4 2 5" xfId="455"/>
    <cellStyle name="40% - Accent4 2 5 2" xfId="14764"/>
    <cellStyle name="40% - Accent4 2 5 2 2" xfId="22711"/>
    <cellStyle name="40% - Accent4 2 5 3" xfId="22712"/>
    <cellStyle name="40% - Accent4 2 6" xfId="14765"/>
    <cellStyle name="40% - Accent4 2 6 2" xfId="22713"/>
    <cellStyle name="40% - Accent4 2 7" xfId="22714"/>
    <cellStyle name="40% - Accent4 3" xfId="456"/>
    <cellStyle name="40% - Accent4 3 2" xfId="457"/>
    <cellStyle name="40% - Accent4 3 2 2" xfId="458"/>
    <cellStyle name="40% - Accent4 3 2 2 2" xfId="459"/>
    <cellStyle name="40% - Accent4 3 2 2 2 2" xfId="14766"/>
    <cellStyle name="40% - Accent4 3 2 2 2 2 2" xfId="22715"/>
    <cellStyle name="40% - Accent4 3 2 2 2 3" xfId="22716"/>
    <cellStyle name="40% - Accent4 3 2 2 3" xfId="14767"/>
    <cellStyle name="40% - Accent4 3 2 2 3 2" xfId="22717"/>
    <cellStyle name="40% - Accent4 3 2 2 4" xfId="22718"/>
    <cellStyle name="40% - Accent4 3 2 3" xfId="460"/>
    <cellStyle name="40% - Accent4 3 2 3 2" xfId="14768"/>
    <cellStyle name="40% - Accent4 3 2 3 2 2" xfId="22719"/>
    <cellStyle name="40% - Accent4 3 2 3 3" xfId="22720"/>
    <cellStyle name="40% - Accent4 3 2 4" xfId="14769"/>
    <cellStyle name="40% - Accent4 3 2 4 2" xfId="22721"/>
    <cellStyle name="40% - Accent4 3 2 5" xfId="22722"/>
    <cellStyle name="40% - Accent4 3 3" xfId="461"/>
    <cellStyle name="40% - Accent4 3 3 2" xfId="462"/>
    <cellStyle name="40% - Accent4 3 3 2 2" xfId="14770"/>
    <cellStyle name="40% - Accent4 3 3 2 2 2" xfId="22723"/>
    <cellStyle name="40% - Accent4 3 3 2 3" xfId="22724"/>
    <cellStyle name="40% - Accent4 3 3 3" xfId="14771"/>
    <cellStyle name="40% - Accent4 3 3 3 2" xfId="22725"/>
    <cellStyle name="40% - Accent4 3 3 4" xfId="22726"/>
    <cellStyle name="40% - Accent4 3 4" xfId="463"/>
    <cellStyle name="40% - Accent4 3 4 2" xfId="14772"/>
    <cellStyle name="40% - Accent4 3 4 2 2" xfId="22727"/>
    <cellStyle name="40% - Accent4 3 4 3" xfId="22728"/>
    <cellStyle name="40% - Accent4 3 5" xfId="14773"/>
    <cellStyle name="40% - Accent4 3 5 2" xfId="22729"/>
    <cellStyle name="40% - Accent4 3 6" xfId="22730"/>
    <cellStyle name="40% - Accent4 4" xfId="464"/>
    <cellStyle name="40% - Accent4 4 2" xfId="465"/>
    <cellStyle name="40% - Accent4 4 2 2" xfId="466"/>
    <cellStyle name="40% - Accent4 4 2 2 2" xfId="467"/>
    <cellStyle name="40% - Accent4 4 2 2 2 2" xfId="14774"/>
    <cellStyle name="40% - Accent4 4 2 2 2 2 2" xfId="22731"/>
    <cellStyle name="40% - Accent4 4 2 2 2 3" xfId="22732"/>
    <cellStyle name="40% - Accent4 4 2 2 3" xfId="14775"/>
    <cellStyle name="40% - Accent4 4 2 2 3 2" xfId="22733"/>
    <cellStyle name="40% - Accent4 4 2 2 4" xfId="22734"/>
    <cellStyle name="40% - Accent4 4 2 3" xfId="468"/>
    <cellStyle name="40% - Accent4 4 2 3 2" xfId="14776"/>
    <cellStyle name="40% - Accent4 4 2 3 2 2" xfId="22735"/>
    <cellStyle name="40% - Accent4 4 2 3 3" xfId="22736"/>
    <cellStyle name="40% - Accent4 4 2 4" xfId="14777"/>
    <cellStyle name="40% - Accent4 4 2 4 2" xfId="22737"/>
    <cellStyle name="40% - Accent4 4 2 5" xfId="22738"/>
    <cellStyle name="40% - Accent4 4 3" xfId="469"/>
    <cellStyle name="40% - Accent4 4 3 2" xfId="470"/>
    <cellStyle name="40% - Accent4 4 3 2 2" xfId="14778"/>
    <cellStyle name="40% - Accent4 4 3 2 2 2" xfId="22739"/>
    <cellStyle name="40% - Accent4 4 3 2 3" xfId="22740"/>
    <cellStyle name="40% - Accent4 4 3 3" xfId="14779"/>
    <cellStyle name="40% - Accent4 4 3 3 2" xfId="22741"/>
    <cellStyle name="40% - Accent4 4 3 4" xfId="22742"/>
    <cellStyle name="40% - Accent4 4 4" xfId="471"/>
    <cellStyle name="40% - Accent4 4 4 2" xfId="14780"/>
    <cellStyle name="40% - Accent4 4 4 2 2" xfId="22743"/>
    <cellStyle name="40% - Accent4 4 4 3" xfId="22744"/>
    <cellStyle name="40% - Accent4 4 5" xfId="14781"/>
    <cellStyle name="40% - Accent4 4 5 2" xfId="22745"/>
    <cellStyle name="40% - Accent4 4 6" xfId="22746"/>
    <cellStyle name="40% - Accent4 5" xfId="472"/>
    <cellStyle name="40% - Accent4 5 2" xfId="473"/>
    <cellStyle name="40% - Accent4 5 2 2" xfId="474"/>
    <cellStyle name="40% - Accent4 5 2 2 2" xfId="475"/>
    <cellStyle name="40% - Accent4 5 2 2 2 2" xfId="14782"/>
    <cellStyle name="40% - Accent4 5 2 2 2 2 2" xfId="22747"/>
    <cellStyle name="40% - Accent4 5 2 2 2 3" xfId="22748"/>
    <cellStyle name="40% - Accent4 5 2 2 3" xfId="14783"/>
    <cellStyle name="40% - Accent4 5 2 2 3 2" xfId="22749"/>
    <cellStyle name="40% - Accent4 5 2 2 4" xfId="22750"/>
    <cellStyle name="40% - Accent4 5 2 3" xfId="476"/>
    <cellStyle name="40% - Accent4 5 2 3 2" xfId="14784"/>
    <cellStyle name="40% - Accent4 5 2 3 2 2" xfId="22751"/>
    <cellStyle name="40% - Accent4 5 2 3 3" xfId="22752"/>
    <cellStyle name="40% - Accent4 5 2 4" xfId="14785"/>
    <cellStyle name="40% - Accent4 5 2 4 2" xfId="22753"/>
    <cellStyle name="40% - Accent4 5 2 5" xfId="22754"/>
    <cellStyle name="40% - Accent4 5 3" xfId="477"/>
    <cellStyle name="40% - Accent4 5 3 2" xfId="478"/>
    <cellStyle name="40% - Accent4 5 3 2 2" xfId="14786"/>
    <cellStyle name="40% - Accent4 5 3 2 2 2" xfId="22755"/>
    <cellStyle name="40% - Accent4 5 3 2 3" xfId="22756"/>
    <cellStyle name="40% - Accent4 5 3 3" xfId="14787"/>
    <cellStyle name="40% - Accent4 5 3 3 2" xfId="22757"/>
    <cellStyle name="40% - Accent4 5 3 4" xfId="22758"/>
    <cellStyle name="40% - Accent4 5 4" xfId="479"/>
    <cellStyle name="40% - Accent4 5 4 2" xfId="14788"/>
    <cellStyle name="40% - Accent4 5 4 2 2" xfId="22759"/>
    <cellStyle name="40% - Accent4 5 4 3" xfId="22760"/>
    <cellStyle name="40% - Accent4 5 5" xfId="14789"/>
    <cellStyle name="40% - Accent4 5 5 2" xfId="22761"/>
    <cellStyle name="40% - Accent4 5 6" xfId="22762"/>
    <cellStyle name="40% - Accent4 6" xfId="480"/>
    <cellStyle name="40% - Accent5 2" xfId="481"/>
    <cellStyle name="40% - Accent5 2 2" xfId="482"/>
    <cellStyle name="40% - Accent5 2 2 2" xfId="483"/>
    <cellStyle name="40% - Accent5 2 2 2 2" xfId="484"/>
    <cellStyle name="40% - Accent5 2 2 2 2 2" xfId="14790"/>
    <cellStyle name="40% - Accent5 2 2 2 2 2 2" xfId="22763"/>
    <cellStyle name="40% - Accent5 2 2 2 2 3" xfId="22764"/>
    <cellStyle name="40% - Accent5 2 2 2 3" xfId="14791"/>
    <cellStyle name="40% - Accent5 2 2 2 3 2" xfId="22765"/>
    <cellStyle name="40% - Accent5 2 2 2 4" xfId="22766"/>
    <cellStyle name="40% - Accent5 2 2 3" xfId="485"/>
    <cellStyle name="40% - Accent5 2 2 3 2" xfId="14792"/>
    <cellStyle name="40% - Accent5 2 2 3 2 2" xfId="22767"/>
    <cellStyle name="40% - Accent5 2 2 3 3" xfId="22768"/>
    <cellStyle name="40% - Accent5 2 2 4" xfId="14793"/>
    <cellStyle name="40% - Accent5 2 2 4 2" xfId="22769"/>
    <cellStyle name="40% - Accent5 2 2 5" xfId="22770"/>
    <cellStyle name="40% - Accent5 2 3" xfId="486"/>
    <cellStyle name="40% - Accent5 2 3 2" xfId="487"/>
    <cellStyle name="40% - Accent5 2 3 2 2" xfId="14794"/>
    <cellStyle name="40% - Accent5 2 3 2 2 2" xfId="22771"/>
    <cellStyle name="40% - Accent5 2 3 2 3" xfId="22772"/>
    <cellStyle name="40% - Accent5 2 3 3" xfId="14795"/>
    <cellStyle name="40% - Accent5 2 3 3 2" xfId="22773"/>
    <cellStyle name="40% - Accent5 2 3 4" xfId="22774"/>
    <cellStyle name="40% - Accent5 2 4" xfId="488"/>
    <cellStyle name="40% - Accent5 2 4 2" xfId="489"/>
    <cellStyle name="40% - Accent5 2 4 2 2" xfId="14796"/>
    <cellStyle name="40% - Accent5 2 4 2 2 2" xfId="22775"/>
    <cellStyle name="40% - Accent5 2 4 2 3" xfId="22776"/>
    <cellStyle name="40% - Accent5 2 4 3" xfId="14797"/>
    <cellStyle name="40% - Accent5 2 4 3 2" xfId="22777"/>
    <cellStyle name="40% - Accent5 2 4 4" xfId="22778"/>
    <cellStyle name="40% - Accent5 2 5" xfId="490"/>
    <cellStyle name="40% - Accent5 2 5 2" xfId="14798"/>
    <cellStyle name="40% - Accent5 2 5 2 2" xfId="22779"/>
    <cellStyle name="40% - Accent5 2 5 3" xfId="22780"/>
    <cellStyle name="40% - Accent5 2 6" xfId="14799"/>
    <cellStyle name="40% - Accent5 2 6 2" xfId="22781"/>
    <cellStyle name="40% - Accent5 2 7" xfId="22782"/>
    <cellStyle name="40% - Accent5 3" xfId="491"/>
    <cellStyle name="40% - Accent5 3 2" xfId="492"/>
    <cellStyle name="40% - Accent5 3 2 2" xfId="493"/>
    <cellStyle name="40% - Accent5 3 2 2 2" xfId="494"/>
    <cellStyle name="40% - Accent5 3 2 2 2 2" xfId="14800"/>
    <cellStyle name="40% - Accent5 3 2 2 2 2 2" xfId="22783"/>
    <cellStyle name="40% - Accent5 3 2 2 2 3" xfId="22784"/>
    <cellStyle name="40% - Accent5 3 2 2 3" xfId="14801"/>
    <cellStyle name="40% - Accent5 3 2 2 3 2" xfId="22785"/>
    <cellStyle name="40% - Accent5 3 2 2 4" xfId="22786"/>
    <cellStyle name="40% - Accent5 3 2 3" xfId="495"/>
    <cellStyle name="40% - Accent5 3 2 3 2" xfId="14802"/>
    <cellStyle name="40% - Accent5 3 2 3 2 2" xfId="22787"/>
    <cellStyle name="40% - Accent5 3 2 3 3" xfId="22788"/>
    <cellStyle name="40% - Accent5 3 2 4" xfId="14803"/>
    <cellStyle name="40% - Accent5 3 2 4 2" xfId="22789"/>
    <cellStyle name="40% - Accent5 3 2 5" xfId="22790"/>
    <cellStyle name="40% - Accent5 3 3" xfId="496"/>
    <cellStyle name="40% - Accent5 3 3 2" xfId="497"/>
    <cellStyle name="40% - Accent5 3 3 2 2" xfId="14804"/>
    <cellStyle name="40% - Accent5 3 3 2 2 2" xfId="22791"/>
    <cellStyle name="40% - Accent5 3 3 2 3" xfId="22792"/>
    <cellStyle name="40% - Accent5 3 3 3" xfId="14805"/>
    <cellStyle name="40% - Accent5 3 3 3 2" xfId="22793"/>
    <cellStyle name="40% - Accent5 3 3 4" xfId="22794"/>
    <cellStyle name="40% - Accent5 3 4" xfId="498"/>
    <cellStyle name="40% - Accent5 3 4 2" xfId="14806"/>
    <cellStyle name="40% - Accent5 3 4 2 2" xfId="22795"/>
    <cellStyle name="40% - Accent5 3 4 3" xfId="22796"/>
    <cellStyle name="40% - Accent5 3 5" xfId="14807"/>
    <cellStyle name="40% - Accent5 3 5 2" xfId="22797"/>
    <cellStyle name="40% - Accent5 3 6" xfId="22798"/>
    <cellStyle name="40% - Accent5 4" xfId="499"/>
    <cellStyle name="40% - Accent5 4 2" xfId="500"/>
    <cellStyle name="40% - Accent5 4 2 2" xfId="501"/>
    <cellStyle name="40% - Accent5 4 2 2 2" xfId="502"/>
    <cellStyle name="40% - Accent5 4 2 2 2 2" xfId="14808"/>
    <cellStyle name="40% - Accent5 4 2 2 2 2 2" xfId="22799"/>
    <cellStyle name="40% - Accent5 4 2 2 2 3" xfId="22800"/>
    <cellStyle name="40% - Accent5 4 2 2 3" xfId="14809"/>
    <cellStyle name="40% - Accent5 4 2 2 3 2" xfId="22801"/>
    <cellStyle name="40% - Accent5 4 2 2 4" xfId="22802"/>
    <cellStyle name="40% - Accent5 4 2 3" xfId="503"/>
    <cellStyle name="40% - Accent5 4 2 3 2" xfId="14810"/>
    <cellStyle name="40% - Accent5 4 2 3 2 2" xfId="22803"/>
    <cellStyle name="40% - Accent5 4 2 3 3" xfId="22804"/>
    <cellStyle name="40% - Accent5 4 2 4" xfId="14811"/>
    <cellStyle name="40% - Accent5 4 2 4 2" xfId="22805"/>
    <cellStyle name="40% - Accent5 4 2 5" xfId="22806"/>
    <cellStyle name="40% - Accent5 4 3" xfId="504"/>
    <cellStyle name="40% - Accent5 4 3 2" xfId="505"/>
    <cellStyle name="40% - Accent5 4 3 2 2" xfId="14812"/>
    <cellStyle name="40% - Accent5 4 3 2 2 2" xfId="22807"/>
    <cellStyle name="40% - Accent5 4 3 2 3" xfId="22808"/>
    <cellStyle name="40% - Accent5 4 3 3" xfId="14813"/>
    <cellStyle name="40% - Accent5 4 3 3 2" xfId="22809"/>
    <cellStyle name="40% - Accent5 4 3 4" xfId="22810"/>
    <cellStyle name="40% - Accent5 4 4" xfId="506"/>
    <cellStyle name="40% - Accent5 4 4 2" xfId="14814"/>
    <cellStyle name="40% - Accent5 4 4 2 2" xfId="22811"/>
    <cellStyle name="40% - Accent5 4 4 3" xfId="22812"/>
    <cellStyle name="40% - Accent5 4 5" xfId="14815"/>
    <cellStyle name="40% - Accent5 4 5 2" xfId="22813"/>
    <cellStyle name="40% - Accent5 4 6" xfId="22814"/>
    <cellStyle name="40% - Accent5 5" xfId="507"/>
    <cellStyle name="40% - Accent5 5 2" xfId="508"/>
    <cellStyle name="40% - Accent5 5 2 2" xfId="509"/>
    <cellStyle name="40% - Accent5 5 2 2 2" xfId="510"/>
    <cellStyle name="40% - Accent5 5 2 2 2 2" xfId="14816"/>
    <cellStyle name="40% - Accent5 5 2 2 2 2 2" xfId="22815"/>
    <cellStyle name="40% - Accent5 5 2 2 2 3" xfId="22816"/>
    <cellStyle name="40% - Accent5 5 2 2 3" xfId="14817"/>
    <cellStyle name="40% - Accent5 5 2 2 3 2" xfId="22817"/>
    <cellStyle name="40% - Accent5 5 2 2 4" xfId="22818"/>
    <cellStyle name="40% - Accent5 5 2 3" xfId="511"/>
    <cellStyle name="40% - Accent5 5 2 3 2" xfId="14818"/>
    <cellStyle name="40% - Accent5 5 2 3 2 2" xfId="22819"/>
    <cellStyle name="40% - Accent5 5 2 3 3" xfId="22820"/>
    <cellStyle name="40% - Accent5 5 2 4" xfId="14819"/>
    <cellStyle name="40% - Accent5 5 2 4 2" xfId="22821"/>
    <cellStyle name="40% - Accent5 5 2 5" xfId="22822"/>
    <cellStyle name="40% - Accent5 5 3" xfId="512"/>
    <cellStyle name="40% - Accent5 5 3 2" xfId="513"/>
    <cellStyle name="40% - Accent5 5 3 2 2" xfId="14820"/>
    <cellStyle name="40% - Accent5 5 3 2 2 2" xfId="22823"/>
    <cellStyle name="40% - Accent5 5 3 2 3" xfId="22824"/>
    <cellStyle name="40% - Accent5 5 3 3" xfId="14821"/>
    <cellStyle name="40% - Accent5 5 3 3 2" xfId="22825"/>
    <cellStyle name="40% - Accent5 5 3 4" xfId="22826"/>
    <cellStyle name="40% - Accent5 5 4" xfId="514"/>
    <cellStyle name="40% - Accent5 5 4 2" xfId="14822"/>
    <cellStyle name="40% - Accent5 5 4 2 2" xfId="22827"/>
    <cellStyle name="40% - Accent5 5 4 3" xfId="22828"/>
    <cellStyle name="40% - Accent5 5 5" xfId="14823"/>
    <cellStyle name="40% - Accent5 5 5 2" xfId="22829"/>
    <cellStyle name="40% - Accent5 5 6" xfId="22830"/>
    <cellStyle name="40% - Accent5 6" xfId="515"/>
    <cellStyle name="40% - Accent6 2" xfId="516"/>
    <cellStyle name="40% - Accent6 2 2" xfId="517"/>
    <cellStyle name="40% - Accent6 2 2 2" xfId="518"/>
    <cellStyle name="40% - Accent6 2 2 2 2" xfId="519"/>
    <cellStyle name="40% - Accent6 2 2 2 2 2" xfId="14824"/>
    <cellStyle name="40% - Accent6 2 2 2 2 2 2" xfId="22831"/>
    <cellStyle name="40% - Accent6 2 2 2 2 3" xfId="22832"/>
    <cellStyle name="40% - Accent6 2 2 2 3" xfId="14825"/>
    <cellStyle name="40% - Accent6 2 2 2 3 2" xfId="22833"/>
    <cellStyle name="40% - Accent6 2 2 2 4" xfId="22834"/>
    <cellStyle name="40% - Accent6 2 2 3" xfId="520"/>
    <cellStyle name="40% - Accent6 2 2 3 2" xfId="14826"/>
    <cellStyle name="40% - Accent6 2 2 3 2 2" xfId="22835"/>
    <cellStyle name="40% - Accent6 2 2 3 3" xfId="22836"/>
    <cellStyle name="40% - Accent6 2 2 4" xfId="14827"/>
    <cellStyle name="40% - Accent6 2 2 4 2" xfId="22837"/>
    <cellStyle name="40% - Accent6 2 2 5" xfId="22838"/>
    <cellStyle name="40% - Accent6 2 3" xfId="521"/>
    <cellStyle name="40% - Accent6 2 3 2" xfId="522"/>
    <cellStyle name="40% - Accent6 2 3 2 2" xfId="14828"/>
    <cellStyle name="40% - Accent6 2 3 2 2 2" xfId="22839"/>
    <cellStyle name="40% - Accent6 2 3 2 3" xfId="22840"/>
    <cellStyle name="40% - Accent6 2 3 3" xfId="14829"/>
    <cellStyle name="40% - Accent6 2 3 3 2" xfId="22841"/>
    <cellStyle name="40% - Accent6 2 3 4" xfId="22842"/>
    <cellStyle name="40% - Accent6 2 4" xfId="523"/>
    <cellStyle name="40% - Accent6 2 4 2" xfId="524"/>
    <cellStyle name="40% - Accent6 2 4 2 2" xfId="14830"/>
    <cellStyle name="40% - Accent6 2 4 2 2 2" xfId="22843"/>
    <cellStyle name="40% - Accent6 2 4 2 3" xfId="22844"/>
    <cellStyle name="40% - Accent6 2 4 3" xfId="14831"/>
    <cellStyle name="40% - Accent6 2 4 3 2" xfId="22845"/>
    <cellStyle name="40% - Accent6 2 4 4" xfId="22846"/>
    <cellStyle name="40% - Accent6 2 5" xfId="525"/>
    <cellStyle name="40% - Accent6 2 5 2" xfId="14832"/>
    <cellStyle name="40% - Accent6 2 5 2 2" xfId="22847"/>
    <cellStyle name="40% - Accent6 2 5 3" xfId="22848"/>
    <cellStyle name="40% - Accent6 2 6" xfId="14833"/>
    <cellStyle name="40% - Accent6 2 6 2" xfId="22849"/>
    <cellStyle name="40% - Accent6 2 7" xfId="22850"/>
    <cellStyle name="40% - Accent6 3" xfId="526"/>
    <cellStyle name="40% - Accent6 3 2" xfId="527"/>
    <cellStyle name="40% - Accent6 3 2 2" xfId="528"/>
    <cellStyle name="40% - Accent6 3 2 2 2" xfId="529"/>
    <cellStyle name="40% - Accent6 3 2 2 2 2" xfId="14834"/>
    <cellStyle name="40% - Accent6 3 2 2 2 2 2" xfId="22851"/>
    <cellStyle name="40% - Accent6 3 2 2 2 3" xfId="22852"/>
    <cellStyle name="40% - Accent6 3 2 2 3" xfId="14835"/>
    <cellStyle name="40% - Accent6 3 2 2 3 2" xfId="22853"/>
    <cellStyle name="40% - Accent6 3 2 2 4" xfId="22854"/>
    <cellStyle name="40% - Accent6 3 2 3" xfId="530"/>
    <cellStyle name="40% - Accent6 3 2 3 2" xfId="14836"/>
    <cellStyle name="40% - Accent6 3 2 3 2 2" xfId="22855"/>
    <cellStyle name="40% - Accent6 3 2 3 3" xfId="22856"/>
    <cellStyle name="40% - Accent6 3 2 4" xfId="14837"/>
    <cellStyle name="40% - Accent6 3 2 4 2" xfId="22857"/>
    <cellStyle name="40% - Accent6 3 2 5" xfId="22858"/>
    <cellStyle name="40% - Accent6 3 3" xfId="531"/>
    <cellStyle name="40% - Accent6 3 3 2" xfId="532"/>
    <cellStyle name="40% - Accent6 3 3 2 2" xfId="14838"/>
    <cellStyle name="40% - Accent6 3 3 2 2 2" xfId="22859"/>
    <cellStyle name="40% - Accent6 3 3 2 3" xfId="22860"/>
    <cellStyle name="40% - Accent6 3 3 3" xfId="14839"/>
    <cellStyle name="40% - Accent6 3 3 3 2" xfId="22861"/>
    <cellStyle name="40% - Accent6 3 3 4" xfId="22862"/>
    <cellStyle name="40% - Accent6 3 4" xfId="533"/>
    <cellStyle name="40% - Accent6 3 4 2" xfId="14840"/>
    <cellStyle name="40% - Accent6 3 4 2 2" xfId="22863"/>
    <cellStyle name="40% - Accent6 3 4 3" xfId="22864"/>
    <cellStyle name="40% - Accent6 3 5" xfId="14841"/>
    <cellStyle name="40% - Accent6 3 5 2" xfId="22865"/>
    <cellStyle name="40% - Accent6 3 6" xfId="22866"/>
    <cellStyle name="40% - Accent6 4" xfId="534"/>
    <cellStyle name="40% - Accent6 4 2" xfId="535"/>
    <cellStyle name="40% - Accent6 4 2 2" xfId="536"/>
    <cellStyle name="40% - Accent6 4 2 2 2" xfId="537"/>
    <cellStyle name="40% - Accent6 4 2 2 2 2" xfId="14842"/>
    <cellStyle name="40% - Accent6 4 2 2 2 2 2" xfId="22867"/>
    <cellStyle name="40% - Accent6 4 2 2 2 3" xfId="22868"/>
    <cellStyle name="40% - Accent6 4 2 2 3" xfId="14843"/>
    <cellStyle name="40% - Accent6 4 2 2 3 2" xfId="22869"/>
    <cellStyle name="40% - Accent6 4 2 2 4" xfId="22870"/>
    <cellStyle name="40% - Accent6 4 2 3" xfId="538"/>
    <cellStyle name="40% - Accent6 4 2 3 2" xfId="14844"/>
    <cellStyle name="40% - Accent6 4 2 3 2 2" xfId="22871"/>
    <cellStyle name="40% - Accent6 4 2 3 3" xfId="22872"/>
    <cellStyle name="40% - Accent6 4 2 4" xfId="14845"/>
    <cellStyle name="40% - Accent6 4 2 4 2" xfId="22873"/>
    <cellStyle name="40% - Accent6 4 2 5" xfId="22874"/>
    <cellStyle name="40% - Accent6 4 3" xfId="539"/>
    <cellStyle name="40% - Accent6 4 3 2" xfId="540"/>
    <cellStyle name="40% - Accent6 4 3 2 2" xfId="14846"/>
    <cellStyle name="40% - Accent6 4 3 2 2 2" xfId="22875"/>
    <cellStyle name="40% - Accent6 4 3 2 3" xfId="22876"/>
    <cellStyle name="40% - Accent6 4 3 3" xfId="14847"/>
    <cellStyle name="40% - Accent6 4 3 3 2" xfId="22877"/>
    <cellStyle name="40% - Accent6 4 3 4" xfId="22878"/>
    <cellStyle name="40% - Accent6 4 4" xfId="541"/>
    <cellStyle name="40% - Accent6 4 4 2" xfId="14848"/>
    <cellStyle name="40% - Accent6 4 4 2 2" xfId="22879"/>
    <cellStyle name="40% - Accent6 4 4 3" xfId="22880"/>
    <cellStyle name="40% - Accent6 4 5" xfId="14849"/>
    <cellStyle name="40% - Accent6 4 5 2" xfId="22881"/>
    <cellStyle name="40% - Accent6 4 6" xfId="22882"/>
    <cellStyle name="40% - Accent6 5" xfId="542"/>
    <cellStyle name="40% - Accent6 5 2" xfId="543"/>
    <cellStyle name="40% - Accent6 5 2 2" xfId="544"/>
    <cellStyle name="40% - Accent6 5 2 2 2" xfId="545"/>
    <cellStyle name="40% - Accent6 5 2 2 2 2" xfId="14850"/>
    <cellStyle name="40% - Accent6 5 2 2 2 2 2" xfId="22883"/>
    <cellStyle name="40% - Accent6 5 2 2 2 3" xfId="22884"/>
    <cellStyle name="40% - Accent6 5 2 2 3" xfId="14851"/>
    <cellStyle name="40% - Accent6 5 2 2 3 2" xfId="22885"/>
    <cellStyle name="40% - Accent6 5 2 2 4" xfId="22886"/>
    <cellStyle name="40% - Accent6 5 2 3" xfId="546"/>
    <cellStyle name="40% - Accent6 5 2 3 2" xfId="14852"/>
    <cellStyle name="40% - Accent6 5 2 3 2 2" xfId="22887"/>
    <cellStyle name="40% - Accent6 5 2 3 3" xfId="22888"/>
    <cellStyle name="40% - Accent6 5 2 4" xfId="14853"/>
    <cellStyle name="40% - Accent6 5 2 4 2" xfId="22889"/>
    <cellStyle name="40% - Accent6 5 2 5" xfId="22890"/>
    <cellStyle name="40% - Accent6 5 3" xfId="547"/>
    <cellStyle name="40% - Accent6 5 3 2" xfId="548"/>
    <cellStyle name="40% - Accent6 5 3 2 2" xfId="14854"/>
    <cellStyle name="40% - Accent6 5 3 2 2 2" xfId="22891"/>
    <cellStyle name="40% - Accent6 5 3 2 3" xfId="22892"/>
    <cellStyle name="40% - Accent6 5 3 3" xfId="14855"/>
    <cellStyle name="40% - Accent6 5 3 3 2" xfId="22893"/>
    <cellStyle name="40% - Accent6 5 3 4" xfId="22894"/>
    <cellStyle name="40% - Accent6 5 4" xfId="549"/>
    <cellStyle name="40% - Accent6 5 4 2" xfId="14856"/>
    <cellStyle name="40% - Accent6 5 4 2 2" xfId="22895"/>
    <cellStyle name="40% - Accent6 5 4 3" xfId="22896"/>
    <cellStyle name="40% - Accent6 5 5" xfId="14857"/>
    <cellStyle name="40% - Accent6 5 5 2" xfId="22897"/>
    <cellStyle name="40% - Accent6 5 6" xfId="22898"/>
    <cellStyle name="40% - Accent6 6" xfId="550"/>
    <cellStyle name="60% - Accent1 2" xfId="551"/>
    <cellStyle name="60% - Accent1 3" xfId="552"/>
    <cellStyle name="60% - Accent1 4" xfId="553"/>
    <cellStyle name="60% - Accent1 5" xfId="554"/>
    <cellStyle name="60% - Accent1 6" xfId="555"/>
    <cellStyle name="60% - Accent2 2" xfId="556"/>
    <cellStyle name="60% - Accent2 3" xfId="557"/>
    <cellStyle name="60% - Accent2 4" xfId="558"/>
    <cellStyle name="60% - Accent2 5" xfId="559"/>
    <cellStyle name="60% - Accent2 6" xfId="560"/>
    <cellStyle name="60% - Accent3 2" xfId="561"/>
    <cellStyle name="60% - Accent3 3" xfId="562"/>
    <cellStyle name="60% - Accent3 4" xfId="563"/>
    <cellStyle name="60% - Accent3 5" xfId="564"/>
    <cellStyle name="60% - Accent3 6" xfId="565"/>
    <cellStyle name="60% - Accent4 2" xfId="566"/>
    <cellStyle name="60% - Accent4 3" xfId="567"/>
    <cellStyle name="60% - Accent4 4" xfId="568"/>
    <cellStyle name="60% - Accent4 5" xfId="569"/>
    <cellStyle name="60% - Accent4 6" xfId="570"/>
    <cellStyle name="60% - Accent5 2" xfId="571"/>
    <cellStyle name="60% - Accent5 3" xfId="572"/>
    <cellStyle name="60% - Accent5 4" xfId="573"/>
    <cellStyle name="60% - Accent5 5" xfId="574"/>
    <cellStyle name="60% - Accent5 6" xfId="575"/>
    <cellStyle name="60% - Accent6 2" xfId="576"/>
    <cellStyle name="60% - Accent6 3" xfId="577"/>
    <cellStyle name="60% - Accent6 4" xfId="578"/>
    <cellStyle name="60% - Accent6 5" xfId="579"/>
    <cellStyle name="60% - Accent6 6" xfId="580"/>
    <cellStyle name="Accent1 2" xfId="581"/>
    <cellStyle name="Accent1 3" xfId="582"/>
    <cellStyle name="Accent1 4" xfId="583"/>
    <cellStyle name="Accent1 5" xfId="584"/>
    <cellStyle name="Accent1 6" xfId="585"/>
    <cellStyle name="Accent2 2" xfId="586"/>
    <cellStyle name="Accent2 3" xfId="587"/>
    <cellStyle name="Accent2 4" xfId="588"/>
    <cellStyle name="Accent2 5" xfId="589"/>
    <cellStyle name="Accent2 6" xfId="590"/>
    <cellStyle name="Accent3 2" xfId="591"/>
    <cellStyle name="Accent3 3" xfId="592"/>
    <cellStyle name="Accent3 4" xfId="593"/>
    <cellStyle name="Accent3 5" xfId="594"/>
    <cellStyle name="Accent3 6" xfId="595"/>
    <cellStyle name="Accent4 2" xfId="596"/>
    <cellStyle name="Accent4 3" xfId="597"/>
    <cellStyle name="Accent4 4" xfId="598"/>
    <cellStyle name="Accent4 5" xfId="599"/>
    <cellStyle name="Accent4 6" xfId="600"/>
    <cellStyle name="Accent5 2" xfId="601"/>
    <cellStyle name="Accent5 3" xfId="602"/>
    <cellStyle name="Accent5 4" xfId="603"/>
    <cellStyle name="Accent5 5" xfId="604"/>
    <cellStyle name="Accent5 6" xfId="605"/>
    <cellStyle name="Accent6 2" xfId="606"/>
    <cellStyle name="Accent6 3" xfId="607"/>
    <cellStyle name="Accent6 4" xfId="608"/>
    <cellStyle name="Accent6 5" xfId="609"/>
    <cellStyle name="Accent6 6" xfId="610"/>
    <cellStyle name="Account No." xfId="611"/>
    <cellStyle name="Account No. 2" xfId="612"/>
    <cellStyle name="adj detail" xfId="613"/>
    <cellStyle name="Allocated" xfId="614"/>
    <cellStyle name="Bad 2" xfId="615"/>
    <cellStyle name="Bad 3" xfId="616"/>
    <cellStyle name="Bad 4" xfId="617"/>
    <cellStyle name="Bad 5" xfId="618"/>
    <cellStyle name="Bad 6" xfId="619"/>
    <cellStyle name="blp_column_header" xfId="620"/>
    <cellStyle name="Calculation 2" xfId="621"/>
    <cellStyle name="Calculation 3" xfId="622"/>
    <cellStyle name="Calculation 4" xfId="623"/>
    <cellStyle name="Calculation 5" xfId="624"/>
    <cellStyle name="Calculation 6" xfId="625"/>
    <cellStyle name="ChartingText" xfId="626"/>
    <cellStyle name="Check Cell 2" xfId="627"/>
    <cellStyle name="Check Cell 3" xfId="628"/>
    <cellStyle name="Check Cell 4" xfId="629"/>
    <cellStyle name="Check Cell 5" xfId="630"/>
    <cellStyle name="Check Cell 6" xfId="631"/>
    <cellStyle name="CHPTop" xfId="632"/>
    <cellStyle name="Col Cent" xfId="633"/>
    <cellStyle name="Col Cent Across" xfId="634"/>
    <cellStyle name="Col Head Cent" xfId="635"/>
    <cellStyle name="Col Head Cent 2" xfId="636"/>
    <cellStyle name="Col Head Cent 2 2" xfId="22899"/>
    <cellStyle name="Col Head Cent 3" xfId="637"/>
    <cellStyle name="Col Head Cent 3 2" xfId="22900"/>
    <cellStyle name="Col Head Cent 4" xfId="638"/>
    <cellStyle name="Col Head Cent 4 2" xfId="22901"/>
    <cellStyle name="Col Head Cent 5" xfId="22902"/>
    <cellStyle name="ColumnHeaderNormal" xfId="6"/>
    <cellStyle name="Comma" xfId="33732" builtinId="3"/>
    <cellStyle name="Comma [0] 2" xfId="639"/>
    <cellStyle name="Comma 10" xfId="640"/>
    <cellStyle name="Comma 11" xfId="641"/>
    <cellStyle name="Comma 12" xfId="642"/>
    <cellStyle name="Comma 13" xfId="643"/>
    <cellStyle name="Comma 14" xfId="644"/>
    <cellStyle name="Comma 15" xfId="645"/>
    <cellStyle name="Comma 16" xfId="646"/>
    <cellStyle name="Comma 17" xfId="647"/>
    <cellStyle name="Comma 18" xfId="648"/>
    <cellStyle name="Comma 18 2" xfId="649"/>
    <cellStyle name="Comma 18 2 2" xfId="650"/>
    <cellStyle name="Comma 18 2 3" xfId="651"/>
    <cellStyle name="Comma 18 2 3 2" xfId="14858"/>
    <cellStyle name="Comma 18 2 3 2 2" xfId="22903"/>
    <cellStyle name="Comma 18 2 3 3" xfId="22904"/>
    <cellStyle name="Comma 18 2 4" xfId="14859"/>
    <cellStyle name="Comma 18 2 4 2" xfId="14860"/>
    <cellStyle name="Comma 18 2 4 2 2" xfId="22905"/>
    <cellStyle name="Comma 18 2 4 3" xfId="22906"/>
    <cellStyle name="Comma 18 2 5" xfId="14861"/>
    <cellStyle name="Comma 18 2 5 2" xfId="22907"/>
    <cellStyle name="Comma 18 2 6" xfId="22908"/>
    <cellStyle name="Comma 18 3" xfId="652"/>
    <cellStyle name="Comma 18 4" xfId="14862"/>
    <cellStyle name="Comma 18 4 2" xfId="22909"/>
    <cellStyle name="Comma 19" xfId="653"/>
    <cellStyle name="Comma 2" xfId="7"/>
    <cellStyle name="Comma 2 10" xfId="122"/>
    <cellStyle name="Comma 2 10 2" xfId="654"/>
    <cellStyle name="Comma 2 10 2 2" xfId="655"/>
    <cellStyle name="Comma 2 10 3" xfId="656"/>
    <cellStyle name="Comma 2 10 3 2" xfId="657"/>
    <cellStyle name="Comma 2 10 4" xfId="14863"/>
    <cellStyle name="Comma 2 100" xfId="658"/>
    <cellStyle name="Comma 2 101" xfId="659"/>
    <cellStyle name="Comma 2 102" xfId="660"/>
    <cellStyle name="Comma 2 103" xfId="661"/>
    <cellStyle name="Comma 2 104" xfId="662"/>
    <cellStyle name="Comma 2 105" xfId="663"/>
    <cellStyle name="Comma 2 106" xfId="664"/>
    <cellStyle name="Comma 2 106 2" xfId="665"/>
    <cellStyle name="Comma 2 106 3" xfId="33622"/>
    <cellStyle name="Comma 2 106 3 2" xfId="33678"/>
    <cellStyle name="Comma 2 106 3 2 2" xfId="33716"/>
    <cellStyle name="Comma 2 106 3 4" xfId="33698"/>
    <cellStyle name="Comma 2 106 4" xfId="33686"/>
    <cellStyle name="Comma 2 106 4 2" xfId="33712"/>
    <cellStyle name="Comma 2 106 4 3" xfId="33752"/>
    <cellStyle name="Comma 2 107" xfId="666"/>
    <cellStyle name="Comma 2 107 2" xfId="667"/>
    <cellStyle name="Comma 2 108" xfId="668"/>
    <cellStyle name="Comma 2 108 2" xfId="669"/>
    <cellStyle name="Comma 2 109" xfId="670"/>
    <cellStyle name="Comma 2 109 2" xfId="671"/>
    <cellStyle name="Comma 2 11" xfId="672"/>
    <cellStyle name="Comma 2 11 2" xfId="673"/>
    <cellStyle name="Comma 2 11 2 2" xfId="674"/>
    <cellStyle name="Comma 2 11 3" xfId="675"/>
    <cellStyle name="Comma 2 11 3 2" xfId="676"/>
    <cellStyle name="Comma 2 11 4" xfId="14864"/>
    <cellStyle name="Comma 2 110" xfId="677"/>
    <cellStyle name="Comma 2 110 2" xfId="678"/>
    <cellStyle name="Comma 2 111" xfId="679"/>
    <cellStyle name="Comma 2 111 2" xfId="680"/>
    <cellStyle name="Comma 2 112" xfId="681"/>
    <cellStyle name="Comma 2 112 2" xfId="682"/>
    <cellStyle name="Comma 2 113" xfId="683"/>
    <cellStyle name="Comma 2 113 2" xfId="684"/>
    <cellStyle name="Comma 2 114" xfId="685"/>
    <cellStyle name="Comma 2 114 2" xfId="686"/>
    <cellStyle name="Comma 2 115" xfId="687"/>
    <cellStyle name="Comma 2 115 2" xfId="688"/>
    <cellStyle name="Comma 2 116" xfId="689"/>
    <cellStyle name="Comma 2 116 2" xfId="690"/>
    <cellStyle name="Comma 2 117" xfId="691"/>
    <cellStyle name="Comma 2 117 2" xfId="692"/>
    <cellStyle name="Comma 2 118" xfId="693"/>
    <cellStyle name="Comma 2 119" xfId="694"/>
    <cellStyle name="Comma 2 12" xfId="695"/>
    <cellStyle name="Comma 2 12 2" xfId="696"/>
    <cellStyle name="Comma 2 12 2 2" xfId="697"/>
    <cellStyle name="Comma 2 12 3" xfId="698"/>
    <cellStyle name="Comma 2 12 3 2" xfId="699"/>
    <cellStyle name="Comma 2 12 4" xfId="14865"/>
    <cellStyle name="Comma 2 120" xfId="700"/>
    <cellStyle name="Comma 2 121" xfId="701"/>
    <cellStyle name="Comma 2 122" xfId="702"/>
    <cellStyle name="Comma 2 122 2" xfId="703"/>
    <cellStyle name="Comma 2 123" xfId="704"/>
    <cellStyle name="Comma 2 123 2" xfId="705"/>
    <cellStyle name="Comma 2 124" xfId="706"/>
    <cellStyle name="Comma 2 124 2" xfId="707"/>
    <cellStyle name="Comma 2 125" xfId="708"/>
    <cellStyle name="Comma 2 125 2" xfId="709"/>
    <cellStyle name="Comma 2 126" xfId="710"/>
    <cellStyle name="Comma 2 126 2" xfId="711"/>
    <cellStyle name="Comma 2 127" xfId="712"/>
    <cellStyle name="Comma 2 127 2" xfId="713"/>
    <cellStyle name="Comma 2 128" xfId="714"/>
    <cellStyle name="Comma 2 128 2" xfId="715"/>
    <cellStyle name="Comma 2 129" xfId="716"/>
    <cellStyle name="Comma 2 129 2" xfId="717"/>
    <cellStyle name="Comma 2 13" xfId="718"/>
    <cellStyle name="Comma 2 13 2" xfId="719"/>
    <cellStyle name="Comma 2 13 2 2" xfId="720"/>
    <cellStyle name="Comma 2 13 3" xfId="721"/>
    <cellStyle name="Comma 2 13 3 2" xfId="722"/>
    <cellStyle name="Comma 2 13 4" xfId="14866"/>
    <cellStyle name="Comma 2 130" xfId="723"/>
    <cellStyle name="Comma 2 130 2" xfId="724"/>
    <cellStyle name="Comma 2 131" xfId="725"/>
    <cellStyle name="Comma 2 131 2" xfId="726"/>
    <cellStyle name="Comma 2 132" xfId="727"/>
    <cellStyle name="Comma 2 132 2" xfId="728"/>
    <cellStyle name="Comma 2 133" xfId="729"/>
    <cellStyle name="Comma 2 133 2" xfId="730"/>
    <cellStyle name="Comma 2 134" xfId="731"/>
    <cellStyle name="Comma 2 134 2" xfId="732"/>
    <cellStyle name="Comma 2 135" xfId="733"/>
    <cellStyle name="Comma 2 135 2" xfId="734"/>
    <cellStyle name="Comma 2 136" xfId="735"/>
    <cellStyle name="Comma 2 136 2" xfId="736"/>
    <cellStyle name="Comma 2 137" xfId="737"/>
    <cellStyle name="Comma 2 137 2" xfId="738"/>
    <cellStyle name="Comma 2 138" xfId="739"/>
    <cellStyle name="Comma 2 138 2" xfId="740"/>
    <cellStyle name="Comma 2 139" xfId="741"/>
    <cellStyle name="Comma 2 139 2" xfId="742"/>
    <cellStyle name="Comma 2 14" xfId="743"/>
    <cellStyle name="Comma 2 14 2" xfId="744"/>
    <cellStyle name="Comma 2 14 2 2" xfId="745"/>
    <cellStyle name="Comma 2 14 3" xfId="746"/>
    <cellStyle name="Comma 2 14 3 2" xfId="747"/>
    <cellStyle name="Comma 2 14 4" xfId="14867"/>
    <cellStyle name="Comma 2 140" xfId="748"/>
    <cellStyle name="Comma 2 140 2" xfId="749"/>
    <cellStyle name="Comma 2 141" xfId="750"/>
    <cellStyle name="Comma 2 141 2" xfId="751"/>
    <cellStyle name="Comma 2 142" xfId="752"/>
    <cellStyle name="Comma 2 142 2" xfId="753"/>
    <cellStyle name="Comma 2 143" xfId="754"/>
    <cellStyle name="Comma 2 143 2" xfId="755"/>
    <cellStyle name="Comma 2 144" xfId="756"/>
    <cellStyle name="Comma 2 145" xfId="757"/>
    <cellStyle name="Comma 2 146" xfId="758"/>
    <cellStyle name="Comma 2 146 2" xfId="759"/>
    <cellStyle name="Comma 2 147" xfId="760"/>
    <cellStyle name="Comma 2 147 2" xfId="761"/>
    <cellStyle name="Comma 2 148" xfId="762"/>
    <cellStyle name="Comma 2 148 2" xfId="763"/>
    <cellStyle name="Comma 2 149" xfId="764"/>
    <cellStyle name="Comma 2 149 2" xfId="765"/>
    <cellStyle name="Comma 2 15" xfId="766"/>
    <cellStyle name="Comma 2 15 2" xfId="767"/>
    <cellStyle name="Comma 2 15 2 2" xfId="768"/>
    <cellStyle name="Comma 2 15 3" xfId="769"/>
    <cellStyle name="Comma 2 15 3 2" xfId="770"/>
    <cellStyle name="Comma 2 15 4" xfId="14868"/>
    <cellStyle name="Comma 2 150" xfId="771"/>
    <cellStyle name="Comma 2 150 2" xfId="772"/>
    <cellStyle name="Comma 2 151" xfId="773"/>
    <cellStyle name="Comma 2 152" xfId="774"/>
    <cellStyle name="Comma 2 152 2" xfId="775"/>
    <cellStyle name="Comma 2 153" xfId="776"/>
    <cellStyle name="Comma 2 154" xfId="777"/>
    <cellStyle name="Comma 2 155" xfId="14869"/>
    <cellStyle name="Comma 2 156" xfId="33761"/>
    <cellStyle name="Comma 2 16" xfId="778"/>
    <cellStyle name="Comma 2 16 2" xfId="779"/>
    <cellStyle name="Comma 2 16 2 2" xfId="780"/>
    <cellStyle name="Comma 2 16 3" xfId="781"/>
    <cellStyle name="Comma 2 16 3 2" xfId="782"/>
    <cellStyle name="Comma 2 16 4" xfId="14870"/>
    <cellStyle name="Comma 2 17" xfId="783"/>
    <cellStyle name="Comma 2 17 2" xfId="784"/>
    <cellStyle name="Comma 2 17 2 2" xfId="785"/>
    <cellStyle name="Comma 2 17 3" xfId="14871"/>
    <cellStyle name="Comma 2 18" xfId="786"/>
    <cellStyle name="Comma 2 18 2" xfId="787"/>
    <cellStyle name="Comma 2 18 3" xfId="14872"/>
    <cellStyle name="Comma 2 19" xfId="788"/>
    <cellStyle name="Comma 2 19 2" xfId="789"/>
    <cellStyle name="Comma 2 19 3" xfId="14873"/>
    <cellStyle name="Comma 2 2" xfId="790"/>
    <cellStyle name="Comma 2 2 10" xfId="791"/>
    <cellStyle name="Comma 2 2 10 2" xfId="792"/>
    <cellStyle name="Comma 2 2 11" xfId="793"/>
    <cellStyle name="Comma 2 2 11 2" xfId="794"/>
    <cellStyle name="Comma 2 2 12" xfId="795"/>
    <cellStyle name="Comma 2 2 12 2" xfId="796"/>
    <cellStyle name="Comma 2 2 12 2 2" xfId="797"/>
    <cellStyle name="Comma 2 2 12 3" xfId="798"/>
    <cellStyle name="Comma 2 2 12 4" xfId="14874"/>
    <cellStyle name="Comma 2 2 12 5" xfId="14875"/>
    <cellStyle name="Comma 2 2 13" xfId="799"/>
    <cellStyle name="Comma 2 2 13 2" xfId="800"/>
    <cellStyle name="Comma 2 2 14" xfId="801"/>
    <cellStyle name="Comma 2 2 14 2" xfId="802"/>
    <cellStyle name="Comma 2 2 14 2 2" xfId="803"/>
    <cellStyle name="Comma 2 2 14 3" xfId="804"/>
    <cellStyle name="Comma 2 2 14 4" xfId="14876"/>
    <cellStyle name="Comma 2 2 14 5" xfId="14877"/>
    <cellStyle name="Comma 2 2 15" xfId="805"/>
    <cellStyle name="Comma 2 2 15 2" xfId="806"/>
    <cellStyle name="Comma 2 2 15 2 2" xfId="807"/>
    <cellStyle name="Comma 2 2 15 3" xfId="808"/>
    <cellStyle name="Comma 2 2 15 4" xfId="14878"/>
    <cellStyle name="Comma 2 2 15 5" xfId="14879"/>
    <cellStyle name="Comma 2 2 16" xfId="809"/>
    <cellStyle name="Comma 2 2 16 2" xfId="810"/>
    <cellStyle name="Comma 2 2 16 2 2" xfId="811"/>
    <cellStyle name="Comma 2 2 16 3" xfId="812"/>
    <cellStyle name="Comma 2 2 16 4" xfId="14880"/>
    <cellStyle name="Comma 2 2 16 5" xfId="14881"/>
    <cellStyle name="Comma 2 2 17" xfId="813"/>
    <cellStyle name="Comma 2 2 17 2" xfId="814"/>
    <cellStyle name="Comma 2 2 17 2 2" xfId="815"/>
    <cellStyle name="Comma 2 2 17 3" xfId="816"/>
    <cellStyle name="Comma 2 2 17 4" xfId="14882"/>
    <cellStyle name="Comma 2 2 17 5" xfId="14883"/>
    <cellStyle name="Comma 2 2 18" xfId="817"/>
    <cellStyle name="Comma 2 2 18 2" xfId="818"/>
    <cellStyle name="Comma 2 2 19" xfId="819"/>
    <cellStyle name="Comma 2 2 2" xfId="820"/>
    <cellStyle name="Comma 2 2 2 10" xfId="821"/>
    <cellStyle name="Comma 2 2 2 11" xfId="822"/>
    <cellStyle name="Comma 2 2 2 12" xfId="823"/>
    <cellStyle name="Comma 2 2 2 13" xfId="824"/>
    <cellStyle name="Comma 2 2 2 14" xfId="825"/>
    <cellStyle name="Comma 2 2 2 15" xfId="826"/>
    <cellStyle name="Comma 2 2 2 16" xfId="827"/>
    <cellStyle name="Comma 2 2 2 17" xfId="828"/>
    <cellStyle name="Comma 2 2 2 18" xfId="829"/>
    <cellStyle name="Comma 2 2 2 18 2" xfId="830"/>
    <cellStyle name="Comma 2 2 2 19" xfId="831"/>
    <cellStyle name="Comma 2 2 2 19 2" xfId="832"/>
    <cellStyle name="Comma 2 2 2 2" xfId="833"/>
    <cellStyle name="Comma 2 2 2 2 10" xfId="834"/>
    <cellStyle name="Comma 2 2 2 2 10 2" xfId="835"/>
    <cellStyle name="Comma 2 2 2 2 10 2 2" xfId="836"/>
    <cellStyle name="Comma 2 2 2 2 10 3" xfId="837"/>
    <cellStyle name="Comma 2 2 2 2 10 4" xfId="14884"/>
    <cellStyle name="Comma 2 2 2 2 10 5" xfId="14885"/>
    <cellStyle name="Comma 2 2 2 2 11" xfId="838"/>
    <cellStyle name="Comma 2 2 2 2 11 2" xfId="839"/>
    <cellStyle name="Comma 2 2 2 2 11 2 2" xfId="840"/>
    <cellStyle name="Comma 2 2 2 2 11 3" xfId="841"/>
    <cellStyle name="Comma 2 2 2 2 11 4" xfId="14886"/>
    <cellStyle name="Comma 2 2 2 2 11 5" xfId="14887"/>
    <cellStyle name="Comma 2 2 2 2 12" xfId="842"/>
    <cellStyle name="Comma 2 2 2 2 12 2" xfId="843"/>
    <cellStyle name="Comma 2 2 2 2 12 2 2" xfId="844"/>
    <cellStyle name="Comma 2 2 2 2 12 3" xfId="845"/>
    <cellStyle name="Comma 2 2 2 2 12 4" xfId="14888"/>
    <cellStyle name="Comma 2 2 2 2 12 5" xfId="14889"/>
    <cellStyle name="Comma 2 2 2 2 13" xfId="846"/>
    <cellStyle name="Comma 2 2 2 2 13 2" xfId="847"/>
    <cellStyle name="Comma 2 2 2 2 13 2 2" xfId="848"/>
    <cellStyle name="Comma 2 2 2 2 13 3" xfId="849"/>
    <cellStyle name="Comma 2 2 2 2 13 4" xfId="14890"/>
    <cellStyle name="Comma 2 2 2 2 13 5" xfId="14891"/>
    <cellStyle name="Comma 2 2 2 2 14" xfId="850"/>
    <cellStyle name="Comma 2 2 2 2 14 2" xfId="851"/>
    <cellStyle name="Comma 2 2 2 2 14 2 2" xfId="852"/>
    <cellStyle name="Comma 2 2 2 2 14 3" xfId="853"/>
    <cellStyle name="Comma 2 2 2 2 14 4" xfId="14892"/>
    <cellStyle name="Comma 2 2 2 2 14 5" xfId="14893"/>
    <cellStyle name="Comma 2 2 2 2 15" xfId="854"/>
    <cellStyle name="Comma 2 2 2 2 15 2" xfId="855"/>
    <cellStyle name="Comma 2 2 2 2 15 2 2" xfId="856"/>
    <cellStyle name="Comma 2 2 2 2 15 3" xfId="857"/>
    <cellStyle name="Comma 2 2 2 2 15 4" xfId="14894"/>
    <cellStyle name="Comma 2 2 2 2 15 5" xfId="14895"/>
    <cellStyle name="Comma 2 2 2 2 16" xfId="858"/>
    <cellStyle name="Comma 2 2 2 2 16 2" xfId="859"/>
    <cellStyle name="Comma 2 2 2 2 16 2 2" xfId="860"/>
    <cellStyle name="Comma 2 2 2 2 16 3" xfId="861"/>
    <cellStyle name="Comma 2 2 2 2 16 4" xfId="14896"/>
    <cellStyle name="Comma 2 2 2 2 17" xfId="862"/>
    <cellStyle name="Comma 2 2 2 2 17 2" xfId="863"/>
    <cellStyle name="Comma 2 2 2 2 17 2 2" xfId="864"/>
    <cellStyle name="Comma 2 2 2 2 17 3" xfId="865"/>
    <cellStyle name="Comma 2 2 2 2 17 4" xfId="14897"/>
    <cellStyle name="Comma 2 2 2 2 2" xfId="866"/>
    <cellStyle name="Comma 2 2 2 2 2 2" xfId="867"/>
    <cellStyle name="Comma 2 2 2 2 2 2 2" xfId="868"/>
    <cellStyle name="Comma 2 2 2 2 2 2 2 2" xfId="869"/>
    <cellStyle name="Comma 2 2 2 2 2 2 2 2 2" xfId="870"/>
    <cellStyle name="Comma 2 2 2 2 2 2 2 3" xfId="871"/>
    <cellStyle name="Comma 2 2 2 2 2 2 2 4" xfId="14898"/>
    <cellStyle name="Comma 2 2 2 2 2 2 2 5" xfId="14899"/>
    <cellStyle name="Comma 2 2 2 2 2 2 3" xfId="872"/>
    <cellStyle name="Comma 2 2 2 2 2 2 3 2" xfId="873"/>
    <cellStyle name="Comma 2 2 2 2 2 2 3 2 2" xfId="874"/>
    <cellStyle name="Comma 2 2 2 2 2 2 3 3" xfId="875"/>
    <cellStyle name="Comma 2 2 2 2 2 2 3 4" xfId="14900"/>
    <cellStyle name="Comma 2 2 2 2 2 2 3 5" xfId="14901"/>
    <cellStyle name="Comma 2 2 2 2 2 2 4" xfId="876"/>
    <cellStyle name="Comma 2 2 2 2 2 2 4 2" xfId="877"/>
    <cellStyle name="Comma 2 2 2 2 2 2 4 2 2" xfId="878"/>
    <cellStyle name="Comma 2 2 2 2 2 2 4 3" xfId="879"/>
    <cellStyle name="Comma 2 2 2 2 2 2 4 4" xfId="14902"/>
    <cellStyle name="Comma 2 2 2 2 2 2 4 5" xfId="14903"/>
    <cellStyle name="Comma 2 2 2 2 2 2 5" xfId="880"/>
    <cellStyle name="Comma 2 2 2 2 2 2 5 2" xfId="881"/>
    <cellStyle name="Comma 2 2 2 2 2 2 5 2 2" xfId="882"/>
    <cellStyle name="Comma 2 2 2 2 2 2 5 3" xfId="883"/>
    <cellStyle name="Comma 2 2 2 2 2 2 5 4" xfId="14904"/>
    <cellStyle name="Comma 2 2 2 2 2 2 5 5" xfId="14905"/>
    <cellStyle name="Comma 2 2 2 2 2 3" xfId="884"/>
    <cellStyle name="Comma 2 2 2 2 2 4" xfId="885"/>
    <cellStyle name="Comma 2 2 2 2 2 5" xfId="886"/>
    <cellStyle name="Comma 2 2 2 2 2 6" xfId="887"/>
    <cellStyle name="Comma 2 2 2 2 2 6 2" xfId="888"/>
    <cellStyle name="Comma 2 2 2 2 2 7" xfId="889"/>
    <cellStyle name="Comma 2 2 2 2 2 8" xfId="14906"/>
    <cellStyle name="Comma 2 2 2 2 2 9" xfId="14907"/>
    <cellStyle name="Comma 2 2 2 2 3" xfId="890"/>
    <cellStyle name="Comma 2 2 2 2 3 2" xfId="891"/>
    <cellStyle name="Comma 2 2 2 2 3 2 2" xfId="892"/>
    <cellStyle name="Comma 2 2 2 2 3 3" xfId="893"/>
    <cellStyle name="Comma 2 2 2 2 3 4" xfId="14908"/>
    <cellStyle name="Comma 2 2 2 2 3 5" xfId="14909"/>
    <cellStyle name="Comma 2 2 2 2 4" xfId="894"/>
    <cellStyle name="Comma 2 2 2 2 4 2" xfId="895"/>
    <cellStyle name="Comma 2 2 2 2 4 2 2" xfId="896"/>
    <cellStyle name="Comma 2 2 2 2 4 3" xfId="897"/>
    <cellStyle name="Comma 2 2 2 2 4 4" xfId="14910"/>
    <cellStyle name="Comma 2 2 2 2 4 5" xfId="14911"/>
    <cellStyle name="Comma 2 2 2 2 5" xfId="898"/>
    <cellStyle name="Comma 2 2 2 2 5 2" xfId="899"/>
    <cellStyle name="Comma 2 2 2 2 5 2 2" xfId="900"/>
    <cellStyle name="Comma 2 2 2 2 5 3" xfId="901"/>
    <cellStyle name="Comma 2 2 2 2 5 4" xfId="14912"/>
    <cellStyle name="Comma 2 2 2 2 5 5" xfId="14913"/>
    <cellStyle name="Comma 2 2 2 2 6" xfId="902"/>
    <cellStyle name="Comma 2 2 2 2 6 2" xfId="903"/>
    <cellStyle name="Comma 2 2 2 2 6 2 2" xfId="904"/>
    <cellStyle name="Comma 2 2 2 2 6 3" xfId="905"/>
    <cellStyle name="Comma 2 2 2 2 6 4" xfId="14914"/>
    <cellStyle name="Comma 2 2 2 2 6 5" xfId="14915"/>
    <cellStyle name="Comma 2 2 2 2 7" xfId="906"/>
    <cellStyle name="Comma 2 2 2 2 7 2" xfId="907"/>
    <cellStyle name="Comma 2 2 2 2 7 2 2" xfId="908"/>
    <cellStyle name="Comma 2 2 2 2 7 3" xfId="909"/>
    <cellStyle name="Comma 2 2 2 2 7 4" xfId="14916"/>
    <cellStyle name="Comma 2 2 2 2 7 5" xfId="14917"/>
    <cellStyle name="Comma 2 2 2 2 8" xfId="910"/>
    <cellStyle name="Comma 2 2 2 2 8 2" xfId="911"/>
    <cellStyle name="Comma 2 2 2 2 8 2 2" xfId="912"/>
    <cellStyle name="Comma 2 2 2 2 8 3" xfId="913"/>
    <cellStyle name="Comma 2 2 2 2 8 4" xfId="14918"/>
    <cellStyle name="Comma 2 2 2 2 8 5" xfId="14919"/>
    <cellStyle name="Comma 2 2 2 2 9" xfId="914"/>
    <cellStyle name="Comma 2 2 2 2 9 2" xfId="915"/>
    <cellStyle name="Comma 2 2 2 2 9 2 2" xfId="916"/>
    <cellStyle name="Comma 2 2 2 2 9 3" xfId="917"/>
    <cellStyle name="Comma 2 2 2 2 9 4" xfId="14920"/>
    <cellStyle name="Comma 2 2 2 2 9 5" xfId="14921"/>
    <cellStyle name="Comma 2 2 2 20" xfId="918"/>
    <cellStyle name="Comma 2 2 2 21" xfId="14922"/>
    <cellStyle name="Comma 2 2 2 3" xfId="919"/>
    <cellStyle name="Comma 2 2 2 3 2" xfId="920"/>
    <cellStyle name="Comma 2 2 2 3 2 2" xfId="921"/>
    <cellStyle name="Comma 2 2 2 4" xfId="922"/>
    <cellStyle name="Comma 2 2 2 4 2" xfId="923"/>
    <cellStyle name="Comma 2 2 2 4 2 2" xfId="924"/>
    <cellStyle name="Comma 2 2 2 5" xfId="925"/>
    <cellStyle name="Comma 2 2 2 5 2" xfId="926"/>
    <cellStyle name="Comma 2 2 2 5 2 2" xfId="927"/>
    <cellStyle name="Comma 2 2 2 6" xfId="928"/>
    <cellStyle name="Comma 2 2 2 6 2" xfId="929"/>
    <cellStyle name="Comma 2 2 2 6 2 2" xfId="930"/>
    <cellStyle name="Comma 2 2 2 7" xfId="931"/>
    <cellStyle name="Comma 2 2 2 7 2" xfId="932"/>
    <cellStyle name="Comma 2 2 2 7 2 2" xfId="933"/>
    <cellStyle name="Comma 2 2 2 8" xfId="934"/>
    <cellStyle name="Comma 2 2 2 8 2" xfId="935"/>
    <cellStyle name="Comma 2 2 2 8 2 2" xfId="936"/>
    <cellStyle name="Comma 2 2 2 9" xfId="937"/>
    <cellStyle name="Comma 2 2 2 9 2" xfId="938"/>
    <cellStyle name="Comma 2 2 2 9 2 2" xfId="939"/>
    <cellStyle name="Comma 2 2 20" xfId="940"/>
    <cellStyle name="Comma 2 2 20 2" xfId="941"/>
    <cellStyle name="Comma 2 2 20 3" xfId="22910"/>
    <cellStyle name="Comma 2 2 21" xfId="942"/>
    <cellStyle name="Comma 2 2 22" xfId="943"/>
    <cellStyle name="Comma 2 2 3" xfId="944"/>
    <cellStyle name="Comma 2 2 3 2" xfId="945"/>
    <cellStyle name="Comma 2 2 3 2 2" xfId="946"/>
    <cellStyle name="Comma 2 2 3 3" xfId="947"/>
    <cellStyle name="Comma 2 2 3 3 2" xfId="948"/>
    <cellStyle name="Comma 2 2 3 4" xfId="14923"/>
    <cellStyle name="Comma 2 2 4" xfId="949"/>
    <cellStyle name="Comma 2 2 4 2" xfId="950"/>
    <cellStyle name="Comma 2 2 4 2 2" xfId="951"/>
    <cellStyle name="Comma 2 2 4 3" xfId="952"/>
    <cellStyle name="Comma 2 2 4 3 2" xfId="953"/>
    <cellStyle name="Comma 2 2 4 4" xfId="14924"/>
    <cellStyle name="Comma 2 2 5" xfId="954"/>
    <cellStyle name="Comma 2 2 5 2" xfId="955"/>
    <cellStyle name="Comma 2 2 5 2 2" xfId="956"/>
    <cellStyle name="Comma 2 2 5 3" xfId="957"/>
    <cellStyle name="Comma 2 2 5 3 2" xfId="958"/>
    <cellStyle name="Comma 2 2 5 4" xfId="14925"/>
    <cellStyle name="Comma 2 2 6" xfId="959"/>
    <cellStyle name="Comma 2 2 6 2" xfId="960"/>
    <cellStyle name="Comma 2 2 6 2 2" xfId="961"/>
    <cellStyle name="Comma 2 2 6 3" xfId="962"/>
    <cellStyle name="Comma 2 2 6 3 2" xfId="963"/>
    <cellStyle name="Comma 2 2 6 4" xfId="14926"/>
    <cellStyle name="Comma 2 2 7" xfId="964"/>
    <cellStyle name="Comma 2 2 7 2" xfId="965"/>
    <cellStyle name="Comma 2 2 7 2 2" xfId="966"/>
    <cellStyle name="Comma 2 2 7 3" xfId="967"/>
    <cellStyle name="Comma 2 2 7 3 2" xfId="968"/>
    <cellStyle name="Comma 2 2 7 4" xfId="14927"/>
    <cellStyle name="Comma 2 2 8" xfId="969"/>
    <cellStyle name="Comma 2 2 8 2" xfId="970"/>
    <cellStyle name="Comma 2 2 8 2 2" xfId="971"/>
    <cellStyle name="Comma 2 2 8 3" xfId="972"/>
    <cellStyle name="Comma 2 2 8 3 2" xfId="973"/>
    <cellStyle name="Comma 2 2 8 4" xfId="14928"/>
    <cellStyle name="Comma 2 2 9" xfId="974"/>
    <cellStyle name="Comma 2 2 9 2" xfId="975"/>
    <cellStyle name="Comma 2 2 9 3" xfId="976"/>
    <cellStyle name="Comma 2 20" xfId="977"/>
    <cellStyle name="Comma 2 20 2" xfId="978"/>
    <cellStyle name="Comma 2 20 3" xfId="14929"/>
    <cellStyle name="Comma 2 21" xfId="979"/>
    <cellStyle name="Comma 2 21 2" xfId="980"/>
    <cellStyle name="Comma 2 21 3" xfId="14930"/>
    <cellStyle name="Comma 2 22" xfId="981"/>
    <cellStyle name="Comma 2 22 2" xfId="982"/>
    <cellStyle name="Comma 2 22 3" xfId="14931"/>
    <cellStyle name="Comma 2 23" xfId="983"/>
    <cellStyle name="Comma 2 23 2" xfId="984"/>
    <cellStyle name="Comma 2 23 3" xfId="14932"/>
    <cellStyle name="Comma 2 24" xfId="985"/>
    <cellStyle name="Comma 2 24 2" xfId="986"/>
    <cellStyle name="Comma 2 24 3" xfId="14933"/>
    <cellStyle name="Comma 2 25" xfId="987"/>
    <cellStyle name="Comma 2 25 2" xfId="988"/>
    <cellStyle name="Comma 2 25 3" xfId="14934"/>
    <cellStyle name="Comma 2 26" xfId="989"/>
    <cellStyle name="Comma 2 26 2" xfId="990"/>
    <cellStyle name="Comma 2 26 3" xfId="14935"/>
    <cellStyle name="Comma 2 27" xfId="991"/>
    <cellStyle name="Comma 2 27 2" xfId="992"/>
    <cellStyle name="Comma 2 27 3" xfId="14936"/>
    <cellStyle name="Comma 2 28" xfId="993"/>
    <cellStyle name="Comma 2 28 2" xfId="994"/>
    <cellStyle name="Comma 2 28 3" xfId="14937"/>
    <cellStyle name="Comma 2 29" xfId="995"/>
    <cellStyle name="Comma 2 29 2" xfId="996"/>
    <cellStyle name="Comma 2 29 3" xfId="14938"/>
    <cellStyle name="Comma 2 3" xfId="997"/>
    <cellStyle name="Comma 2 3 2" xfId="998"/>
    <cellStyle name="Comma 2 3 2 2" xfId="999"/>
    <cellStyle name="Comma 2 3 2 2 2" xfId="1000"/>
    <cellStyle name="Comma 2 3 3" xfId="1001"/>
    <cellStyle name="Comma 2 3 3 2" xfId="1002"/>
    <cellStyle name="Comma 2 3 4" xfId="14939"/>
    <cellStyle name="Comma 2 30" xfId="1003"/>
    <cellStyle name="Comma 2 30 2" xfId="1004"/>
    <cellStyle name="Comma 2 30 3" xfId="14940"/>
    <cellStyle name="Comma 2 31" xfId="1005"/>
    <cellStyle name="Comma 2 31 2" xfId="1006"/>
    <cellStyle name="Comma 2 31 3" xfId="14941"/>
    <cellStyle name="Comma 2 32" xfId="1007"/>
    <cellStyle name="Comma 2 32 2" xfId="1008"/>
    <cellStyle name="Comma 2 32 3" xfId="14942"/>
    <cellStyle name="Comma 2 33" xfId="1009"/>
    <cellStyle name="Comma 2 33 2" xfId="1010"/>
    <cellStyle name="Comma 2 33 3" xfId="14943"/>
    <cellStyle name="Comma 2 34" xfId="1011"/>
    <cellStyle name="Comma 2 34 2" xfId="1012"/>
    <cellStyle name="Comma 2 34 3" xfId="14944"/>
    <cellStyle name="Comma 2 35" xfId="1013"/>
    <cellStyle name="Comma 2 35 2" xfId="1014"/>
    <cellStyle name="Comma 2 35 3" xfId="14945"/>
    <cellStyle name="Comma 2 36" xfId="1015"/>
    <cellStyle name="Comma 2 36 2" xfId="1016"/>
    <cellStyle name="Comma 2 36 3" xfId="14946"/>
    <cellStyle name="Comma 2 37" xfId="1017"/>
    <cellStyle name="Comma 2 37 2" xfId="1018"/>
    <cellStyle name="Comma 2 37 3" xfId="14947"/>
    <cellStyle name="Comma 2 38" xfId="1019"/>
    <cellStyle name="Comma 2 38 2" xfId="1020"/>
    <cellStyle name="Comma 2 38 3" xfId="14948"/>
    <cellStyle name="Comma 2 39" xfId="1021"/>
    <cellStyle name="Comma 2 39 2" xfId="1022"/>
    <cellStyle name="Comma 2 39 3" xfId="14949"/>
    <cellStyle name="Comma 2 4" xfId="1023"/>
    <cellStyle name="Comma 2 4 2" xfId="1024"/>
    <cellStyle name="Comma 2 4 2 2" xfId="1025"/>
    <cellStyle name="Comma 2 4 3" xfId="1026"/>
    <cellStyle name="Comma 2 4 3 2" xfId="1027"/>
    <cellStyle name="Comma 2 4 4" xfId="14950"/>
    <cellStyle name="Comma 2 40" xfId="1028"/>
    <cellStyle name="Comma 2 40 2" xfId="1029"/>
    <cellStyle name="Comma 2 40 3" xfId="14951"/>
    <cellStyle name="Comma 2 41" xfId="1030"/>
    <cellStyle name="Comma 2 41 2" xfId="1031"/>
    <cellStyle name="Comma 2 41 3" xfId="14952"/>
    <cellStyle name="Comma 2 42" xfId="1032"/>
    <cellStyle name="Comma 2 42 2" xfId="1033"/>
    <cellStyle name="Comma 2 42 3" xfId="14953"/>
    <cellStyle name="Comma 2 43" xfId="1034"/>
    <cellStyle name="Comma 2 43 2" xfId="1035"/>
    <cellStyle name="Comma 2 43 3" xfId="14954"/>
    <cellStyle name="Comma 2 44" xfId="1036"/>
    <cellStyle name="Comma 2 44 2" xfId="1037"/>
    <cellStyle name="Comma 2 44 3" xfId="14955"/>
    <cellStyle name="Comma 2 45" xfId="1038"/>
    <cellStyle name="Comma 2 45 2" xfId="1039"/>
    <cellStyle name="Comma 2 45 3" xfId="14956"/>
    <cellStyle name="Comma 2 46" xfId="1040"/>
    <cellStyle name="Comma 2 46 2" xfId="1041"/>
    <cellStyle name="Comma 2 46 3" xfId="14957"/>
    <cellStyle name="Comma 2 47" xfId="1042"/>
    <cellStyle name="Comma 2 47 2" xfId="1043"/>
    <cellStyle name="Comma 2 47 3" xfId="14958"/>
    <cellStyle name="Comma 2 48" xfId="1044"/>
    <cellStyle name="Comma 2 48 2" xfId="1045"/>
    <cellStyle name="Comma 2 48 3" xfId="14959"/>
    <cellStyle name="Comma 2 49" xfId="1046"/>
    <cellStyle name="Comma 2 49 2" xfId="1047"/>
    <cellStyle name="Comma 2 49 3" xfId="14960"/>
    <cellStyle name="Comma 2 5" xfId="1048"/>
    <cellStyle name="Comma 2 5 2" xfId="1049"/>
    <cellStyle name="Comma 2 5 2 2" xfId="1050"/>
    <cellStyle name="Comma 2 5 3" xfId="1051"/>
    <cellStyle name="Comma 2 5 3 2" xfId="1052"/>
    <cellStyle name="Comma 2 5 4" xfId="14961"/>
    <cellStyle name="Comma 2 50" xfId="1053"/>
    <cellStyle name="Comma 2 50 2" xfId="1054"/>
    <cellStyle name="Comma 2 50 3" xfId="14962"/>
    <cellStyle name="Comma 2 51" xfId="1055"/>
    <cellStyle name="Comma 2 51 2" xfId="1056"/>
    <cellStyle name="Comma 2 51 3" xfId="14963"/>
    <cellStyle name="Comma 2 52" xfId="1057"/>
    <cellStyle name="Comma 2 52 2" xfId="1058"/>
    <cellStyle name="Comma 2 52 3" xfId="14964"/>
    <cellStyle name="Comma 2 53" xfId="1059"/>
    <cellStyle name="Comma 2 53 2" xfId="1060"/>
    <cellStyle name="Comma 2 53 3" xfId="14965"/>
    <cellStyle name="Comma 2 54" xfId="1061"/>
    <cellStyle name="Comma 2 54 2" xfId="1062"/>
    <cellStyle name="Comma 2 54 3" xfId="14966"/>
    <cellStyle name="Comma 2 55" xfId="1063"/>
    <cellStyle name="Comma 2 55 2" xfId="1064"/>
    <cellStyle name="Comma 2 55 3" xfId="14967"/>
    <cellStyle name="Comma 2 56" xfId="1065"/>
    <cellStyle name="Comma 2 56 2" xfId="1066"/>
    <cellStyle name="Comma 2 56 3" xfId="14968"/>
    <cellStyle name="Comma 2 57" xfId="1067"/>
    <cellStyle name="Comma 2 57 2" xfId="1068"/>
    <cellStyle name="Comma 2 57 3" xfId="14969"/>
    <cellStyle name="Comma 2 58" xfId="1069"/>
    <cellStyle name="Comma 2 58 2" xfId="1070"/>
    <cellStyle name="Comma 2 58 3" xfId="14970"/>
    <cellStyle name="Comma 2 59" xfId="1071"/>
    <cellStyle name="Comma 2 59 2" xfId="1072"/>
    <cellStyle name="Comma 2 59 3" xfId="14971"/>
    <cellStyle name="Comma 2 6" xfId="1073"/>
    <cellStyle name="Comma 2 6 2" xfId="1074"/>
    <cellStyle name="Comma 2 6 2 2" xfId="1075"/>
    <cellStyle name="Comma 2 6 3" xfId="1076"/>
    <cellStyle name="Comma 2 6 3 2" xfId="1077"/>
    <cellStyle name="Comma 2 6 4" xfId="14972"/>
    <cellStyle name="Comma 2 60" xfId="1078"/>
    <cellStyle name="Comma 2 60 2" xfId="1079"/>
    <cellStyle name="Comma 2 60 3" xfId="14973"/>
    <cellStyle name="Comma 2 61" xfId="1080"/>
    <cellStyle name="Comma 2 61 2" xfId="1081"/>
    <cellStyle name="Comma 2 61 3" xfId="14974"/>
    <cellStyle name="Comma 2 62" xfId="1082"/>
    <cellStyle name="Comma 2 62 2" xfId="1083"/>
    <cellStyle name="Comma 2 63" xfId="1084"/>
    <cellStyle name="Comma 2 64" xfId="1085"/>
    <cellStyle name="Comma 2 65" xfId="1086"/>
    <cellStyle name="Comma 2 66" xfId="1087"/>
    <cellStyle name="Comma 2 67" xfId="1088"/>
    <cellStyle name="Comma 2 68" xfId="1089"/>
    <cellStyle name="Comma 2 68 2" xfId="1090"/>
    <cellStyle name="Comma 2 69" xfId="1091"/>
    <cellStyle name="Comma 2 69 2" xfId="1092"/>
    <cellStyle name="Comma 2 7" xfId="1093"/>
    <cellStyle name="Comma 2 7 2" xfId="1094"/>
    <cellStyle name="Comma 2 7 2 2" xfId="1095"/>
    <cellStyle name="Comma 2 7 3" xfId="1096"/>
    <cellStyle name="Comma 2 7 3 2" xfId="1097"/>
    <cellStyle name="Comma 2 7 4" xfId="14975"/>
    <cellStyle name="Comma 2 70" xfId="1098"/>
    <cellStyle name="Comma 2 70 2" xfId="1099"/>
    <cellStyle name="Comma 2 71" xfId="1100"/>
    <cellStyle name="Comma 2 71 2" xfId="1101"/>
    <cellStyle name="Comma 2 72" xfId="1102"/>
    <cellStyle name="Comma 2 72 2" xfId="1103"/>
    <cellStyle name="Comma 2 73" xfId="1104"/>
    <cellStyle name="Comma 2 73 2" xfId="1105"/>
    <cellStyle name="Comma 2 74" xfId="1106"/>
    <cellStyle name="Comma 2 74 2" xfId="1107"/>
    <cellStyle name="Comma 2 75" xfId="1108"/>
    <cellStyle name="Comma 2 75 2" xfId="1109"/>
    <cellStyle name="Comma 2 76" xfId="1110"/>
    <cellStyle name="Comma 2 76 2" xfId="1111"/>
    <cellStyle name="Comma 2 77" xfId="1112"/>
    <cellStyle name="Comma 2 77 2" xfId="1113"/>
    <cellStyle name="Comma 2 78" xfId="1114"/>
    <cellStyle name="Comma 2 78 2" xfId="1115"/>
    <cellStyle name="Comma 2 79" xfId="1116"/>
    <cellStyle name="Comma 2 79 2" xfId="1117"/>
    <cellStyle name="Comma 2 8" xfId="1118"/>
    <cellStyle name="Comma 2 8 2" xfId="1119"/>
    <cellStyle name="Comma 2 8 2 2" xfId="1120"/>
    <cellStyle name="Comma 2 8 3" xfId="1121"/>
    <cellStyle name="Comma 2 8 3 2" xfId="1122"/>
    <cellStyle name="Comma 2 8 4" xfId="14976"/>
    <cellStyle name="Comma 2 80" xfId="1123"/>
    <cellStyle name="Comma 2 80 2" xfId="1124"/>
    <cellStyle name="Comma 2 81" xfId="1125"/>
    <cellStyle name="Comma 2 81 2" xfId="1126"/>
    <cellStyle name="Comma 2 82" xfId="1127"/>
    <cellStyle name="Comma 2 82 2" xfId="1128"/>
    <cellStyle name="Comma 2 83" xfId="1129"/>
    <cellStyle name="Comma 2 83 2" xfId="1130"/>
    <cellStyle name="Comma 2 84" xfId="1131"/>
    <cellStyle name="Comma 2 84 2" xfId="1132"/>
    <cellStyle name="Comma 2 85" xfId="1133"/>
    <cellStyle name="Comma 2 85 2" xfId="1134"/>
    <cellStyle name="Comma 2 86" xfId="1135"/>
    <cellStyle name="Comma 2 86 2" xfId="1136"/>
    <cellStyle name="Comma 2 87" xfId="1137"/>
    <cellStyle name="Comma 2 87 2" xfId="1138"/>
    <cellStyle name="Comma 2 88" xfId="1139"/>
    <cellStyle name="Comma 2 88 2" xfId="1140"/>
    <cellStyle name="Comma 2 89" xfId="1141"/>
    <cellStyle name="Comma 2 89 2" xfId="1142"/>
    <cellStyle name="Comma 2 9" xfId="1143"/>
    <cellStyle name="Comma 2 9 2" xfId="1144"/>
    <cellStyle name="Comma 2 9 2 2" xfId="1145"/>
    <cellStyle name="Comma 2 9 3" xfId="1146"/>
    <cellStyle name="Comma 2 9 3 2" xfId="1147"/>
    <cellStyle name="Comma 2 9 4" xfId="14977"/>
    <cellStyle name="Comma 2 90" xfId="1148"/>
    <cellStyle name="Comma 2 90 2" xfId="1149"/>
    <cellStyle name="Comma 2 91" xfId="1150"/>
    <cellStyle name="Comma 2 91 2" xfId="1151"/>
    <cellStyle name="Comma 2 92" xfId="1152"/>
    <cellStyle name="Comma 2 93" xfId="1153"/>
    <cellStyle name="Comma 2 94" xfId="1154"/>
    <cellStyle name="Comma 2 94 2" xfId="1155"/>
    <cellStyle name="Comma 2 95" xfId="1156"/>
    <cellStyle name="Comma 2 95 2" xfId="1157"/>
    <cellStyle name="Comma 2 96" xfId="1158"/>
    <cellStyle name="Comma 2 96 2" xfId="1159"/>
    <cellStyle name="Comma 2 97" xfId="1160"/>
    <cellStyle name="Comma 2 97 2" xfId="1161"/>
    <cellStyle name="Comma 2 98" xfId="1162"/>
    <cellStyle name="Comma 2 99" xfId="1163"/>
    <cellStyle name="Comma 2 99 2" xfId="1164"/>
    <cellStyle name="Comma 20" xfId="1165"/>
    <cellStyle name="Comma 21" xfId="1166"/>
    <cellStyle name="Comma 22" xfId="1167"/>
    <cellStyle name="Comma 23" xfId="1168"/>
    <cellStyle name="Comma 24" xfId="1169"/>
    <cellStyle name="Comma 25" xfId="1170"/>
    <cellStyle name="Comma 25 2" xfId="1171"/>
    <cellStyle name="Comma 25 2 2" xfId="1172"/>
    <cellStyle name="Comma 25 2 2 2" xfId="14978"/>
    <cellStyle name="Comma 25 2 2 2 2" xfId="22911"/>
    <cellStyle name="Comma 25 2 2 3" xfId="22912"/>
    <cellStyle name="Comma 25 2 3" xfId="14979"/>
    <cellStyle name="Comma 25 2 3 2" xfId="22913"/>
    <cellStyle name="Comma 25 2 4" xfId="22914"/>
    <cellStyle name="Comma 25 3" xfId="1173"/>
    <cellStyle name="Comma 25 3 2" xfId="14980"/>
    <cellStyle name="Comma 25 3 2 2" xfId="22915"/>
    <cellStyle name="Comma 25 3 3" xfId="22916"/>
    <cellStyle name="Comma 25 4" xfId="14981"/>
    <cellStyle name="Comma 25 4 2" xfId="14982"/>
    <cellStyle name="Comma 25 4 2 2" xfId="22917"/>
    <cellStyle name="Comma 25 4 3" xfId="22918"/>
    <cellStyle name="Comma 25 5" xfId="14983"/>
    <cellStyle name="Comma 25 5 2" xfId="22919"/>
    <cellStyle name="Comma 25 6" xfId="22920"/>
    <cellStyle name="Comma 26" xfId="1174"/>
    <cellStyle name="Comma 26 2" xfId="14984"/>
    <cellStyle name="Comma 26 3" xfId="22921"/>
    <cellStyle name="Comma 27" xfId="1175"/>
    <cellStyle name="Comma 27 2" xfId="22922"/>
    <cellStyle name="Comma 28" xfId="1176"/>
    <cellStyle name="Comma 29" xfId="1177"/>
    <cellStyle name="Comma 3" xfId="8"/>
    <cellStyle name="Comma 3 10" xfId="1178"/>
    <cellStyle name="Comma 3 10 2" xfId="1179"/>
    <cellStyle name="Comma 3 10 2 2" xfId="1180"/>
    <cellStyle name="Comma 3 10 3" xfId="1181"/>
    <cellStyle name="Comma 3 10 3 2" xfId="1182"/>
    <cellStyle name="Comma 3 10 4" xfId="14985"/>
    <cellStyle name="Comma 3 100" xfId="1183"/>
    <cellStyle name="Comma 3 101" xfId="1184"/>
    <cellStyle name="Comma 3 102" xfId="1185"/>
    <cellStyle name="Comma 3 103" xfId="1186"/>
    <cellStyle name="Comma 3 104" xfId="1187"/>
    <cellStyle name="Comma 3 105" xfId="1188"/>
    <cellStyle name="Comma 3 105 2" xfId="1189"/>
    <cellStyle name="Comma 3 106" xfId="1190"/>
    <cellStyle name="Comma 3 106 2" xfId="1191"/>
    <cellStyle name="Comma 3 107" xfId="1192"/>
    <cellStyle name="Comma 3 107 2" xfId="1193"/>
    <cellStyle name="Comma 3 108" xfId="1194"/>
    <cellStyle name="Comma 3 108 2" xfId="1195"/>
    <cellStyle name="Comma 3 109" xfId="1196"/>
    <cellStyle name="Comma 3 109 2" xfId="1197"/>
    <cellStyle name="Comma 3 11" xfId="1198"/>
    <cellStyle name="Comma 3 11 2" xfId="1199"/>
    <cellStyle name="Comma 3 11 2 2" xfId="1200"/>
    <cellStyle name="Comma 3 11 3" xfId="1201"/>
    <cellStyle name="Comma 3 11 3 2" xfId="1202"/>
    <cellStyle name="Comma 3 11 4" xfId="14986"/>
    <cellStyle name="Comma 3 110" xfId="1203"/>
    <cellStyle name="Comma 3 110 2" xfId="1204"/>
    <cellStyle name="Comma 3 111" xfId="1205"/>
    <cellStyle name="Comma 3 111 2" xfId="1206"/>
    <cellStyle name="Comma 3 112" xfId="1207"/>
    <cellStyle name="Comma 3 112 2" xfId="1208"/>
    <cellStyle name="Comma 3 113" xfId="1209"/>
    <cellStyle name="Comma 3 113 2" xfId="1210"/>
    <cellStyle name="Comma 3 114" xfId="1211"/>
    <cellStyle name="Comma 3 114 2" xfId="1212"/>
    <cellStyle name="Comma 3 115" xfId="1213"/>
    <cellStyle name="Comma 3 115 2" xfId="1214"/>
    <cellStyle name="Comma 3 116" xfId="1215"/>
    <cellStyle name="Comma 3 116 2" xfId="1216"/>
    <cellStyle name="Comma 3 117" xfId="1217"/>
    <cellStyle name="Comma 3 118" xfId="1218"/>
    <cellStyle name="Comma 3 119" xfId="1219"/>
    <cellStyle name="Comma 3 12" xfId="1220"/>
    <cellStyle name="Comma 3 12 2" xfId="1221"/>
    <cellStyle name="Comma 3 12 2 2" xfId="1222"/>
    <cellStyle name="Comma 3 12 3" xfId="1223"/>
    <cellStyle name="Comma 3 12 3 2" xfId="1224"/>
    <cellStyle name="Comma 3 12 4" xfId="14987"/>
    <cellStyle name="Comma 3 120" xfId="1225"/>
    <cellStyle name="Comma 3 121" xfId="1226"/>
    <cellStyle name="Comma 3 121 2" xfId="1227"/>
    <cellStyle name="Comma 3 122" xfId="1228"/>
    <cellStyle name="Comma 3 122 2" xfId="1229"/>
    <cellStyle name="Comma 3 123" xfId="1230"/>
    <cellStyle name="Comma 3 123 2" xfId="1231"/>
    <cellStyle name="Comma 3 124" xfId="1232"/>
    <cellStyle name="Comma 3 124 2" xfId="1233"/>
    <cellStyle name="Comma 3 125" xfId="1234"/>
    <cellStyle name="Comma 3 125 2" xfId="1235"/>
    <cellStyle name="Comma 3 126" xfId="1236"/>
    <cellStyle name="Comma 3 126 2" xfId="1237"/>
    <cellStyle name="Comma 3 127" xfId="1238"/>
    <cellStyle name="Comma 3 127 2" xfId="1239"/>
    <cellStyle name="Comma 3 128" xfId="1240"/>
    <cellStyle name="Comma 3 128 2" xfId="1241"/>
    <cellStyle name="Comma 3 129" xfId="1242"/>
    <cellStyle name="Comma 3 129 2" xfId="1243"/>
    <cellStyle name="Comma 3 13" xfId="1244"/>
    <cellStyle name="Comma 3 13 2" xfId="1245"/>
    <cellStyle name="Comma 3 13 2 2" xfId="1246"/>
    <cellStyle name="Comma 3 13 3" xfId="1247"/>
    <cellStyle name="Comma 3 13 3 2" xfId="1248"/>
    <cellStyle name="Comma 3 13 4" xfId="14988"/>
    <cellStyle name="Comma 3 130" xfId="1249"/>
    <cellStyle name="Comma 3 130 2" xfId="1250"/>
    <cellStyle name="Comma 3 131" xfId="1251"/>
    <cellStyle name="Comma 3 131 2" xfId="1252"/>
    <cellStyle name="Comma 3 132" xfId="1253"/>
    <cellStyle name="Comma 3 132 2" xfId="1254"/>
    <cellStyle name="Comma 3 133" xfId="1255"/>
    <cellStyle name="Comma 3 133 2" xfId="1256"/>
    <cellStyle name="Comma 3 134" xfId="1257"/>
    <cellStyle name="Comma 3 134 2" xfId="1258"/>
    <cellStyle name="Comma 3 135" xfId="1259"/>
    <cellStyle name="Comma 3 135 2" xfId="1260"/>
    <cellStyle name="Comma 3 136" xfId="1261"/>
    <cellStyle name="Comma 3 136 2" xfId="1262"/>
    <cellStyle name="Comma 3 137" xfId="1263"/>
    <cellStyle name="Comma 3 137 2" xfId="1264"/>
    <cellStyle name="Comma 3 138" xfId="1265"/>
    <cellStyle name="Comma 3 138 2" xfId="1266"/>
    <cellStyle name="Comma 3 139" xfId="1267"/>
    <cellStyle name="Comma 3 139 2" xfId="1268"/>
    <cellStyle name="Comma 3 14" xfId="1269"/>
    <cellStyle name="Comma 3 14 2" xfId="1270"/>
    <cellStyle name="Comma 3 14 2 2" xfId="1271"/>
    <cellStyle name="Comma 3 14 3" xfId="1272"/>
    <cellStyle name="Comma 3 14 3 2" xfId="1273"/>
    <cellStyle name="Comma 3 14 4" xfId="14989"/>
    <cellStyle name="Comma 3 140" xfId="1274"/>
    <cellStyle name="Comma 3 140 2" xfId="1275"/>
    <cellStyle name="Comma 3 141" xfId="1276"/>
    <cellStyle name="Comma 3 141 2" xfId="1277"/>
    <cellStyle name="Comma 3 142" xfId="1278"/>
    <cellStyle name="Comma 3 142 2" xfId="1279"/>
    <cellStyle name="Comma 3 143" xfId="1280"/>
    <cellStyle name="Comma 3 144" xfId="1281"/>
    <cellStyle name="Comma 3 145" xfId="1282"/>
    <cellStyle name="Comma 3 145 2" xfId="1283"/>
    <cellStyle name="Comma 3 146" xfId="1284"/>
    <cellStyle name="Comma 3 146 2" xfId="1285"/>
    <cellStyle name="Comma 3 147" xfId="1286"/>
    <cellStyle name="Comma 3 147 2" xfId="1287"/>
    <cellStyle name="Comma 3 148" xfId="1288"/>
    <cellStyle name="Comma 3 148 2" xfId="1289"/>
    <cellStyle name="Comma 3 149" xfId="1290"/>
    <cellStyle name="Comma 3 149 2" xfId="1291"/>
    <cellStyle name="Comma 3 15" xfId="1292"/>
    <cellStyle name="Comma 3 15 2" xfId="1293"/>
    <cellStyle name="Comma 3 15 2 2" xfId="1294"/>
    <cellStyle name="Comma 3 15 3" xfId="1295"/>
    <cellStyle name="Comma 3 15 3 2" xfId="1296"/>
    <cellStyle name="Comma 3 15 4" xfId="14990"/>
    <cellStyle name="Comma 3 150" xfId="1297"/>
    <cellStyle name="Comma 3 150 2" xfId="1298"/>
    <cellStyle name="Comma 3 151" xfId="1299"/>
    <cellStyle name="Comma 3 152" xfId="14991"/>
    <cellStyle name="Comma 3 152 2" xfId="22923"/>
    <cellStyle name="Comma 3 153" xfId="33638"/>
    <cellStyle name="Comma 3 153 2" xfId="33753"/>
    <cellStyle name="Comma 3 16" xfId="1300"/>
    <cellStyle name="Comma 3 16 2" xfId="1301"/>
    <cellStyle name="Comma 3 16 2 2" xfId="1302"/>
    <cellStyle name="Comma 3 16 3" xfId="1303"/>
    <cellStyle name="Comma 3 16 3 2" xfId="1304"/>
    <cellStyle name="Comma 3 16 4" xfId="14992"/>
    <cellStyle name="Comma 3 17" xfId="1305"/>
    <cellStyle name="Comma 3 17 2" xfId="1306"/>
    <cellStyle name="Comma 3 17 2 2" xfId="1307"/>
    <cellStyle name="Comma 3 17 3" xfId="1308"/>
    <cellStyle name="Comma 3 17 3 2" xfId="1309"/>
    <cellStyle name="Comma 3 17 4" xfId="14993"/>
    <cellStyle name="Comma 3 18" xfId="1310"/>
    <cellStyle name="Comma 3 18 2" xfId="1311"/>
    <cellStyle name="Comma 3 18 2 2" xfId="1312"/>
    <cellStyle name="Comma 3 18 3" xfId="1313"/>
    <cellStyle name="Comma 3 18 4" xfId="1314"/>
    <cellStyle name="Comma 3 18 4 2" xfId="1315"/>
    <cellStyle name="Comma 3 18 5" xfId="14994"/>
    <cellStyle name="Comma 3 19" xfId="1316"/>
    <cellStyle name="Comma 3 19 2" xfId="1317"/>
    <cellStyle name="Comma 3 19 2 2" xfId="1318"/>
    <cellStyle name="Comma 3 19 3" xfId="1319"/>
    <cellStyle name="Comma 3 2" xfId="1320"/>
    <cellStyle name="Comma 3 2 10" xfId="1321"/>
    <cellStyle name="Comma 3 2 10 2" xfId="1322"/>
    <cellStyle name="Comma 3 2 11" xfId="1323"/>
    <cellStyle name="Comma 3 2 11 2" xfId="1324"/>
    <cellStyle name="Comma 3 2 12" xfId="1325"/>
    <cellStyle name="Comma 3 2 12 2" xfId="1326"/>
    <cellStyle name="Comma 3 2 12 2 2" xfId="1327"/>
    <cellStyle name="Comma 3 2 12 3" xfId="1328"/>
    <cellStyle name="Comma 3 2 12 4" xfId="14995"/>
    <cellStyle name="Comma 3 2 12 5" xfId="14996"/>
    <cellStyle name="Comma 3 2 13" xfId="1329"/>
    <cellStyle name="Comma 3 2 13 2" xfId="1330"/>
    <cellStyle name="Comma 3 2 14" xfId="1331"/>
    <cellStyle name="Comma 3 2 14 2" xfId="1332"/>
    <cellStyle name="Comma 3 2 14 2 2" xfId="1333"/>
    <cellStyle name="Comma 3 2 14 3" xfId="1334"/>
    <cellStyle name="Comma 3 2 14 4" xfId="14997"/>
    <cellStyle name="Comma 3 2 14 5" xfId="14998"/>
    <cellStyle name="Comma 3 2 15" xfId="1335"/>
    <cellStyle name="Comma 3 2 15 2" xfId="1336"/>
    <cellStyle name="Comma 3 2 15 2 2" xfId="1337"/>
    <cellStyle name="Comma 3 2 15 3" xfId="1338"/>
    <cellStyle name="Comma 3 2 15 4" xfId="14999"/>
    <cellStyle name="Comma 3 2 15 5" xfId="15000"/>
    <cellStyle name="Comma 3 2 16" xfId="1339"/>
    <cellStyle name="Comma 3 2 16 2" xfId="1340"/>
    <cellStyle name="Comma 3 2 16 2 2" xfId="1341"/>
    <cellStyle name="Comma 3 2 16 3" xfId="1342"/>
    <cellStyle name="Comma 3 2 16 4" xfId="15001"/>
    <cellStyle name="Comma 3 2 16 5" xfId="15002"/>
    <cellStyle name="Comma 3 2 17" xfId="1343"/>
    <cellStyle name="Comma 3 2 17 2" xfId="1344"/>
    <cellStyle name="Comma 3 2 17 2 2" xfId="1345"/>
    <cellStyle name="Comma 3 2 17 3" xfId="1346"/>
    <cellStyle name="Comma 3 2 17 4" xfId="15003"/>
    <cellStyle name="Comma 3 2 17 5" xfId="15004"/>
    <cellStyle name="Comma 3 2 18" xfId="1347"/>
    <cellStyle name="Comma 3 2 19" xfId="1348"/>
    <cellStyle name="Comma 3 2 2" xfId="1349"/>
    <cellStyle name="Comma 3 2 2 10" xfId="1350"/>
    <cellStyle name="Comma 3 2 2 11" xfId="1351"/>
    <cellStyle name="Comma 3 2 2 12" xfId="1352"/>
    <cellStyle name="Comma 3 2 2 13" xfId="1353"/>
    <cellStyle name="Comma 3 2 2 14" xfId="1354"/>
    <cellStyle name="Comma 3 2 2 15" xfId="1355"/>
    <cellStyle name="Comma 3 2 2 16" xfId="1356"/>
    <cellStyle name="Comma 3 2 2 17" xfId="1357"/>
    <cellStyle name="Comma 3 2 2 18" xfId="1358"/>
    <cellStyle name="Comma 3 2 2 18 2" xfId="1359"/>
    <cellStyle name="Comma 3 2 2 19" xfId="1360"/>
    <cellStyle name="Comma 3 2 2 19 2" xfId="1361"/>
    <cellStyle name="Comma 3 2 2 2" xfId="1362"/>
    <cellStyle name="Comma 3 2 2 2 10" xfId="1363"/>
    <cellStyle name="Comma 3 2 2 2 10 2" xfId="1364"/>
    <cellStyle name="Comma 3 2 2 2 10 2 2" xfId="1365"/>
    <cellStyle name="Comma 3 2 2 2 10 3" xfId="1366"/>
    <cellStyle name="Comma 3 2 2 2 10 4" xfId="15005"/>
    <cellStyle name="Comma 3 2 2 2 10 5" xfId="15006"/>
    <cellStyle name="Comma 3 2 2 2 11" xfId="1367"/>
    <cellStyle name="Comma 3 2 2 2 11 2" xfId="1368"/>
    <cellStyle name="Comma 3 2 2 2 11 2 2" xfId="1369"/>
    <cellStyle name="Comma 3 2 2 2 11 3" xfId="1370"/>
    <cellStyle name="Comma 3 2 2 2 11 4" xfId="15007"/>
    <cellStyle name="Comma 3 2 2 2 11 5" xfId="15008"/>
    <cellStyle name="Comma 3 2 2 2 12" xfId="1371"/>
    <cellStyle name="Comma 3 2 2 2 12 2" xfId="1372"/>
    <cellStyle name="Comma 3 2 2 2 12 2 2" xfId="1373"/>
    <cellStyle name="Comma 3 2 2 2 12 3" xfId="1374"/>
    <cellStyle name="Comma 3 2 2 2 12 4" xfId="15009"/>
    <cellStyle name="Comma 3 2 2 2 12 5" xfId="15010"/>
    <cellStyle name="Comma 3 2 2 2 13" xfId="1375"/>
    <cellStyle name="Comma 3 2 2 2 13 2" xfId="1376"/>
    <cellStyle name="Comma 3 2 2 2 13 2 2" xfId="1377"/>
    <cellStyle name="Comma 3 2 2 2 13 3" xfId="1378"/>
    <cellStyle name="Comma 3 2 2 2 13 4" xfId="15011"/>
    <cellStyle name="Comma 3 2 2 2 13 5" xfId="15012"/>
    <cellStyle name="Comma 3 2 2 2 14" xfId="1379"/>
    <cellStyle name="Comma 3 2 2 2 14 2" xfId="1380"/>
    <cellStyle name="Comma 3 2 2 2 14 2 2" xfId="1381"/>
    <cellStyle name="Comma 3 2 2 2 14 3" xfId="1382"/>
    <cellStyle name="Comma 3 2 2 2 14 4" xfId="15013"/>
    <cellStyle name="Comma 3 2 2 2 14 5" xfId="15014"/>
    <cellStyle name="Comma 3 2 2 2 15" xfId="1383"/>
    <cellStyle name="Comma 3 2 2 2 15 2" xfId="1384"/>
    <cellStyle name="Comma 3 2 2 2 15 2 2" xfId="1385"/>
    <cellStyle name="Comma 3 2 2 2 15 3" xfId="1386"/>
    <cellStyle name="Comma 3 2 2 2 15 4" xfId="15015"/>
    <cellStyle name="Comma 3 2 2 2 15 5" xfId="15016"/>
    <cellStyle name="Comma 3 2 2 2 16" xfId="1387"/>
    <cellStyle name="Comma 3 2 2 2 16 2" xfId="1388"/>
    <cellStyle name="Comma 3 2 2 2 16 2 2" xfId="1389"/>
    <cellStyle name="Comma 3 2 2 2 16 3" xfId="1390"/>
    <cellStyle name="Comma 3 2 2 2 16 4" xfId="15017"/>
    <cellStyle name="Comma 3 2 2 2 17" xfId="1391"/>
    <cellStyle name="Comma 3 2 2 2 17 2" xfId="1392"/>
    <cellStyle name="Comma 3 2 2 2 17 2 2" xfId="1393"/>
    <cellStyle name="Comma 3 2 2 2 17 3" xfId="1394"/>
    <cellStyle name="Comma 3 2 2 2 17 4" xfId="15018"/>
    <cellStyle name="Comma 3 2 2 2 2" xfId="1395"/>
    <cellStyle name="Comma 3 2 2 2 2 2" xfId="1396"/>
    <cellStyle name="Comma 3 2 2 2 2 2 2" xfId="1397"/>
    <cellStyle name="Comma 3 2 2 2 2 2 2 2" xfId="1398"/>
    <cellStyle name="Comma 3 2 2 2 2 2 2 2 2" xfId="1399"/>
    <cellStyle name="Comma 3 2 2 2 2 2 2 3" xfId="1400"/>
    <cellStyle name="Comma 3 2 2 2 2 2 2 4" xfId="15019"/>
    <cellStyle name="Comma 3 2 2 2 2 2 2 5" xfId="15020"/>
    <cellStyle name="Comma 3 2 2 2 2 2 3" xfId="1401"/>
    <cellStyle name="Comma 3 2 2 2 2 2 3 2" xfId="1402"/>
    <cellStyle name="Comma 3 2 2 2 2 2 3 2 2" xfId="1403"/>
    <cellStyle name="Comma 3 2 2 2 2 2 3 3" xfId="1404"/>
    <cellStyle name="Comma 3 2 2 2 2 2 3 4" xfId="15021"/>
    <cellStyle name="Comma 3 2 2 2 2 2 3 5" xfId="15022"/>
    <cellStyle name="Comma 3 2 2 2 2 2 4" xfId="1405"/>
    <cellStyle name="Comma 3 2 2 2 2 2 4 2" xfId="1406"/>
    <cellStyle name="Comma 3 2 2 2 2 2 4 2 2" xfId="1407"/>
    <cellStyle name="Comma 3 2 2 2 2 2 4 3" xfId="1408"/>
    <cellStyle name="Comma 3 2 2 2 2 2 4 4" xfId="15023"/>
    <cellStyle name="Comma 3 2 2 2 2 2 4 5" xfId="15024"/>
    <cellStyle name="Comma 3 2 2 2 2 2 5" xfId="1409"/>
    <cellStyle name="Comma 3 2 2 2 2 2 5 2" xfId="1410"/>
    <cellStyle name="Comma 3 2 2 2 2 2 5 2 2" xfId="1411"/>
    <cellStyle name="Comma 3 2 2 2 2 2 5 3" xfId="1412"/>
    <cellStyle name="Comma 3 2 2 2 2 2 5 4" xfId="15025"/>
    <cellStyle name="Comma 3 2 2 2 2 2 5 5" xfId="15026"/>
    <cellStyle name="Comma 3 2 2 2 2 3" xfId="1413"/>
    <cellStyle name="Comma 3 2 2 2 2 4" xfId="1414"/>
    <cellStyle name="Comma 3 2 2 2 2 5" xfId="1415"/>
    <cellStyle name="Comma 3 2 2 2 2 6" xfId="1416"/>
    <cellStyle name="Comma 3 2 2 2 2 6 2" xfId="1417"/>
    <cellStyle name="Comma 3 2 2 2 2 7" xfId="1418"/>
    <cellStyle name="Comma 3 2 2 2 2 8" xfId="15027"/>
    <cellStyle name="Comma 3 2 2 2 2 9" xfId="15028"/>
    <cellStyle name="Comma 3 2 2 2 3" xfId="1419"/>
    <cellStyle name="Comma 3 2 2 2 3 2" xfId="1420"/>
    <cellStyle name="Comma 3 2 2 2 3 2 2" xfId="1421"/>
    <cellStyle name="Comma 3 2 2 2 3 3" xfId="1422"/>
    <cellStyle name="Comma 3 2 2 2 3 4" xfId="15029"/>
    <cellStyle name="Comma 3 2 2 2 3 5" xfId="15030"/>
    <cellStyle name="Comma 3 2 2 2 4" xfId="1423"/>
    <cellStyle name="Comma 3 2 2 2 4 2" xfId="1424"/>
    <cellStyle name="Comma 3 2 2 2 4 2 2" xfId="1425"/>
    <cellStyle name="Comma 3 2 2 2 4 3" xfId="1426"/>
    <cellStyle name="Comma 3 2 2 2 4 4" xfId="15031"/>
    <cellStyle name="Comma 3 2 2 2 4 5" xfId="15032"/>
    <cellStyle name="Comma 3 2 2 2 5" xfId="1427"/>
    <cellStyle name="Comma 3 2 2 2 5 2" xfId="1428"/>
    <cellStyle name="Comma 3 2 2 2 5 2 2" xfId="1429"/>
    <cellStyle name="Comma 3 2 2 2 5 3" xfId="1430"/>
    <cellStyle name="Comma 3 2 2 2 5 4" xfId="15033"/>
    <cellStyle name="Comma 3 2 2 2 5 5" xfId="15034"/>
    <cellStyle name="Comma 3 2 2 2 6" xfId="1431"/>
    <cellStyle name="Comma 3 2 2 2 6 2" xfId="1432"/>
    <cellStyle name="Comma 3 2 2 2 6 2 2" xfId="1433"/>
    <cellStyle name="Comma 3 2 2 2 6 3" xfId="1434"/>
    <cellStyle name="Comma 3 2 2 2 6 4" xfId="15035"/>
    <cellStyle name="Comma 3 2 2 2 6 5" xfId="15036"/>
    <cellStyle name="Comma 3 2 2 2 7" xfId="1435"/>
    <cellStyle name="Comma 3 2 2 2 7 2" xfId="1436"/>
    <cellStyle name="Comma 3 2 2 2 7 2 2" xfId="1437"/>
    <cellStyle name="Comma 3 2 2 2 7 3" xfId="1438"/>
    <cellStyle name="Comma 3 2 2 2 7 4" xfId="15037"/>
    <cellStyle name="Comma 3 2 2 2 7 5" xfId="15038"/>
    <cellStyle name="Comma 3 2 2 2 8" xfId="1439"/>
    <cellStyle name="Comma 3 2 2 2 8 2" xfId="1440"/>
    <cellStyle name="Comma 3 2 2 2 8 2 2" xfId="1441"/>
    <cellStyle name="Comma 3 2 2 2 8 3" xfId="1442"/>
    <cellStyle name="Comma 3 2 2 2 8 4" xfId="15039"/>
    <cellStyle name="Comma 3 2 2 2 8 5" xfId="15040"/>
    <cellStyle name="Comma 3 2 2 2 9" xfId="1443"/>
    <cellStyle name="Comma 3 2 2 2 9 2" xfId="1444"/>
    <cellStyle name="Comma 3 2 2 2 9 2 2" xfId="1445"/>
    <cellStyle name="Comma 3 2 2 2 9 3" xfId="1446"/>
    <cellStyle name="Comma 3 2 2 2 9 4" xfId="15041"/>
    <cellStyle name="Comma 3 2 2 2 9 5" xfId="15042"/>
    <cellStyle name="Comma 3 2 2 20" xfId="1447"/>
    <cellStyle name="Comma 3 2 2 21" xfId="1448"/>
    <cellStyle name="Comma 3 2 2 3" xfId="1449"/>
    <cellStyle name="Comma 3 2 2 3 2" xfId="1450"/>
    <cellStyle name="Comma 3 2 2 3 2 2" xfId="1451"/>
    <cellStyle name="Comma 3 2 2 4" xfId="1452"/>
    <cellStyle name="Comma 3 2 2 4 2" xfId="1453"/>
    <cellStyle name="Comma 3 2 2 4 2 2" xfId="1454"/>
    <cellStyle name="Comma 3 2 2 5" xfId="1455"/>
    <cellStyle name="Comma 3 2 2 5 2" xfId="1456"/>
    <cellStyle name="Comma 3 2 2 5 2 2" xfId="1457"/>
    <cellStyle name="Comma 3 2 2 6" xfId="1458"/>
    <cellStyle name="Comma 3 2 2 6 2" xfId="1459"/>
    <cellStyle name="Comma 3 2 2 6 2 2" xfId="1460"/>
    <cellStyle name="Comma 3 2 2 7" xfId="1461"/>
    <cellStyle name="Comma 3 2 2 7 2" xfId="1462"/>
    <cellStyle name="Comma 3 2 2 7 2 2" xfId="1463"/>
    <cellStyle name="Comma 3 2 2 8" xfId="1464"/>
    <cellStyle name="Comma 3 2 2 8 2" xfId="1465"/>
    <cellStyle name="Comma 3 2 2 8 2 2" xfId="1466"/>
    <cellStyle name="Comma 3 2 2 9" xfId="1467"/>
    <cellStyle name="Comma 3 2 2 9 2" xfId="1468"/>
    <cellStyle name="Comma 3 2 2 9 2 2" xfId="1469"/>
    <cellStyle name="Comma 3 2 20" xfId="1470"/>
    <cellStyle name="Comma 3 2 21" xfId="15043"/>
    <cellStyle name="Comma 3 2 21 2" xfId="22924"/>
    <cellStyle name="Comma 3 2 3" xfId="1471"/>
    <cellStyle name="Comma 3 2 3 2" xfId="1472"/>
    <cellStyle name="Comma 3 2 3 3" xfId="1473"/>
    <cellStyle name="Comma 3 2 4" xfId="1474"/>
    <cellStyle name="Comma 3 2 4 2" xfId="1475"/>
    <cellStyle name="Comma 3 2 4 3" xfId="1476"/>
    <cellStyle name="Comma 3 2 5" xfId="1477"/>
    <cellStyle name="Comma 3 2 5 2" xfId="1478"/>
    <cellStyle name="Comma 3 2 5 3" xfId="1479"/>
    <cellStyle name="Comma 3 2 6" xfId="1480"/>
    <cellStyle name="Comma 3 2 6 2" xfId="1481"/>
    <cellStyle name="Comma 3 2 6 3" xfId="1482"/>
    <cellStyle name="Comma 3 2 7" xfId="1483"/>
    <cellStyle name="Comma 3 2 7 2" xfId="1484"/>
    <cellStyle name="Comma 3 2 7 3" xfId="1485"/>
    <cellStyle name="Comma 3 2 8" xfId="1486"/>
    <cellStyle name="Comma 3 2 8 2" xfId="1487"/>
    <cellStyle name="Comma 3 2 8 3" xfId="1488"/>
    <cellStyle name="Comma 3 2 9" xfId="1489"/>
    <cellStyle name="Comma 3 2 9 2" xfId="1490"/>
    <cellStyle name="Comma 3 2 9 3" xfId="1491"/>
    <cellStyle name="Comma 3 20" xfId="1492"/>
    <cellStyle name="Comma 3 20 2" xfId="1493"/>
    <cellStyle name="Comma 3 20 2 2" xfId="1494"/>
    <cellStyle name="Comma 3 20 3" xfId="15044"/>
    <cellStyle name="Comma 3 21" xfId="1495"/>
    <cellStyle name="Comma 3 21 2" xfId="1496"/>
    <cellStyle name="Comma 3 21 3" xfId="15045"/>
    <cellStyle name="Comma 3 22" xfId="1497"/>
    <cellStyle name="Comma 3 22 2" xfId="1498"/>
    <cellStyle name="Comma 3 22 3" xfId="15046"/>
    <cellStyle name="Comma 3 23" xfId="1499"/>
    <cellStyle name="Comma 3 23 2" xfId="1500"/>
    <cellStyle name="Comma 3 23 3" xfId="15047"/>
    <cellStyle name="Comma 3 24" xfId="1501"/>
    <cellStyle name="Comma 3 24 2" xfId="1502"/>
    <cellStyle name="Comma 3 24 3" xfId="15048"/>
    <cellStyle name="Comma 3 25" xfId="1503"/>
    <cellStyle name="Comma 3 25 2" xfId="1504"/>
    <cellStyle name="Comma 3 25 3" xfId="15049"/>
    <cellStyle name="Comma 3 26" xfId="1505"/>
    <cellStyle name="Comma 3 26 2" xfId="1506"/>
    <cellStyle name="Comma 3 26 3" xfId="15050"/>
    <cellStyle name="Comma 3 27" xfId="1507"/>
    <cellStyle name="Comma 3 27 2" xfId="1508"/>
    <cellStyle name="Comma 3 27 3" xfId="15051"/>
    <cellStyle name="Comma 3 28" xfId="1509"/>
    <cellStyle name="Comma 3 28 2" xfId="1510"/>
    <cellStyle name="Comma 3 28 3" xfId="15052"/>
    <cellStyle name="Comma 3 29" xfId="1511"/>
    <cellStyle name="Comma 3 29 2" xfId="1512"/>
    <cellStyle name="Comma 3 29 3" xfId="15053"/>
    <cellStyle name="Comma 3 3" xfId="1513"/>
    <cellStyle name="Comma 3 3 2" xfId="1514"/>
    <cellStyle name="Comma 3 3 2 2" xfId="1515"/>
    <cellStyle name="Comma 3 3 2 2 2" xfId="1516"/>
    <cellStyle name="Comma 3 3 2 3" xfId="1517"/>
    <cellStyle name="Comma 3 3 2 4" xfId="1518"/>
    <cellStyle name="Comma 3 3 2 5" xfId="1519"/>
    <cellStyle name="Comma 3 3 2 6" xfId="1520"/>
    <cellStyle name="Comma 3 3 2 6 2" xfId="1521"/>
    <cellStyle name="Comma 3 3 3" xfId="1522"/>
    <cellStyle name="Comma 3 3 4" xfId="1523"/>
    <cellStyle name="Comma 3 3 5" xfId="1524"/>
    <cellStyle name="Comma 3 3 6" xfId="1525"/>
    <cellStyle name="Comma 3 3 6 2" xfId="1526"/>
    <cellStyle name="Comma 3 3 7" xfId="15054"/>
    <cellStyle name="Comma 3 30" xfId="1527"/>
    <cellStyle name="Comma 3 30 2" xfId="1528"/>
    <cellStyle name="Comma 3 30 3" xfId="15055"/>
    <cellStyle name="Comma 3 31" xfId="1529"/>
    <cellStyle name="Comma 3 31 2" xfId="1530"/>
    <cellStyle name="Comma 3 31 3" xfId="15056"/>
    <cellStyle name="Comma 3 32" xfId="1531"/>
    <cellStyle name="Comma 3 32 2" xfId="1532"/>
    <cellStyle name="Comma 3 32 3" xfId="15057"/>
    <cellStyle name="Comma 3 33" xfId="1533"/>
    <cellStyle name="Comma 3 33 2" xfId="1534"/>
    <cellStyle name="Comma 3 33 3" xfId="15058"/>
    <cellStyle name="Comma 3 34" xfId="1535"/>
    <cellStyle name="Comma 3 34 2" xfId="1536"/>
    <cellStyle name="Comma 3 34 3" xfId="15059"/>
    <cellStyle name="Comma 3 35" xfId="1537"/>
    <cellStyle name="Comma 3 35 2" xfId="1538"/>
    <cellStyle name="Comma 3 35 3" xfId="15060"/>
    <cellStyle name="Comma 3 36" xfId="1539"/>
    <cellStyle name="Comma 3 36 2" xfId="1540"/>
    <cellStyle name="Comma 3 36 3" xfId="15061"/>
    <cellStyle name="Comma 3 37" xfId="1541"/>
    <cellStyle name="Comma 3 37 2" xfId="1542"/>
    <cellStyle name="Comma 3 37 3" xfId="15062"/>
    <cellStyle name="Comma 3 38" xfId="1543"/>
    <cellStyle name="Comma 3 38 2" xfId="1544"/>
    <cellStyle name="Comma 3 38 3" xfId="15063"/>
    <cellStyle name="Comma 3 39" xfId="1545"/>
    <cellStyle name="Comma 3 39 2" xfId="1546"/>
    <cellStyle name="Comma 3 39 3" xfId="15064"/>
    <cellStyle name="Comma 3 4" xfId="1547"/>
    <cellStyle name="Comma 3 4 2" xfId="1548"/>
    <cellStyle name="Comma 3 4 2 2" xfId="1549"/>
    <cellStyle name="Comma 3 4 3" xfId="1550"/>
    <cellStyle name="Comma 3 4 3 2" xfId="1551"/>
    <cellStyle name="Comma 3 4 4" xfId="15065"/>
    <cellStyle name="Comma 3 40" xfId="1552"/>
    <cellStyle name="Comma 3 40 2" xfId="1553"/>
    <cellStyle name="Comma 3 40 3" xfId="15066"/>
    <cellStyle name="Comma 3 41" xfId="1554"/>
    <cellStyle name="Comma 3 41 2" xfId="1555"/>
    <cellStyle name="Comma 3 41 3" xfId="15067"/>
    <cellStyle name="Comma 3 42" xfId="1556"/>
    <cellStyle name="Comma 3 42 2" xfId="1557"/>
    <cellStyle name="Comma 3 42 3" xfId="15068"/>
    <cellStyle name="Comma 3 43" xfId="1558"/>
    <cellStyle name="Comma 3 43 2" xfId="1559"/>
    <cellStyle name="Comma 3 43 3" xfId="15069"/>
    <cellStyle name="Comma 3 44" xfId="1560"/>
    <cellStyle name="Comma 3 44 2" xfId="1561"/>
    <cellStyle name="Comma 3 44 3" xfId="15070"/>
    <cellStyle name="Comma 3 45" xfId="1562"/>
    <cellStyle name="Comma 3 45 2" xfId="1563"/>
    <cellStyle name="Comma 3 45 3" xfId="15071"/>
    <cellStyle name="Comma 3 46" xfId="1564"/>
    <cellStyle name="Comma 3 46 2" xfId="1565"/>
    <cellStyle name="Comma 3 46 3" xfId="15072"/>
    <cellStyle name="Comma 3 47" xfId="1566"/>
    <cellStyle name="Comma 3 47 2" xfId="1567"/>
    <cellStyle name="Comma 3 47 3" xfId="15073"/>
    <cellStyle name="Comma 3 48" xfId="1568"/>
    <cellStyle name="Comma 3 48 2" xfId="1569"/>
    <cellStyle name="Comma 3 48 3" xfId="15074"/>
    <cellStyle name="Comma 3 49" xfId="1570"/>
    <cellStyle name="Comma 3 49 2" xfId="1571"/>
    <cellStyle name="Comma 3 49 3" xfId="15075"/>
    <cellStyle name="Comma 3 5" xfId="1572"/>
    <cellStyle name="Comma 3 5 2" xfId="1573"/>
    <cellStyle name="Comma 3 5 2 2" xfId="1574"/>
    <cellStyle name="Comma 3 5 3" xfId="1575"/>
    <cellStyle name="Comma 3 5 3 2" xfId="1576"/>
    <cellStyle name="Comma 3 5 4" xfId="15076"/>
    <cellStyle name="Comma 3 50" xfId="1577"/>
    <cellStyle name="Comma 3 50 2" xfId="1578"/>
    <cellStyle name="Comma 3 50 3" xfId="15077"/>
    <cellStyle name="Comma 3 51" xfId="1579"/>
    <cellStyle name="Comma 3 51 2" xfId="1580"/>
    <cellStyle name="Comma 3 51 3" xfId="15078"/>
    <cellStyle name="Comma 3 52" xfId="1581"/>
    <cellStyle name="Comma 3 52 2" xfId="1582"/>
    <cellStyle name="Comma 3 52 3" xfId="15079"/>
    <cellStyle name="Comma 3 53" xfId="1583"/>
    <cellStyle name="Comma 3 53 2" xfId="1584"/>
    <cellStyle name="Comma 3 53 3" xfId="15080"/>
    <cellStyle name="Comma 3 54" xfId="1585"/>
    <cellStyle name="Comma 3 54 2" xfId="1586"/>
    <cellStyle name="Comma 3 54 3" xfId="15081"/>
    <cellStyle name="Comma 3 55" xfId="1587"/>
    <cellStyle name="Comma 3 55 2" xfId="1588"/>
    <cellStyle name="Comma 3 55 3" xfId="15082"/>
    <cellStyle name="Comma 3 56" xfId="1589"/>
    <cellStyle name="Comma 3 56 2" xfId="1590"/>
    <cellStyle name="Comma 3 56 3" xfId="15083"/>
    <cellStyle name="Comma 3 57" xfId="1591"/>
    <cellStyle name="Comma 3 57 2" xfId="1592"/>
    <cellStyle name="Comma 3 57 3" xfId="15084"/>
    <cellStyle name="Comma 3 58" xfId="1593"/>
    <cellStyle name="Comma 3 58 2" xfId="1594"/>
    <cellStyle name="Comma 3 58 3" xfId="15085"/>
    <cellStyle name="Comma 3 59" xfId="1595"/>
    <cellStyle name="Comma 3 59 2" xfId="1596"/>
    <cellStyle name="Comma 3 59 3" xfId="15086"/>
    <cellStyle name="Comma 3 6" xfId="1597"/>
    <cellStyle name="Comma 3 6 2" xfId="1598"/>
    <cellStyle name="Comma 3 6 2 2" xfId="1599"/>
    <cellStyle name="Comma 3 6 3" xfId="1600"/>
    <cellStyle name="Comma 3 6 3 2" xfId="1601"/>
    <cellStyle name="Comma 3 6 4" xfId="15087"/>
    <cellStyle name="Comma 3 60" xfId="1602"/>
    <cellStyle name="Comma 3 60 2" xfId="1603"/>
    <cellStyle name="Comma 3 60 3" xfId="15088"/>
    <cellStyle name="Comma 3 61" xfId="1604"/>
    <cellStyle name="Comma 3 61 2" xfId="1605"/>
    <cellStyle name="Comma 3 61 3" xfId="15089"/>
    <cellStyle name="Comma 3 62" xfId="1606"/>
    <cellStyle name="Comma 3 62 2" xfId="1607"/>
    <cellStyle name="Comma 3 63" xfId="1608"/>
    <cellStyle name="Comma 3 63 2" xfId="1609"/>
    <cellStyle name="Comma 3 64" xfId="1610"/>
    <cellStyle name="Comma 3 64 2" xfId="1611"/>
    <cellStyle name="Comma 3 65" xfId="1612"/>
    <cellStyle name="Comma 3 65 2" xfId="1613"/>
    <cellStyle name="Comma 3 66" xfId="1614"/>
    <cellStyle name="Comma 3 66 2" xfId="1615"/>
    <cellStyle name="Comma 3 67" xfId="1616"/>
    <cellStyle name="Comma 3 67 2" xfId="1617"/>
    <cellStyle name="Comma 3 68" xfId="1618"/>
    <cellStyle name="Comma 3 68 2" xfId="1619"/>
    <cellStyle name="Comma 3 69" xfId="1620"/>
    <cellStyle name="Comma 3 69 2" xfId="1621"/>
    <cellStyle name="Comma 3 7" xfId="1622"/>
    <cellStyle name="Comma 3 7 2" xfId="1623"/>
    <cellStyle name="Comma 3 7 2 2" xfId="1624"/>
    <cellStyle name="Comma 3 7 3" xfId="1625"/>
    <cellStyle name="Comma 3 7 3 2" xfId="1626"/>
    <cellStyle name="Comma 3 7 4" xfId="15090"/>
    <cellStyle name="Comma 3 70" xfId="1627"/>
    <cellStyle name="Comma 3 70 2" xfId="1628"/>
    <cellStyle name="Comma 3 71" xfId="1629"/>
    <cellStyle name="Comma 3 71 2" xfId="1630"/>
    <cellStyle name="Comma 3 72" xfId="1631"/>
    <cellStyle name="Comma 3 72 2" xfId="1632"/>
    <cellStyle name="Comma 3 73" xfId="1633"/>
    <cellStyle name="Comma 3 73 2" xfId="1634"/>
    <cellStyle name="Comma 3 74" xfId="1635"/>
    <cellStyle name="Comma 3 74 2" xfId="1636"/>
    <cellStyle name="Comma 3 75" xfId="1637"/>
    <cellStyle name="Comma 3 75 2" xfId="1638"/>
    <cellStyle name="Comma 3 76" xfId="1639"/>
    <cellStyle name="Comma 3 76 2" xfId="1640"/>
    <cellStyle name="Comma 3 77" xfId="1641"/>
    <cellStyle name="Comma 3 77 2" xfId="1642"/>
    <cellStyle name="Comma 3 78" xfId="1643"/>
    <cellStyle name="Comma 3 78 2" xfId="1644"/>
    <cellStyle name="Comma 3 79" xfId="1645"/>
    <cellStyle name="Comma 3 79 2" xfId="1646"/>
    <cellStyle name="Comma 3 8" xfId="1647"/>
    <cellStyle name="Comma 3 8 2" xfId="1648"/>
    <cellStyle name="Comma 3 8 2 2" xfId="1649"/>
    <cellStyle name="Comma 3 8 3" xfId="1650"/>
    <cellStyle name="Comma 3 8 3 2" xfId="1651"/>
    <cellStyle name="Comma 3 8 4" xfId="15091"/>
    <cellStyle name="Comma 3 80" xfId="1652"/>
    <cellStyle name="Comma 3 80 2" xfId="1653"/>
    <cellStyle name="Comma 3 81" xfId="1654"/>
    <cellStyle name="Comma 3 81 2" xfId="1655"/>
    <cellStyle name="Comma 3 82" xfId="1656"/>
    <cellStyle name="Comma 3 82 2" xfId="1657"/>
    <cellStyle name="Comma 3 83" xfId="1658"/>
    <cellStyle name="Comma 3 83 2" xfId="1659"/>
    <cellStyle name="Comma 3 84" xfId="1660"/>
    <cellStyle name="Comma 3 84 2" xfId="1661"/>
    <cellStyle name="Comma 3 85" xfId="1662"/>
    <cellStyle name="Comma 3 85 2" xfId="1663"/>
    <cellStyle name="Comma 3 86" xfId="1664"/>
    <cellStyle name="Comma 3 86 2" xfId="1665"/>
    <cellStyle name="Comma 3 87" xfId="1666"/>
    <cellStyle name="Comma 3 87 2" xfId="1667"/>
    <cellStyle name="Comma 3 88" xfId="1668"/>
    <cellStyle name="Comma 3 88 2" xfId="1669"/>
    <cellStyle name="Comma 3 89" xfId="1670"/>
    <cellStyle name="Comma 3 89 2" xfId="1671"/>
    <cellStyle name="Comma 3 9" xfId="1672"/>
    <cellStyle name="Comma 3 9 2" xfId="1673"/>
    <cellStyle name="Comma 3 9 2 2" xfId="1674"/>
    <cellStyle name="Comma 3 9 3" xfId="1675"/>
    <cellStyle name="Comma 3 9 3 2" xfId="1676"/>
    <cellStyle name="Comma 3 9 4" xfId="15092"/>
    <cellStyle name="Comma 3 90" xfId="1677"/>
    <cellStyle name="Comma 3 90 2" xfId="1678"/>
    <cellStyle name="Comma 3 91" xfId="1679"/>
    <cellStyle name="Comma 3 91 2" xfId="1680"/>
    <cellStyle name="Comma 3 92" xfId="1681"/>
    <cellStyle name="Comma 3 92 2" xfId="1682"/>
    <cellStyle name="Comma 3 93" xfId="1683"/>
    <cellStyle name="Comma 3 93 2" xfId="1684"/>
    <cellStyle name="Comma 3 94" xfId="1685"/>
    <cellStyle name="Comma 3 94 2" xfId="1686"/>
    <cellStyle name="Comma 3 95" xfId="1687"/>
    <cellStyle name="Comma 3 95 2" xfId="1688"/>
    <cellStyle name="Comma 3 96" xfId="1689"/>
    <cellStyle name="Comma 3 96 2" xfId="1690"/>
    <cellStyle name="Comma 3 97" xfId="1691"/>
    <cellStyle name="Comma 3 98" xfId="1692"/>
    <cellStyle name="Comma 3 98 2" xfId="1693"/>
    <cellStyle name="Comma 3 99" xfId="1694"/>
    <cellStyle name="Comma 30" xfId="1695"/>
    <cellStyle name="Comma 30 2" xfId="1696"/>
    <cellStyle name="Comma 30 3" xfId="1697"/>
    <cellStyle name="Comma 30 3 2" xfId="15093"/>
    <cellStyle name="Comma 30 3 2 2" xfId="22925"/>
    <cellStyle name="Comma 30 3 3" xfId="22926"/>
    <cellStyle name="Comma 30 4" xfId="15094"/>
    <cellStyle name="Comma 30 4 2" xfId="22927"/>
    <cellStyle name="Comma 30 5" xfId="22928"/>
    <cellStyle name="Comma 31" xfId="1698"/>
    <cellStyle name="Comma 32" xfId="1699"/>
    <cellStyle name="Comma 33" xfId="1700"/>
    <cellStyle name="Comma 34" xfId="1701"/>
    <cellStyle name="Comma 35" xfId="1702"/>
    <cellStyle name="Comma 36" xfId="1703"/>
    <cellStyle name="Comma 37" xfId="1704"/>
    <cellStyle name="Comma 38" xfId="1705"/>
    <cellStyle name="Comma 39" xfId="1706"/>
    <cellStyle name="Comma 39 2" xfId="1707"/>
    <cellStyle name="Comma 39 3" xfId="1708"/>
    <cellStyle name="Comma 39 3 2" xfId="15095"/>
    <cellStyle name="Comma 39 3 2 2" xfId="22929"/>
    <cellStyle name="Comma 39 3 3" xfId="22930"/>
    <cellStyle name="Comma 39 4" xfId="15096"/>
    <cellStyle name="Comma 39 4 2" xfId="22931"/>
    <cellStyle name="Comma 39 5" xfId="22932"/>
    <cellStyle name="Comma 4" xfId="9"/>
    <cellStyle name="Comma 4 10" xfId="1709"/>
    <cellStyle name="Comma 4 11" xfId="1710"/>
    <cellStyle name="Comma 4 12" xfId="1711"/>
    <cellStyle name="Comma 4 13" xfId="1712"/>
    <cellStyle name="Comma 4 13 2" xfId="1713"/>
    <cellStyle name="Comma 4 13 2 2" xfId="1714"/>
    <cellStyle name="Comma 4 13 2 2 2" xfId="22933"/>
    <cellStyle name="Comma 4 13 2 3" xfId="1715"/>
    <cellStyle name="Comma 4 13 2 3 2" xfId="15097"/>
    <cellStyle name="Comma 4 13 2 3 2 2" xfId="22934"/>
    <cellStyle name="Comma 4 13 2 3 3" xfId="22935"/>
    <cellStyle name="Comma 4 13 2 4" xfId="15098"/>
    <cellStyle name="Comma 4 13 2 4 2" xfId="22936"/>
    <cellStyle name="Comma 4 13 2 5" xfId="22937"/>
    <cellStyle name="Comma 4 13 3" xfId="1716"/>
    <cellStyle name="Comma 4 13 4" xfId="1717"/>
    <cellStyle name="Comma 4 14" xfId="1718"/>
    <cellStyle name="Comma 4 15" xfId="1719"/>
    <cellStyle name="Comma 4 15 2" xfId="1720"/>
    <cellStyle name="Comma 4 15 2 2" xfId="22938"/>
    <cellStyle name="Comma 4 15 3" xfId="1721"/>
    <cellStyle name="Comma 4 15 3 2" xfId="15099"/>
    <cellStyle name="Comma 4 15 3 2 2" xfId="22939"/>
    <cellStyle name="Comma 4 15 3 3" xfId="22940"/>
    <cellStyle name="Comma 4 15 4" xfId="22941"/>
    <cellStyle name="Comma 4 16" xfId="1722"/>
    <cellStyle name="Comma 4 16 2" xfId="1723"/>
    <cellStyle name="Comma 4 16 2 2" xfId="15100"/>
    <cellStyle name="Comma 4 16 2 2 2" xfId="22942"/>
    <cellStyle name="Comma 4 16 2 3" xfId="22943"/>
    <cellStyle name="Comma 4 16 3" xfId="15101"/>
    <cellStyle name="Comma 4 16 3 2" xfId="22944"/>
    <cellStyle name="Comma 4 16 4" xfId="22945"/>
    <cellStyle name="Comma 4 17" xfId="1724"/>
    <cellStyle name="Comma 4 17 2" xfId="1725"/>
    <cellStyle name="Comma 4 17 2 2" xfId="1726"/>
    <cellStyle name="Comma 4 17 2 2 2" xfId="15102"/>
    <cellStyle name="Comma 4 17 2 2 2 2" xfId="22946"/>
    <cellStyle name="Comma 4 17 2 2 3" xfId="22947"/>
    <cellStyle name="Comma 4 17 2 3" xfId="15103"/>
    <cellStyle name="Comma 4 17 2 3 2" xfId="22948"/>
    <cellStyle name="Comma 4 17 2 4" xfId="22949"/>
    <cellStyle name="Comma 4 17 3" xfId="1727"/>
    <cellStyle name="Comma 4 17 3 2" xfId="15104"/>
    <cellStyle name="Comma 4 17 3 2 2" xfId="22950"/>
    <cellStyle name="Comma 4 17 3 3" xfId="22951"/>
    <cellStyle name="Comma 4 17 4" xfId="15105"/>
    <cellStyle name="Comma 4 17 4 2" xfId="22952"/>
    <cellStyle name="Comma 4 17 5" xfId="22953"/>
    <cellStyle name="Comma 4 18" xfId="1728"/>
    <cellStyle name="Comma 4 18 2" xfId="33625"/>
    <cellStyle name="Comma 4 18 2 2" xfId="33679"/>
    <cellStyle name="Comma 4 18 2 4" xfId="33701"/>
    <cellStyle name="Comma 4 19" xfId="22954"/>
    <cellStyle name="Comma 4 2" xfId="1729"/>
    <cellStyle name="Comma 4 2 10" xfId="1730"/>
    <cellStyle name="Comma 4 2 10 2" xfId="1731"/>
    <cellStyle name="Comma 4 2 10 2 2" xfId="1732"/>
    <cellStyle name="Comma 4 2 10 2 3" xfId="1733"/>
    <cellStyle name="Comma 4 2 10 2 3 2" xfId="15106"/>
    <cellStyle name="Comma 4 2 10 2 3 2 2" xfId="22955"/>
    <cellStyle name="Comma 4 2 10 2 3 3" xfId="22956"/>
    <cellStyle name="Comma 4 2 10 2 4" xfId="15107"/>
    <cellStyle name="Comma 4 2 10 2 4 2" xfId="22957"/>
    <cellStyle name="Comma 4 2 10 2 5" xfId="22958"/>
    <cellStyle name="Comma 4 2 10 3" xfId="1734"/>
    <cellStyle name="Comma 4 2 10 4" xfId="1735"/>
    <cellStyle name="Comma 4 2 10 4 2" xfId="15108"/>
    <cellStyle name="Comma 4 2 10 4 2 2" xfId="22959"/>
    <cellStyle name="Comma 4 2 10 4 3" xfId="22960"/>
    <cellStyle name="Comma 4 2 10 5" xfId="15109"/>
    <cellStyle name="Comma 4 2 10 5 2" xfId="22961"/>
    <cellStyle name="Comma 4 2 10 6" xfId="22962"/>
    <cellStyle name="Comma 4 2 11" xfId="1736"/>
    <cellStyle name="Comma 4 2 11 2" xfId="1737"/>
    <cellStyle name="Comma 4 2 11 2 2" xfId="1738"/>
    <cellStyle name="Comma 4 2 11 2 3" xfId="1739"/>
    <cellStyle name="Comma 4 2 11 2 3 2" xfId="15110"/>
    <cellStyle name="Comma 4 2 11 2 3 2 2" xfId="22963"/>
    <cellStyle name="Comma 4 2 11 2 3 3" xfId="22964"/>
    <cellStyle name="Comma 4 2 11 2 4" xfId="15111"/>
    <cellStyle name="Comma 4 2 11 2 4 2" xfId="22965"/>
    <cellStyle name="Comma 4 2 11 2 5" xfId="22966"/>
    <cellStyle name="Comma 4 2 11 3" xfId="1740"/>
    <cellStyle name="Comma 4 2 11 4" xfId="1741"/>
    <cellStyle name="Comma 4 2 11 4 2" xfId="15112"/>
    <cellStyle name="Comma 4 2 11 4 2 2" xfId="22967"/>
    <cellStyle name="Comma 4 2 11 4 3" xfId="22968"/>
    <cellStyle name="Comma 4 2 11 5" xfId="15113"/>
    <cellStyle name="Comma 4 2 11 5 2" xfId="22969"/>
    <cellStyle name="Comma 4 2 11 6" xfId="22970"/>
    <cellStyle name="Comma 4 2 12" xfId="1742"/>
    <cellStyle name="Comma 4 2 12 2" xfId="1743"/>
    <cellStyle name="Comma 4 2 12 2 2" xfId="22971"/>
    <cellStyle name="Comma 4 2 12 3" xfId="1744"/>
    <cellStyle name="Comma 4 2 12 3 2" xfId="15114"/>
    <cellStyle name="Comma 4 2 12 3 2 2" xfId="22972"/>
    <cellStyle name="Comma 4 2 12 3 3" xfId="22973"/>
    <cellStyle name="Comma 4 2 12 4" xfId="15115"/>
    <cellStyle name="Comma 4 2 12 4 2" xfId="22974"/>
    <cellStyle name="Comma 4 2 12 5" xfId="22975"/>
    <cellStyle name="Comma 4 2 13" xfId="1745"/>
    <cellStyle name="Comma 4 2 13 2" xfId="1746"/>
    <cellStyle name="Comma 4 2 13 2 2" xfId="22976"/>
    <cellStyle name="Comma 4 2 13 3" xfId="1747"/>
    <cellStyle name="Comma 4 2 13 3 2" xfId="15116"/>
    <cellStyle name="Comma 4 2 13 3 2 2" xfId="22977"/>
    <cellStyle name="Comma 4 2 13 3 3" xfId="22978"/>
    <cellStyle name="Comma 4 2 13 4" xfId="15117"/>
    <cellStyle name="Comma 4 2 13 4 2" xfId="22979"/>
    <cellStyle name="Comma 4 2 13 5" xfId="22980"/>
    <cellStyle name="Comma 4 2 14" xfId="1748"/>
    <cellStyle name="Comma 4 2 14 2" xfId="1749"/>
    <cellStyle name="Comma 4 2 14 3" xfId="1750"/>
    <cellStyle name="Comma 4 2 14 3 2" xfId="15118"/>
    <cellStyle name="Comma 4 2 14 3 2 2" xfId="22981"/>
    <cellStyle name="Comma 4 2 14 3 3" xfId="22982"/>
    <cellStyle name="Comma 4 2 14 4" xfId="15119"/>
    <cellStyle name="Comma 4 2 14 4 2" xfId="22983"/>
    <cellStyle name="Comma 4 2 14 5" xfId="22984"/>
    <cellStyle name="Comma 4 2 15" xfId="1751"/>
    <cellStyle name="Comma 4 2 15 2" xfId="15120"/>
    <cellStyle name="Comma 4 2 15 2 2" xfId="22985"/>
    <cellStyle name="Comma 4 2 15 3" xfId="22986"/>
    <cellStyle name="Comma 4 2 16" xfId="22987"/>
    <cellStyle name="Comma 4 2 2" xfId="1752"/>
    <cellStyle name="Comma 4 2 2 2" xfId="1753"/>
    <cellStyle name="Comma 4 2 2 2 2" xfId="1754"/>
    <cellStyle name="Comma 4 2 2 2 3" xfId="1755"/>
    <cellStyle name="Comma 4 2 2 2 3 2" xfId="15121"/>
    <cellStyle name="Comma 4 2 2 2 3 2 2" xfId="22988"/>
    <cellStyle name="Comma 4 2 2 2 3 3" xfId="22989"/>
    <cellStyle name="Comma 4 2 2 2 4" xfId="15122"/>
    <cellStyle name="Comma 4 2 2 2 4 2" xfId="22990"/>
    <cellStyle name="Comma 4 2 2 2 5" xfId="22991"/>
    <cellStyle name="Comma 4 2 2 3" xfId="1756"/>
    <cellStyle name="Comma 4 2 2 4" xfId="1757"/>
    <cellStyle name="Comma 4 2 2 4 2" xfId="15123"/>
    <cellStyle name="Comma 4 2 2 4 2 2" xfId="22992"/>
    <cellStyle name="Comma 4 2 2 4 3" xfId="22993"/>
    <cellStyle name="Comma 4 2 2 5" xfId="15124"/>
    <cellStyle name="Comma 4 2 2 5 2" xfId="22994"/>
    <cellStyle name="Comma 4 2 2 6" xfId="22995"/>
    <cellStyle name="Comma 4 2 3" xfId="1758"/>
    <cellStyle name="Comma 4 2 3 2" xfId="1759"/>
    <cellStyle name="Comma 4 2 3 2 2" xfId="1760"/>
    <cellStyle name="Comma 4 2 3 2 3" xfId="1761"/>
    <cellStyle name="Comma 4 2 3 2 3 2" xfId="15125"/>
    <cellStyle name="Comma 4 2 3 2 3 2 2" xfId="22996"/>
    <cellStyle name="Comma 4 2 3 2 3 3" xfId="22997"/>
    <cellStyle name="Comma 4 2 3 2 4" xfId="15126"/>
    <cellStyle name="Comma 4 2 3 2 4 2" xfId="22998"/>
    <cellStyle name="Comma 4 2 3 2 5" xfId="22999"/>
    <cellStyle name="Comma 4 2 3 3" xfId="1762"/>
    <cellStyle name="Comma 4 2 3 4" xfId="1763"/>
    <cellStyle name="Comma 4 2 3 4 2" xfId="15127"/>
    <cellStyle name="Comma 4 2 3 4 2 2" xfId="23000"/>
    <cellStyle name="Comma 4 2 3 4 3" xfId="23001"/>
    <cellStyle name="Comma 4 2 3 5" xfId="15128"/>
    <cellStyle name="Comma 4 2 3 5 2" xfId="23002"/>
    <cellStyle name="Comma 4 2 3 6" xfId="23003"/>
    <cellStyle name="Comma 4 2 4" xfId="1764"/>
    <cellStyle name="Comma 4 2 4 2" xfId="1765"/>
    <cellStyle name="Comma 4 2 4 2 2" xfId="1766"/>
    <cellStyle name="Comma 4 2 4 2 3" xfId="1767"/>
    <cellStyle name="Comma 4 2 4 2 3 2" xfId="15129"/>
    <cellStyle name="Comma 4 2 4 2 3 2 2" xfId="23004"/>
    <cellStyle name="Comma 4 2 4 2 3 3" xfId="23005"/>
    <cellStyle name="Comma 4 2 4 2 4" xfId="15130"/>
    <cellStyle name="Comma 4 2 4 2 4 2" xfId="23006"/>
    <cellStyle name="Comma 4 2 4 2 5" xfId="23007"/>
    <cellStyle name="Comma 4 2 4 3" xfId="1768"/>
    <cellStyle name="Comma 4 2 4 4" xfId="1769"/>
    <cellStyle name="Comma 4 2 4 4 2" xfId="15131"/>
    <cellStyle name="Comma 4 2 4 4 2 2" xfId="23008"/>
    <cellStyle name="Comma 4 2 4 4 3" xfId="23009"/>
    <cellStyle name="Comma 4 2 4 5" xfId="15132"/>
    <cellStyle name="Comma 4 2 4 5 2" xfId="23010"/>
    <cellStyle name="Comma 4 2 4 6" xfId="23011"/>
    <cellStyle name="Comma 4 2 5" xfId="1770"/>
    <cellStyle name="Comma 4 2 5 2" xfId="1771"/>
    <cellStyle name="Comma 4 2 5 2 2" xfId="1772"/>
    <cellStyle name="Comma 4 2 5 2 3" xfId="1773"/>
    <cellStyle name="Comma 4 2 5 2 3 2" xfId="15133"/>
    <cellStyle name="Comma 4 2 5 2 3 2 2" xfId="23012"/>
    <cellStyle name="Comma 4 2 5 2 3 3" xfId="23013"/>
    <cellStyle name="Comma 4 2 5 2 4" xfId="15134"/>
    <cellStyle name="Comma 4 2 5 2 4 2" xfId="23014"/>
    <cellStyle name="Comma 4 2 5 2 5" xfId="23015"/>
    <cellStyle name="Comma 4 2 5 3" xfId="1774"/>
    <cellStyle name="Comma 4 2 5 4" xfId="1775"/>
    <cellStyle name="Comma 4 2 5 4 2" xfId="15135"/>
    <cellStyle name="Comma 4 2 5 4 2 2" xfId="23016"/>
    <cellStyle name="Comma 4 2 5 4 3" xfId="23017"/>
    <cellStyle name="Comma 4 2 5 5" xfId="15136"/>
    <cellStyle name="Comma 4 2 5 5 2" xfId="23018"/>
    <cellStyle name="Comma 4 2 5 6" xfId="23019"/>
    <cellStyle name="Comma 4 2 6" xfId="1776"/>
    <cellStyle name="Comma 4 2 6 2" xfId="1777"/>
    <cellStyle name="Comma 4 2 6 2 2" xfId="1778"/>
    <cellStyle name="Comma 4 2 6 2 3" xfId="1779"/>
    <cellStyle name="Comma 4 2 6 2 3 2" xfId="15137"/>
    <cellStyle name="Comma 4 2 6 2 3 2 2" xfId="23020"/>
    <cellStyle name="Comma 4 2 6 2 3 3" xfId="23021"/>
    <cellStyle name="Comma 4 2 6 2 4" xfId="15138"/>
    <cellStyle name="Comma 4 2 6 2 4 2" xfId="23022"/>
    <cellStyle name="Comma 4 2 6 2 5" xfId="23023"/>
    <cellStyle name="Comma 4 2 6 3" xfId="1780"/>
    <cellStyle name="Comma 4 2 6 4" xfId="1781"/>
    <cellStyle name="Comma 4 2 6 4 2" xfId="15139"/>
    <cellStyle name="Comma 4 2 6 4 2 2" xfId="23024"/>
    <cellStyle name="Comma 4 2 6 4 3" xfId="23025"/>
    <cellStyle name="Comma 4 2 6 5" xfId="15140"/>
    <cellStyle name="Comma 4 2 6 5 2" xfId="23026"/>
    <cellStyle name="Comma 4 2 6 6" xfId="23027"/>
    <cellStyle name="Comma 4 2 7" xfId="1782"/>
    <cellStyle name="Comma 4 2 7 2" xfId="1783"/>
    <cellStyle name="Comma 4 2 7 2 2" xfId="1784"/>
    <cellStyle name="Comma 4 2 7 2 3" xfId="1785"/>
    <cellStyle name="Comma 4 2 7 2 3 2" xfId="15141"/>
    <cellStyle name="Comma 4 2 7 2 3 2 2" xfId="23028"/>
    <cellStyle name="Comma 4 2 7 2 3 3" xfId="23029"/>
    <cellStyle name="Comma 4 2 7 2 4" xfId="15142"/>
    <cellStyle name="Comma 4 2 7 2 4 2" xfId="23030"/>
    <cellStyle name="Comma 4 2 7 2 5" xfId="23031"/>
    <cellStyle name="Comma 4 2 7 3" xfId="1786"/>
    <cellStyle name="Comma 4 2 7 4" xfId="1787"/>
    <cellStyle name="Comma 4 2 7 4 2" xfId="15143"/>
    <cellStyle name="Comma 4 2 7 4 2 2" xfId="23032"/>
    <cellStyle name="Comma 4 2 7 4 3" xfId="23033"/>
    <cellStyle name="Comma 4 2 7 5" xfId="15144"/>
    <cellStyle name="Comma 4 2 7 5 2" xfId="23034"/>
    <cellStyle name="Comma 4 2 7 6" xfId="23035"/>
    <cellStyle name="Comma 4 2 8" xfId="1788"/>
    <cellStyle name="Comma 4 2 8 2" xfId="1789"/>
    <cellStyle name="Comma 4 2 8 2 2" xfId="1790"/>
    <cellStyle name="Comma 4 2 8 2 3" xfId="1791"/>
    <cellStyle name="Comma 4 2 8 2 3 2" xfId="15145"/>
    <cellStyle name="Comma 4 2 8 2 3 2 2" xfId="23036"/>
    <cellStyle name="Comma 4 2 8 2 3 3" xfId="23037"/>
    <cellStyle name="Comma 4 2 8 2 4" xfId="15146"/>
    <cellStyle name="Comma 4 2 8 2 4 2" xfId="23038"/>
    <cellStyle name="Comma 4 2 8 2 5" xfId="23039"/>
    <cellStyle name="Comma 4 2 8 3" xfId="1792"/>
    <cellStyle name="Comma 4 2 8 4" xfId="1793"/>
    <cellStyle name="Comma 4 2 8 4 2" xfId="15147"/>
    <cellStyle name="Comma 4 2 8 4 2 2" xfId="23040"/>
    <cellStyle name="Comma 4 2 8 4 3" xfId="23041"/>
    <cellStyle name="Comma 4 2 8 5" xfId="15148"/>
    <cellStyle name="Comma 4 2 8 5 2" xfId="23042"/>
    <cellStyle name="Comma 4 2 8 6" xfId="23043"/>
    <cellStyle name="Comma 4 2 9" xfId="1794"/>
    <cellStyle name="Comma 4 2 9 2" xfId="1795"/>
    <cellStyle name="Comma 4 2 9 2 2" xfId="1796"/>
    <cellStyle name="Comma 4 2 9 2 3" xfId="1797"/>
    <cellStyle name="Comma 4 2 9 2 3 2" xfId="15149"/>
    <cellStyle name="Comma 4 2 9 2 3 2 2" xfId="23044"/>
    <cellStyle name="Comma 4 2 9 2 3 3" xfId="23045"/>
    <cellStyle name="Comma 4 2 9 2 4" xfId="15150"/>
    <cellStyle name="Comma 4 2 9 2 4 2" xfId="23046"/>
    <cellStyle name="Comma 4 2 9 2 5" xfId="23047"/>
    <cellStyle name="Comma 4 2 9 3" xfId="1798"/>
    <cellStyle name="Comma 4 2 9 4" xfId="1799"/>
    <cellStyle name="Comma 4 2 9 4 2" xfId="15151"/>
    <cellStyle name="Comma 4 2 9 4 2 2" xfId="23048"/>
    <cellStyle name="Comma 4 2 9 4 3" xfId="23049"/>
    <cellStyle name="Comma 4 2 9 5" xfId="15152"/>
    <cellStyle name="Comma 4 2 9 5 2" xfId="23050"/>
    <cellStyle name="Comma 4 2 9 6" xfId="23051"/>
    <cellStyle name="Comma 4 3" xfId="1800"/>
    <cellStyle name="Comma 4 3 2" xfId="1801"/>
    <cellStyle name="Comma 4 3 2 2" xfId="1802"/>
    <cellStyle name="Comma 4 3 2 3" xfId="1803"/>
    <cellStyle name="Comma 4 3 2 3 2" xfId="15153"/>
    <cellStyle name="Comma 4 3 2 3 2 2" xfId="23052"/>
    <cellStyle name="Comma 4 3 2 3 3" xfId="23053"/>
    <cellStyle name="Comma 4 3 2 4" xfId="15154"/>
    <cellStyle name="Comma 4 3 2 4 2" xfId="23054"/>
    <cellStyle name="Comma 4 3 2 5" xfId="23055"/>
    <cellStyle name="Comma 4 3 3" xfId="1804"/>
    <cellStyle name="Comma 4 3 4" xfId="1805"/>
    <cellStyle name="Comma 4 3 5" xfId="1806"/>
    <cellStyle name="Comma 4 3 5 2" xfId="15155"/>
    <cellStyle name="Comma 4 3 5 2 2" xfId="23056"/>
    <cellStyle name="Comma 4 3 5 3" xfId="23057"/>
    <cellStyle name="Comma 4 3 6" xfId="15156"/>
    <cellStyle name="Comma 4 3 6 2" xfId="23058"/>
    <cellStyle name="Comma 4 3 7" xfId="23059"/>
    <cellStyle name="Comma 4 4" xfId="1807"/>
    <cellStyle name="Comma 4 5" xfId="1808"/>
    <cellStyle name="Comma 4 6" xfId="1809"/>
    <cellStyle name="Comma 4 7" xfId="1810"/>
    <cellStyle name="Comma 4 8" xfId="1811"/>
    <cellStyle name="Comma 4 9" xfId="1812"/>
    <cellStyle name="Comma 40" xfId="1813"/>
    <cellStyle name="Comma 41" xfId="1814"/>
    <cellStyle name="Comma 42" xfId="1815"/>
    <cellStyle name="Comma 43" xfId="1816"/>
    <cellStyle name="Comma 43 2" xfId="1817"/>
    <cellStyle name="Comma 43 3" xfId="1818"/>
    <cellStyle name="Comma 43 3 2" xfId="15157"/>
    <cellStyle name="Comma 43 3 2 2" xfId="23060"/>
    <cellStyle name="Comma 43 3 3" xfId="23061"/>
    <cellStyle name="Comma 43 4" xfId="15158"/>
    <cellStyle name="Comma 43 4 2" xfId="23062"/>
    <cellStyle name="Comma 43 5" xfId="23063"/>
    <cellStyle name="Comma 44" xfId="1819"/>
    <cellStyle name="Comma 45" xfId="1820"/>
    <cellStyle name="Comma 45 2" xfId="1821"/>
    <cellStyle name="Comma 45 2 2" xfId="15159"/>
    <cellStyle name="Comma 45 2 2 2" xfId="23064"/>
    <cellStyle name="Comma 45 2 3" xfId="23065"/>
    <cellStyle name="Comma 45 3" xfId="1822"/>
    <cellStyle name="Comma 45 4" xfId="15160"/>
    <cellStyle name="Comma 45 4 2" xfId="15161"/>
    <cellStyle name="Comma 45 4 2 2" xfId="23066"/>
    <cellStyle name="Comma 45 4 3" xfId="22080"/>
    <cellStyle name="Comma 45 4 3 2" xfId="23067"/>
    <cellStyle name="Comma 45 4 4" xfId="23068"/>
    <cellStyle name="Comma 45 5" xfId="15162"/>
    <cellStyle name="Comma 45 5 2" xfId="23069"/>
    <cellStyle name="Comma 45 6" xfId="23070"/>
    <cellStyle name="Comma 46" xfId="1823"/>
    <cellStyle name="Comma 47" xfId="1824"/>
    <cellStyle name="Comma 48" xfId="1825"/>
    <cellStyle name="Comma 49" xfId="1826"/>
    <cellStyle name="Comma 5" xfId="10"/>
    <cellStyle name="Comma 5 10" xfId="1827"/>
    <cellStyle name="Comma 5 10 2" xfId="1828"/>
    <cellStyle name="Comma 5 10 2 2" xfId="1829"/>
    <cellStyle name="Comma 5 10 3" xfId="1830"/>
    <cellStyle name="Comma 5 10 3 2" xfId="1831"/>
    <cellStyle name="Comma 5 10 4" xfId="15163"/>
    <cellStyle name="Comma 5 100" xfId="1832"/>
    <cellStyle name="Comma 5 100 2" xfId="1833"/>
    <cellStyle name="Comma 5 101" xfId="1834"/>
    <cellStyle name="Comma 5 101 2" xfId="1835"/>
    <cellStyle name="Comma 5 102" xfId="1836"/>
    <cellStyle name="Comma 5 102 2" xfId="1837"/>
    <cellStyle name="Comma 5 103" xfId="1838"/>
    <cellStyle name="Comma 5 103 2" xfId="1839"/>
    <cellStyle name="Comma 5 104" xfId="1840"/>
    <cellStyle name="Comma 5 104 2" xfId="1841"/>
    <cellStyle name="Comma 5 105" xfId="1842"/>
    <cellStyle name="Comma 5 105 2" xfId="1843"/>
    <cellStyle name="Comma 5 106" xfId="1844"/>
    <cellStyle name="Comma 5 106 2" xfId="1845"/>
    <cellStyle name="Comma 5 107" xfId="1846"/>
    <cellStyle name="Comma 5 107 2" xfId="1847"/>
    <cellStyle name="Comma 5 108" xfId="1848"/>
    <cellStyle name="Comma 5 108 2" xfId="1849"/>
    <cellStyle name="Comma 5 109" xfId="1850"/>
    <cellStyle name="Comma 5 109 2" xfId="1851"/>
    <cellStyle name="Comma 5 11" xfId="1852"/>
    <cellStyle name="Comma 5 11 2" xfId="1853"/>
    <cellStyle name="Comma 5 11 2 2" xfId="1854"/>
    <cellStyle name="Comma 5 11 3" xfId="1855"/>
    <cellStyle name="Comma 5 11 3 2" xfId="1856"/>
    <cellStyle name="Comma 5 11 4" xfId="15164"/>
    <cellStyle name="Comma 5 110" xfId="1857"/>
    <cellStyle name="Comma 5 110 2" xfId="1858"/>
    <cellStyle name="Comma 5 111" xfId="1859"/>
    <cellStyle name="Comma 5 111 2" xfId="1860"/>
    <cellStyle name="Comma 5 112" xfId="1861"/>
    <cellStyle name="Comma 5 112 2" xfId="1862"/>
    <cellStyle name="Comma 5 113" xfId="1863"/>
    <cellStyle name="Comma 5 113 2" xfId="1864"/>
    <cellStyle name="Comma 5 114" xfId="1865"/>
    <cellStyle name="Comma 5 114 2" xfId="1866"/>
    <cellStyle name="Comma 5 115" xfId="1867"/>
    <cellStyle name="Comma 5 115 2" xfId="1868"/>
    <cellStyle name="Comma 5 116" xfId="1869"/>
    <cellStyle name="Comma 5 116 2" xfId="1870"/>
    <cellStyle name="Comma 5 117" xfId="1871"/>
    <cellStyle name="Comma 5 117 2" xfId="1872"/>
    <cellStyle name="Comma 5 118" xfId="1873"/>
    <cellStyle name="Comma 5 118 2" xfId="1874"/>
    <cellStyle name="Comma 5 119" xfId="1875"/>
    <cellStyle name="Comma 5 119 2" xfId="1876"/>
    <cellStyle name="Comma 5 12" xfId="1877"/>
    <cellStyle name="Comma 5 12 2" xfId="1878"/>
    <cellStyle name="Comma 5 12 2 2" xfId="1879"/>
    <cellStyle name="Comma 5 12 3" xfId="1880"/>
    <cellStyle name="Comma 5 12 3 2" xfId="1881"/>
    <cellStyle name="Comma 5 12 4" xfId="15165"/>
    <cellStyle name="Comma 5 120" xfId="1882"/>
    <cellStyle name="Comma 5 120 2" xfId="1883"/>
    <cellStyle name="Comma 5 121" xfId="1884"/>
    <cellStyle name="Comma 5 121 2" xfId="1885"/>
    <cellStyle name="Comma 5 122" xfId="1886"/>
    <cellStyle name="Comma 5 122 2" xfId="1887"/>
    <cellStyle name="Comma 5 123" xfId="1888"/>
    <cellStyle name="Comma 5 123 2" xfId="1889"/>
    <cellStyle name="Comma 5 124" xfId="1890"/>
    <cellStyle name="Comma 5 124 2" xfId="1891"/>
    <cellStyle name="Comma 5 125" xfId="1892"/>
    <cellStyle name="Comma 5 125 2" xfId="1893"/>
    <cellStyle name="Comma 5 126" xfId="1894"/>
    <cellStyle name="Comma 5 126 2" xfId="1895"/>
    <cellStyle name="Comma 5 127" xfId="1896"/>
    <cellStyle name="Comma 5 127 2" xfId="1897"/>
    <cellStyle name="Comma 5 128" xfId="1898"/>
    <cellStyle name="Comma 5 128 2" xfId="1899"/>
    <cellStyle name="Comma 5 129" xfId="1900"/>
    <cellStyle name="Comma 5 129 2" xfId="1901"/>
    <cellStyle name="Comma 5 13" xfId="1902"/>
    <cellStyle name="Comma 5 13 2" xfId="1903"/>
    <cellStyle name="Comma 5 13 2 2" xfId="1904"/>
    <cellStyle name="Comma 5 13 3" xfId="1905"/>
    <cellStyle name="Comma 5 13 3 2" xfId="1906"/>
    <cellStyle name="Comma 5 13 3 2 2" xfId="23071"/>
    <cellStyle name="Comma 5 13 3 3" xfId="1907"/>
    <cellStyle name="Comma 5 13 3 3 2" xfId="15166"/>
    <cellStyle name="Comma 5 13 3 3 2 2" xfId="23072"/>
    <cellStyle name="Comma 5 13 3 3 3" xfId="23073"/>
    <cellStyle name="Comma 5 13 3 4" xfId="15167"/>
    <cellStyle name="Comma 5 13 3 4 2" xfId="23074"/>
    <cellStyle name="Comma 5 13 3 5" xfId="23075"/>
    <cellStyle name="Comma 5 13 4" xfId="1908"/>
    <cellStyle name="Comma 5 13 4 2" xfId="1909"/>
    <cellStyle name="Comma 5 13 5" xfId="15168"/>
    <cellStyle name="Comma 5 130" xfId="1910"/>
    <cellStyle name="Comma 5 130 2" xfId="1911"/>
    <cellStyle name="Comma 5 131" xfId="1912"/>
    <cellStyle name="Comma 5 131 2" xfId="1913"/>
    <cellStyle name="Comma 5 132" xfId="1914"/>
    <cellStyle name="Comma 5 132 2" xfId="1915"/>
    <cellStyle name="Comma 5 133" xfId="1916"/>
    <cellStyle name="Comma 5 133 2" xfId="1917"/>
    <cellStyle name="Comma 5 134" xfId="1918"/>
    <cellStyle name="Comma 5 134 2" xfId="1919"/>
    <cellStyle name="Comma 5 135" xfId="1920"/>
    <cellStyle name="Comma 5 135 2" xfId="1921"/>
    <cellStyle name="Comma 5 136" xfId="1922"/>
    <cellStyle name="Comma 5 136 2" xfId="1923"/>
    <cellStyle name="Comma 5 137" xfId="1924"/>
    <cellStyle name="Comma 5 137 2" xfId="1925"/>
    <cellStyle name="Comma 5 137 3" xfId="1926"/>
    <cellStyle name="Comma 5 137 3 2" xfId="15169"/>
    <cellStyle name="Comma 5 137 3 2 2" xfId="23076"/>
    <cellStyle name="Comma 5 137 3 3" xfId="23077"/>
    <cellStyle name="Comma 5 137 4" xfId="15170"/>
    <cellStyle name="Comma 5 137 4 2" xfId="23078"/>
    <cellStyle name="Comma 5 137 5" xfId="23079"/>
    <cellStyle name="Comma 5 138" xfId="1927"/>
    <cellStyle name="Comma 5 138 2" xfId="15171"/>
    <cellStyle name="Comma 5 138 2 2" xfId="23080"/>
    <cellStyle name="Comma 5 138 3" xfId="23081"/>
    <cellStyle name="Comma 5 139" xfId="23082"/>
    <cellStyle name="Comma 5 14" xfId="1928"/>
    <cellStyle name="Comma 5 14 2" xfId="1929"/>
    <cellStyle name="Comma 5 14 2 2" xfId="1930"/>
    <cellStyle name="Comma 5 14 3" xfId="1931"/>
    <cellStyle name="Comma 5 140" xfId="33639"/>
    <cellStyle name="Comma 5 15" xfId="1932"/>
    <cellStyle name="Comma 5 15 2" xfId="1933"/>
    <cellStyle name="Comma 5 15 3" xfId="15172"/>
    <cellStyle name="Comma 5 16" xfId="1934"/>
    <cellStyle name="Comma 5 16 2" xfId="1935"/>
    <cellStyle name="Comma 5 16 3" xfId="15173"/>
    <cellStyle name="Comma 5 17" xfId="1936"/>
    <cellStyle name="Comma 5 17 2" xfId="1937"/>
    <cellStyle name="Comma 5 17 3" xfId="15174"/>
    <cellStyle name="Comma 5 18" xfId="1938"/>
    <cellStyle name="Comma 5 18 2" xfId="1939"/>
    <cellStyle name="Comma 5 18 3" xfId="15175"/>
    <cellStyle name="Comma 5 19" xfId="1940"/>
    <cellStyle name="Comma 5 19 2" xfId="1941"/>
    <cellStyle name="Comma 5 19 3" xfId="15176"/>
    <cellStyle name="Comma 5 2" xfId="1942"/>
    <cellStyle name="Comma 5 2 10" xfId="1943"/>
    <cellStyle name="Comma 5 2 10 2" xfId="1944"/>
    <cellStyle name="Comma 5 2 11" xfId="1945"/>
    <cellStyle name="Comma 5 2 11 2" xfId="1946"/>
    <cellStyle name="Comma 5 2 12" xfId="1947"/>
    <cellStyle name="Comma 5 2 13" xfId="1948"/>
    <cellStyle name="Comma 5 2 14" xfId="1949"/>
    <cellStyle name="Comma 5 2 14 2" xfId="1950"/>
    <cellStyle name="Comma 5 2 15" xfId="1951"/>
    <cellStyle name="Comma 5 2 15 2" xfId="1952"/>
    <cellStyle name="Comma 5 2 16" xfId="15177"/>
    <cellStyle name="Comma 5 2 17" xfId="15178"/>
    <cellStyle name="Comma 5 2 2" xfId="1953"/>
    <cellStyle name="Comma 5 2 2 10" xfId="1954"/>
    <cellStyle name="Comma 5 2 2 10 2" xfId="1955"/>
    <cellStyle name="Comma 5 2 2 10 2 2" xfId="1956"/>
    <cellStyle name="Comma 5 2 2 10 3" xfId="1957"/>
    <cellStyle name="Comma 5 2 2 10 4" xfId="15179"/>
    <cellStyle name="Comma 5 2 2 10 5" xfId="15180"/>
    <cellStyle name="Comma 5 2 2 11" xfId="1958"/>
    <cellStyle name="Comma 5 2 2 11 2" xfId="1959"/>
    <cellStyle name="Comma 5 2 2 11 2 2" xfId="1960"/>
    <cellStyle name="Comma 5 2 2 11 3" xfId="1961"/>
    <cellStyle name="Comma 5 2 2 11 4" xfId="15181"/>
    <cellStyle name="Comma 5 2 2 11 5" xfId="15182"/>
    <cellStyle name="Comma 5 2 2 12" xfId="1962"/>
    <cellStyle name="Comma 5 2 2 12 2" xfId="1963"/>
    <cellStyle name="Comma 5 2 2 12 2 2" xfId="1964"/>
    <cellStyle name="Comma 5 2 2 12 3" xfId="1965"/>
    <cellStyle name="Comma 5 2 2 12 4" xfId="15183"/>
    <cellStyle name="Comma 5 2 2 13" xfId="1966"/>
    <cellStyle name="Comma 5 2 2 13 2" xfId="1967"/>
    <cellStyle name="Comma 5 2 2 13 2 2" xfId="1968"/>
    <cellStyle name="Comma 5 2 2 13 3" xfId="1969"/>
    <cellStyle name="Comma 5 2 2 13 4" xfId="15184"/>
    <cellStyle name="Comma 5 2 2 14" xfId="1970"/>
    <cellStyle name="Comma 5 2 2 15" xfId="1971"/>
    <cellStyle name="Comma 5 2 2 16" xfId="1972"/>
    <cellStyle name="Comma 5 2 2 16 2" xfId="1973"/>
    <cellStyle name="Comma 5 2 2 16 3" xfId="1974"/>
    <cellStyle name="Comma 5 2 2 16 3 2" xfId="15185"/>
    <cellStyle name="Comma 5 2 2 16 3 2 2" xfId="23083"/>
    <cellStyle name="Comma 5 2 2 16 3 3" xfId="23084"/>
    <cellStyle name="Comma 5 2 2 16 4" xfId="15186"/>
    <cellStyle name="Comma 5 2 2 16 4 2" xfId="23085"/>
    <cellStyle name="Comma 5 2 2 16 5" xfId="23086"/>
    <cellStyle name="Comma 5 2 2 2" xfId="1975"/>
    <cellStyle name="Comma 5 2 2 2 2" xfId="1976"/>
    <cellStyle name="Comma 5 2 2 2 2 2" xfId="1977"/>
    <cellStyle name="Comma 5 2 2 2 2 3" xfId="15187"/>
    <cellStyle name="Comma 5 2 2 2 3" xfId="1978"/>
    <cellStyle name="Comma 5 2 2 2 4" xfId="15188"/>
    <cellStyle name="Comma 5 2 2 2 5" xfId="15189"/>
    <cellStyle name="Comma 5 2 2 3" xfId="1979"/>
    <cellStyle name="Comma 5 2 2 3 2" xfId="1980"/>
    <cellStyle name="Comma 5 2 2 3 2 2" xfId="1981"/>
    <cellStyle name="Comma 5 2 2 3 3" xfId="1982"/>
    <cellStyle name="Comma 5 2 2 3 4" xfId="15190"/>
    <cellStyle name="Comma 5 2 2 3 5" xfId="15191"/>
    <cellStyle name="Comma 5 2 2 4" xfId="1983"/>
    <cellStyle name="Comma 5 2 2 4 2" xfId="1984"/>
    <cellStyle name="Comma 5 2 2 4 2 2" xfId="1985"/>
    <cellStyle name="Comma 5 2 2 4 3" xfId="1986"/>
    <cellStyle name="Comma 5 2 2 4 4" xfId="15192"/>
    <cellStyle name="Comma 5 2 2 4 5" xfId="15193"/>
    <cellStyle name="Comma 5 2 2 5" xfId="1987"/>
    <cellStyle name="Comma 5 2 2 5 2" xfId="1988"/>
    <cellStyle name="Comma 5 2 2 5 2 2" xfId="1989"/>
    <cellStyle name="Comma 5 2 2 5 3" xfId="1990"/>
    <cellStyle name="Comma 5 2 2 5 4" xfId="15194"/>
    <cellStyle name="Comma 5 2 2 5 5" xfId="15195"/>
    <cellStyle name="Comma 5 2 2 6" xfId="1991"/>
    <cellStyle name="Comma 5 2 2 6 2" xfId="1992"/>
    <cellStyle name="Comma 5 2 2 6 2 2" xfId="1993"/>
    <cellStyle name="Comma 5 2 2 6 3" xfId="1994"/>
    <cellStyle name="Comma 5 2 2 6 4" xfId="15196"/>
    <cellStyle name="Comma 5 2 2 6 5" xfId="15197"/>
    <cellStyle name="Comma 5 2 2 7" xfId="1995"/>
    <cellStyle name="Comma 5 2 2 7 2" xfId="1996"/>
    <cellStyle name="Comma 5 2 2 7 2 2" xfId="1997"/>
    <cellStyle name="Comma 5 2 2 7 3" xfId="1998"/>
    <cellStyle name="Comma 5 2 2 7 4" xfId="15198"/>
    <cellStyle name="Comma 5 2 2 7 5" xfId="15199"/>
    <cellStyle name="Comma 5 2 2 8" xfId="1999"/>
    <cellStyle name="Comma 5 2 2 8 2" xfId="2000"/>
    <cellStyle name="Comma 5 2 2 8 2 2" xfId="2001"/>
    <cellStyle name="Comma 5 2 2 8 3" xfId="2002"/>
    <cellStyle name="Comma 5 2 2 8 4" xfId="15200"/>
    <cellStyle name="Comma 5 2 2 8 5" xfId="15201"/>
    <cellStyle name="Comma 5 2 2 9" xfId="2003"/>
    <cellStyle name="Comma 5 2 2 9 2" xfId="2004"/>
    <cellStyle name="Comma 5 2 2 9 2 2" xfId="2005"/>
    <cellStyle name="Comma 5 2 2 9 3" xfId="2006"/>
    <cellStyle name="Comma 5 2 2 9 4" xfId="15202"/>
    <cellStyle name="Comma 5 2 2 9 5" xfId="15203"/>
    <cellStyle name="Comma 5 2 3" xfId="2007"/>
    <cellStyle name="Comma 5 2 3 2" xfId="2008"/>
    <cellStyle name="Comma 5 2 3 3" xfId="2009"/>
    <cellStyle name="Comma 5 2 3 3 2" xfId="2010"/>
    <cellStyle name="Comma 5 2 3 3 3" xfId="2011"/>
    <cellStyle name="Comma 5 2 3 3 3 2" xfId="15204"/>
    <cellStyle name="Comma 5 2 3 3 3 2 2" xfId="23087"/>
    <cellStyle name="Comma 5 2 3 3 3 3" xfId="23088"/>
    <cellStyle name="Comma 5 2 3 3 4" xfId="15205"/>
    <cellStyle name="Comma 5 2 3 3 4 2" xfId="23089"/>
    <cellStyle name="Comma 5 2 3 3 5" xfId="23090"/>
    <cellStyle name="Comma 5 2 4" xfId="2012"/>
    <cellStyle name="Comma 5 2 4 2" xfId="2013"/>
    <cellStyle name="Comma 5 2 4 3" xfId="2014"/>
    <cellStyle name="Comma 5 2 4 3 2" xfId="2015"/>
    <cellStyle name="Comma 5 2 4 3 3" xfId="2016"/>
    <cellStyle name="Comma 5 2 4 3 3 2" xfId="15206"/>
    <cellStyle name="Comma 5 2 4 3 3 2 2" xfId="23091"/>
    <cellStyle name="Comma 5 2 4 3 3 3" xfId="23092"/>
    <cellStyle name="Comma 5 2 4 3 4" xfId="15207"/>
    <cellStyle name="Comma 5 2 4 3 4 2" xfId="23093"/>
    <cellStyle name="Comma 5 2 4 3 5" xfId="23094"/>
    <cellStyle name="Comma 5 2 5" xfId="2017"/>
    <cellStyle name="Comma 5 2 5 2" xfId="2018"/>
    <cellStyle name="Comma 5 2 5 3" xfId="2019"/>
    <cellStyle name="Comma 5 2 5 3 2" xfId="2020"/>
    <cellStyle name="Comma 5 2 5 3 3" xfId="2021"/>
    <cellStyle name="Comma 5 2 5 3 3 2" xfId="15208"/>
    <cellStyle name="Comma 5 2 5 3 3 2 2" xfId="23095"/>
    <cellStyle name="Comma 5 2 5 3 3 3" xfId="23096"/>
    <cellStyle name="Comma 5 2 5 3 4" xfId="15209"/>
    <cellStyle name="Comma 5 2 5 3 4 2" xfId="23097"/>
    <cellStyle name="Comma 5 2 5 3 5" xfId="23098"/>
    <cellStyle name="Comma 5 2 6" xfId="2022"/>
    <cellStyle name="Comma 5 2 6 2" xfId="2023"/>
    <cellStyle name="Comma 5 2 6 3" xfId="2024"/>
    <cellStyle name="Comma 5 2 6 3 2" xfId="2025"/>
    <cellStyle name="Comma 5 2 6 3 3" xfId="2026"/>
    <cellStyle name="Comma 5 2 6 3 3 2" xfId="15210"/>
    <cellStyle name="Comma 5 2 6 3 3 2 2" xfId="23099"/>
    <cellStyle name="Comma 5 2 6 3 3 3" xfId="23100"/>
    <cellStyle name="Comma 5 2 6 3 4" xfId="15211"/>
    <cellStyle name="Comma 5 2 6 3 4 2" xfId="23101"/>
    <cellStyle name="Comma 5 2 6 3 5" xfId="23102"/>
    <cellStyle name="Comma 5 2 7" xfId="2027"/>
    <cellStyle name="Comma 5 2 7 2" xfId="2028"/>
    <cellStyle name="Comma 5 2 7 3" xfId="2029"/>
    <cellStyle name="Comma 5 2 7 3 2" xfId="2030"/>
    <cellStyle name="Comma 5 2 7 3 3" xfId="2031"/>
    <cellStyle name="Comma 5 2 7 3 3 2" xfId="15212"/>
    <cellStyle name="Comma 5 2 7 3 3 2 2" xfId="23103"/>
    <cellStyle name="Comma 5 2 7 3 3 3" xfId="23104"/>
    <cellStyle name="Comma 5 2 7 3 4" xfId="15213"/>
    <cellStyle name="Comma 5 2 7 3 4 2" xfId="23105"/>
    <cellStyle name="Comma 5 2 7 3 5" xfId="23106"/>
    <cellStyle name="Comma 5 2 8" xfId="2032"/>
    <cellStyle name="Comma 5 2 8 2" xfId="2033"/>
    <cellStyle name="Comma 5 2 8 3" xfId="2034"/>
    <cellStyle name="Comma 5 2 8 3 2" xfId="2035"/>
    <cellStyle name="Comma 5 2 8 3 3" xfId="2036"/>
    <cellStyle name="Comma 5 2 8 3 3 2" xfId="15214"/>
    <cellStyle name="Comma 5 2 8 3 3 2 2" xfId="23107"/>
    <cellStyle name="Comma 5 2 8 3 3 3" xfId="23108"/>
    <cellStyle name="Comma 5 2 8 3 4" xfId="15215"/>
    <cellStyle name="Comma 5 2 8 3 4 2" xfId="23109"/>
    <cellStyle name="Comma 5 2 8 3 5" xfId="23110"/>
    <cellStyle name="Comma 5 2 9" xfId="2037"/>
    <cellStyle name="Comma 5 2 9 2" xfId="2038"/>
    <cellStyle name="Comma 5 2 9 3" xfId="2039"/>
    <cellStyle name="Comma 5 2 9 3 2" xfId="2040"/>
    <cellStyle name="Comma 5 2 9 3 3" xfId="2041"/>
    <cellStyle name="Comma 5 2 9 3 3 2" xfId="15216"/>
    <cellStyle name="Comma 5 2 9 3 3 2 2" xfId="23111"/>
    <cellStyle name="Comma 5 2 9 3 3 3" xfId="23112"/>
    <cellStyle name="Comma 5 2 9 3 4" xfId="15217"/>
    <cellStyle name="Comma 5 2 9 3 4 2" xfId="23113"/>
    <cellStyle name="Comma 5 2 9 3 5" xfId="23114"/>
    <cellStyle name="Comma 5 20" xfId="2042"/>
    <cellStyle name="Comma 5 20 2" xfId="2043"/>
    <cellStyle name="Comma 5 20 3" xfId="15218"/>
    <cellStyle name="Comma 5 21" xfId="2044"/>
    <cellStyle name="Comma 5 21 2" xfId="2045"/>
    <cellStyle name="Comma 5 21 3" xfId="15219"/>
    <cellStyle name="Comma 5 22" xfId="2046"/>
    <cellStyle name="Comma 5 22 2" xfId="2047"/>
    <cellStyle name="Comma 5 22 3" xfId="15220"/>
    <cellStyle name="Comma 5 23" xfId="2048"/>
    <cellStyle name="Comma 5 23 2" xfId="2049"/>
    <cellStyle name="Comma 5 23 3" xfId="15221"/>
    <cellStyle name="Comma 5 24" xfId="2050"/>
    <cellStyle name="Comma 5 24 2" xfId="2051"/>
    <cellStyle name="Comma 5 24 3" xfId="15222"/>
    <cellStyle name="Comma 5 25" xfId="2052"/>
    <cellStyle name="Comma 5 25 2" xfId="2053"/>
    <cellStyle name="Comma 5 25 3" xfId="15223"/>
    <cellStyle name="Comma 5 26" xfId="2054"/>
    <cellStyle name="Comma 5 26 2" xfId="2055"/>
    <cellStyle name="Comma 5 26 3" xfId="15224"/>
    <cellStyle name="Comma 5 27" xfId="2056"/>
    <cellStyle name="Comma 5 27 2" xfId="2057"/>
    <cellStyle name="Comma 5 27 3" xfId="15225"/>
    <cellStyle name="Comma 5 28" xfId="2058"/>
    <cellStyle name="Comma 5 28 2" xfId="2059"/>
    <cellStyle name="Comma 5 28 3" xfId="15226"/>
    <cellStyle name="Comma 5 29" xfId="2060"/>
    <cellStyle name="Comma 5 29 2" xfId="2061"/>
    <cellStyle name="Comma 5 29 3" xfId="15227"/>
    <cellStyle name="Comma 5 3" xfId="2062"/>
    <cellStyle name="Comma 5 3 10" xfId="2063"/>
    <cellStyle name="Comma 5 3 10 2" xfId="2064"/>
    <cellStyle name="Comma 5 3 10 2 2" xfId="2065"/>
    <cellStyle name="Comma 5 3 10 2 3" xfId="2066"/>
    <cellStyle name="Comma 5 3 10 2 3 2" xfId="15228"/>
    <cellStyle name="Comma 5 3 10 2 3 2 2" xfId="23115"/>
    <cellStyle name="Comma 5 3 10 2 3 3" xfId="23116"/>
    <cellStyle name="Comma 5 3 10 2 4" xfId="15229"/>
    <cellStyle name="Comma 5 3 10 2 4 2" xfId="23117"/>
    <cellStyle name="Comma 5 3 10 2 5" xfId="23118"/>
    <cellStyle name="Comma 5 3 10 3" xfId="2067"/>
    <cellStyle name="Comma 5 3 10 4" xfId="2068"/>
    <cellStyle name="Comma 5 3 10 4 2" xfId="15230"/>
    <cellStyle name="Comma 5 3 10 4 2 2" xfId="23119"/>
    <cellStyle name="Comma 5 3 10 4 3" xfId="23120"/>
    <cellStyle name="Comma 5 3 10 5" xfId="15231"/>
    <cellStyle name="Comma 5 3 10 5 2" xfId="23121"/>
    <cellStyle name="Comma 5 3 10 6" xfId="23122"/>
    <cellStyle name="Comma 5 3 11" xfId="2069"/>
    <cellStyle name="Comma 5 3 11 2" xfId="2070"/>
    <cellStyle name="Comma 5 3 11 2 2" xfId="2071"/>
    <cellStyle name="Comma 5 3 11 2 3" xfId="2072"/>
    <cellStyle name="Comma 5 3 11 2 3 2" xfId="15232"/>
    <cellStyle name="Comma 5 3 11 2 3 2 2" xfId="23123"/>
    <cellStyle name="Comma 5 3 11 2 3 3" xfId="23124"/>
    <cellStyle name="Comma 5 3 11 2 4" xfId="15233"/>
    <cellStyle name="Comma 5 3 11 2 4 2" xfId="23125"/>
    <cellStyle name="Comma 5 3 11 2 5" xfId="23126"/>
    <cellStyle name="Comma 5 3 11 3" xfId="2073"/>
    <cellStyle name="Comma 5 3 11 4" xfId="2074"/>
    <cellStyle name="Comma 5 3 11 4 2" xfId="15234"/>
    <cellStyle name="Comma 5 3 11 4 2 2" xfId="23127"/>
    <cellStyle name="Comma 5 3 11 4 3" xfId="23128"/>
    <cellStyle name="Comma 5 3 11 5" xfId="15235"/>
    <cellStyle name="Comma 5 3 11 5 2" xfId="23129"/>
    <cellStyle name="Comma 5 3 11 6" xfId="23130"/>
    <cellStyle name="Comma 5 3 12" xfId="2075"/>
    <cellStyle name="Comma 5 3 12 2" xfId="2076"/>
    <cellStyle name="Comma 5 3 12 2 2" xfId="23131"/>
    <cellStyle name="Comma 5 3 12 3" xfId="2077"/>
    <cellStyle name="Comma 5 3 12 3 2" xfId="15236"/>
    <cellStyle name="Comma 5 3 12 3 2 2" xfId="23132"/>
    <cellStyle name="Comma 5 3 12 3 3" xfId="23133"/>
    <cellStyle name="Comma 5 3 12 4" xfId="15237"/>
    <cellStyle name="Comma 5 3 12 4 2" xfId="23134"/>
    <cellStyle name="Comma 5 3 12 5" xfId="23135"/>
    <cellStyle name="Comma 5 3 13" xfId="2078"/>
    <cellStyle name="Comma 5 3 13 2" xfId="2079"/>
    <cellStyle name="Comma 5 3 13 2 2" xfId="23136"/>
    <cellStyle name="Comma 5 3 13 3" xfId="2080"/>
    <cellStyle name="Comma 5 3 13 3 2" xfId="15238"/>
    <cellStyle name="Comma 5 3 13 3 2 2" xfId="23137"/>
    <cellStyle name="Comma 5 3 13 3 3" xfId="23138"/>
    <cellStyle name="Comma 5 3 13 4" xfId="15239"/>
    <cellStyle name="Comma 5 3 13 4 2" xfId="23139"/>
    <cellStyle name="Comma 5 3 13 5" xfId="23140"/>
    <cellStyle name="Comma 5 3 14" xfId="2081"/>
    <cellStyle name="Comma 5 3 14 2" xfId="2082"/>
    <cellStyle name="Comma 5 3 14 3" xfId="23141"/>
    <cellStyle name="Comma 5 3 15" xfId="2083"/>
    <cellStyle name="Comma 5 3 16" xfId="23142"/>
    <cellStyle name="Comma 5 3 2" xfId="2084"/>
    <cellStyle name="Comma 5 3 2 2" xfId="2085"/>
    <cellStyle name="Comma 5 3 2 2 2" xfId="2086"/>
    <cellStyle name="Comma 5 3 2 2 2 2" xfId="23143"/>
    <cellStyle name="Comma 5 3 2 2 3" xfId="2087"/>
    <cellStyle name="Comma 5 3 2 2 3 2" xfId="15240"/>
    <cellStyle name="Comma 5 3 2 2 3 2 2" xfId="23144"/>
    <cellStyle name="Comma 5 3 2 2 3 3" xfId="23145"/>
    <cellStyle name="Comma 5 3 2 2 4" xfId="15241"/>
    <cellStyle name="Comma 5 3 2 2 4 2" xfId="23146"/>
    <cellStyle name="Comma 5 3 2 2 5" xfId="23147"/>
    <cellStyle name="Comma 5 3 2 3" xfId="2088"/>
    <cellStyle name="Comma 5 3 2 3 2" xfId="2089"/>
    <cellStyle name="Comma 5 3 2 3 3" xfId="23148"/>
    <cellStyle name="Comma 5 3 2 4" xfId="2090"/>
    <cellStyle name="Comma 5 3 2 5" xfId="2091"/>
    <cellStyle name="Comma 5 3 2 5 2" xfId="15242"/>
    <cellStyle name="Comma 5 3 2 5 2 2" xfId="23149"/>
    <cellStyle name="Comma 5 3 2 5 3" xfId="23150"/>
    <cellStyle name="Comma 5 3 2 6" xfId="15243"/>
    <cellStyle name="Comma 5 3 2 6 2" xfId="23151"/>
    <cellStyle name="Comma 5 3 2 7" xfId="23152"/>
    <cellStyle name="Comma 5 3 3" xfId="2092"/>
    <cellStyle name="Comma 5 3 3 2" xfId="2093"/>
    <cellStyle name="Comma 5 3 3 2 2" xfId="2094"/>
    <cellStyle name="Comma 5 3 3 2 3" xfId="2095"/>
    <cellStyle name="Comma 5 3 3 2 3 2" xfId="15244"/>
    <cellStyle name="Comma 5 3 3 2 3 2 2" xfId="23153"/>
    <cellStyle name="Comma 5 3 3 2 3 3" xfId="23154"/>
    <cellStyle name="Comma 5 3 3 2 4" xfId="15245"/>
    <cellStyle name="Comma 5 3 3 2 4 2" xfId="23155"/>
    <cellStyle name="Comma 5 3 3 2 5" xfId="23156"/>
    <cellStyle name="Comma 5 3 3 3" xfId="2096"/>
    <cellStyle name="Comma 5 3 3 4" xfId="2097"/>
    <cellStyle name="Comma 5 3 3 4 2" xfId="15246"/>
    <cellStyle name="Comma 5 3 3 4 2 2" xfId="23157"/>
    <cellStyle name="Comma 5 3 3 4 3" xfId="23158"/>
    <cellStyle name="Comma 5 3 3 5" xfId="15247"/>
    <cellStyle name="Comma 5 3 3 5 2" xfId="23159"/>
    <cellStyle name="Comma 5 3 3 6" xfId="23160"/>
    <cellStyle name="Comma 5 3 4" xfId="2098"/>
    <cellStyle name="Comma 5 3 4 2" xfId="2099"/>
    <cellStyle name="Comma 5 3 4 2 2" xfId="2100"/>
    <cellStyle name="Comma 5 3 4 2 3" xfId="2101"/>
    <cellStyle name="Comma 5 3 4 2 3 2" xfId="15248"/>
    <cellStyle name="Comma 5 3 4 2 3 2 2" xfId="23161"/>
    <cellStyle name="Comma 5 3 4 2 3 3" xfId="23162"/>
    <cellStyle name="Comma 5 3 4 2 4" xfId="15249"/>
    <cellStyle name="Comma 5 3 4 2 4 2" xfId="23163"/>
    <cellStyle name="Comma 5 3 4 2 5" xfId="23164"/>
    <cellStyle name="Comma 5 3 4 3" xfId="2102"/>
    <cellStyle name="Comma 5 3 4 4" xfId="2103"/>
    <cellStyle name="Comma 5 3 4 4 2" xfId="15250"/>
    <cellStyle name="Comma 5 3 4 4 2 2" xfId="23165"/>
    <cellStyle name="Comma 5 3 4 4 3" xfId="23166"/>
    <cellStyle name="Comma 5 3 4 5" xfId="15251"/>
    <cellStyle name="Comma 5 3 4 5 2" xfId="23167"/>
    <cellStyle name="Comma 5 3 4 6" xfId="23168"/>
    <cellStyle name="Comma 5 3 5" xfId="2104"/>
    <cellStyle name="Comma 5 3 5 2" xfId="2105"/>
    <cellStyle name="Comma 5 3 5 2 2" xfId="2106"/>
    <cellStyle name="Comma 5 3 5 2 3" xfId="2107"/>
    <cellStyle name="Comma 5 3 5 2 3 2" xfId="15252"/>
    <cellStyle name="Comma 5 3 5 2 3 2 2" xfId="23169"/>
    <cellStyle name="Comma 5 3 5 2 3 3" xfId="23170"/>
    <cellStyle name="Comma 5 3 5 2 4" xfId="15253"/>
    <cellStyle name="Comma 5 3 5 2 4 2" xfId="23171"/>
    <cellStyle name="Comma 5 3 5 2 5" xfId="23172"/>
    <cellStyle name="Comma 5 3 5 3" xfId="2108"/>
    <cellStyle name="Comma 5 3 5 4" xfId="2109"/>
    <cellStyle name="Comma 5 3 5 4 2" xfId="15254"/>
    <cellStyle name="Comma 5 3 5 4 2 2" xfId="23173"/>
    <cellStyle name="Comma 5 3 5 4 3" xfId="23174"/>
    <cellStyle name="Comma 5 3 5 5" xfId="15255"/>
    <cellStyle name="Comma 5 3 5 5 2" xfId="23175"/>
    <cellStyle name="Comma 5 3 5 6" xfId="23176"/>
    <cellStyle name="Comma 5 3 6" xfId="2110"/>
    <cellStyle name="Comma 5 3 6 2" xfId="2111"/>
    <cellStyle name="Comma 5 3 6 2 2" xfId="2112"/>
    <cellStyle name="Comma 5 3 6 2 3" xfId="2113"/>
    <cellStyle name="Comma 5 3 6 2 3 2" xfId="15256"/>
    <cellStyle name="Comma 5 3 6 2 3 2 2" xfId="23177"/>
    <cellStyle name="Comma 5 3 6 2 3 3" xfId="23178"/>
    <cellStyle name="Comma 5 3 6 2 4" xfId="15257"/>
    <cellStyle name="Comma 5 3 6 2 4 2" xfId="23179"/>
    <cellStyle name="Comma 5 3 6 2 5" xfId="23180"/>
    <cellStyle name="Comma 5 3 6 3" xfId="2114"/>
    <cellStyle name="Comma 5 3 6 4" xfId="2115"/>
    <cellStyle name="Comma 5 3 6 4 2" xfId="15258"/>
    <cellStyle name="Comma 5 3 6 4 2 2" xfId="23181"/>
    <cellStyle name="Comma 5 3 6 4 3" xfId="23182"/>
    <cellStyle name="Comma 5 3 6 5" xfId="15259"/>
    <cellStyle name="Comma 5 3 6 5 2" xfId="23183"/>
    <cellStyle name="Comma 5 3 6 6" xfId="23184"/>
    <cellStyle name="Comma 5 3 7" xfId="2116"/>
    <cellStyle name="Comma 5 3 7 2" xfId="2117"/>
    <cellStyle name="Comma 5 3 7 2 2" xfId="2118"/>
    <cellStyle name="Comma 5 3 7 2 3" xfId="2119"/>
    <cellStyle name="Comma 5 3 7 2 3 2" xfId="15260"/>
    <cellStyle name="Comma 5 3 7 2 3 2 2" xfId="23185"/>
    <cellStyle name="Comma 5 3 7 2 3 3" xfId="23186"/>
    <cellStyle name="Comma 5 3 7 2 4" xfId="15261"/>
    <cellStyle name="Comma 5 3 7 2 4 2" xfId="23187"/>
    <cellStyle name="Comma 5 3 7 2 5" xfId="23188"/>
    <cellStyle name="Comma 5 3 7 3" xfId="2120"/>
    <cellStyle name="Comma 5 3 7 4" xfId="2121"/>
    <cellStyle name="Comma 5 3 7 4 2" xfId="15262"/>
    <cellStyle name="Comma 5 3 7 4 2 2" xfId="23189"/>
    <cellStyle name="Comma 5 3 7 4 3" xfId="23190"/>
    <cellStyle name="Comma 5 3 7 5" xfId="15263"/>
    <cellStyle name="Comma 5 3 7 5 2" xfId="23191"/>
    <cellStyle name="Comma 5 3 7 6" xfId="23192"/>
    <cellStyle name="Comma 5 3 8" xfId="2122"/>
    <cellStyle name="Comma 5 3 8 2" xfId="2123"/>
    <cellStyle name="Comma 5 3 8 2 2" xfId="2124"/>
    <cellStyle name="Comma 5 3 8 2 3" xfId="2125"/>
    <cellStyle name="Comma 5 3 8 2 3 2" xfId="15264"/>
    <cellStyle name="Comma 5 3 8 2 3 2 2" xfId="23193"/>
    <cellStyle name="Comma 5 3 8 2 3 3" xfId="23194"/>
    <cellStyle name="Comma 5 3 8 2 4" xfId="15265"/>
    <cellStyle name="Comma 5 3 8 2 4 2" xfId="23195"/>
    <cellStyle name="Comma 5 3 8 2 5" xfId="23196"/>
    <cellStyle name="Comma 5 3 8 3" xfId="2126"/>
    <cellStyle name="Comma 5 3 8 4" xfId="2127"/>
    <cellStyle name="Comma 5 3 8 4 2" xfId="15266"/>
    <cellStyle name="Comma 5 3 8 4 2 2" xfId="23197"/>
    <cellStyle name="Comma 5 3 8 4 3" xfId="23198"/>
    <cellStyle name="Comma 5 3 8 5" xfId="15267"/>
    <cellStyle name="Comma 5 3 8 5 2" xfId="23199"/>
    <cellStyle name="Comma 5 3 8 6" xfId="23200"/>
    <cellStyle name="Comma 5 3 9" xfId="2128"/>
    <cellStyle name="Comma 5 3 9 2" xfId="2129"/>
    <cellStyle name="Comma 5 3 9 2 2" xfId="2130"/>
    <cellStyle name="Comma 5 3 9 2 3" xfId="2131"/>
    <cellStyle name="Comma 5 3 9 2 3 2" xfId="15268"/>
    <cellStyle name="Comma 5 3 9 2 3 2 2" xfId="23201"/>
    <cellStyle name="Comma 5 3 9 2 3 3" xfId="23202"/>
    <cellStyle name="Comma 5 3 9 2 4" xfId="15269"/>
    <cellStyle name="Comma 5 3 9 2 4 2" xfId="23203"/>
    <cellStyle name="Comma 5 3 9 2 5" xfId="23204"/>
    <cellStyle name="Comma 5 3 9 3" xfId="2132"/>
    <cellStyle name="Comma 5 3 9 4" xfId="2133"/>
    <cellStyle name="Comma 5 3 9 4 2" xfId="15270"/>
    <cellStyle name="Comma 5 3 9 4 2 2" xfId="23205"/>
    <cellStyle name="Comma 5 3 9 4 3" xfId="23206"/>
    <cellStyle name="Comma 5 3 9 5" xfId="15271"/>
    <cellStyle name="Comma 5 3 9 5 2" xfId="23207"/>
    <cellStyle name="Comma 5 3 9 6" xfId="23208"/>
    <cellStyle name="Comma 5 30" xfId="2134"/>
    <cellStyle name="Comma 5 30 2" xfId="2135"/>
    <cellStyle name="Comma 5 30 3" xfId="15272"/>
    <cellStyle name="Comma 5 31" xfId="2136"/>
    <cellStyle name="Comma 5 31 2" xfId="2137"/>
    <cellStyle name="Comma 5 31 3" xfId="15273"/>
    <cellStyle name="Comma 5 32" xfId="2138"/>
    <cellStyle name="Comma 5 32 2" xfId="2139"/>
    <cellStyle name="Comma 5 32 3" xfId="15274"/>
    <cellStyle name="Comma 5 33" xfId="2140"/>
    <cellStyle name="Comma 5 33 2" xfId="2141"/>
    <cellStyle name="Comma 5 33 3" xfId="15275"/>
    <cellStyle name="Comma 5 34" xfId="2142"/>
    <cellStyle name="Comma 5 34 2" xfId="2143"/>
    <cellStyle name="Comma 5 34 3" xfId="15276"/>
    <cellStyle name="Comma 5 35" xfId="2144"/>
    <cellStyle name="Comma 5 35 2" xfId="2145"/>
    <cellStyle name="Comma 5 35 3" xfId="15277"/>
    <cellStyle name="Comma 5 36" xfId="2146"/>
    <cellStyle name="Comma 5 36 2" xfId="2147"/>
    <cellStyle name="Comma 5 36 3" xfId="15278"/>
    <cellStyle name="Comma 5 37" xfId="2148"/>
    <cellStyle name="Comma 5 37 2" xfId="2149"/>
    <cellStyle name="Comma 5 37 3" xfId="15279"/>
    <cellStyle name="Comma 5 38" xfId="2150"/>
    <cellStyle name="Comma 5 38 2" xfId="2151"/>
    <cellStyle name="Comma 5 38 3" xfId="15280"/>
    <cellStyle name="Comma 5 39" xfId="2152"/>
    <cellStyle name="Comma 5 39 2" xfId="2153"/>
    <cellStyle name="Comma 5 39 3" xfId="15281"/>
    <cellStyle name="Comma 5 4" xfId="2154"/>
    <cellStyle name="Comma 5 4 2" xfId="2155"/>
    <cellStyle name="Comma 5 4 2 2" xfId="2156"/>
    <cellStyle name="Comma 5 4 3" xfId="2157"/>
    <cellStyle name="Comma 5 4 3 2" xfId="2158"/>
    <cellStyle name="Comma 5 4 4" xfId="15282"/>
    <cellStyle name="Comma 5 40" xfId="2159"/>
    <cellStyle name="Comma 5 40 2" xfId="2160"/>
    <cellStyle name="Comma 5 40 3" xfId="15283"/>
    <cellStyle name="Comma 5 41" xfId="2161"/>
    <cellStyle name="Comma 5 41 2" xfId="2162"/>
    <cellStyle name="Comma 5 41 3" xfId="15284"/>
    <cellStyle name="Comma 5 42" xfId="2163"/>
    <cellStyle name="Comma 5 42 2" xfId="2164"/>
    <cellStyle name="Comma 5 42 3" xfId="15285"/>
    <cellStyle name="Comma 5 43" xfId="2165"/>
    <cellStyle name="Comma 5 43 2" xfId="2166"/>
    <cellStyle name="Comma 5 43 3" xfId="15286"/>
    <cellStyle name="Comma 5 44" xfId="2167"/>
    <cellStyle name="Comma 5 44 2" xfId="2168"/>
    <cellStyle name="Comma 5 44 3" xfId="15287"/>
    <cellStyle name="Comma 5 45" xfId="2169"/>
    <cellStyle name="Comma 5 45 2" xfId="2170"/>
    <cellStyle name="Comma 5 45 3" xfId="15288"/>
    <cellStyle name="Comma 5 46" xfId="2171"/>
    <cellStyle name="Comma 5 46 2" xfId="2172"/>
    <cellStyle name="Comma 5 46 3" xfId="15289"/>
    <cellStyle name="Comma 5 47" xfId="2173"/>
    <cellStyle name="Comma 5 47 2" xfId="2174"/>
    <cellStyle name="Comma 5 47 3" xfId="15290"/>
    <cellStyle name="Comma 5 48" xfId="2175"/>
    <cellStyle name="Comma 5 48 2" xfId="2176"/>
    <cellStyle name="Comma 5 48 3" xfId="15291"/>
    <cellStyle name="Comma 5 49" xfId="2177"/>
    <cellStyle name="Comma 5 49 2" xfId="2178"/>
    <cellStyle name="Comma 5 49 3" xfId="15292"/>
    <cellStyle name="Comma 5 5" xfId="2179"/>
    <cellStyle name="Comma 5 5 2" xfId="2180"/>
    <cellStyle name="Comma 5 5 2 2" xfId="2181"/>
    <cellStyle name="Comma 5 5 3" xfId="2182"/>
    <cellStyle name="Comma 5 5 3 2" xfId="2183"/>
    <cellStyle name="Comma 5 5 4" xfId="15293"/>
    <cellStyle name="Comma 5 50" xfId="2184"/>
    <cellStyle name="Comma 5 50 2" xfId="2185"/>
    <cellStyle name="Comma 5 50 3" xfId="15294"/>
    <cellStyle name="Comma 5 51" xfId="2186"/>
    <cellStyle name="Comma 5 51 2" xfId="2187"/>
    <cellStyle name="Comma 5 51 3" xfId="15295"/>
    <cellStyle name="Comma 5 52" xfId="2188"/>
    <cellStyle name="Comma 5 52 2" xfId="2189"/>
    <cellStyle name="Comma 5 52 3" xfId="15296"/>
    <cellStyle name="Comma 5 53" xfId="2190"/>
    <cellStyle name="Comma 5 53 2" xfId="2191"/>
    <cellStyle name="Comma 5 53 3" xfId="15297"/>
    <cellStyle name="Comma 5 54" xfId="2192"/>
    <cellStyle name="Comma 5 54 2" xfId="2193"/>
    <cellStyle name="Comma 5 54 3" xfId="15298"/>
    <cellStyle name="Comma 5 55" xfId="2194"/>
    <cellStyle name="Comma 5 55 2" xfId="2195"/>
    <cellStyle name="Comma 5 55 3" xfId="15299"/>
    <cellStyle name="Comma 5 56" xfId="2196"/>
    <cellStyle name="Comma 5 56 2" xfId="2197"/>
    <cellStyle name="Comma 5 56 3" xfId="15300"/>
    <cellStyle name="Comma 5 57" xfId="2198"/>
    <cellStyle name="Comma 5 57 2" xfId="2199"/>
    <cellStyle name="Comma 5 57 3" xfId="15301"/>
    <cellStyle name="Comma 5 58" xfId="2200"/>
    <cellStyle name="Comma 5 58 2" xfId="2201"/>
    <cellStyle name="Comma 5 58 3" xfId="15302"/>
    <cellStyle name="Comma 5 59" xfId="2202"/>
    <cellStyle name="Comma 5 59 2" xfId="2203"/>
    <cellStyle name="Comma 5 59 3" xfId="15303"/>
    <cellStyle name="Comma 5 6" xfId="2204"/>
    <cellStyle name="Comma 5 6 2" xfId="2205"/>
    <cellStyle name="Comma 5 6 2 2" xfId="2206"/>
    <cellStyle name="Comma 5 6 3" xfId="2207"/>
    <cellStyle name="Comma 5 6 3 2" xfId="2208"/>
    <cellStyle name="Comma 5 6 4" xfId="15304"/>
    <cellStyle name="Comma 5 60" xfId="2209"/>
    <cellStyle name="Comma 5 60 2" xfId="2210"/>
    <cellStyle name="Comma 5 60 3" xfId="15305"/>
    <cellStyle name="Comma 5 61" xfId="2211"/>
    <cellStyle name="Comma 5 61 2" xfId="2212"/>
    <cellStyle name="Comma 5 61 3" xfId="15306"/>
    <cellStyle name="Comma 5 62" xfId="2213"/>
    <cellStyle name="Comma 5 62 2" xfId="2214"/>
    <cellStyle name="Comma 5 63" xfId="2215"/>
    <cellStyle name="Comma 5 63 2" xfId="2216"/>
    <cellStyle name="Comma 5 64" xfId="2217"/>
    <cellStyle name="Comma 5 64 2" xfId="2218"/>
    <cellStyle name="Comma 5 65" xfId="2219"/>
    <cellStyle name="Comma 5 65 2" xfId="2220"/>
    <cellStyle name="Comma 5 66" xfId="2221"/>
    <cellStyle name="Comma 5 66 2" xfId="2222"/>
    <cellStyle name="Comma 5 67" xfId="2223"/>
    <cellStyle name="Comma 5 67 2" xfId="2224"/>
    <cellStyle name="Comma 5 68" xfId="2225"/>
    <cellStyle name="Comma 5 68 2" xfId="2226"/>
    <cellStyle name="Comma 5 69" xfId="2227"/>
    <cellStyle name="Comma 5 69 2" xfId="2228"/>
    <cellStyle name="Comma 5 7" xfId="2229"/>
    <cellStyle name="Comma 5 7 2" xfId="2230"/>
    <cellStyle name="Comma 5 7 2 2" xfId="2231"/>
    <cellStyle name="Comma 5 7 3" xfId="2232"/>
    <cellStyle name="Comma 5 7 3 2" xfId="2233"/>
    <cellStyle name="Comma 5 7 4" xfId="15307"/>
    <cellStyle name="Comma 5 70" xfId="2234"/>
    <cellStyle name="Comma 5 70 2" xfId="2235"/>
    <cellStyle name="Comma 5 71" xfId="2236"/>
    <cellStyle name="Comma 5 71 2" xfId="2237"/>
    <cellStyle name="Comma 5 72" xfId="2238"/>
    <cellStyle name="Comma 5 72 2" xfId="2239"/>
    <cellStyle name="Comma 5 73" xfId="2240"/>
    <cellStyle name="Comma 5 73 2" xfId="2241"/>
    <cellStyle name="Comma 5 74" xfId="2242"/>
    <cellStyle name="Comma 5 74 2" xfId="2243"/>
    <cellStyle name="Comma 5 75" xfId="2244"/>
    <cellStyle name="Comma 5 75 2" xfId="2245"/>
    <cellStyle name="Comma 5 76" xfId="2246"/>
    <cellStyle name="Comma 5 76 2" xfId="2247"/>
    <cellStyle name="Comma 5 77" xfId="2248"/>
    <cellStyle name="Comma 5 77 2" xfId="2249"/>
    <cellStyle name="Comma 5 78" xfId="2250"/>
    <cellStyle name="Comma 5 78 2" xfId="2251"/>
    <cellStyle name="Comma 5 79" xfId="2252"/>
    <cellStyle name="Comma 5 79 2" xfId="2253"/>
    <cellStyle name="Comma 5 8" xfId="2254"/>
    <cellStyle name="Comma 5 8 2" xfId="2255"/>
    <cellStyle name="Comma 5 8 2 2" xfId="2256"/>
    <cellStyle name="Comma 5 8 3" xfId="2257"/>
    <cellStyle name="Comma 5 8 3 2" xfId="2258"/>
    <cellStyle name="Comma 5 8 4" xfId="15308"/>
    <cellStyle name="Comma 5 80" xfId="2259"/>
    <cellStyle name="Comma 5 80 2" xfId="2260"/>
    <cellStyle name="Comma 5 81" xfId="2261"/>
    <cellStyle name="Comma 5 81 2" xfId="2262"/>
    <cellStyle name="Comma 5 82" xfId="2263"/>
    <cellStyle name="Comma 5 82 2" xfId="2264"/>
    <cellStyle name="Comma 5 83" xfId="2265"/>
    <cellStyle name="Comma 5 83 2" xfId="2266"/>
    <cellStyle name="Comma 5 84" xfId="2267"/>
    <cellStyle name="Comma 5 84 2" xfId="2268"/>
    <cellStyle name="Comma 5 85" xfId="2269"/>
    <cellStyle name="Comma 5 85 2" xfId="2270"/>
    <cellStyle name="Comma 5 86" xfId="2271"/>
    <cellStyle name="Comma 5 86 2" xfId="2272"/>
    <cellStyle name="Comma 5 87" xfId="2273"/>
    <cellStyle name="Comma 5 87 2" xfId="2274"/>
    <cellStyle name="Comma 5 88" xfId="2275"/>
    <cellStyle name="Comma 5 88 2" xfId="2276"/>
    <cellStyle name="Comma 5 89" xfId="2277"/>
    <cellStyle name="Comma 5 89 2" xfId="2278"/>
    <cellStyle name="Comma 5 9" xfId="2279"/>
    <cellStyle name="Comma 5 9 2" xfId="2280"/>
    <cellStyle name="Comma 5 9 2 2" xfId="2281"/>
    <cellStyle name="Comma 5 9 3" xfId="2282"/>
    <cellStyle name="Comma 5 9 3 2" xfId="2283"/>
    <cellStyle name="Comma 5 9 4" xfId="15309"/>
    <cellStyle name="Comma 5 90" xfId="2284"/>
    <cellStyle name="Comma 5 90 2" xfId="2285"/>
    <cellStyle name="Comma 5 91" xfId="2286"/>
    <cellStyle name="Comma 5 91 2" xfId="2287"/>
    <cellStyle name="Comma 5 92" xfId="2288"/>
    <cellStyle name="Comma 5 92 2" xfId="2289"/>
    <cellStyle name="Comma 5 92 3" xfId="15310"/>
    <cellStyle name="Comma 5 93" xfId="2290"/>
    <cellStyle name="Comma 5 93 2" xfId="2291"/>
    <cellStyle name="Comma 5 94" xfId="2292"/>
    <cellStyle name="Comma 5 94 2" xfId="2293"/>
    <cellStyle name="Comma 5 95" xfId="2294"/>
    <cellStyle name="Comma 5 95 2" xfId="2295"/>
    <cellStyle name="Comma 5 96" xfId="2296"/>
    <cellStyle name="Comma 5 96 2" xfId="2297"/>
    <cellStyle name="Comma 5 97" xfId="2298"/>
    <cellStyle name="Comma 5 97 2" xfId="2299"/>
    <cellStyle name="Comma 5 98" xfId="2300"/>
    <cellStyle name="Comma 5 98 2" xfId="2301"/>
    <cellStyle name="Comma 5 99" xfId="2302"/>
    <cellStyle name="Comma 5 99 2" xfId="2303"/>
    <cellStyle name="Comma 50" xfId="2304"/>
    <cellStyle name="Comma 51" xfId="2305"/>
    <cellStyle name="Comma 52" xfId="2306"/>
    <cellStyle name="Comma 53" xfId="2307"/>
    <cellStyle name="Comma 54" xfId="2308"/>
    <cellStyle name="Comma 55" xfId="2309"/>
    <cellStyle name="Comma 56" xfId="2310"/>
    <cellStyle name="Comma 57" xfId="2311"/>
    <cellStyle name="Comma 58" xfId="2312"/>
    <cellStyle name="Comma 59" xfId="2313"/>
    <cellStyle name="Comma 6" xfId="11"/>
    <cellStyle name="Comma 6 2" xfId="2314"/>
    <cellStyle name="Comma 6 2 2" xfId="15311"/>
    <cellStyle name="Comma 6 2 3" xfId="15312"/>
    <cellStyle name="Comma 6 2 3 2" xfId="23209"/>
    <cellStyle name="Comma 6 3" xfId="2315"/>
    <cellStyle name="Comma 6 3 2" xfId="2316"/>
    <cellStyle name="Comma 6 3 2 2" xfId="2317"/>
    <cellStyle name="Comma 6 3 2 2 2" xfId="15313"/>
    <cellStyle name="Comma 6 3 2 2 2 2" xfId="23210"/>
    <cellStyle name="Comma 6 3 2 2 3" xfId="23211"/>
    <cellStyle name="Comma 6 3 2 3" xfId="15314"/>
    <cellStyle name="Comma 6 3 2 3 2" xfId="23212"/>
    <cellStyle name="Comma 6 3 2 4" xfId="23213"/>
    <cellStyle name="Comma 6 3 3" xfId="2318"/>
    <cellStyle name="Comma 6 3 3 2" xfId="2319"/>
    <cellStyle name="Comma 6 3 3 2 2" xfId="15315"/>
    <cellStyle name="Comma 6 3 3 2 2 2" xfId="23214"/>
    <cellStyle name="Comma 6 3 3 2 3" xfId="23215"/>
    <cellStyle name="Comma 6 3 3 3" xfId="15316"/>
    <cellStyle name="Comma 6 3 3 3 2" xfId="23216"/>
    <cellStyle name="Comma 6 3 3 4" xfId="23217"/>
    <cellStyle name="Comma 6 3 4" xfId="2320"/>
    <cellStyle name="Comma 6 3 4 2" xfId="15317"/>
    <cellStyle name="Comma 6 3 4 2 2" xfId="23218"/>
    <cellStyle name="Comma 6 3 4 3" xfId="23219"/>
    <cellStyle name="Comma 6 3 5" xfId="15318"/>
    <cellStyle name="Comma 6 3 5 2" xfId="23220"/>
    <cellStyle name="Comma 6 3 6" xfId="23221"/>
    <cellStyle name="Comma 6 3 7" xfId="23222"/>
    <cellStyle name="Comma 6 4" xfId="2321"/>
    <cellStyle name="Comma 6 4 2" xfId="2322"/>
    <cellStyle name="Comma 6 4 2 2" xfId="15319"/>
    <cellStyle name="Comma 6 4 2 2 2" xfId="23223"/>
    <cellStyle name="Comma 6 4 2 3" xfId="23224"/>
    <cellStyle name="Comma 6 4 3" xfId="15320"/>
    <cellStyle name="Comma 6 4 3 2" xfId="23225"/>
    <cellStyle name="Comma 6 4 4" xfId="23226"/>
    <cellStyle name="Comma 6 5" xfId="2323"/>
    <cellStyle name="Comma 6 5 2" xfId="15321"/>
    <cellStyle name="Comma 6 5 2 2" xfId="23227"/>
    <cellStyle name="Comma 6 5 3" xfId="23228"/>
    <cellStyle name="Comma 6 6" xfId="15322"/>
    <cellStyle name="Comma 6 6 2" xfId="23229"/>
    <cellStyle name="Comma 6 7" xfId="23230"/>
    <cellStyle name="Comma 60" xfId="2324"/>
    <cellStyle name="Comma 61" xfId="2325"/>
    <cellStyle name="Comma 62" xfId="2326"/>
    <cellStyle name="Comma 63" xfId="2327"/>
    <cellStyle name="Comma 64" xfId="2328"/>
    <cellStyle name="Comma 65" xfId="2329"/>
    <cellStyle name="Comma 66" xfId="2330"/>
    <cellStyle name="Comma 67" xfId="2331"/>
    <cellStyle name="Comma 68" xfId="2332"/>
    <cellStyle name="Comma 69" xfId="2333"/>
    <cellStyle name="Comma 7" xfId="4"/>
    <cellStyle name="Comma 7 10" xfId="2334"/>
    <cellStyle name="Comma 7 11" xfId="2335"/>
    <cellStyle name="Comma 7 12" xfId="2336"/>
    <cellStyle name="Comma 7 12 2" xfId="2337"/>
    <cellStyle name="Comma 7 12 2 2" xfId="15323"/>
    <cellStyle name="Comma 7 12 2 2 2" xfId="23231"/>
    <cellStyle name="Comma 7 12 2 3" xfId="23232"/>
    <cellStyle name="Comma 7 13" xfId="2338"/>
    <cellStyle name="Comma 7 14" xfId="2339"/>
    <cellStyle name="Comma 7 14 2" xfId="2340"/>
    <cellStyle name="Comma 7 14 3" xfId="2341"/>
    <cellStyle name="Comma 7 14 3 2" xfId="15324"/>
    <cellStyle name="Comma 7 14 3 2 2" xfId="23233"/>
    <cellStyle name="Comma 7 14 3 3" xfId="23234"/>
    <cellStyle name="Comma 7 14 4" xfId="15325"/>
    <cellStyle name="Comma 7 14 4 2" xfId="23235"/>
    <cellStyle name="Comma 7 14 5" xfId="23236"/>
    <cellStyle name="Comma 7 15" xfId="2342"/>
    <cellStyle name="Comma 7 15 2" xfId="15326"/>
    <cellStyle name="Comma 7 15 2 2" xfId="23237"/>
    <cellStyle name="Comma 7 15 3" xfId="23238"/>
    <cellStyle name="Comma 7 16" xfId="2343"/>
    <cellStyle name="Comma 7 17" xfId="15327"/>
    <cellStyle name="Comma 7 17 2" xfId="23239"/>
    <cellStyle name="Comma 7 18" xfId="15328"/>
    <cellStyle name="Comma 7 2" xfId="2344"/>
    <cellStyle name="Comma 7 2 10" xfId="2345"/>
    <cellStyle name="Comma 7 2 10 2" xfId="2346"/>
    <cellStyle name="Comma 7 2 10 2 2" xfId="2347"/>
    <cellStyle name="Comma 7 2 10 2 3" xfId="2348"/>
    <cellStyle name="Comma 7 2 10 2 3 2" xfId="15329"/>
    <cellStyle name="Comma 7 2 10 2 3 2 2" xfId="23240"/>
    <cellStyle name="Comma 7 2 10 2 3 3" xfId="23241"/>
    <cellStyle name="Comma 7 2 10 2 4" xfId="15330"/>
    <cellStyle name="Comma 7 2 10 2 4 2" xfId="23242"/>
    <cellStyle name="Comma 7 2 10 2 5" xfId="23243"/>
    <cellStyle name="Comma 7 2 10 3" xfId="2349"/>
    <cellStyle name="Comma 7 2 10 4" xfId="2350"/>
    <cellStyle name="Comma 7 2 10 4 2" xfId="15331"/>
    <cellStyle name="Comma 7 2 10 4 2 2" xfId="23244"/>
    <cellStyle name="Comma 7 2 10 4 3" xfId="23245"/>
    <cellStyle name="Comma 7 2 10 5" xfId="15332"/>
    <cellStyle name="Comma 7 2 10 5 2" xfId="23246"/>
    <cellStyle name="Comma 7 2 10 6" xfId="23247"/>
    <cellStyle name="Comma 7 2 11" xfId="2351"/>
    <cellStyle name="Comma 7 2 11 2" xfId="2352"/>
    <cellStyle name="Comma 7 2 11 2 2" xfId="2353"/>
    <cellStyle name="Comma 7 2 11 2 3" xfId="2354"/>
    <cellStyle name="Comma 7 2 11 2 3 2" xfId="15333"/>
    <cellStyle name="Comma 7 2 11 2 3 2 2" xfId="23248"/>
    <cellStyle name="Comma 7 2 11 2 3 3" xfId="23249"/>
    <cellStyle name="Comma 7 2 11 2 4" xfId="15334"/>
    <cellStyle name="Comma 7 2 11 2 4 2" xfId="23250"/>
    <cellStyle name="Comma 7 2 11 2 5" xfId="23251"/>
    <cellStyle name="Comma 7 2 11 3" xfId="2355"/>
    <cellStyle name="Comma 7 2 11 4" xfId="2356"/>
    <cellStyle name="Comma 7 2 11 4 2" xfId="15335"/>
    <cellStyle name="Comma 7 2 11 4 2 2" xfId="23252"/>
    <cellStyle name="Comma 7 2 11 4 3" xfId="23253"/>
    <cellStyle name="Comma 7 2 11 5" xfId="15336"/>
    <cellStyle name="Comma 7 2 11 5 2" xfId="23254"/>
    <cellStyle name="Comma 7 2 11 6" xfId="23255"/>
    <cellStyle name="Comma 7 2 12" xfId="2357"/>
    <cellStyle name="Comma 7 2 12 2" xfId="2358"/>
    <cellStyle name="Comma 7 2 12 2 2" xfId="23256"/>
    <cellStyle name="Comma 7 2 12 3" xfId="2359"/>
    <cellStyle name="Comma 7 2 12 3 2" xfId="15337"/>
    <cellStyle name="Comma 7 2 12 3 2 2" xfId="23257"/>
    <cellStyle name="Comma 7 2 12 3 3" xfId="23258"/>
    <cellStyle name="Comma 7 2 12 4" xfId="15338"/>
    <cellStyle name="Comma 7 2 12 4 2" xfId="23259"/>
    <cellStyle name="Comma 7 2 12 5" xfId="23260"/>
    <cellStyle name="Comma 7 2 13" xfId="2360"/>
    <cellStyle name="Comma 7 2 13 2" xfId="2361"/>
    <cellStyle name="Comma 7 2 13 2 2" xfId="23261"/>
    <cellStyle name="Comma 7 2 13 3" xfId="2362"/>
    <cellStyle name="Comma 7 2 13 3 2" xfId="15339"/>
    <cellStyle name="Comma 7 2 13 3 2 2" xfId="23262"/>
    <cellStyle name="Comma 7 2 13 3 3" xfId="23263"/>
    <cellStyle name="Comma 7 2 13 4" xfId="15340"/>
    <cellStyle name="Comma 7 2 13 4 2" xfId="23264"/>
    <cellStyle name="Comma 7 2 13 5" xfId="23265"/>
    <cellStyle name="Comma 7 2 14" xfId="2363"/>
    <cellStyle name="Comma 7 2 14 2" xfId="2364"/>
    <cellStyle name="Comma 7 2 14 3" xfId="2365"/>
    <cellStyle name="Comma 7 2 14 3 2" xfId="15341"/>
    <cellStyle name="Comma 7 2 14 3 2 2" xfId="23266"/>
    <cellStyle name="Comma 7 2 14 3 3" xfId="23267"/>
    <cellStyle name="Comma 7 2 14 4" xfId="15342"/>
    <cellStyle name="Comma 7 2 14 4 2" xfId="23268"/>
    <cellStyle name="Comma 7 2 14 5" xfId="23269"/>
    <cellStyle name="Comma 7 2 15" xfId="2366"/>
    <cellStyle name="Comma 7 2 15 2" xfId="15343"/>
    <cellStyle name="Comma 7 2 15 2 2" xfId="23270"/>
    <cellStyle name="Comma 7 2 15 3" xfId="23271"/>
    <cellStyle name="Comma 7 2 16" xfId="23272"/>
    <cellStyle name="Comma 7 2 2" xfId="2367"/>
    <cellStyle name="Comma 7 2 2 2" xfId="2368"/>
    <cellStyle name="Comma 7 2 2 2 2" xfId="2369"/>
    <cellStyle name="Comma 7 2 2 2 3" xfId="2370"/>
    <cellStyle name="Comma 7 2 2 2 3 2" xfId="15344"/>
    <cellStyle name="Comma 7 2 2 2 3 2 2" xfId="23273"/>
    <cellStyle name="Comma 7 2 2 2 3 3" xfId="23274"/>
    <cellStyle name="Comma 7 2 2 2 4" xfId="15345"/>
    <cellStyle name="Comma 7 2 2 2 4 2" xfId="23275"/>
    <cellStyle name="Comma 7 2 2 2 5" xfId="23276"/>
    <cellStyle name="Comma 7 2 2 3" xfId="2371"/>
    <cellStyle name="Comma 7 2 2 4" xfId="2372"/>
    <cellStyle name="Comma 7 2 2 4 2" xfId="15346"/>
    <cellStyle name="Comma 7 2 2 4 2 2" xfId="23277"/>
    <cellStyle name="Comma 7 2 2 4 3" xfId="23278"/>
    <cellStyle name="Comma 7 2 2 5" xfId="15347"/>
    <cellStyle name="Comma 7 2 2 5 2" xfId="23279"/>
    <cellStyle name="Comma 7 2 2 6" xfId="23280"/>
    <cellStyle name="Comma 7 2 3" xfId="2373"/>
    <cellStyle name="Comma 7 2 3 2" xfId="2374"/>
    <cellStyle name="Comma 7 2 3 2 2" xfId="2375"/>
    <cellStyle name="Comma 7 2 3 2 3" xfId="2376"/>
    <cellStyle name="Comma 7 2 3 2 3 2" xfId="15348"/>
    <cellStyle name="Comma 7 2 3 2 3 2 2" xfId="23281"/>
    <cellStyle name="Comma 7 2 3 2 3 3" xfId="23282"/>
    <cellStyle name="Comma 7 2 3 2 4" xfId="15349"/>
    <cellStyle name="Comma 7 2 3 2 4 2" xfId="23283"/>
    <cellStyle name="Comma 7 2 3 2 5" xfId="23284"/>
    <cellStyle name="Comma 7 2 3 3" xfId="2377"/>
    <cellStyle name="Comma 7 2 3 4" xfId="2378"/>
    <cellStyle name="Comma 7 2 3 4 2" xfId="15350"/>
    <cellStyle name="Comma 7 2 3 4 2 2" xfId="23285"/>
    <cellStyle name="Comma 7 2 3 4 3" xfId="23286"/>
    <cellStyle name="Comma 7 2 3 5" xfId="15351"/>
    <cellStyle name="Comma 7 2 3 5 2" xfId="23287"/>
    <cellStyle name="Comma 7 2 3 6" xfId="23288"/>
    <cellStyle name="Comma 7 2 4" xfId="2379"/>
    <cellStyle name="Comma 7 2 4 2" xfId="2380"/>
    <cellStyle name="Comma 7 2 4 2 2" xfId="2381"/>
    <cellStyle name="Comma 7 2 4 2 3" xfId="2382"/>
    <cellStyle name="Comma 7 2 4 2 3 2" xfId="15352"/>
    <cellStyle name="Comma 7 2 4 2 3 2 2" xfId="23289"/>
    <cellStyle name="Comma 7 2 4 2 3 3" xfId="23290"/>
    <cellStyle name="Comma 7 2 4 2 4" xfId="15353"/>
    <cellStyle name="Comma 7 2 4 2 4 2" xfId="23291"/>
    <cellStyle name="Comma 7 2 4 2 5" xfId="23292"/>
    <cellStyle name="Comma 7 2 4 3" xfId="2383"/>
    <cellStyle name="Comma 7 2 4 4" xfId="2384"/>
    <cellStyle name="Comma 7 2 4 4 2" xfId="15354"/>
    <cellStyle name="Comma 7 2 4 4 2 2" xfId="23293"/>
    <cellStyle name="Comma 7 2 4 4 3" xfId="23294"/>
    <cellStyle name="Comma 7 2 4 5" xfId="15355"/>
    <cellStyle name="Comma 7 2 4 5 2" xfId="23295"/>
    <cellStyle name="Comma 7 2 4 6" xfId="23296"/>
    <cellStyle name="Comma 7 2 5" xfId="2385"/>
    <cellStyle name="Comma 7 2 5 2" xfId="2386"/>
    <cellStyle name="Comma 7 2 5 2 2" xfId="2387"/>
    <cellStyle name="Comma 7 2 5 2 3" xfId="2388"/>
    <cellStyle name="Comma 7 2 5 2 3 2" xfId="15356"/>
    <cellStyle name="Comma 7 2 5 2 3 2 2" xfId="23297"/>
    <cellStyle name="Comma 7 2 5 2 3 3" xfId="23298"/>
    <cellStyle name="Comma 7 2 5 2 4" xfId="15357"/>
    <cellStyle name="Comma 7 2 5 2 4 2" xfId="23299"/>
    <cellStyle name="Comma 7 2 5 2 5" xfId="23300"/>
    <cellStyle name="Comma 7 2 5 3" xfId="2389"/>
    <cellStyle name="Comma 7 2 5 4" xfId="2390"/>
    <cellStyle name="Comma 7 2 5 4 2" xfId="15358"/>
    <cellStyle name="Comma 7 2 5 4 2 2" xfId="23301"/>
    <cellStyle name="Comma 7 2 5 4 3" xfId="23302"/>
    <cellStyle name="Comma 7 2 5 5" xfId="15359"/>
    <cellStyle name="Comma 7 2 5 5 2" xfId="23303"/>
    <cellStyle name="Comma 7 2 5 6" xfId="23304"/>
    <cellStyle name="Comma 7 2 6" xfId="2391"/>
    <cellStyle name="Comma 7 2 6 2" xfId="2392"/>
    <cellStyle name="Comma 7 2 6 2 2" xfId="2393"/>
    <cellStyle name="Comma 7 2 6 2 3" xfId="2394"/>
    <cellStyle name="Comma 7 2 6 2 3 2" xfId="15360"/>
    <cellStyle name="Comma 7 2 6 2 3 2 2" xfId="23305"/>
    <cellStyle name="Comma 7 2 6 2 3 3" xfId="23306"/>
    <cellStyle name="Comma 7 2 6 2 4" xfId="15361"/>
    <cellStyle name="Comma 7 2 6 2 4 2" xfId="23307"/>
    <cellStyle name="Comma 7 2 6 2 5" xfId="23308"/>
    <cellStyle name="Comma 7 2 6 3" xfId="2395"/>
    <cellStyle name="Comma 7 2 6 4" xfId="2396"/>
    <cellStyle name="Comma 7 2 6 4 2" xfId="15362"/>
    <cellStyle name="Comma 7 2 6 4 2 2" xfId="23309"/>
    <cellStyle name="Comma 7 2 6 4 3" xfId="23310"/>
    <cellStyle name="Comma 7 2 6 5" xfId="15363"/>
    <cellStyle name="Comma 7 2 6 5 2" xfId="23311"/>
    <cellStyle name="Comma 7 2 6 6" xfId="23312"/>
    <cellStyle name="Comma 7 2 7" xfId="2397"/>
    <cellStyle name="Comma 7 2 7 2" xfId="2398"/>
    <cellStyle name="Comma 7 2 7 2 2" xfId="2399"/>
    <cellStyle name="Comma 7 2 7 2 3" xfId="2400"/>
    <cellStyle name="Comma 7 2 7 2 3 2" xfId="15364"/>
    <cellStyle name="Comma 7 2 7 2 3 2 2" xfId="23313"/>
    <cellStyle name="Comma 7 2 7 2 3 3" xfId="23314"/>
    <cellStyle name="Comma 7 2 7 2 4" xfId="15365"/>
    <cellStyle name="Comma 7 2 7 2 4 2" xfId="23315"/>
    <cellStyle name="Comma 7 2 7 2 5" xfId="23316"/>
    <cellStyle name="Comma 7 2 7 3" xfId="2401"/>
    <cellStyle name="Comma 7 2 7 4" xfId="2402"/>
    <cellStyle name="Comma 7 2 7 4 2" xfId="15366"/>
    <cellStyle name="Comma 7 2 7 4 2 2" xfId="23317"/>
    <cellStyle name="Comma 7 2 7 4 3" xfId="23318"/>
    <cellStyle name="Comma 7 2 7 5" xfId="15367"/>
    <cellStyle name="Comma 7 2 7 5 2" xfId="23319"/>
    <cellStyle name="Comma 7 2 7 6" xfId="23320"/>
    <cellStyle name="Comma 7 2 8" xfId="2403"/>
    <cellStyle name="Comma 7 2 8 2" xfId="2404"/>
    <cellStyle name="Comma 7 2 8 2 2" xfId="2405"/>
    <cellStyle name="Comma 7 2 8 2 3" xfId="2406"/>
    <cellStyle name="Comma 7 2 8 2 3 2" xfId="15368"/>
    <cellStyle name="Comma 7 2 8 2 3 2 2" xfId="23321"/>
    <cellStyle name="Comma 7 2 8 2 3 3" xfId="23322"/>
    <cellStyle name="Comma 7 2 8 2 4" xfId="15369"/>
    <cellStyle name="Comma 7 2 8 2 4 2" xfId="23323"/>
    <cellStyle name="Comma 7 2 8 2 5" xfId="23324"/>
    <cellStyle name="Comma 7 2 8 3" xfId="2407"/>
    <cellStyle name="Comma 7 2 8 4" xfId="2408"/>
    <cellStyle name="Comma 7 2 8 4 2" xfId="15370"/>
    <cellStyle name="Comma 7 2 8 4 2 2" xfId="23325"/>
    <cellStyle name="Comma 7 2 8 4 3" xfId="23326"/>
    <cellStyle name="Comma 7 2 8 5" xfId="15371"/>
    <cellStyle name="Comma 7 2 8 5 2" xfId="23327"/>
    <cellStyle name="Comma 7 2 8 6" xfId="23328"/>
    <cellStyle name="Comma 7 2 9" xfId="2409"/>
    <cellStyle name="Comma 7 2 9 2" xfId="2410"/>
    <cellStyle name="Comma 7 2 9 2 2" xfId="2411"/>
    <cellStyle name="Comma 7 2 9 2 3" xfId="2412"/>
    <cellStyle name="Comma 7 2 9 2 3 2" xfId="15372"/>
    <cellStyle name="Comma 7 2 9 2 3 2 2" xfId="23329"/>
    <cellStyle name="Comma 7 2 9 2 3 3" xfId="23330"/>
    <cellStyle name="Comma 7 2 9 2 4" xfId="15373"/>
    <cellStyle name="Comma 7 2 9 2 4 2" xfId="23331"/>
    <cellStyle name="Comma 7 2 9 2 5" xfId="23332"/>
    <cellStyle name="Comma 7 2 9 3" xfId="2413"/>
    <cellStyle name="Comma 7 2 9 4" xfId="2414"/>
    <cellStyle name="Comma 7 2 9 4 2" xfId="15374"/>
    <cellStyle name="Comma 7 2 9 4 2 2" xfId="23333"/>
    <cellStyle name="Comma 7 2 9 4 3" xfId="23334"/>
    <cellStyle name="Comma 7 2 9 5" xfId="15375"/>
    <cellStyle name="Comma 7 2 9 5 2" xfId="23335"/>
    <cellStyle name="Comma 7 2 9 6" xfId="23336"/>
    <cellStyle name="Comma 7 3" xfId="2415"/>
    <cellStyle name="Comma 7 4" xfId="2416"/>
    <cellStyle name="Comma 7 5" xfId="2417"/>
    <cellStyle name="Comma 7 6" xfId="2418"/>
    <cellStyle name="Comma 7 7" xfId="2419"/>
    <cellStyle name="Comma 7 8" xfId="2420"/>
    <cellStyle name="Comma 7 9" xfId="2421"/>
    <cellStyle name="Comma 70" xfId="2422"/>
    <cellStyle name="Comma 71" xfId="2423"/>
    <cellStyle name="Comma 72" xfId="2424"/>
    <cellStyle name="Comma 73" xfId="2425"/>
    <cellStyle name="Comma 74" xfId="2426"/>
    <cellStyle name="Comma 75" xfId="2427"/>
    <cellStyle name="Comma 76" xfId="2428"/>
    <cellStyle name="Comma 77" xfId="2429"/>
    <cellStyle name="Comma 78" xfId="2430"/>
    <cellStyle name="Comma 79" xfId="2431"/>
    <cellStyle name="Comma 8" xfId="2432"/>
    <cellStyle name="Comma 8 2" xfId="2433"/>
    <cellStyle name="Comma 8 2 2" xfId="2434"/>
    <cellStyle name="Comma 8 2 2 2" xfId="2435"/>
    <cellStyle name="Comma 8 2 2 3" xfId="2436"/>
    <cellStyle name="Comma 8 2 2 3 2" xfId="15376"/>
    <cellStyle name="Comma 8 2 2 3 2 2" xfId="23337"/>
    <cellStyle name="Comma 8 2 2 3 3" xfId="23338"/>
    <cellStyle name="Comma 8 2 2 4" xfId="15377"/>
    <cellStyle name="Comma 8 2 2 4 2" xfId="23339"/>
    <cellStyle name="Comma 8 2 2 5" xfId="23340"/>
    <cellStyle name="Comma 8 2 3" xfId="2437"/>
    <cellStyle name="Comma 8 2 3 2" xfId="15378"/>
    <cellStyle name="Comma 8 2 3 2 2" xfId="23341"/>
    <cellStyle name="Comma 8 2 3 3" xfId="23342"/>
    <cellStyle name="Comma 8 3" xfId="2438"/>
    <cellStyle name="Comma 8 3 2" xfId="2439"/>
    <cellStyle name="Comma 8 3 3" xfId="2440"/>
    <cellStyle name="Comma 8 3 3 2" xfId="15379"/>
    <cellStyle name="Comma 8 3 3 2 2" xfId="23343"/>
    <cellStyle name="Comma 8 3 3 3" xfId="23344"/>
    <cellStyle name="Comma 8 3 4" xfId="15380"/>
    <cellStyle name="Comma 8 3 4 2" xfId="23345"/>
    <cellStyle name="Comma 8 3 5" xfId="23346"/>
    <cellStyle name="Comma 80" xfId="2441"/>
    <cellStyle name="Comma 81" xfId="2442"/>
    <cellStyle name="Comma 82" xfId="2443"/>
    <cellStyle name="Comma 83" xfId="2444"/>
    <cellStyle name="Comma 84" xfId="2445"/>
    <cellStyle name="Comma 85" xfId="2446"/>
    <cellStyle name="Comma 86" xfId="2447"/>
    <cellStyle name="Comma 87" xfId="2448"/>
    <cellStyle name="Comma 88" xfId="2449"/>
    <cellStyle name="Comma 89" xfId="2450"/>
    <cellStyle name="Comma 9" xfId="2451"/>
    <cellStyle name="Comma 9 2" xfId="2452"/>
    <cellStyle name="Comma 9 3" xfId="2453"/>
    <cellStyle name="Comma 9 3 2" xfId="2454"/>
    <cellStyle name="Comma 9 4" xfId="2455"/>
    <cellStyle name="Comma 90" xfId="2456"/>
    <cellStyle name="Comma 90 2" xfId="33670"/>
    <cellStyle name="Comma 91" xfId="2457"/>
    <cellStyle name="Comma 91 2" xfId="23347"/>
    <cellStyle name="Comma 92" xfId="2458"/>
    <cellStyle name="Comma 93" xfId="15381"/>
    <cellStyle name="Comma 94" xfId="33619"/>
    <cellStyle name="Comma 94 2" xfId="33769"/>
    <cellStyle name="Comma 95" xfId="33636"/>
    <cellStyle name="Comma0" xfId="2459"/>
    <cellStyle name="corpload" xfId="2460"/>
    <cellStyle name="Currency [0] 2" xfId="2461"/>
    <cellStyle name="Currency [0] 2 2" xfId="2462"/>
    <cellStyle name="Currency [0] 2 2 2" xfId="2463"/>
    <cellStyle name="Currency [0] 2 2 2 2" xfId="15382"/>
    <cellStyle name="Currency [0] 2 2 2 2 2" xfId="23348"/>
    <cellStyle name="Currency [0] 2 2 3" xfId="15383"/>
    <cellStyle name="Currency [0] 2 2 3 2" xfId="23349"/>
    <cellStyle name="Currency [0] 3" xfId="2464"/>
    <cellStyle name="Currency 10" xfId="2465"/>
    <cellStyle name="Currency 11" xfId="2466"/>
    <cellStyle name="Currency 12" xfId="2467"/>
    <cellStyle name="Currency 12 2" xfId="2468"/>
    <cellStyle name="Currency 13" xfId="2469"/>
    <cellStyle name="Currency 14" xfId="2470"/>
    <cellStyle name="Currency 15" xfId="2471"/>
    <cellStyle name="Currency 16" xfId="2472"/>
    <cellStyle name="Currency 17" xfId="2473"/>
    <cellStyle name="Currency 18" xfId="2474"/>
    <cellStyle name="Currency 19" xfId="2475"/>
    <cellStyle name="Currency 2" xfId="12"/>
    <cellStyle name="Currency 2 10" xfId="2476"/>
    <cellStyle name="Currency 2 10 2" xfId="2477"/>
    <cellStyle name="Currency 2 10 2 2" xfId="2478"/>
    <cellStyle name="Currency 2 10 2 3" xfId="2479"/>
    <cellStyle name="Currency 2 10 3" xfId="2480"/>
    <cellStyle name="Currency 2 10 3 2" xfId="2481"/>
    <cellStyle name="Currency 2 10 4" xfId="15384"/>
    <cellStyle name="Currency 2 100" xfId="2482"/>
    <cellStyle name="Currency 2 100 2" xfId="2483"/>
    <cellStyle name="Currency 2 100 3" xfId="33630"/>
    <cellStyle name="Currency 2 100 3 2" xfId="33750"/>
    <cellStyle name="Currency 2 100 4" xfId="33685"/>
    <cellStyle name="Currency 2 100 4 2" xfId="33711"/>
    <cellStyle name="Currency 2 101" xfId="2484"/>
    <cellStyle name="Currency 2 101 2" xfId="2485"/>
    <cellStyle name="Currency 2 102" xfId="2486"/>
    <cellStyle name="Currency 2 102 2" xfId="2487"/>
    <cellStyle name="Currency 2 103" xfId="2488"/>
    <cellStyle name="Currency 2 103 2" xfId="2489"/>
    <cellStyle name="Currency 2 104" xfId="2490"/>
    <cellStyle name="Currency 2 104 2" xfId="2491"/>
    <cellStyle name="Currency 2 105" xfId="2492"/>
    <cellStyle name="Currency 2 105 2" xfId="2493"/>
    <cellStyle name="Currency 2 106" xfId="2494"/>
    <cellStyle name="Currency 2 106 2" xfId="2495"/>
    <cellStyle name="Currency 2 107" xfId="2496"/>
    <cellStyle name="Currency 2 107 2" xfId="2497"/>
    <cellStyle name="Currency 2 108" xfId="2498"/>
    <cellStyle name="Currency 2 108 2" xfId="2499"/>
    <cellStyle name="Currency 2 109" xfId="2500"/>
    <cellStyle name="Currency 2 109 2" xfId="2501"/>
    <cellStyle name="Currency 2 11" xfId="2502"/>
    <cellStyle name="Currency 2 11 2" xfId="2503"/>
    <cellStyle name="Currency 2 11 2 2" xfId="2504"/>
    <cellStyle name="Currency 2 11 3" xfId="2505"/>
    <cellStyle name="Currency 2 11 3 2" xfId="2506"/>
    <cellStyle name="Currency 2 11 4" xfId="15385"/>
    <cellStyle name="Currency 2 110" xfId="2507"/>
    <cellStyle name="Currency 2 110 2" xfId="2508"/>
    <cellStyle name="Currency 2 111" xfId="2509"/>
    <cellStyle name="Currency 2 111 2" xfId="2510"/>
    <cellStyle name="Currency 2 112" xfId="2511"/>
    <cellStyle name="Currency 2 112 2" xfId="2512"/>
    <cellStyle name="Currency 2 113" xfId="2513"/>
    <cellStyle name="Currency 2 113 2" xfId="2514"/>
    <cellStyle name="Currency 2 114" xfId="2515"/>
    <cellStyle name="Currency 2 114 2" xfId="2516"/>
    <cellStyle name="Currency 2 115" xfId="2517"/>
    <cellStyle name="Currency 2 115 2" xfId="2518"/>
    <cellStyle name="Currency 2 116" xfId="2519"/>
    <cellStyle name="Currency 2 116 2" xfId="2520"/>
    <cellStyle name="Currency 2 117" xfId="2521"/>
    <cellStyle name="Currency 2 117 2" xfId="2522"/>
    <cellStyle name="Currency 2 118" xfId="2523"/>
    <cellStyle name="Currency 2 118 2" xfId="2524"/>
    <cellStyle name="Currency 2 119" xfId="2525"/>
    <cellStyle name="Currency 2 119 2" xfId="2526"/>
    <cellStyle name="Currency 2 12" xfId="2527"/>
    <cellStyle name="Currency 2 12 2" xfId="2528"/>
    <cellStyle name="Currency 2 12 2 2" xfId="2529"/>
    <cellStyle name="Currency 2 12 3" xfId="2530"/>
    <cellStyle name="Currency 2 12 3 2" xfId="2531"/>
    <cellStyle name="Currency 2 12 4" xfId="15386"/>
    <cellStyle name="Currency 2 120" xfId="2532"/>
    <cellStyle name="Currency 2 120 2" xfId="2533"/>
    <cellStyle name="Currency 2 121" xfId="2534"/>
    <cellStyle name="Currency 2 121 2" xfId="2535"/>
    <cellStyle name="Currency 2 122" xfId="2536"/>
    <cellStyle name="Currency 2 122 2" xfId="2537"/>
    <cellStyle name="Currency 2 123" xfId="2538"/>
    <cellStyle name="Currency 2 123 2" xfId="2539"/>
    <cellStyle name="Currency 2 124" xfId="2540"/>
    <cellStyle name="Currency 2 124 2" xfId="2541"/>
    <cellStyle name="Currency 2 125" xfId="2542"/>
    <cellStyle name="Currency 2 125 2" xfId="2543"/>
    <cellStyle name="Currency 2 126" xfId="2544"/>
    <cellStyle name="Currency 2 126 2" xfId="2545"/>
    <cellStyle name="Currency 2 127" xfId="2546"/>
    <cellStyle name="Currency 2 127 2" xfId="2547"/>
    <cellStyle name="Currency 2 128" xfId="2548"/>
    <cellStyle name="Currency 2 128 2" xfId="2549"/>
    <cellStyle name="Currency 2 129" xfId="2550"/>
    <cellStyle name="Currency 2 129 2" xfId="2551"/>
    <cellStyle name="Currency 2 13" xfId="2552"/>
    <cellStyle name="Currency 2 13 2" xfId="2553"/>
    <cellStyle name="Currency 2 13 2 2" xfId="2554"/>
    <cellStyle name="Currency 2 13 3" xfId="2555"/>
    <cellStyle name="Currency 2 13 3 2" xfId="2556"/>
    <cellStyle name="Currency 2 13 4" xfId="15387"/>
    <cellStyle name="Currency 2 130" xfId="2557"/>
    <cellStyle name="Currency 2 130 2" xfId="2558"/>
    <cellStyle name="Currency 2 131" xfId="2559"/>
    <cellStyle name="Currency 2 131 2" xfId="2560"/>
    <cellStyle name="Currency 2 132" xfId="2561"/>
    <cellStyle name="Currency 2 132 2" xfId="2562"/>
    <cellStyle name="Currency 2 133" xfId="2563"/>
    <cellStyle name="Currency 2 133 2" xfId="2564"/>
    <cellStyle name="Currency 2 134" xfId="2565"/>
    <cellStyle name="Currency 2 134 2" xfId="2566"/>
    <cellStyle name="Currency 2 135" xfId="2567"/>
    <cellStyle name="Currency 2 135 2" xfId="2568"/>
    <cellStyle name="Currency 2 136" xfId="2569"/>
    <cellStyle name="Currency 2 136 2" xfId="2570"/>
    <cellStyle name="Currency 2 137" xfId="2571"/>
    <cellStyle name="Currency 2 138" xfId="2572"/>
    <cellStyle name="Currency 2 138 2" xfId="2573"/>
    <cellStyle name="Currency 2 138 2 2" xfId="2574"/>
    <cellStyle name="Currency 2 138 2 2 2" xfId="15388"/>
    <cellStyle name="Currency 2 138 2 2 2 2" xfId="23350"/>
    <cellStyle name="Currency 2 138 2 2 3" xfId="23351"/>
    <cellStyle name="Currency 2 138 2 3" xfId="15389"/>
    <cellStyle name="Currency 2 138 2 3 2" xfId="23352"/>
    <cellStyle name="Currency 2 138 2 4" xfId="23353"/>
    <cellStyle name="Currency 2 138 3" xfId="2575"/>
    <cellStyle name="Currency 2 138 3 2" xfId="15390"/>
    <cellStyle name="Currency 2 138 3 2 2" xfId="23354"/>
    <cellStyle name="Currency 2 138 3 3" xfId="23355"/>
    <cellStyle name="Currency 2 138 4" xfId="15391"/>
    <cellStyle name="Currency 2 138 4 2" xfId="23356"/>
    <cellStyle name="Currency 2 138 5" xfId="23357"/>
    <cellStyle name="Currency 2 139" xfId="2576"/>
    <cellStyle name="Currency 2 139 2" xfId="2577"/>
    <cellStyle name="Currency 2 139 2 2" xfId="15392"/>
    <cellStyle name="Currency 2 139 2 2 2" xfId="23358"/>
    <cellStyle name="Currency 2 139 2 3" xfId="23359"/>
    <cellStyle name="Currency 2 139 3" xfId="15393"/>
    <cellStyle name="Currency 2 139 3 2" xfId="23360"/>
    <cellStyle name="Currency 2 139 4" xfId="23361"/>
    <cellStyle name="Currency 2 14" xfId="2578"/>
    <cellStyle name="Currency 2 14 2" xfId="2579"/>
    <cellStyle name="Currency 2 14 2 2" xfId="2580"/>
    <cellStyle name="Currency 2 14 3" xfId="2581"/>
    <cellStyle name="Currency 2 14 3 2" xfId="2582"/>
    <cellStyle name="Currency 2 14 4" xfId="15394"/>
    <cellStyle name="Currency 2 140" xfId="2583"/>
    <cellStyle name="Currency 2 140 2" xfId="15395"/>
    <cellStyle name="Currency 2 140 2 2" xfId="23362"/>
    <cellStyle name="Currency 2 140 3" xfId="23363"/>
    <cellStyle name="Currency 2 141" xfId="15396"/>
    <cellStyle name="Currency 2 141 2" xfId="15397"/>
    <cellStyle name="Currency 2 141 2 2" xfId="23364"/>
    <cellStyle name="Currency 2 141 3" xfId="23365"/>
    <cellStyle name="Currency 2 142" xfId="15398"/>
    <cellStyle name="Currency 2 142 2" xfId="23366"/>
    <cellStyle name="Currency 2 143" xfId="23367"/>
    <cellStyle name="Currency 2 143 3" xfId="33745"/>
    <cellStyle name="Currency 2 15" xfId="2584"/>
    <cellStyle name="Currency 2 15 2" xfId="2585"/>
    <cellStyle name="Currency 2 15 2 2" xfId="2586"/>
    <cellStyle name="Currency 2 15 3" xfId="2587"/>
    <cellStyle name="Currency 2 15 3 2" xfId="2588"/>
    <cellStyle name="Currency 2 15 4" xfId="15399"/>
    <cellStyle name="Currency 2 16" xfId="2589"/>
    <cellStyle name="Currency 2 16 2" xfId="2590"/>
    <cellStyle name="Currency 2 16 2 2" xfId="2591"/>
    <cellStyle name="Currency 2 16 3" xfId="2592"/>
    <cellStyle name="Currency 2 16 3 2" xfId="2593"/>
    <cellStyle name="Currency 2 16 4" xfId="15400"/>
    <cellStyle name="Currency 2 17" xfId="2594"/>
    <cellStyle name="Currency 2 17 2" xfId="2595"/>
    <cellStyle name="Currency 2 17 2 2" xfId="2596"/>
    <cellStyle name="Currency 2 17 3" xfId="15401"/>
    <cellStyle name="Currency 2 18" xfId="2597"/>
    <cellStyle name="Currency 2 18 2" xfId="2598"/>
    <cellStyle name="Currency 2 18 3" xfId="15402"/>
    <cellStyle name="Currency 2 19" xfId="2599"/>
    <cellStyle name="Currency 2 19 2" xfId="2600"/>
    <cellStyle name="Currency 2 19 3" xfId="15403"/>
    <cellStyle name="Currency 2 2" xfId="2601"/>
    <cellStyle name="Currency 2 2 10" xfId="2602"/>
    <cellStyle name="Currency 2 2 10 2" xfId="2603"/>
    <cellStyle name="Currency 2 2 11" xfId="2604"/>
    <cellStyle name="Currency 2 2 11 2" xfId="2605"/>
    <cellStyle name="Currency 2 2 12" xfId="2606"/>
    <cellStyle name="Currency 2 2 12 2" xfId="2607"/>
    <cellStyle name="Currency 2 2 12 2 2" xfId="2608"/>
    <cellStyle name="Currency 2 2 12 3" xfId="2609"/>
    <cellStyle name="Currency 2 2 12 4" xfId="15404"/>
    <cellStyle name="Currency 2 2 12 5" xfId="15405"/>
    <cellStyle name="Currency 2 2 13" xfId="2610"/>
    <cellStyle name="Currency 2 2 13 2" xfId="2611"/>
    <cellStyle name="Currency 2 2 14" xfId="2612"/>
    <cellStyle name="Currency 2 2 14 2" xfId="2613"/>
    <cellStyle name="Currency 2 2 14 2 2" xfId="2614"/>
    <cellStyle name="Currency 2 2 14 3" xfId="2615"/>
    <cellStyle name="Currency 2 2 14 4" xfId="15406"/>
    <cellStyle name="Currency 2 2 14 5" xfId="15407"/>
    <cellStyle name="Currency 2 2 15" xfId="2616"/>
    <cellStyle name="Currency 2 2 15 2" xfId="2617"/>
    <cellStyle name="Currency 2 2 15 2 2" xfId="2618"/>
    <cellStyle name="Currency 2 2 15 3" xfId="2619"/>
    <cellStyle name="Currency 2 2 15 4" xfId="15408"/>
    <cellStyle name="Currency 2 2 15 5" xfId="15409"/>
    <cellStyle name="Currency 2 2 16" xfId="2620"/>
    <cellStyle name="Currency 2 2 16 2" xfId="2621"/>
    <cellStyle name="Currency 2 2 16 2 2" xfId="2622"/>
    <cellStyle name="Currency 2 2 16 3" xfId="2623"/>
    <cellStyle name="Currency 2 2 16 4" xfId="15410"/>
    <cellStyle name="Currency 2 2 16 5" xfId="15411"/>
    <cellStyle name="Currency 2 2 17" xfId="2624"/>
    <cellStyle name="Currency 2 2 17 2" xfId="2625"/>
    <cellStyle name="Currency 2 2 17 2 2" xfId="2626"/>
    <cellStyle name="Currency 2 2 17 3" xfId="2627"/>
    <cellStyle name="Currency 2 2 17 4" xfId="15412"/>
    <cellStyle name="Currency 2 2 17 5" xfId="15413"/>
    <cellStyle name="Currency 2 2 18" xfId="2628"/>
    <cellStyle name="Currency 2 2 19" xfId="2629"/>
    <cellStyle name="Currency 2 2 2" xfId="2630"/>
    <cellStyle name="Currency 2 2 2 10" xfId="2631"/>
    <cellStyle name="Currency 2 2 2 11" xfId="2632"/>
    <cellStyle name="Currency 2 2 2 12" xfId="2633"/>
    <cellStyle name="Currency 2 2 2 13" xfId="2634"/>
    <cellStyle name="Currency 2 2 2 14" xfId="2635"/>
    <cellStyle name="Currency 2 2 2 15" xfId="2636"/>
    <cellStyle name="Currency 2 2 2 16" xfId="2637"/>
    <cellStyle name="Currency 2 2 2 17" xfId="2638"/>
    <cellStyle name="Currency 2 2 2 18" xfId="2639"/>
    <cellStyle name="Currency 2 2 2 18 2" xfId="2640"/>
    <cellStyle name="Currency 2 2 2 19" xfId="2641"/>
    <cellStyle name="Currency 2 2 2 19 2" xfId="2642"/>
    <cellStyle name="Currency 2 2 2 2" xfId="2643"/>
    <cellStyle name="Currency 2 2 2 2 10" xfId="2644"/>
    <cellStyle name="Currency 2 2 2 2 10 2" xfId="2645"/>
    <cellStyle name="Currency 2 2 2 2 10 2 2" xfId="2646"/>
    <cellStyle name="Currency 2 2 2 2 10 3" xfId="2647"/>
    <cellStyle name="Currency 2 2 2 2 10 4" xfId="15414"/>
    <cellStyle name="Currency 2 2 2 2 10 5" xfId="15415"/>
    <cellStyle name="Currency 2 2 2 2 11" xfId="2648"/>
    <cellStyle name="Currency 2 2 2 2 11 2" xfId="2649"/>
    <cellStyle name="Currency 2 2 2 2 11 2 2" xfId="2650"/>
    <cellStyle name="Currency 2 2 2 2 11 3" xfId="2651"/>
    <cellStyle name="Currency 2 2 2 2 11 4" xfId="15416"/>
    <cellStyle name="Currency 2 2 2 2 11 5" xfId="15417"/>
    <cellStyle name="Currency 2 2 2 2 12" xfId="2652"/>
    <cellStyle name="Currency 2 2 2 2 12 2" xfId="2653"/>
    <cellStyle name="Currency 2 2 2 2 12 2 2" xfId="2654"/>
    <cellStyle name="Currency 2 2 2 2 12 3" xfId="2655"/>
    <cellStyle name="Currency 2 2 2 2 12 4" xfId="15418"/>
    <cellStyle name="Currency 2 2 2 2 12 5" xfId="15419"/>
    <cellStyle name="Currency 2 2 2 2 13" xfId="2656"/>
    <cellStyle name="Currency 2 2 2 2 13 2" xfId="2657"/>
    <cellStyle name="Currency 2 2 2 2 13 2 2" xfId="2658"/>
    <cellStyle name="Currency 2 2 2 2 13 3" xfId="2659"/>
    <cellStyle name="Currency 2 2 2 2 13 4" xfId="15420"/>
    <cellStyle name="Currency 2 2 2 2 13 5" xfId="15421"/>
    <cellStyle name="Currency 2 2 2 2 14" xfId="2660"/>
    <cellStyle name="Currency 2 2 2 2 14 2" xfId="2661"/>
    <cellStyle name="Currency 2 2 2 2 14 2 2" xfId="2662"/>
    <cellStyle name="Currency 2 2 2 2 14 3" xfId="2663"/>
    <cellStyle name="Currency 2 2 2 2 14 4" xfId="15422"/>
    <cellStyle name="Currency 2 2 2 2 14 5" xfId="15423"/>
    <cellStyle name="Currency 2 2 2 2 15" xfId="2664"/>
    <cellStyle name="Currency 2 2 2 2 15 2" xfId="2665"/>
    <cellStyle name="Currency 2 2 2 2 15 2 2" xfId="2666"/>
    <cellStyle name="Currency 2 2 2 2 15 3" xfId="2667"/>
    <cellStyle name="Currency 2 2 2 2 15 4" xfId="15424"/>
    <cellStyle name="Currency 2 2 2 2 15 5" xfId="15425"/>
    <cellStyle name="Currency 2 2 2 2 16" xfId="2668"/>
    <cellStyle name="Currency 2 2 2 2 16 2" xfId="2669"/>
    <cellStyle name="Currency 2 2 2 2 16 2 2" xfId="2670"/>
    <cellStyle name="Currency 2 2 2 2 16 3" xfId="2671"/>
    <cellStyle name="Currency 2 2 2 2 16 4" xfId="15426"/>
    <cellStyle name="Currency 2 2 2 2 17" xfId="2672"/>
    <cellStyle name="Currency 2 2 2 2 17 2" xfId="2673"/>
    <cellStyle name="Currency 2 2 2 2 17 2 2" xfId="2674"/>
    <cellStyle name="Currency 2 2 2 2 17 3" xfId="2675"/>
    <cellStyle name="Currency 2 2 2 2 17 4" xfId="15427"/>
    <cellStyle name="Currency 2 2 2 2 2" xfId="2676"/>
    <cellStyle name="Currency 2 2 2 2 2 2" xfId="2677"/>
    <cellStyle name="Currency 2 2 2 2 2 2 2" xfId="2678"/>
    <cellStyle name="Currency 2 2 2 2 2 2 2 2" xfId="2679"/>
    <cellStyle name="Currency 2 2 2 2 2 2 2 2 2" xfId="2680"/>
    <cellStyle name="Currency 2 2 2 2 2 2 2 3" xfId="2681"/>
    <cellStyle name="Currency 2 2 2 2 2 2 2 4" xfId="15428"/>
    <cellStyle name="Currency 2 2 2 2 2 2 2 5" xfId="15429"/>
    <cellStyle name="Currency 2 2 2 2 2 2 3" xfId="2682"/>
    <cellStyle name="Currency 2 2 2 2 2 2 3 2" xfId="2683"/>
    <cellStyle name="Currency 2 2 2 2 2 2 3 2 2" xfId="2684"/>
    <cellStyle name="Currency 2 2 2 2 2 2 3 3" xfId="2685"/>
    <cellStyle name="Currency 2 2 2 2 2 2 3 4" xfId="15430"/>
    <cellStyle name="Currency 2 2 2 2 2 2 3 5" xfId="15431"/>
    <cellStyle name="Currency 2 2 2 2 2 2 4" xfId="2686"/>
    <cellStyle name="Currency 2 2 2 2 2 2 4 2" xfId="2687"/>
    <cellStyle name="Currency 2 2 2 2 2 2 4 2 2" xfId="2688"/>
    <cellStyle name="Currency 2 2 2 2 2 2 4 3" xfId="2689"/>
    <cellStyle name="Currency 2 2 2 2 2 2 4 4" xfId="15432"/>
    <cellStyle name="Currency 2 2 2 2 2 2 4 5" xfId="15433"/>
    <cellStyle name="Currency 2 2 2 2 2 2 5" xfId="2690"/>
    <cellStyle name="Currency 2 2 2 2 2 2 5 2" xfId="2691"/>
    <cellStyle name="Currency 2 2 2 2 2 2 5 2 2" xfId="2692"/>
    <cellStyle name="Currency 2 2 2 2 2 2 5 3" xfId="2693"/>
    <cellStyle name="Currency 2 2 2 2 2 2 5 4" xfId="15434"/>
    <cellStyle name="Currency 2 2 2 2 2 2 5 5" xfId="15435"/>
    <cellStyle name="Currency 2 2 2 2 2 3" xfId="2694"/>
    <cellStyle name="Currency 2 2 2 2 2 4" xfId="2695"/>
    <cellStyle name="Currency 2 2 2 2 2 5" xfId="2696"/>
    <cellStyle name="Currency 2 2 2 2 2 6" xfId="2697"/>
    <cellStyle name="Currency 2 2 2 2 2 6 2" xfId="2698"/>
    <cellStyle name="Currency 2 2 2 2 2 7" xfId="2699"/>
    <cellStyle name="Currency 2 2 2 2 2 8" xfId="15436"/>
    <cellStyle name="Currency 2 2 2 2 2 9" xfId="15437"/>
    <cellStyle name="Currency 2 2 2 2 3" xfId="2700"/>
    <cellStyle name="Currency 2 2 2 2 3 2" xfId="2701"/>
    <cellStyle name="Currency 2 2 2 2 3 2 2" xfId="2702"/>
    <cellStyle name="Currency 2 2 2 2 3 3" xfId="2703"/>
    <cellStyle name="Currency 2 2 2 2 3 4" xfId="15438"/>
    <cellStyle name="Currency 2 2 2 2 3 5" xfId="15439"/>
    <cellStyle name="Currency 2 2 2 2 4" xfId="2704"/>
    <cellStyle name="Currency 2 2 2 2 4 2" xfId="2705"/>
    <cellStyle name="Currency 2 2 2 2 4 2 2" xfId="2706"/>
    <cellStyle name="Currency 2 2 2 2 4 3" xfId="2707"/>
    <cellStyle name="Currency 2 2 2 2 4 4" xfId="15440"/>
    <cellStyle name="Currency 2 2 2 2 4 5" xfId="15441"/>
    <cellStyle name="Currency 2 2 2 2 5" xfId="2708"/>
    <cellStyle name="Currency 2 2 2 2 5 2" xfId="2709"/>
    <cellStyle name="Currency 2 2 2 2 5 2 2" xfId="2710"/>
    <cellStyle name="Currency 2 2 2 2 5 3" xfId="2711"/>
    <cellStyle name="Currency 2 2 2 2 5 4" xfId="15442"/>
    <cellStyle name="Currency 2 2 2 2 5 5" xfId="15443"/>
    <cellStyle name="Currency 2 2 2 2 6" xfId="2712"/>
    <cellStyle name="Currency 2 2 2 2 6 2" xfId="2713"/>
    <cellStyle name="Currency 2 2 2 2 6 2 2" xfId="2714"/>
    <cellStyle name="Currency 2 2 2 2 6 3" xfId="2715"/>
    <cellStyle name="Currency 2 2 2 2 6 4" xfId="15444"/>
    <cellStyle name="Currency 2 2 2 2 6 5" xfId="15445"/>
    <cellStyle name="Currency 2 2 2 2 7" xfId="2716"/>
    <cellStyle name="Currency 2 2 2 2 7 2" xfId="2717"/>
    <cellStyle name="Currency 2 2 2 2 7 2 2" xfId="2718"/>
    <cellStyle name="Currency 2 2 2 2 7 3" xfId="2719"/>
    <cellStyle name="Currency 2 2 2 2 7 4" xfId="15446"/>
    <cellStyle name="Currency 2 2 2 2 7 5" xfId="15447"/>
    <cellStyle name="Currency 2 2 2 2 8" xfId="2720"/>
    <cellStyle name="Currency 2 2 2 2 8 2" xfId="2721"/>
    <cellStyle name="Currency 2 2 2 2 8 2 2" xfId="2722"/>
    <cellStyle name="Currency 2 2 2 2 8 3" xfId="2723"/>
    <cellStyle name="Currency 2 2 2 2 8 4" xfId="15448"/>
    <cellStyle name="Currency 2 2 2 2 8 5" xfId="15449"/>
    <cellStyle name="Currency 2 2 2 2 9" xfId="2724"/>
    <cellStyle name="Currency 2 2 2 2 9 2" xfId="2725"/>
    <cellStyle name="Currency 2 2 2 2 9 2 2" xfId="2726"/>
    <cellStyle name="Currency 2 2 2 2 9 3" xfId="2727"/>
    <cellStyle name="Currency 2 2 2 2 9 4" xfId="15450"/>
    <cellStyle name="Currency 2 2 2 2 9 5" xfId="15451"/>
    <cellStyle name="Currency 2 2 2 20" xfId="2728"/>
    <cellStyle name="Currency 2 2 2 21" xfId="15452"/>
    <cellStyle name="Currency 2 2 2 3" xfId="2729"/>
    <cellStyle name="Currency 2 2 2 3 2" xfId="2730"/>
    <cellStyle name="Currency 2 2 2 3 2 2" xfId="2731"/>
    <cellStyle name="Currency 2 2 2 4" xfId="2732"/>
    <cellStyle name="Currency 2 2 2 4 2" xfId="2733"/>
    <cellStyle name="Currency 2 2 2 4 2 2" xfId="2734"/>
    <cellStyle name="Currency 2 2 2 5" xfId="2735"/>
    <cellStyle name="Currency 2 2 2 5 2" xfId="2736"/>
    <cellStyle name="Currency 2 2 2 5 2 2" xfId="2737"/>
    <cellStyle name="Currency 2 2 2 6" xfId="2738"/>
    <cellStyle name="Currency 2 2 2 6 2" xfId="2739"/>
    <cellStyle name="Currency 2 2 2 6 2 2" xfId="2740"/>
    <cellStyle name="Currency 2 2 2 7" xfId="2741"/>
    <cellStyle name="Currency 2 2 2 7 2" xfId="2742"/>
    <cellStyle name="Currency 2 2 2 7 2 2" xfId="2743"/>
    <cellStyle name="Currency 2 2 2 8" xfId="2744"/>
    <cellStyle name="Currency 2 2 2 8 2" xfId="2745"/>
    <cellStyle name="Currency 2 2 2 8 2 2" xfId="2746"/>
    <cellStyle name="Currency 2 2 2 9" xfId="2747"/>
    <cellStyle name="Currency 2 2 2 9 2" xfId="2748"/>
    <cellStyle name="Currency 2 2 2 9 2 2" xfId="2749"/>
    <cellStyle name="Currency 2 2 20" xfId="2750"/>
    <cellStyle name="Currency 2 2 3" xfId="2751"/>
    <cellStyle name="Currency 2 2 3 2" xfId="2752"/>
    <cellStyle name="Currency 2 2 3 3" xfId="2753"/>
    <cellStyle name="Currency 2 2 4" xfId="2754"/>
    <cellStyle name="Currency 2 2 4 2" xfId="2755"/>
    <cellStyle name="Currency 2 2 4 3" xfId="2756"/>
    <cellStyle name="Currency 2 2 5" xfId="2757"/>
    <cellStyle name="Currency 2 2 5 2" xfId="2758"/>
    <cellStyle name="Currency 2 2 5 3" xfId="2759"/>
    <cellStyle name="Currency 2 2 6" xfId="2760"/>
    <cellStyle name="Currency 2 2 6 2" xfId="2761"/>
    <cellStyle name="Currency 2 2 6 3" xfId="2762"/>
    <cellStyle name="Currency 2 2 7" xfId="2763"/>
    <cellStyle name="Currency 2 2 7 2" xfId="2764"/>
    <cellStyle name="Currency 2 2 7 3" xfId="2765"/>
    <cellStyle name="Currency 2 2 8" xfId="2766"/>
    <cellStyle name="Currency 2 2 8 2" xfId="2767"/>
    <cellStyle name="Currency 2 2 8 3" xfId="2768"/>
    <cellStyle name="Currency 2 2 9" xfId="2769"/>
    <cellStyle name="Currency 2 2 9 2" xfId="2770"/>
    <cellStyle name="Currency 2 2 9 3" xfId="2771"/>
    <cellStyle name="Currency 2 20" xfId="2772"/>
    <cellStyle name="Currency 2 20 2" xfId="2773"/>
    <cellStyle name="Currency 2 20 3" xfId="15453"/>
    <cellStyle name="Currency 2 21" xfId="2774"/>
    <cellStyle name="Currency 2 21 2" xfId="2775"/>
    <cellStyle name="Currency 2 21 3" xfId="15454"/>
    <cellStyle name="Currency 2 22" xfId="2776"/>
    <cellStyle name="Currency 2 22 2" xfId="2777"/>
    <cellStyle name="Currency 2 22 3" xfId="15455"/>
    <cellStyle name="Currency 2 23" xfId="2778"/>
    <cellStyle name="Currency 2 23 2" xfId="2779"/>
    <cellStyle name="Currency 2 23 3" xfId="15456"/>
    <cellStyle name="Currency 2 24" xfId="2780"/>
    <cellStyle name="Currency 2 24 2" xfId="2781"/>
    <cellStyle name="Currency 2 24 3" xfId="15457"/>
    <cellStyle name="Currency 2 25" xfId="2782"/>
    <cellStyle name="Currency 2 25 2" xfId="2783"/>
    <cellStyle name="Currency 2 25 3" xfId="15458"/>
    <cellStyle name="Currency 2 26" xfId="2784"/>
    <cellStyle name="Currency 2 26 2" xfId="2785"/>
    <cellStyle name="Currency 2 26 3" xfId="15459"/>
    <cellStyle name="Currency 2 27" xfId="2786"/>
    <cellStyle name="Currency 2 27 2" xfId="2787"/>
    <cellStyle name="Currency 2 27 3" xfId="15460"/>
    <cellStyle name="Currency 2 28" xfId="2788"/>
    <cellStyle name="Currency 2 28 2" xfId="2789"/>
    <cellStyle name="Currency 2 28 3" xfId="15461"/>
    <cellStyle name="Currency 2 29" xfId="2790"/>
    <cellStyle name="Currency 2 29 2" xfId="2791"/>
    <cellStyle name="Currency 2 29 3" xfId="15462"/>
    <cellStyle name="Currency 2 3" xfId="2792"/>
    <cellStyle name="Currency 2 3 2" xfId="2793"/>
    <cellStyle name="Currency 2 3 2 2" xfId="2794"/>
    <cellStyle name="Currency 2 3 3" xfId="2795"/>
    <cellStyle name="Currency 2 3 3 2" xfId="2796"/>
    <cellStyle name="Currency 2 3 4" xfId="15463"/>
    <cellStyle name="Currency 2 30" xfId="2797"/>
    <cellStyle name="Currency 2 30 2" xfId="2798"/>
    <cellStyle name="Currency 2 30 3" xfId="15464"/>
    <cellStyle name="Currency 2 31" xfId="2799"/>
    <cellStyle name="Currency 2 31 2" xfId="2800"/>
    <cellStyle name="Currency 2 31 3" xfId="15465"/>
    <cellStyle name="Currency 2 32" xfId="2801"/>
    <cellStyle name="Currency 2 32 2" xfId="2802"/>
    <cellStyle name="Currency 2 32 3" xfId="15466"/>
    <cellStyle name="Currency 2 33" xfId="2803"/>
    <cellStyle name="Currency 2 33 2" xfId="2804"/>
    <cellStyle name="Currency 2 33 3" xfId="15467"/>
    <cellStyle name="Currency 2 34" xfId="2805"/>
    <cellStyle name="Currency 2 34 2" xfId="2806"/>
    <cellStyle name="Currency 2 34 3" xfId="15468"/>
    <cellStyle name="Currency 2 35" xfId="2807"/>
    <cellStyle name="Currency 2 35 2" xfId="2808"/>
    <cellStyle name="Currency 2 35 3" xfId="15469"/>
    <cellStyle name="Currency 2 36" xfId="2809"/>
    <cellStyle name="Currency 2 36 2" xfId="2810"/>
    <cellStyle name="Currency 2 36 3" xfId="15470"/>
    <cellStyle name="Currency 2 37" xfId="2811"/>
    <cellStyle name="Currency 2 37 2" xfId="2812"/>
    <cellStyle name="Currency 2 37 3" xfId="15471"/>
    <cellStyle name="Currency 2 38" xfId="2813"/>
    <cellStyle name="Currency 2 38 2" xfId="2814"/>
    <cellStyle name="Currency 2 38 3" xfId="15472"/>
    <cellStyle name="Currency 2 39" xfId="2815"/>
    <cellStyle name="Currency 2 39 2" xfId="2816"/>
    <cellStyle name="Currency 2 39 3" xfId="15473"/>
    <cellStyle name="Currency 2 4" xfId="2817"/>
    <cellStyle name="Currency 2 4 2" xfId="2818"/>
    <cellStyle name="Currency 2 4 2 2" xfId="2819"/>
    <cellStyle name="Currency 2 4 3" xfId="2820"/>
    <cellStyle name="Currency 2 4 3 2" xfId="2821"/>
    <cellStyle name="Currency 2 4 4" xfId="15474"/>
    <cellStyle name="Currency 2 40" xfId="2822"/>
    <cellStyle name="Currency 2 40 2" xfId="2823"/>
    <cellStyle name="Currency 2 40 3" xfId="15475"/>
    <cellStyle name="Currency 2 41" xfId="2824"/>
    <cellStyle name="Currency 2 41 2" xfId="2825"/>
    <cellStyle name="Currency 2 41 3" xfId="15476"/>
    <cellStyle name="Currency 2 42" xfId="2826"/>
    <cellStyle name="Currency 2 42 2" xfId="2827"/>
    <cellStyle name="Currency 2 42 3" xfId="15477"/>
    <cellStyle name="Currency 2 43" xfId="2828"/>
    <cellStyle name="Currency 2 43 2" xfId="2829"/>
    <cellStyle name="Currency 2 43 3" xfId="15478"/>
    <cellStyle name="Currency 2 44" xfId="2830"/>
    <cellStyle name="Currency 2 44 2" xfId="2831"/>
    <cellStyle name="Currency 2 44 3" xfId="15479"/>
    <cellStyle name="Currency 2 45" xfId="2832"/>
    <cellStyle name="Currency 2 45 2" xfId="2833"/>
    <cellStyle name="Currency 2 45 3" xfId="15480"/>
    <cellStyle name="Currency 2 46" xfId="2834"/>
    <cellStyle name="Currency 2 46 2" xfId="2835"/>
    <cellStyle name="Currency 2 46 3" xfId="15481"/>
    <cellStyle name="Currency 2 47" xfId="2836"/>
    <cellStyle name="Currency 2 47 2" xfId="2837"/>
    <cellStyle name="Currency 2 47 3" xfId="15482"/>
    <cellStyle name="Currency 2 48" xfId="2838"/>
    <cellStyle name="Currency 2 48 2" xfId="2839"/>
    <cellStyle name="Currency 2 48 3" xfId="15483"/>
    <cellStyle name="Currency 2 49" xfId="2840"/>
    <cellStyle name="Currency 2 49 2" xfId="2841"/>
    <cellStyle name="Currency 2 49 3" xfId="15484"/>
    <cellStyle name="Currency 2 5" xfId="2842"/>
    <cellStyle name="Currency 2 5 2" xfId="2843"/>
    <cellStyle name="Currency 2 5 2 2" xfId="2844"/>
    <cellStyle name="Currency 2 5 3" xfId="2845"/>
    <cellStyle name="Currency 2 5 3 2" xfId="2846"/>
    <cellStyle name="Currency 2 5 4" xfId="15485"/>
    <cellStyle name="Currency 2 50" xfId="2847"/>
    <cellStyle name="Currency 2 50 2" xfId="2848"/>
    <cellStyle name="Currency 2 50 3" xfId="15486"/>
    <cellStyle name="Currency 2 51" xfId="2849"/>
    <cellStyle name="Currency 2 51 2" xfId="2850"/>
    <cellStyle name="Currency 2 51 3" xfId="15487"/>
    <cellStyle name="Currency 2 52" xfId="2851"/>
    <cellStyle name="Currency 2 52 2" xfId="2852"/>
    <cellStyle name="Currency 2 52 3" xfId="15488"/>
    <cellStyle name="Currency 2 53" xfId="2853"/>
    <cellStyle name="Currency 2 53 2" xfId="2854"/>
    <cellStyle name="Currency 2 53 3" xfId="15489"/>
    <cellStyle name="Currency 2 54" xfId="2855"/>
    <cellStyle name="Currency 2 54 2" xfId="2856"/>
    <cellStyle name="Currency 2 54 3" xfId="15490"/>
    <cellStyle name="Currency 2 55" xfId="2857"/>
    <cellStyle name="Currency 2 55 2" xfId="2858"/>
    <cellStyle name="Currency 2 55 3" xfId="15491"/>
    <cellStyle name="Currency 2 56" xfId="2859"/>
    <cellStyle name="Currency 2 56 2" xfId="2860"/>
    <cellStyle name="Currency 2 56 3" xfId="15492"/>
    <cellStyle name="Currency 2 57" xfId="2861"/>
    <cellStyle name="Currency 2 57 2" xfId="2862"/>
    <cellStyle name="Currency 2 57 3" xfId="15493"/>
    <cellStyle name="Currency 2 58" xfId="2863"/>
    <cellStyle name="Currency 2 58 2" xfId="2864"/>
    <cellStyle name="Currency 2 58 3" xfId="15494"/>
    <cellStyle name="Currency 2 59" xfId="2865"/>
    <cellStyle name="Currency 2 59 2" xfId="2866"/>
    <cellStyle name="Currency 2 59 3" xfId="15495"/>
    <cellStyle name="Currency 2 6" xfId="2867"/>
    <cellStyle name="Currency 2 6 2" xfId="2868"/>
    <cellStyle name="Currency 2 6 2 2" xfId="2869"/>
    <cellStyle name="Currency 2 6 3" xfId="2870"/>
    <cellStyle name="Currency 2 6 3 2" xfId="2871"/>
    <cellStyle name="Currency 2 6 4" xfId="15496"/>
    <cellStyle name="Currency 2 60" xfId="2872"/>
    <cellStyle name="Currency 2 60 2" xfId="2873"/>
    <cellStyle name="Currency 2 60 3" xfId="15497"/>
    <cellStyle name="Currency 2 61" xfId="2874"/>
    <cellStyle name="Currency 2 61 2" xfId="2875"/>
    <cellStyle name="Currency 2 61 3" xfId="15498"/>
    <cellStyle name="Currency 2 62" xfId="2876"/>
    <cellStyle name="Currency 2 62 2" xfId="2877"/>
    <cellStyle name="Currency 2 63" xfId="2878"/>
    <cellStyle name="Currency 2 63 2" xfId="2879"/>
    <cellStyle name="Currency 2 64" xfId="2880"/>
    <cellStyle name="Currency 2 64 2" xfId="2881"/>
    <cellStyle name="Currency 2 65" xfId="2882"/>
    <cellStyle name="Currency 2 65 2" xfId="2883"/>
    <cellStyle name="Currency 2 66" xfId="2884"/>
    <cellStyle name="Currency 2 66 2" xfId="2885"/>
    <cellStyle name="Currency 2 67" xfId="2886"/>
    <cellStyle name="Currency 2 67 2" xfId="2887"/>
    <cellStyle name="Currency 2 68" xfId="2888"/>
    <cellStyle name="Currency 2 68 2" xfId="2889"/>
    <cellStyle name="Currency 2 69" xfId="2890"/>
    <cellStyle name="Currency 2 69 2" xfId="2891"/>
    <cellStyle name="Currency 2 7" xfId="2892"/>
    <cellStyle name="Currency 2 7 2" xfId="2893"/>
    <cellStyle name="Currency 2 7 2 2" xfId="2894"/>
    <cellStyle name="Currency 2 7 3" xfId="2895"/>
    <cellStyle name="Currency 2 7 3 2" xfId="2896"/>
    <cellStyle name="Currency 2 7 4" xfId="15499"/>
    <cellStyle name="Currency 2 70" xfId="2897"/>
    <cellStyle name="Currency 2 70 2" xfId="2898"/>
    <cellStyle name="Currency 2 71" xfId="2899"/>
    <cellStyle name="Currency 2 71 2" xfId="2900"/>
    <cellStyle name="Currency 2 72" xfId="2901"/>
    <cellStyle name="Currency 2 72 2" xfId="2902"/>
    <cellStyle name="Currency 2 73" xfId="2903"/>
    <cellStyle name="Currency 2 73 2" xfId="2904"/>
    <cellStyle name="Currency 2 74" xfId="2905"/>
    <cellStyle name="Currency 2 74 2" xfId="2906"/>
    <cellStyle name="Currency 2 75" xfId="2907"/>
    <cellStyle name="Currency 2 75 2" xfId="2908"/>
    <cellStyle name="Currency 2 76" xfId="2909"/>
    <cellStyle name="Currency 2 76 2" xfId="2910"/>
    <cellStyle name="Currency 2 77" xfId="2911"/>
    <cellStyle name="Currency 2 77 2" xfId="2912"/>
    <cellStyle name="Currency 2 78" xfId="2913"/>
    <cellStyle name="Currency 2 78 2" xfId="2914"/>
    <cellStyle name="Currency 2 79" xfId="2915"/>
    <cellStyle name="Currency 2 79 2" xfId="2916"/>
    <cellStyle name="Currency 2 8" xfId="2917"/>
    <cellStyle name="Currency 2 8 2" xfId="2918"/>
    <cellStyle name="Currency 2 8 2 2" xfId="2919"/>
    <cellStyle name="Currency 2 8 3" xfId="2920"/>
    <cellStyle name="Currency 2 8 3 2" xfId="2921"/>
    <cellStyle name="Currency 2 8 4" xfId="15500"/>
    <cellStyle name="Currency 2 80" xfId="2922"/>
    <cellStyle name="Currency 2 80 2" xfId="2923"/>
    <cellStyle name="Currency 2 81" xfId="2924"/>
    <cellStyle name="Currency 2 81 2" xfId="2925"/>
    <cellStyle name="Currency 2 82" xfId="2926"/>
    <cellStyle name="Currency 2 82 2" xfId="2927"/>
    <cellStyle name="Currency 2 83" xfId="2928"/>
    <cellStyle name="Currency 2 83 2" xfId="2929"/>
    <cellStyle name="Currency 2 84" xfId="2930"/>
    <cellStyle name="Currency 2 84 2" xfId="2931"/>
    <cellStyle name="Currency 2 85" xfId="2932"/>
    <cellStyle name="Currency 2 85 2" xfId="2933"/>
    <cellStyle name="Currency 2 86" xfId="2934"/>
    <cellStyle name="Currency 2 86 2" xfId="2935"/>
    <cellStyle name="Currency 2 87" xfId="2936"/>
    <cellStyle name="Currency 2 87 2" xfId="2937"/>
    <cellStyle name="Currency 2 88" xfId="2938"/>
    <cellStyle name="Currency 2 88 2" xfId="2939"/>
    <cellStyle name="Currency 2 89" xfId="2940"/>
    <cellStyle name="Currency 2 89 2" xfId="2941"/>
    <cellStyle name="Currency 2 9" xfId="2942"/>
    <cellStyle name="Currency 2 9 2" xfId="2943"/>
    <cellStyle name="Currency 2 9 2 2" xfId="2944"/>
    <cellStyle name="Currency 2 9 3" xfId="2945"/>
    <cellStyle name="Currency 2 9 3 2" xfId="2946"/>
    <cellStyle name="Currency 2 9 4" xfId="15501"/>
    <cellStyle name="Currency 2 90" xfId="2947"/>
    <cellStyle name="Currency 2 90 2" xfId="2948"/>
    <cellStyle name="Currency 2 91" xfId="2949"/>
    <cellStyle name="Currency 2 91 2" xfId="2950"/>
    <cellStyle name="Currency 2 92" xfId="2951"/>
    <cellStyle name="Currency 2 92 2" xfId="2952"/>
    <cellStyle name="Currency 2 93" xfId="2953"/>
    <cellStyle name="Currency 2 93 2" xfId="2954"/>
    <cellStyle name="Currency 2 94" xfId="2955"/>
    <cellStyle name="Currency 2 94 2" xfId="2956"/>
    <cellStyle name="Currency 2 95" xfId="2957"/>
    <cellStyle name="Currency 2 95 2" xfId="2958"/>
    <cellStyle name="Currency 2 96" xfId="2959"/>
    <cellStyle name="Currency 2 96 2" xfId="2960"/>
    <cellStyle name="Currency 2 97" xfId="2961"/>
    <cellStyle name="Currency 2 97 2" xfId="2962"/>
    <cellStyle name="Currency 2 98" xfId="2963"/>
    <cellStyle name="Currency 2 98 2" xfId="2964"/>
    <cellStyle name="Currency 2 99" xfId="2965"/>
    <cellStyle name="Currency 2 99 2" xfId="2966"/>
    <cellStyle name="Currency 20" xfId="2967"/>
    <cellStyle name="Currency 21" xfId="2968"/>
    <cellStyle name="Currency 22" xfId="2969"/>
    <cellStyle name="Currency 23" xfId="2970"/>
    <cellStyle name="Currency 24" xfId="2971"/>
    <cellStyle name="Currency 25" xfId="2972"/>
    <cellStyle name="Currency 25 2" xfId="2973"/>
    <cellStyle name="Currency 25 2 2" xfId="23368"/>
    <cellStyle name="Currency 25 3" xfId="2974"/>
    <cellStyle name="Currency 25 3 2" xfId="15502"/>
    <cellStyle name="Currency 25 3 2 2" xfId="23369"/>
    <cellStyle name="Currency 25 3 3" xfId="23370"/>
    <cellStyle name="Currency 25 4" xfId="15503"/>
    <cellStyle name="Currency 25 4 2" xfId="23371"/>
    <cellStyle name="Currency 25 5" xfId="23372"/>
    <cellStyle name="Currency 26" xfId="2975"/>
    <cellStyle name="Currency 26 2" xfId="2976"/>
    <cellStyle name="Currency 26 2 2" xfId="2977"/>
    <cellStyle name="Currency 26 2 2 2" xfId="15504"/>
    <cellStyle name="Currency 26 2 2 2 2" xfId="23373"/>
    <cellStyle name="Currency 26 2 2 3" xfId="23374"/>
    <cellStyle name="Currency 26 2 3" xfId="15505"/>
    <cellStyle name="Currency 26 2 3 2" xfId="23375"/>
    <cellStyle name="Currency 26 2 4" xfId="23376"/>
    <cellStyle name="Currency 26 3" xfId="2978"/>
    <cellStyle name="Currency 26 3 2" xfId="15506"/>
    <cellStyle name="Currency 26 3 2 2" xfId="23377"/>
    <cellStyle name="Currency 26 3 3" xfId="23378"/>
    <cellStyle name="Currency 26 4" xfId="15507"/>
    <cellStyle name="Currency 26 4 2" xfId="23379"/>
    <cellStyle name="Currency 26 5" xfId="23380"/>
    <cellStyle name="Currency 27" xfId="2979"/>
    <cellStyle name="Currency 27 2" xfId="2980"/>
    <cellStyle name="Currency 27 2 2" xfId="15508"/>
    <cellStyle name="Currency 27 2 2 2" xfId="15509"/>
    <cellStyle name="Currency 27 2 2 2 2" xfId="23381"/>
    <cellStyle name="Currency 27 2 2 3" xfId="23382"/>
    <cellStyle name="Currency 27 2 3" xfId="15510"/>
    <cellStyle name="Currency 27 2 3 2" xfId="23383"/>
    <cellStyle name="Currency 27 2 4" xfId="23384"/>
    <cellStyle name="Currency 27 3" xfId="15511"/>
    <cellStyle name="Currency 27 3 2" xfId="15512"/>
    <cellStyle name="Currency 27 3 2 2" xfId="23385"/>
    <cellStyle name="Currency 27 3 3" xfId="23386"/>
    <cellStyle name="Currency 27 3 3 2" xfId="23387"/>
    <cellStyle name="Currency 27 3 4" xfId="23388"/>
    <cellStyle name="Currency 27 4" xfId="15513"/>
    <cellStyle name="Currency 27 4 2" xfId="23389"/>
    <cellStyle name="Currency 27 5" xfId="23390"/>
    <cellStyle name="Currency 28" xfId="2981"/>
    <cellStyle name="Currency 29" xfId="2982"/>
    <cellStyle name="Currency 3" xfId="13"/>
    <cellStyle name="Currency 3 10" xfId="2983"/>
    <cellStyle name="Currency 3 10 2" xfId="2984"/>
    <cellStyle name="Currency 3 10 2 2" xfId="2985"/>
    <cellStyle name="Currency 3 10 3" xfId="2986"/>
    <cellStyle name="Currency 3 10 3 2" xfId="2987"/>
    <cellStyle name="Currency 3 10 4" xfId="15514"/>
    <cellStyle name="Currency 3 100" xfId="2988"/>
    <cellStyle name="Currency 3 100 2" xfId="2989"/>
    <cellStyle name="Currency 3 101" xfId="2990"/>
    <cellStyle name="Currency 3 101 2" xfId="2991"/>
    <cellStyle name="Currency 3 102" xfId="2992"/>
    <cellStyle name="Currency 3 102 2" xfId="2993"/>
    <cellStyle name="Currency 3 103" xfId="2994"/>
    <cellStyle name="Currency 3 103 2" xfId="2995"/>
    <cellStyle name="Currency 3 104" xfId="2996"/>
    <cellStyle name="Currency 3 104 2" xfId="2997"/>
    <cellStyle name="Currency 3 105" xfId="2998"/>
    <cellStyle name="Currency 3 105 2" xfId="2999"/>
    <cellStyle name="Currency 3 106" xfId="3000"/>
    <cellStyle name="Currency 3 106 2" xfId="3001"/>
    <cellStyle name="Currency 3 107" xfId="3002"/>
    <cellStyle name="Currency 3 107 2" xfId="3003"/>
    <cellStyle name="Currency 3 108" xfId="3004"/>
    <cellStyle name="Currency 3 108 2" xfId="3005"/>
    <cellStyle name="Currency 3 109" xfId="3006"/>
    <cellStyle name="Currency 3 109 2" xfId="3007"/>
    <cellStyle name="Currency 3 11" xfId="3008"/>
    <cellStyle name="Currency 3 11 2" xfId="3009"/>
    <cellStyle name="Currency 3 11 2 2" xfId="3010"/>
    <cellStyle name="Currency 3 11 3" xfId="3011"/>
    <cellStyle name="Currency 3 11 3 2" xfId="3012"/>
    <cellStyle name="Currency 3 11 4" xfId="15515"/>
    <cellStyle name="Currency 3 110" xfId="3013"/>
    <cellStyle name="Currency 3 110 2" xfId="3014"/>
    <cellStyle name="Currency 3 111" xfId="3015"/>
    <cellStyle name="Currency 3 111 2" xfId="3016"/>
    <cellStyle name="Currency 3 112" xfId="3017"/>
    <cellStyle name="Currency 3 112 2" xfId="3018"/>
    <cellStyle name="Currency 3 113" xfId="3019"/>
    <cellStyle name="Currency 3 113 2" xfId="3020"/>
    <cellStyle name="Currency 3 114" xfId="3021"/>
    <cellStyle name="Currency 3 114 2" xfId="3022"/>
    <cellStyle name="Currency 3 115" xfId="3023"/>
    <cellStyle name="Currency 3 115 2" xfId="3024"/>
    <cellStyle name="Currency 3 116" xfId="3025"/>
    <cellStyle name="Currency 3 116 2" xfId="3026"/>
    <cellStyle name="Currency 3 117" xfId="3027"/>
    <cellStyle name="Currency 3 117 2" xfId="3028"/>
    <cellStyle name="Currency 3 118" xfId="3029"/>
    <cellStyle name="Currency 3 118 2" xfId="3030"/>
    <cellStyle name="Currency 3 119" xfId="3031"/>
    <cellStyle name="Currency 3 119 2" xfId="3032"/>
    <cellStyle name="Currency 3 12" xfId="3033"/>
    <cellStyle name="Currency 3 12 2" xfId="3034"/>
    <cellStyle name="Currency 3 12 2 2" xfId="3035"/>
    <cellStyle name="Currency 3 12 3" xfId="3036"/>
    <cellStyle name="Currency 3 12 3 2" xfId="3037"/>
    <cellStyle name="Currency 3 12 4" xfId="15516"/>
    <cellStyle name="Currency 3 120" xfId="3038"/>
    <cellStyle name="Currency 3 120 2" xfId="3039"/>
    <cellStyle name="Currency 3 121" xfId="3040"/>
    <cellStyle name="Currency 3 121 2" xfId="3041"/>
    <cellStyle name="Currency 3 122" xfId="3042"/>
    <cellStyle name="Currency 3 122 2" xfId="3043"/>
    <cellStyle name="Currency 3 123" xfId="3044"/>
    <cellStyle name="Currency 3 123 2" xfId="3045"/>
    <cellStyle name="Currency 3 124" xfId="3046"/>
    <cellStyle name="Currency 3 124 2" xfId="3047"/>
    <cellStyle name="Currency 3 125" xfId="3048"/>
    <cellStyle name="Currency 3 125 2" xfId="3049"/>
    <cellStyle name="Currency 3 126" xfId="3050"/>
    <cellStyle name="Currency 3 126 2" xfId="3051"/>
    <cellStyle name="Currency 3 127" xfId="3052"/>
    <cellStyle name="Currency 3 127 2" xfId="3053"/>
    <cellStyle name="Currency 3 128" xfId="3054"/>
    <cellStyle name="Currency 3 128 2" xfId="3055"/>
    <cellStyle name="Currency 3 129" xfId="3056"/>
    <cellStyle name="Currency 3 129 2" xfId="3057"/>
    <cellStyle name="Currency 3 13" xfId="3058"/>
    <cellStyle name="Currency 3 13 2" xfId="3059"/>
    <cellStyle name="Currency 3 13 2 2" xfId="3060"/>
    <cellStyle name="Currency 3 13 3" xfId="3061"/>
    <cellStyle name="Currency 3 13 3 2" xfId="3062"/>
    <cellStyle name="Currency 3 13 4" xfId="15517"/>
    <cellStyle name="Currency 3 130" xfId="3063"/>
    <cellStyle name="Currency 3 130 2" xfId="3064"/>
    <cellStyle name="Currency 3 131" xfId="3065"/>
    <cellStyle name="Currency 3 131 2" xfId="3066"/>
    <cellStyle name="Currency 3 132" xfId="3067"/>
    <cellStyle name="Currency 3 132 2" xfId="3068"/>
    <cellStyle name="Currency 3 133" xfId="3069"/>
    <cellStyle name="Currency 3 133 2" xfId="3070"/>
    <cellStyle name="Currency 3 134" xfId="3071"/>
    <cellStyle name="Currency 3 134 2" xfId="3072"/>
    <cellStyle name="Currency 3 135" xfId="3073"/>
    <cellStyle name="Currency 3 135 2" xfId="3074"/>
    <cellStyle name="Currency 3 136" xfId="3075"/>
    <cellStyle name="Currency 3 136 2" xfId="3076"/>
    <cellStyle name="Currency 3 137" xfId="3077"/>
    <cellStyle name="Currency 3 138" xfId="3078"/>
    <cellStyle name="Currency 3 138 2" xfId="3079"/>
    <cellStyle name="Currency 3 139" xfId="3080"/>
    <cellStyle name="Currency 3 14" xfId="3081"/>
    <cellStyle name="Currency 3 14 2" xfId="3082"/>
    <cellStyle name="Currency 3 14 2 2" xfId="3083"/>
    <cellStyle name="Currency 3 14 3" xfId="3084"/>
    <cellStyle name="Currency 3 14 3 2" xfId="3085"/>
    <cellStyle name="Currency 3 14 4" xfId="15518"/>
    <cellStyle name="Currency 3 140" xfId="33640"/>
    <cellStyle name="Currency 3 15" xfId="3086"/>
    <cellStyle name="Currency 3 15 2" xfId="3087"/>
    <cellStyle name="Currency 3 15 2 2" xfId="3088"/>
    <cellStyle name="Currency 3 15 3" xfId="3089"/>
    <cellStyle name="Currency 3 15 3 2" xfId="3090"/>
    <cellStyle name="Currency 3 15 4" xfId="15519"/>
    <cellStyle name="Currency 3 16" xfId="3091"/>
    <cellStyle name="Currency 3 16 2" xfId="3092"/>
    <cellStyle name="Currency 3 16 2 2" xfId="3093"/>
    <cellStyle name="Currency 3 16 3" xfId="3094"/>
    <cellStyle name="Currency 3 16 3 2" xfId="3095"/>
    <cellStyle name="Currency 3 16 4" xfId="15520"/>
    <cellStyle name="Currency 3 17" xfId="3096"/>
    <cellStyle name="Currency 3 17 2" xfId="3097"/>
    <cellStyle name="Currency 3 17 2 2" xfId="3098"/>
    <cellStyle name="Currency 3 17 3" xfId="3099"/>
    <cellStyle name="Currency 3 17 3 2" xfId="3100"/>
    <cellStyle name="Currency 3 17 4" xfId="15521"/>
    <cellStyle name="Currency 3 18" xfId="3101"/>
    <cellStyle name="Currency 3 18 2" xfId="3102"/>
    <cellStyle name="Currency 3 18 2 2" xfId="3103"/>
    <cellStyle name="Currency 3 18 3" xfId="3104"/>
    <cellStyle name="Currency 3 18 3 2" xfId="3105"/>
    <cellStyle name="Currency 3 18 4" xfId="15522"/>
    <cellStyle name="Currency 3 19" xfId="3106"/>
    <cellStyle name="Currency 3 19 2" xfId="3107"/>
    <cellStyle name="Currency 3 19 2 2" xfId="3108"/>
    <cellStyle name="Currency 3 19 3" xfId="3109"/>
    <cellStyle name="Currency 3 19 4" xfId="3110"/>
    <cellStyle name="Currency 3 19 4 2" xfId="3111"/>
    <cellStyle name="Currency 3 19 5" xfId="15523"/>
    <cellStyle name="Currency 3 2" xfId="3112"/>
    <cellStyle name="Currency 3 2 10" xfId="3113"/>
    <cellStyle name="Currency 3 2 11" xfId="3114"/>
    <cellStyle name="Currency 3 2 12" xfId="3115"/>
    <cellStyle name="Currency 3 2 13" xfId="3116"/>
    <cellStyle name="Currency 3 2 14" xfId="3117"/>
    <cellStyle name="Currency 3 2 15" xfId="3118"/>
    <cellStyle name="Currency 3 2 15 2" xfId="3119"/>
    <cellStyle name="Currency 3 2 16" xfId="3120"/>
    <cellStyle name="Currency 3 2 17" xfId="3121"/>
    <cellStyle name="Currency 3 2 18" xfId="3122"/>
    <cellStyle name="Currency 3 2 18 2" xfId="3123"/>
    <cellStyle name="Currency 3 2 19" xfId="3124"/>
    <cellStyle name="Currency 3 2 2" xfId="3125"/>
    <cellStyle name="Currency 3 2 2 10" xfId="3126"/>
    <cellStyle name="Currency 3 2 2 11" xfId="3127"/>
    <cellStyle name="Currency 3 2 2 12" xfId="3128"/>
    <cellStyle name="Currency 3 2 2 13" xfId="3129"/>
    <cellStyle name="Currency 3 2 2 14" xfId="3130"/>
    <cellStyle name="Currency 3 2 2 15" xfId="3131"/>
    <cellStyle name="Currency 3 2 2 16" xfId="3132"/>
    <cellStyle name="Currency 3 2 2 17" xfId="3133"/>
    <cellStyle name="Currency 3 2 2 18" xfId="3134"/>
    <cellStyle name="Currency 3 2 2 18 2" xfId="3135"/>
    <cellStyle name="Currency 3 2 2 18 3" xfId="3136"/>
    <cellStyle name="Currency 3 2 2 18 3 2" xfId="15524"/>
    <cellStyle name="Currency 3 2 2 18 3 2 2" xfId="23391"/>
    <cellStyle name="Currency 3 2 2 18 3 3" xfId="23392"/>
    <cellStyle name="Currency 3 2 2 18 4" xfId="15525"/>
    <cellStyle name="Currency 3 2 2 18 4 2" xfId="23393"/>
    <cellStyle name="Currency 3 2 2 18 5" xfId="23394"/>
    <cellStyle name="Currency 3 2 2 2" xfId="3137"/>
    <cellStyle name="Currency 3 2 2 2 10" xfId="3138"/>
    <cellStyle name="Currency 3 2 2 2 11" xfId="3139"/>
    <cellStyle name="Currency 3 2 2 2 12" xfId="3140"/>
    <cellStyle name="Currency 3 2 2 2 13" xfId="3141"/>
    <cellStyle name="Currency 3 2 2 2 14" xfId="3142"/>
    <cellStyle name="Currency 3 2 2 2 15" xfId="3143"/>
    <cellStyle name="Currency 3 2 2 2 16" xfId="3144"/>
    <cellStyle name="Currency 3 2 2 2 17" xfId="3145"/>
    <cellStyle name="Currency 3 2 2 2 18" xfId="3146"/>
    <cellStyle name="Currency 3 2 2 2 18 2" xfId="3147"/>
    <cellStyle name="Currency 3 2 2 2 2" xfId="3148"/>
    <cellStyle name="Currency 3 2 2 2 2 2" xfId="3149"/>
    <cellStyle name="Currency 3 2 2 2 2 2 2" xfId="3150"/>
    <cellStyle name="Currency 3 2 2 2 2 2 3" xfId="3151"/>
    <cellStyle name="Currency 3 2 2 2 2 2 4" xfId="3152"/>
    <cellStyle name="Currency 3 2 2 2 2 2 5" xfId="3153"/>
    <cellStyle name="Currency 3 2 2 2 2 3" xfId="3154"/>
    <cellStyle name="Currency 3 2 2 2 2 4" xfId="3155"/>
    <cellStyle name="Currency 3 2 2 2 2 5" xfId="3156"/>
    <cellStyle name="Currency 3 2 2 2 2 6" xfId="3157"/>
    <cellStyle name="Currency 3 2 2 2 2 6 2" xfId="3158"/>
    <cellStyle name="Currency 3 2 2 2 3" xfId="3159"/>
    <cellStyle name="Currency 3 2 2 2 4" xfId="3160"/>
    <cellStyle name="Currency 3 2 2 2 5" xfId="3161"/>
    <cellStyle name="Currency 3 2 2 2 6" xfId="3162"/>
    <cellStyle name="Currency 3 2 2 2 7" xfId="3163"/>
    <cellStyle name="Currency 3 2 2 2 8" xfId="3164"/>
    <cellStyle name="Currency 3 2 2 2 9" xfId="3165"/>
    <cellStyle name="Currency 3 2 2 3" xfId="3166"/>
    <cellStyle name="Currency 3 2 2 3 2" xfId="3167"/>
    <cellStyle name="Currency 3 2 2 3 2 2" xfId="3168"/>
    <cellStyle name="Currency 3 2 2 4" xfId="3169"/>
    <cellStyle name="Currency 3 2 2 4 2" xfId="3170"/>
    <cellStyle name="Currency 3 2 2 4 2 2" xfId="3171"/>
    <cellStyle name="Currency 3 2 2 5" xfId="3172"/>
    <cellStyle name="Currency 3 2 2 5 2" xfId="3173"/>
    <cellStyle name="Currency 3 2 2 5 2 2" xfId="3174"/>
    <cellStyle name="Currency 3 2 2 6" xfId="3175"/>
    <cellStyle name="Currency 3 2 2 6 2" xfId="3176"/>
    <cellStyle name="Currency 3 2 2 6 2 2" xfId="3177"/>
    <cellStyle name="Currency 3 2 2 7" xfId="3178"/>
    <cellStyle name="Currency 3 2 2 7 2" xfId="3179"/>
    <cellStyle name="Currency 3 2 2 7 2 2" xfId="3180"/>
    <cellStyle name="Currency 3 2 2 8" xfId="3181"/>
    <cellStyle name="Currency 3 2 2 8 2" xfId="3182"/>
    <cellStyle name="Currency 3 2 2 8 2 2" xfId="3183"/>
    <cellStyle name="Currency 3 2 2 9" xfId="3184"/>
    <cellStyle name="Currency 3 2 2 9 2" xfId="3185"/>
    <cellStyle name="Currency 3 2 2 9 2 2" xfId="3186"/>
    <cellStyle name="Currency 3 2 20" xfId="3187"/>
    <cellStyle name="Currency 3 2 21" xfId="3188"/>
    <cellStyle name="Currency 3 2 21 2" xfId="3189"/>
    <cellStyle name="Currency 3 2 3" xfId="3190"/>
    <cellStyle name="Currency 3 2 3 2" xfId="3191"/>
    <cellStyle name="Currency 3 2 3 2 2" xfId="3192"/>
    <cellStyle name="Currency 3 2 3 2 3" xfId="3193"/>
    <cellStyle name="Currency 3 2 3 2 3 2" xfId="15526"/>
    <cellStyle name="Currency 3 2 3 2 3 2 2" xfId="23395"/>
    <cellStyle name="Currency 3 2 3 2 3 3" xfId="23396"/>
    <cellStyle name="Currency 3 2 3 2 4" xfId="15527"/>
    <cellStyle name="Currency 3 2 3 2 4 2" xfId="23397"/>
    <cellStyle name="Currency 3 2 3 2 5" xfId="23398"/>
    <cellStyle name="Currency 3 2 4" xfId="3194"/>
    <cellStyle name="Currency 3 2 4 2" xfId="3195"/>
    <cellStyle name="Currency 3 2 4 2 2" xfId="3196"/>
    <cellStyle name="Currency 3 2 4 2 3" xfId="3197"/>
    <cellStyle name="Currency 3 2 4 2 3 2" xfId="15528"/>
    <cellStyle name="Currency 3 2 4 2 3 2 2" xfId="23399"/>
    <cellStyle name="Currency 3 2 4 2 3 3" xfId="23400"/>
    <cellStyle name="Currency 3 2 4 2 4" xfId="15529"/>
    <cellStyle name="Currency 3 2 4 2 4 2" xfId="23401"/>
    <cellStyle name="Currency 3 2 4 2 5" xfId="23402"/>
    <cellStyle name="Currency 3 2 5" xfId="3198"/>
    <cellStyle name="Currency 3 2 5 2" xfId="3199"/>
    <cellStyle name="Currency 3 2 5 2 2" xfId="3200"/>
    <cellStyle name="Currency 3 2 5 2 3" xfId="3201"/>
    <cellStyle name="Currency 3 2 5 2 3 2" xfId="15530"/>
    <cellStyle name="Currency 3 2 5 2 3 2 2" xfId="23403"/>
    <cellStyle name="Currency 3 2 5 2 3 3" xfId="23404"/>
    <cellStyle name="Currency 3 2 5 2 4" xfId="15531"/>
    <cellStyle name="Currency 3 2 5 2 4 2" xfId="23405"/>
    <cellStyle name="Currency 3 2 5 2 5" xfId="23406"/>
    <cellStyle name="Currency 3 2 6" xfId="3202"/>
    <cellStyle name="Currency 3 2 6 2" xfId="3203"/>
    <cellStyle name="Currency 3 2 6 2 2" xfId="3204"/>
    <cellStyle name="Currency 3 2 6 2 3" xfId="3205"/>
    <cellStyle name="Currency 3 2 6 2 3 2" xfId="15532"/>
    <cellStyle name="Currency 3 2 6 2 3 2 2" xfId="23407"/>
    <cellStyle name="Currency 3 2 6 2 3 3" xfId="23408"/>
    <cellStyle name="Currency 3 2 6 2 4" xfId="15533"/>
    <cellStyle name="Currency 3 2 6 2 4 2" xfId="23409"/>
    <cellStyle name="Currency 3 2 6 2 5" xfId="23410"/>
    <cellStyle name="Currency 3 2 7" xfId="3206"/>
    <cellStyle name="Currency 3 2 7 2" xfId="3207"/>
    <cellStyle name="Currency 3 2 7 2 2" xfId="3208"/>
    <cellStyle name="Currency 3 2 7 2 3" xfId="3209"/>
    <cellStyle name="Currency 3 2 7 2 3 2" xfId="15534"/>
    <cellStyle name="Currency 3 2 7 2 3 2 2" xfId="23411"/>
    <cellStyle name="Currency 3 2 7 2 3 3" xfId="23412"/>
    <cellStyle name="Currency 3 2 7 2 4" xfId="15535"/>
    <cellStyle name="Currency 3 2 7 2 4 2" xfId="23413"/>
    <cellStyle name="Currency 3 2 7 2 5" xfId="23414"/>
    <cellStyle name="Currency 3 2 8" xfId="3210"/>
    <cellStyle name="Currency 3 2 8 2" xfId="3211"/>
    <cellStyle name="Currency 3 2 8 2 2" xfId="3212"/>
    <cellStyle name="Currency 3 2 8 2 3" xfId="3213"/>
    <cellStyle name="Currency 3 2 8 2 3 2" xfId="15536"/>
    <cellStyle name="Currency 3 2 8 2 3 2 2" xfId="23415"/>
    <cellStyle name="Currency 3 2 8 2 3 3" xfId="23416"/>
    <cellStyle name="Currency 3 2 8 2 4" xfId="15537"/>
    <cellStyle name="Currency 3 2 8 2 4 2" xfId="23417"/>
    <cellStyle name="Currency 3 2 8 2 5" xfId="23418"/>
    <cellStyle name="Currency 3 2 9" xfId="3214"/>
    <cellStyle name="Currency 3 2 9 2" xfId="3215"/>
    <cellStyle name="Currency 3 2 9 2 2" xfId="3216"/>
    <cellStyle name="Currency 3 2 9 2 3" xfId="3217"/>
    <cellStyle name="Currency 3 2 9 2 3 2" xfId="15538"/>
    <cellStyle name="Currency 3 2 9 2 3 2 2" xfId="23419"/>
    <cellStyle name="Currency 3 2 9 2 3 3" xfId="23420"/>
    <cellStyle name="Currency 3 2 9 2 4" xfId="15539"/>
    <cellStyle name="Currency 3 2 9 2 4 2" xfId="23421"/>
    <cellStyle name="Currency 3 2 9 2 5" xfId="23422"/>
    <cellStyle name="Currency 3 20" xfId="3218"/>
    <cellStyle name="Currency 3 20 2" xfId="3219"/>
    <cellStyle name="Currency 3 20 2 2" xfId="3220"/>
    <cellStyle name="Currency 3 20 3" xfId="3221"/>
    <cellStyle name="Currency 3 21" xfId="3222"/>
    <cellStyle name="Currency 3 21 2" xfId="3223"/>
    <cellStyle name="Currency 3 21 3" xfId="15540"/>
    <cellStyle name="Currency 3 22" xfId="3224"/>
    <cellStyle name="Currency 3 22 2" xfId="3225"/>
    <cellStyle name="Currency 3 22 3" xfId="15541"/>
    <cellStyle name="Currency 3 23" xfId="3226"/>
    <cellStyle name="Currency 3 23 2" xfId="3227"/>
    <cellStyle name="Currency 3 23 3" xfId="15542"/>
    <cellStyle name="Currency 3 24" xfId="3228"/>
    <cellStyle name="Currency 3 24 2" xfId="3229"/>
    <cellStyle name="Currency 3 24 3" xfId="15543"/>
    <cellStyle name="Currency 3 25" xfId="3230"/>
    <cellStyle name="Currency 3 25 2" xfId="3231"/>
    <cellStyle name="Currency 3 25 3" xfId="15544"/>
    <cellStyle name="Currency 3 26" xfId="3232"/>
    <cellStyle name="Currency 3 26 2" xfId="3233"/>
    <cellStyle name="Currency 3 26 3" xfId="15545"/>
    <cellStyle name="Currency 3 27" xfId="3234"/>
    <cellStyle name="Currency 3 27 2" xfId="3235"/>
    <cellStyle name="Currency 3 27 3" xfId="15546"/>
    <cellStyle name="Currency 3 28" xfId="3236"/>
    <cellStyle name="Currency 3 28 2" xfId="3237"/>
    <cellStyle name="Currency 3 28 3" xfId="15547"/>
    <cellStyle name="Currency 3 29" xfId="3238"/>
    <cellStyle name="Currency 3 29 2" xfId="3239"/>
    <cellStyle name="Currency 3 29 3" xfId="15548"/>
    <cellStyle name="Currency 3 3" xfId="3240"/>
    <cellStyle name="Currency 3 3 10" xfId="3241"/>
    <cellStyle name="Currency 3 3 10 2" xfId="3242"/>
    <cellStyle name="Currency 3 3 11" xfId="3243"/>
    <cellStyle name="Currency 3 3 11 2" xfId="3244"/>
    <cellStyle name="Currency 3 3 12" xfId="3245"/>
    <cellStyle name="Currency 3 3 13" xfId="3246"/>
    <cellStyle name="Currency 3 3 14" xfId="3247"/>
    <cellStyle name="Currency 3 3 14 2" xfId="3248"/>
    <cellStyle name="Currency 3 3 15" xfId="3249"/>
    <cellStyle name="Currency 3 3 15 2" xfId="3250"/>
    <cellStyle name="Currency 3 3 16" xfId="15549"/>
    <cellStyle name="Currency 3 3 17" xfId="15550"/>
    <cellStyle name="Currency 3 3 2" xfId="3251"/>
    <cellStyle name="Currency 3 3 2 10" xfId="3252"/>
    <cellStyle name="Currency 3 3 2 10 2" xfId="3253"/>
    <cellStyle name="Currency 3 3 2 10 2 2" xfId="3254"/>
    <cellStyle name="Currency 3 3 2 10 3" xfId="3255"/>
    <cellStyle name="Currency 3 3 2 10 4" xfId="15551"/>
    <cellStyle name="Currency 3 3 2 10 5" xfId="15552"/>
    <cellStyle name="Currency 3 3 2 11" xfId="3256"/>
    <cellStyle name="Currency 3 3 2 11 2" xfId="3257"/>
    <cellStyle name="Currency 3 3 2 11 2 2" xfId="3258"/>
    <cellStyle name="Currency 3 3 2 11 3" xfId="3259"/>
    <cellStyle name="Currency 3 3 2 11 4" xfId="15553"/>
    <cellStyle name="Currency 3 3 2 11 5" xfId="15554"/>
    <cellStyle name="Currency 3 3 2 12" xfId="3260"/>
    <cellStyle name="Currency 3 3 2 12 2" xfId="3261"/>
    <cellStyle name="Currency 3 3 2 12 2 2" xfId="3262"/>
    <cellStyle name="Currency 3 3 2 12 3" xfId="3263"/>
    <cellStyle name="Currency 3 3 2 12 4" xfId="15555"/>
    <cellStyle name="Currency 3 3 2 13" xfId="3264"/>
    <cellStyle name="Currency 3 3 2 13 2" xfId="3265"/>
    <cellStyle name="Currency 3 3 2 13 2 2" xfId="3266"/>
    <cellStyle name="Currency 3 3 2 13 3" xfId="3267"/>
    <cellStyle name="Currency 3 3 2 13 4" xfId="15556"/>
    <cellStyle name="Currency 3 3 2 14" xfId="3268"/>
    <cellStyle name="Currency 3 3 2 15" xfId="3269"/>
    <cellStyle name="Currency 3 3 2 2" xfId="3270"/>
    <cellStyle name="Currency 3 3 2 2 2" xfId="3271"/>
    <cellStyle name="Currency 3 3 2 2 2 2" xfId="3272"/>
    <cellStyle name="Currency 3 3 2 2 2 3" xfId="15557"/>
    <cellStyle name="Currency 3 3 2 2 3" xfId="3273"/>
    <cellStyle name="Currency 3 3 2 2 4" xfId="15558"/>
    <cellStyle name="Currency 3 3 2 2 5" xfId="15559"/>
    <cellStyle name="Currency 3 3 2 3" xfId="3274"/>
    <cellStyle name="Currency 3 3 2 3 2" xfId="3275"/>
    <cellStyle name="Currency 3 3 2 3 2 2" xfId="3276"/>
    <cellStyle name="Currency 3 3 2 3 3" xfId="3277"/>
    <cellStyle name="Currency 3 3 2 3 4" xfId="15560"/>
    <cellStyle name="Currency 3 3 2 3 5" xfId="15561"/>
    <cellStyle name="Currency 3 3 2 4" xfId="3278"/>
    <cellStyle name="Currency 3 3 2 4 2" xfId="3279"/>
    <cellStyle name="Currency 3 3 2 4 2 2" xfId="3280"/>
    <cellStyle name="Currency 3 3 2 4 3" xfId="3281"/>
    <cellStyle name="Currency 3 3 2 4 4" xfId="15562"/>
    <cellStyle name="Currency 3 3 2 4 5" xfId="15563"/>
    <cellStyle name="Currency 3 3 2 5" xfId="3282"/>
    <cellStyle name="Currency 3 3 2 5 2" xfId="3283"/>
    <cellStyle name="Currency 3 3 2 5 2 2" xfId="3284"/>
    <cellStyle name="Currency 3 3 2 5 3" xfId="3285"/>
    <cellStyle name="Currency 3 3 2 5 4" xfId="15564"/>
    <cellStyle name="Currency 3 3 2 5 5" xfId="15565"/>
    <cellStyle name="Currency 3 3 2 6" xfId="3286"/>
    <cellStyle name="Currency 3 3 2 6 2" xfId="3287"/>
    <cellStyle name="Currency 3 3 2 6 2 2" xfId="3288"/>
    <cellStyle name="Currency 3 3 2 6 3" xfId="3289"/>
    <cellStyle name="Currency 3 3 2 6 4" xfId="15566"/>
    <cellStyle name="Currency 3 3 2 6 5" xfId="15567"/>
    <cellStyle name="Currency 3 3 2 7" xfId="3290"/>
    <cellStyle name="Currency 3 3 2 7 2" xfId="3291"/>
    <cellStyle name="Currency 3 3 2 7 2 2" xfId="3292"/>
    <cellStyle name="Currency 3 3 2 7 3" xfId="3293"/>
    <cellStyle name="Currency 3 3 2 7 4" xfId="15568"/>
    <cellStyle name="Currency 3 3 2 7 5" xfId="15569"/>
    <cellStyle name="Currency 3 3 2 8" xfId="3294"/>
    <cellStyle name="Currency 3 3 2 8 2" xfId="3295"/>
    <cellStyle name="Currency 3 3 2 8 2 2" xfId="3296"/>
    <cellStyle name="Currency 3 3 2 8 3" xfId="3297"/>
    <cellStyle name="Currency 3 3 2 8 4" xfId="15570"/>
    <cellStyle name="Currency 3 3 2 8 5" xfId="15571"/>
    <cellStyle name="Currency 3 3 2 9" xfId="3298"/>
    <cellStyle name="Currency 3 3 2 9 2" xfId="3299"/>
    <cellStyle name="Currency 3 3 2 9 2 2" xfId="3300"/>
    <cellStyle name="Currency 3 3 2 9 3" xfId="3301"/>
    <cellStyle name="Currency 3 3 2 9 4" xfId="15572"/>
    <cellStyle name="Currency 3 3 2 9 5" xfId="15573"/>
    <cellStyle name="Currency 3 3 3" xfId="3302"/>
    <cellStyle name="Currency 3 3 3 2" xfId="3303"/>
    <cellStyle name="Currency 3 3 3 3" xfId="3304"/>
    <cellStyle name="Currency 3 3 3 3 2" xfId="3305"/>
    <cellStyle name="Currency 3 3 4" xfId="3306"/>
    <cellStyle name="Currency 3 3 4 2" xfId="3307"/>
    <cellStyle name="Currency 3 3 4 3" xfId="3308"/>
    <cellStyle name="Currency 3 3 4 3 2" xfId="3309"/>
    <cellStyle name="Currency 3 3 5" xfId="3310"/>
    <cellStyle name="Currency 3 3 5 2" xfId="3311"/>
    <cellStyle name="Currency 3 3 5 3" xfId="3312"/>
    <cellStyle name="Currency 3 3 5 3 2" xfId="3313"/>
    <cellStyle name="Currency 3 3 6" xfId="3314"/>
    <cellStyle name="Currency 3 3 6 2" xfId="3315"/>
    <cellStyle name="Currency 3 3 6 3" xfId="3316"/>
    <cellStyle name="Currency 3 3 6 3 2" xfId="3317"/>
    <cellStyle name="Currency 3 3 7" xfId="3318"/>
    <cellStyle name="Currency 3 3 7 2" xfId="3319"/>
    <cellStyle name="Currency 3 3 7 3" xfId="3320"/>
    <cellStyle name="Currency 3 3 7 3 2" xfId="3321"/>
    <cellStyle name="Currency 3 3 8" xfId="3322"/>
    <cellStyle name="Currency 3 3 8 2" xfId="3323"/>
    <cellStyle name="Currency 3 3 8 3" xfId="3324"/>
    <cellStyle name="Currency 3 3 8 3 2" xfId="3325"/>
    <cellStyle name="Currency 3 3 9" xfId="3326"/>
    <cellStyle name="Currency 3 3 9 2" xfId="3327"/>
    <cellStyle name="Currency 3 30" xfId="3328"/>
    <cellStyle name="Currency 3 30 2" xfId="3329"/>
    <cellStyle name="Currency 3 30 3" xfId="15574"/>
    <cellStyle name="Currency 3 31" xfId="3330"/>
    <cellStyle name="Currency 3 31 2" xfId="3331"/>
    <cellStyle name="Currency 3 31 3" xfId="15575"/>
    <cellStyle name="Currency 3 32" xfId="3332"/>
    <cellStyle name="Currency 3 32 2" xfId="3333"/>
    <cellStyle name="Currency 3 32 3" xfId="15576"/>
    <cellStyle name="Currency 3 33" xfId="3334"/>
    <cellStyle name="Currency 3 33 2" xfId="3335"/>
    <cellStyle name="Currency 3 33 3" xfId="15577"/>
    <cellStyle name="Currency 3 34" xfId="3336"/>
    <cellStyle name="Currency 3 34 2" xfId="3337"/>
    <cellStyle name="Currency 3 34 3" xfId="15578"/>
    <cellStyle name="Currency 3 35" xfId="3338"/>
    <cellStyle name="Currency 3 35 2" xfId="3339"/>
    <cellStyle name="Currency 3 35 3" xfId="15579"/>
    <cellStyle name="Currency 3 36" xfId="3340"/>
    <cellStyle name="Currency 3 36 2" xfId="3341"/>
    <cellStyle name="Currency 3 36 3" xfId="15580"/>
    <cellStyle name="Currency 3 37" xfId="3342"/>
    <cellStyle name="Currency 3 37 2" xfId="3343"/>
    <cellStyle name="Currency 3 37 3" xfId="15581"/>
    <cellStyle name="Currency 3 38" xfId="3344"/>
    <cellStyle name="Currency 3 38 2" xfId="3345"/>
    <cellStyle name="Currency 3 38 3" xfId="15582"/>
    <cellStyle name="Currency 3 39" xfId="3346"/>
    <cellStyle name="Currency 3 39 2" xfId="3347"/>
    <cellStyle name="Currency 3 39 3" xfId="15583"/>
    <cellStyle name="Currency 3 4" xfId="3348"/>
    <cellStyle name="Currency 3 4 2" xfId="3349"/>
    <cellStyle name="Currency 3 4 2 2" xfId="3350"/>
    <cellStyle name="Currency 3 4 2 2 2" xfId="3351"/>
    <cellStyle name="Currency 3 4 2 3" xfId="3352"/>
    <cellStyle name="Currency 3 4 2 4" xfId="3353"/>
    <cellStyle name="Currency 3 4 2 5" xfId="3354"/>
    <cellStyle name="Currency 3 4 3" xfId="3355"/>
    <cellStyle name="Currency 3 4 4" xfId="3356"/>
    <cellStyle name="Currency 3 4 5" xfId="3357"/>
    <cellStyle name="Currency 3 4 6" xfId="3358"/>
    <cellStyle name="Currency 3 4 6 2" xfId="3359"/>
    <cellStyle name="Currency 3 4 7" xfId="15584"/>
    <cellStyle name="Currency 3 40" xfId="3360"/>
    <cellStyle name="Currency 3 40 2" xfId="3361"/>
    <cellStyle name="Currency 3 40 3" xfId="15585"/>
    <cellStyle name="Currency 3 41" xfId="3362"/>
    <cellStyle name="Currency 3 41 2" xfId="3363"/>
    <cellStyle name="Currency 3 41 3" xfId="15586"/>
    <cellStyle name="Currency 3 42" xfId="3364"/>
    <cellStyle name="Currency 3 42 2" xfId="3365"/>
    <cellStyle name="Currency 3 42 3" xfId="15587"/>
    <cellStyle name="Currency 3 43" xfId="3366"/>
    <cellStyle name="Currency 3 43 2" xfId="3367"/>
    <cellStyle name="Currency 3 43 3" xfId="15588"/>
    <cellStyle name="Currency 3 44" xfId="3368"/>
    <cellStyle name="Currency 3 44 2" xfId="3369"/>
    <cellStyle name="Currency 3 44 3" xfId="15589"/>
    <cellStyle name="Currency 3 45" xfId="3370"/>
    <cellStyle name="Currency 3 45 2" xfId="3371"/>
    <cellStyle name="Currency 3 45 3" xfId="15590"/>
    <cellStyle name="Currency 3 46" xfId="3372"/>
    <cellStyle name="Currency 3 46 2" xfId="3373"/>
    <cellStyle name="Currency 3 46 3" xfId="15591"/>
    <cellStyle name="Currency 3 47" xfId="3374"/>
    <cellStyle name="Currency 3 47 2" xfId="3375"/>
    <cellStyle name="Currency 3 47 3" xfId="15592"/>
    <cellStyle name="Currency 3 48" xfId="3376"/>
    <cellStyle name="Currency 3 48 2" xfId="3377"/>
    <cellStyle name="Currency 3 48 3" xfId="15593"/>
    <cellStyle name="Currency 3 49" xfId="3378"/>
    <cellStyle name="Currency 3 49 2" xfId="3379"/>
    <cellStyle name="Currency 3 49 3" xfId="15594"/>
    <cellStyle name="Currency 3 5" xfId="3380"/>
    <cellStyle name="Currency 3 5 2" xfId="3381"/>
    <cellStyle name="Currency 3 5 2 2" xfId="3382"/>
    <cellStyle name="Currency 3 5 3" xfId="3383"/>
    <cellStyle name="Currency 3 5 3 2" xfId="3384"/>
    <cellStyle name="Currency 3 5 4" xfId="15595"/>
    <cellStyle name="Currency 3 50" xfId="3385"/>
    <cellStyle name="Currency 3 50 2" xfId="3386"/>
    <cellStyle name="Currency 3 50 3" xfId="15596"/>
    <cellStyle name="Currency 3 51" xfId="3387"/>
    <cellStyle name="Currency 3 51 2" xfId="3388"/>
    <cellStyle name="Currency 3 51 3" xfId="15597"/>
    <cellStyle name="Currency 3 52" xfId="3389"/>
    <cellStyle name="Currency 3 52 2" xfId="3390"/>
    <cellStyle name="Currency 3 52 3" xfId="15598"/>
    <cellStyle name="Currency 3 53" xfId="3391"/>
    <cellStyle name="Currency 3 53 2" xfId="3392"/>
    <cellStyle name="Currency 3 53 3" xfId="15599"/>
    <cellStyle name="Currency 3 54" xfId="3393"/>
    <cellStyle name="Currency 3 54 2" xfId="3394"/>
    <cellStyle name="Currency 3 54 3" xfId="15600"/>
    <cellStyle name="Currency 3 55" xfId="3395"/>
    <cellStyle name="Currency 3 55 2" xfId="3396"/>
    <cellStyle name="Currency 3 55 3" xfId="15601"/>
    <cellStyle name="Currency 3 56" xfId="3397"/>
    <cellStyle name="Currency 3 56 2" xfId="3398"/>
    <cellStyle name="Currency 3 56 3" xfId="15602"/>
    <cellStyle name="Currency 3 57" xfId="3399"/>
    <cellStyle name="Currency 3 57 2" xfId="3400"/>
    <cellStyle name="Currency 3 57 3" xfId="15603"/>
    <cellStyle name="Currency 3 58" xfId="3401"/>
    <cellStyle name="Currency 3 58 2" xfId="3402"/>
    <cellStyle name="Currency 3 58 3" xfId="15604"/>
    <cellStyle name="Currency 3 59" xfId="3403"/>
    <cellStyle name="Currency 3 59 2" xfId="3404"/>
    <cellStyle name="Currency 3 59 3" xfId="15605"/>
    <cellStyle name="Currency 3 6" xfId="3405"/>
    <cellStyle name="Currency 3 6 2" xfId="3406"/>
    <cellStyle name="Currency 3 6 2 2" xfId="3407"/>
    <cellStyle name="Currency 3 6 3" xfId="3408"/>
    <cellStyle name="Currency 3 6 3 2" xfId="3409"/>
    <cellStyle name="Currency 3 6 4" xfId="15606"/>
    <cellStyle name="Currency 3 60" xfId="3410"/>
    <cellStyle name="Currency 3 60 2" xfId="3411"/>
    <cellStyle name="Currency 3 60 3" xfId="15607"/>
    <cellStyle name="Currency 3 61" xfId="3412"/>
    <cellStyle name="Currency 3 61 2" xfId="3413"/>
    <cellStyle name="Currency 3 61 3" xfId="15608"/>
    <cellStyle name="Currency 3 62" xfId="3414"/>
    <cellStyle name="Currency 3 62 2" xfId="3415"/>
    <cellStyle name="Currency 3 63" xfId="3416"/>
    <cellStyle name="Currency 3 63 2" xfId="3417"/>
    <cellStyle name="Currency 3 64" xfId="3418"/>
    <cellStyle name="Currency 3 64 2" xfId="3419"/>
    <cellStyle name="Currency 3 65" xfId="3420"/>
    <cellStyle name="Currency 3 65 2" xfId="3421"/>
    <cellStyle name="Currency 3 66" xfId="3422"/>
    <cellStyle name="Currency 3 66 2" xfId="3423"/>
    <cellStyle name="Currency 3 67" xfId="3424"/>
    <cellStyle name="Currency 3 67 2" xfId="3425"/>
    <cellStyle name="Currency 3 68" xfId="3426"/>
    <cellStyle name="Currency 3 68 2" xfId="3427"/>
    <cellStyle name="Currency 3 69" xfId="3428"/>
    <cellStyle name="Currency 3 69 2" xfId="3429"/>
    <cellStyle name="Currency 3 7" xfId="3430"/>
    <cellStyle name="Currency 3 7 2" xfId="3431"/>
    <cellStyle name="Currency 3 7 2 2" xfId="3432"/>
    <cellStyle name="Currency 3 7 3" xfId="3433"/>
    <cellStyle name="Currency 3 7 3 2" xfId="3434"/>
    <cellStyle name="Currency 3 7 4" xfId="15609"/>
    <cellStyle name="Currency 3 70" xfId="3435"/>
    <cellStyle name="Currency 3 70 2" xfId="3436"/>
    <cellStyle name="Currency 3 71" xfId="3437"/>
    <cellStyle name="Currency 3 71 2" xfId="3438"/>
    <cellStyle name="Currency 3 72" xfId="3439"/>
    <cellStyle name="Currency 3 72 2" xfId="3440"/>
    <cellStyle name="Currency 3 73" xfId="3441"/>
    <cellStyle name="Currency 3 73 2" xfId="3442"/>
    <cellStyle name="Currency 3 74" xfId="3443"/>
    <cellStyle name="Currency 3 74 2" xfId="3444"/>
    <cellStyle name="Currency 3 75" xfId="3445"/>
    <cellStyle name="Currency 3 75 2" xfId="3446"/>
    <cellStyle name="Currency 3 76" xfId="3447"/>
    <cellStyle name="Currency 3 76 2" xfId="3448"/>
    <cellStyle name="Currency 3 77" xfId="3449"/>
    <cellStyle name="Currency 3 77 2" xfId="3450"/>
    <cellStyle name="Currency 3 78" xfId="3451"/>
    <cellStyle name="Currency 3 78 2" xfId="3452"/>
    <cellStyle name="Currency 3 79" xfId="3453"/>
    <cellStyle name="Currency 3 79 2" xfId="3454"/>
    <cellStyle name="Currency 3 8" xfId="3455"/>
    <cellStyle name="Currency 3 8 2" xfId="3456"/>
    <cellStyle name="Currency 3 8 2 2" xfId="3457"/>
    <cellStyle name="Currency 3 8 3" xfId="3458"/>
    <cellStyle name="Currency 3 8 3 2" xfId="3459"/>
    <cellStyle name="Currency 3 8 4" xfId="15610"/>
    <cellStyle name="Currency 3 80" xfId="3460"/>
    <cellStyle name="Currency 3 80 2" xfId="3461"/>
    <cellStyle name="Currency 3 81" xfId="3462"/>
    <cellStyle name="Currency 3 81 2" xfId="3463"/>
    <cellStyle name="Currency 3 82" xfId="3464"/>
    <cellStyle name="Currency 3 82 2" xfId="3465"/>
    <cellStyle name="Currency 3 83" xfId="3466"/>
    <cellStyle name="Currency 3 83 2" xfId="3467"/>
    <cellStyle name="Currency 3 84" xfId="3468"/>
    <cellStyle name="Currency 3 84 2" xfId="3469"/>
    <cellStyle name="Currency 3 85" xfId="3470"/>
    <cellStyle name="Currency 3 85 2" xfId="3471"/>
    <cellStyle name="Currency 3 86" xfId="3472"/>
    <cellStyle name="Currency 3 86 2" xfId="3473"/>
    <cellStyle name="Currency 3 87" xfId="3474"/>
    <cellStyle name="Currency 3 87 2" xfId="3475"/>
    <cellStyle name="Currency 3 88" xfId="3476"/>
    <cellStyle name="Currency 3 88 2" xfId="3477"/>
    <cellStyle name="Currency 3 89" xfId="3478"/>
    <cellStyle name="Currency 3 89 2" xfId="3479"/>
    <cellStyle name="Currency 3 9" xfId="3480"/>
    <cellStyle name="Currency 3 9 2" xfId="3481"/>
    <cellStyle name="Currency 3 9 2 2" xfId="3482"/>
    <cellStyle name="Currency 3 9 3" xfId="3483"/>
    <cellStyle name="Currency 3 9 3 2" xfId="3484"/>
    <cellStyle name="Currency 3 9 4" xfId="15611"/>
    <cellStyle name="Currency 3 90" xfId="3485"/>
    <cellStyle name="Currency 3 90 2" xfId="3486"/>
    <cellStyle name="Currency 3 91" xfId="3487"/>
    <cellStyle name="Currency 3 91 2" xfId="3488"/>
    <cellStyle name="Currency 3 92" xfId="3489"/>
    <cellStyle name="Currency 3 92 2" xfId="3490"/>
    <cellStyle name="Currency 3 92 2 2" xfId="3491"/>
    <cellStyle name="Currency 3 92 2 3" xfId="3492"/>
    <cellStyle name="Currency 3 92 2 3 2" xfId="15612"/>
    <cellStyle name="Currency 3 92 2 3 2 2" xfId="23423"/>
    <cellStyle name="Currency 3 92 2 3 3" xfId="23424"/>
    <cellStyle name="Currency 3 92 2 4" xfId="15613"/>
    <cellStyle name="Currency 3 92 2 4 2" xfId="23425"/>
    <cellStyle name="Currency 3 92 2 5" xfId="23426"/>
    <cellStyle name="Currency 3 92 3" xfId="3493"/>
    <cellStyle name="Currency 3 92 4" xfId="3494"/>
    <cellStyle name="Currency 3 92 4 2" xfId="15614"/>
    <cellStyle name="Currency 3 92 4 2 2" xfId="23427"/>
    <cellStyle name="Currency 3 92 4 3" xfId="23428"/>
    <cellStyle name="Currency 3 92 5" xfId="15615"/>
    <cellStyle name="Currency 3 92 5 2" xfId="23429"/>
    <cellStyle name="Currency 3 92 6" xfId="23430"/>
    <cellStyle name="Currency 3 93" xfId="3495"/>
    <cellStyle name="Currency 3 93 2" xfId="3496"/>
    <cellStyle name="Currency 3 94" xfId="3497"/>
    <cellStyle name="Currency 3 94 2" xfId="3498"/>
    <cellStyle name="Currency 3 95" xfId="3499"/>
    <cellStyle name="Currency 3 95 2" xfId="3500"/>
    <cellStyle name="Currency 3 96" xfId="3501"/>
    <cellStyle name="Currency 3 96 2" xfId="3502"/>
    <cellStyle name="Currency 3 97" xfId="3503"/>
    <cellStyle name="Currency 3 97 2" xfId="3504"/>
    <cellStyle name="Currency 3 98" xfId="3505"/>
    <cellStyle name="Currency 3 98 2" xfId="3506"/>
    <cellStyle name="Currency 3 99" xfId="3507"/>
    <cellStyle name="Currency 3 99 2" xfId="3508"/>
    <cellStyle name="Currency 30" xfId="3509"/>
    <cellStyle name="Currency 31" xfId="3510"/>
    <cellStyle name="Currency 32" xfId="3511"/>
    <cellStyle name="Currency 33" xfId="3512"/>
    <cellStyle name="Currency 34" xfId="3513"/>
    <cellStyle name="Currency 35" xfId="3514"/>
    <cellStyle name="Currency 36" xfId="3515"/>
    <cellStyle name="Currency 37" xfId="3516"/>
    <cellStyle name="Currency 38" xfId="3517"/>
    <cellStyle name="Currency 39" xfId="3518"/>
    <cellStyle name="Currency 4" xfId="14"/>
    <cellStyle name="Currency 4 10" xfId="3519"/>
    <cellStyle name="Currency 4 10 2" xfId="3520"/>
    <cellStyle name="Currency 4 11" xfId="3521"/>
    <cellStyle name="Currency 4 11 2" xfId="3522"/>
    <cellStyle name="Currency 4 12" xfId="3523"/>
    <cellStyle name="Currency 4 12 2" xfId="3524"/>
    <cellStyle name="Currency 4 13" xfId="3525"/>
    <cellStyle name="Currency 4 13 2" xfId="3526"/>
    <cellStyle name="Currency 4 14" xfId="3527"/>
    <cellStyle name="Currency 4 14 2" xfId="3528"/>
    <cellStyle name="Currency 4 15" xfId="3529"/>
    <cellStyle name="Currency 4 15 2" xfId="3530"/>
    <cellStyle name="Currency 4 16" xfId="3531"/>
    <cellStyle name="Currency 4 16 2" xfId="3532"/>
    <cellStyle name="Currency 4 17" xfId="3533"/>
    <cellStyle name="Currency 4 17 2" xfId="3534"/>
    <cellStyle name="Currency 4 18" xfId="3535"/>
    <cellStyle name="Currency 4 18 2" xfId="3536"/>
    <cellStyle name="Currency 4 19" xfId="3537"/>
    <cellStyle name="Currency 4 19 2" xfId="3538"/>
    <cellStyle name="Currency 4 2" xfId="3539"/>
    <cellStyle name="Currency 4 2 10" xfId="3540"/>
    <cellStyle name="Currency 4 2 2" xfId="3541"/>
    <cellStyle name="Currency 4 2 2 2" xfId="3542"/>
    <cellStyle name="Currency 4 2 2 2 2" xfId="3543"/>
    <cellStyle name="Currency 4 2 2 3" xfId="3544"/>
    <cellStyle name="Currency 4 2 2 3 2" xfId="3545"/>
    <cellStyle name="Currency 4 2 2 4" xfId="3546"/>
    <cellStyle name="Currency 4 2 2 4 2" xfId="3547"/>
    <cellStyle name="Currency 4 2 2 5" xfId="3548"/>
    <cellStyle name="Currency 4 2 2 5 2" xfId="3549"/>
    <cellStyle name="Currency 4 2 2 6" xfId="3550"/>
    <cellStyle name="Currency 4 2 2 6 2" xfId="3551"/>
    <cellStyle name="Currency 4 2 2 7" xfId="3552"/>
    <cellStyle name="Currency 4 2 2 7 2" xfId="3553"/>
    <cellStyle name="Currency 4 2 2 8" xfId="3554"/>
    <cellStyle name="Currency 4 2 2 8 2" xfId="3555"/>
    <cellStyle name="Currency 4 2 2 9" xfId="3556"/>
    <cellStyle name="Currency 4 2 2 9 2" xfId="3557"/>
    <cellStyle name="Currency 4 2 3" xfId="3558"/>
    <cellStyle name="Currency 4 2 3 2" xfId="15616"/>
    <cellStyle name="Currency 4 2 4" xfId="3559"/>
    <cellStyle name="Currency 4 2 4 2" xfId="15617"/>
    <cellStyle name="Currency 4 2 5" xfId="3560"/>
    <cellStyle name="Currency 4 2 6" xfId="3561"/>
    <cellStyle name="Currency 4 2 7" xfId="3562"/>
    <cellStyle name="Currency 4 2 8" xfId="3563"/>
    <cellStyle name="Currency 4 2 9" xfId="3564"/>
    <cellStyle name="Currency 4 20" xfId="3565"/>
    <cellStyle name="Currency 4 20 2" xfId="3566"/>
    <cellStyle name="Currency 4 21" xfId="3567"/>
    <cellStyle name="Currency 4 21 2" xfId="3568"/>
    <cellStyle name="Currency 4 22" xfId="3569"/>
    <cellStyle name="Currency 4 22 2" xfId="3570"/>
    <cellStyle name="Currency 4 23" xfId="3571"/>
    <cellStyle name="Currency 4 23 2" xfId="3572"/>
    <cellStyle name="Currency 4 24" xfId="3573"/>
    <cellStyle name="Currency 4 24 2" xfId="3574"/>
    <cellStyle name="Currency 4 25" xfId="3575"/>
    <cellStyle name="Currency 4 25 2" xfId="3576"/>
    <cellStyle name="Currency 4 26" xfId="3577"/>
    <cellStyle name="Currency 4 26 2" xfId="3578"/>
    <cellStyle name="Currency 4 27" xfId="3579"/>
    <cellStyle name="Currency 4 27 2" xfId="3580"/>
    <cellStyle name="Currency 4 28" xfId="3581"/>
    <cellStyle name="Currency 4 28 2" xfId="3582"/>
    <cellStyle name="Currency 4 29" xfId="3583"/>
    <cellStyle name="Currency 4 29 2" xfId="3584"/>
    <cellStyle name="Currency 4 3" xfId="3585"/>
    <cellStyle name="Currency 4 3 2" xfId="3586"/>
    <cellStyle name="Currency 4 30" xfId="3587"/>
    <cellStyle name="Currency 4 30 2" xfId="3588"/>
    <cellStyle name="Currency 4 31" xfId="3589"/>
    <cellStyle name="Currency 4 31 2" xfId="3590"/>
    <cellStyle name="Currency 4 32" xfId="3591"/>
    <cellStyle name="Currency 4 32 2" xfId="3592"/>
    <cellStyle name="Currency 4 33" xfId="3593"/>
    <cellStyle name="Currency 4 33 2" xfId="3594"/>
    <cellStyle name="Currency 4 34" xfId="3595"/>
    <cellStyle name="Currency 4 34 2" xfId="3596"/>
    <cellStyle name="Currency 4 35" xfId="3597"/>
    <cellStyle name="Currency 4 35 2" xfId="3598"/>
    <cellStyle name="Currency 4 36" xfId="3599"/>
    <cellStyle name="Currency 4 36 2" xfId="3600"/>
    <cellStyle name="Currency 4 37" xfId="3601"/>
    <cellStyle name="Currency 4 37 2" xfId="3602"/>
    <cellStyle name="Currency 4 38" xfId="3603"/>
    <cellStyle name="Currency 4 38 2" xfId="3604"/>
    <cellStyle name="Currency 4 39" xfId="3605"/>
    <cellStyle name="Currency 4 39 2" xfId="3606"/>
    <cellStyle name="Currency 4 4" xfId="3607"/>
    <cellStyle name="Currency 4 4 2" xfId="3608"/>
    <cellStyle name="Currency 4 40" xfId="3609"/>
    <cellStyle name="Currency 4 40 2" xfId="3610"/>
    <cellStyle name="Currency 4 41" xfId="3611"/>
    <cellStyle name="Currency 4 41 2" xfId="3612"/>
    <cellStyle name="Currency 4 42" xfId="3613"/>
    <cellStyle name="Currency 4 42 2" xfId="3614"/>
    <cellStyle name="Currency 4 43" xfId="3615"/>
    <cellStyle name="Currency 4 43 2" xfId="3616"/>
    <cellStyle name="Currency 4 44" xfId="3617"/>
    <cellStyle name="Currency 4 44 2" xfId="3618"/>
    <cellStyle name="Currency 4 45" xfId="3619"/>
    <cellStyle name="Currency 4 45 2" xfId="3620"/>
    <cellStyle name="Currency 4 46" xfId="3621"/>
    <cellStyle name="Currency 4 46 2" xfId="3622"/>
    <cellStyle name="Currency 4 47" xfId="3623"/>
    <cellStyle name="Currency 4 48" xfId="33641"/>
    <cellStyle name="Currency 4 5" xfId="3624"/>
    <cellStyle name="Currency 4 5 2" xfId="3625"/>
    <cellStyle name="Currency 4 6" xfId="3626"/>
    <cellStyle name="Currency 4 6 2" xfId="3627"/>
    <cellStyle name="Currency 4 7" xfId="3628"/>
    <cellStyle name="Currency 4 7 2" xfId="3629"/>
    <cellStyle name="Currency 4 8" xfId="3630"/>
    <cellStyle name="Currency 4 8 2" xfId="3631"/>
    <cellStyle name="Currency 4 9" xfId="3632"/>
    <cellStyle name="Currency 4 9 2" xfId="3633"/>
    <cellStyle name="Currency 40" xfId="33658"/>
    <cellStyle name="Currency 40 2" xfId="33767"/>
    <cellStyle name="Currency 5" xfId="15"/>
    <cellStyle name="Currency 5 10" xfId="3634"/>
    <cellStyle name="Currency 5 10 2" xfId="3635"/>
    <cellStyle name="Currency 5 100" xfId="3636"/>
    <cellStyle name="Currency 5 100 2" xfId="3637"/>
    <cellStyle name="Currency 5 101" xfId="15618"/>
    <cellStyle name="Currency 5 102" xfId="33642"/>
    <cellStyle name="Currency 5 11" xfId="3638"/>
    <cellStyle name="Currency 5 11 2" xfId="3639"/>
    <cellStyle name="Currency 5 12" xfId="3640"/>
    <cellStyle name="Currency 5 12 2" xfId="3641"/>
    <cellStyle name="Currency 5 13" xfId="3642"/>
    <cellStyle name="Currency 5 13 2" xfId="3643"/>
    <cellStyle name="Currency 5 14" xfId="3644"/>
    <cellStyle name="Currency 5 14 2" xfId="3645"/>
    <cellStyle name="Currency 5 15" xfId="3646"/>
    <cellStyle name="Currency 5 15 2" xfId="3647"/>
    <cellStyle name="Currency 5 16" xfId="3648"/>
    <cellStyle name="Currency 5 16 2" xfId="3649"/>
    <cellStyle name="Currency 5 17" xfId="3650"/>
    <cellStyle name="Currency 5 17 2" xfId="3651"/>
    <cellStyle name="Currency 5 18" xfId="3652"/>
    <cellStyle name="Currency 5 18 2" xfId="3653"/>
    <cellStyle name="Currency 5 19" xfId="3654"/>
    <cellStyle name="Currency 5 19 2" xfId="3655"/>
    <cellStyle name="Currency 5 2" xfId="3656"/>
    <cellStyle name="Currency 5 2 10" xfId="3657"/>
    <cellStyle name="Currency 5 2 10 2" xfId="3658"/>
    <cellStyle name="Currency 5 2 11" xfId="3659"/>
    <cellStyle name="Currency 5 2 11 2" xfId="3660"/>
    <cellStyle name="Currency 5 2 12" xfId="3661"/>
    <cellStyle name="Currency 5 2 13" xfId="3662"/>
    <cellStyle name="Currency 5 2 14" xfId="3663"/>
    <cellStyle name="Currency 5 2 14 2" xfId="3664"/>
    <cellStyle name="Currency 5 2 15" xfId="3665"/>
    <cellStyle name="Currency 5 2 15 2" xfId="3666"/>
    <cellStyle name="Currency 5 2 16" xfId="15619"/>
    <cellStyle name="Currency 5 2 17" xfId="15620"/>
    <cellStyle name="Currency 5 2 2" xfId="3667"/>
    <cellStyle name="Currency 5 2 2 10" xfId="3668"/>
    <cellStyle name="Currency 5 2 2 10 2" xfId="3669"/>
    <cellStyle name="Currency 5 2 2 10 2 2" xfId="3670"/>
    <cellStyle name="Currency 5 2 2 10 3" xfId="3671"/>
    <cellStyle name="Currency 5 2 2 10 4" xfId="15621"/>
    <cellStyle name="Currency 5 2 2 10 5" xfId="15622"/>
    <cellStyle name="Currency 5 2 2 11" xfId="3672"/>
    <cellStyle name="Currency 5 2 2 11 2" xfId="3673"/>
    <cellStyle name="Currency 5 2 2 11 2 2" xfId="3674"/>
    <cellStyle name="Currency 5 2 2 11 3" xfId="3675"/>
    <cellStyle name="Currency 5 2 2 11 4" xfId="15623"/>
    <cellStyle name="Currency 5 2 2 11 5" xfId="15624"/>
    <cellStyle name="Currency 5 2 2 12" xfId="3676"/>
    <cellStyle name="Currency 5 2 2 12 2" xfId="3677"/>
    <cellStyle name="Currency 5 2 2 12 2 2" xfId="3678"/>
    <cellStyle name="Currency 5 2 2 12 3" xfId="3679"/>
    <cellStyle name="Currency 5 2 2 12 4" xfId="15625"/>
    <cellStyle name="Currency 5 2 2 13" xfId="3680"/>
    <cellStyle name="Currency 5 2 2 13 2" xfId="3681"/>
    <cellStyle name="Currency 5 2 2 13 2 2" xfId="3682"/>
    <cellStyle name="Currency 5 2 2 13 3" xfId="3683"/>
    <cellStyle name="Currency 5 2 2 13 4" xfId="15626"/>
    <cellStyle name="Currency 5 2 2 14" xfId="3684"/>
    <cellStyle name="Currency 5 2 2 15" xfId="3685"/>
    <cellStyle name="Currency 5 2 2 16" xfId="3686"/>
    <cellStyle name="Currency 5 2 2 2" xfId="3687"/>
    <cellStyle name="Currency 5 2 2 2 2" xfId="3688"/>
    <cellStyle name="Currency 5 2 2 2 2 2" xfId="3689"/>
    <cellStyle name="Currency 5 2 2 2 2 3" xfId="15627"/>
    <cellStyle name="Currency 5 2 2 2 3" xfId="3690"/>
    <cellStyle name="Currency 5 2 2 2 4" xfId="15628"/>
    <cellStyle name="Currency 5 2 2 2 5" xfId="15629"/>
    <cellStyle name="Currency 5 2 2 3" xfId="3691"/>
    <cellStyle name="Currency 5 2 2 3 2" xfId="3692"/>
    <cellStyle name="Currency 5 2 2 3 2 2" xfId="3693"/>
    <cellStyle name="Currency 5 2 2 3 3" xfId="3694"/>
    <cellStyle name="Currency 5 2 2 3 4" xfId="15630"/>
    <cellStyle name="Currency 5 2 2 3 5" xfId="15631"/>
    <cellStyle name="Currency 5 2 2 4" xfId="3695"/>
    <cellStyle name="Currency 5 2 2 4 2" xfId="3696"/>
    <cellStyle name="Currency 5 2 2 4 2 2" xfId="3697"/>
    <cellStyle name="Currency 5 2 2 4 3" xfId="3698"/>
    <cellStyle name="Currency 5 2 2 4 4" xfId="15632"/>
    <cellStyle name="Currency 5 2 2 4 5" xfId="15633"/>
    <cellStyle name="Currency 5 2 2 5" xfId="3699"/>
    <cellStyle name="Currency 5 2 2 5 2" xfId="3700"/>
    <cellStyle name="Currency 5 2 2 5 2 2" xfId="3701"/>
    <cellStyle name="Currency 5 2 2 5 3" xfId="3702"/>
    <cellStyle name="Currency 5 2 2 5 4" xfId="15634"/>
    <cellStyle name="Currency 5 2 2 5 5" xfId="15635"/>
    <cellStyle name="Currency 5 2 2 6" xfId="3703"/>
    <cellStyle name="Currency 5 2 2 6 2" xfId="3704"/>
    <cellStyle name="Currency 5 2 2 6 2 2" xfId="3705"/>
    <cellStyle name="Currency 5 2 2 6 3" xfId="3706"/>
    <cellStyle name="Currency 5 2 2 6 4" xfId="15636"/>
    <cellStyle name="Currency 5 2 2 6 5" xfId="15637"/>
    <cellStyle name="Currency 5 2 2 7" xfId="3707"/>
    <cellStyle name="Currency 5 2 2 7 2" xfId="3708"/>
    <cellStyle name="Currency 5 2 2 7 2 2" xfId="3709"/>
    <cellStyle name="Currency 5 2 2 7 3" xfId="3710"/>
    <cellStyle name="Currency 5 2 2 7 4" xfId="15638"/>
    <cellStyle name="Currency 5 2 2 7 5" xfId="15639"/>
    <cellStyle name="Currency 5 2 2 8" xfId="3711"/>
    <cellStyle name="Currency 5 2 2 8 2" xfId="3712"/>
    <cellStyle name="Currency 5 2 2 8 2 2" xfId="3713"/>
    <cellStyle name="Currency 5 2 2 8 3" xfId="3714"/>
    <cellStyle name="Currency 5 2 2 8 4" xfId="15640"/>
    <cellStyle name="Currency 5 2 2 8 5" xfId="15641"/>
    <cellStyle name="Currency 5 2 2 9" xfId="3715"/>
    <cellStyle name="Currency 5 2 2 9 2" xfId="3716"/>
    <cellStyle name="Currency 5 2 2 9 2 2" xfId="3717"/>
    <cellStyle name="Currency 5 2 2 9 3" xfId="3718"/>
    <cellStyle name="Currency 5 2 2 9 4" xfId="15642"/>
    <cellStyle name="Currency 5 2 2 9 5" xfId="15643"/>
    <cellStyle name="Currency 5 2 3" xfId="3719"/>
    <cellStyle name="Currency 5 2 3 2" xfId="3720"/>
    <cellStyle name="Currency 5 2 3 3" xfId="3721"/>
    <cellStyle name="Currency 5 2 4" xfId="3722"/>
    <cellStyle name="Currency 5 2 4 2" xfId="3723"/>
    <cellStyle name="Currency 5 2 4 3" xfId="3724"/>
    <cellStyle name="Currency 5 2 5" xfId="3725"/>
    <cellStyle name="Currency 5 2 5 2" xfId="3726"/>
    <cellStyle name="Currency 5 2 5 3" xfId="3727"/>
    <cellStyle name="Currency 5 2 6" xfId="3728"/>
    <cellStyle name="Currency 5 2 6 2" xfId="3729"/>
    <cellStyle name="Currency 5 2 6 3" xfId="3730"/>
    <cellStyle name="Currency 5 2 7" xfId="3731"/>
    <cellStyle name="Currency 5 2 7 2" xfId="3732"/>
    <cellStyle name="Currency 5 2 7 3" xfId="3733"/>
    <cellStyle name="Currency 5 2 8" xfId="3734"/>
    <cellStyle name="Currency 5 2 8 2" xfId="3735"/>
    <cellStyle name="Currency 5 2 8 3" xfId="3736"/>
    <cellStyle name="Currency 5 2 9" xfId="3737"/>
    <cellStyle name="Currency 5 2 9 2" xfId="3738"/>
    <cellStyle name="Currency 5 2 9 3" xfId="3739"/>
    <cellStyle name="Currency 5 20" xfId="3740"/>
    <cellStyle name="Currency 5 20 2" xfId="3741"/>
    <cellStyle name="Currency 5 21" xfId="3742"/>
    <cellStyle name="Currency 5 21 2" xfId="3743"/>
    <cellStyle name="Currency 5 22" xfId="3744"/>
    <cellStyle name="Currency 5 22 2" xfId="3745"/>
    <cellStyle name="Currency 5 23" xfId="3746"/>
    <cellStyle name="Currency 5 23 2" xfId="3747"/>
    <cellStyle name="Currency 5 24" xfId="3748"/>
    <cellStyle name="Currency 5 24 2" xfId="3749"/>
    <cellStyle name="Currency 5 25" xfId="3750"/>
    <cellStyle name="Currency 5 25 2" xfId="3751"/>
    <cellStyle name="Currency 5 26" xfId="3752"/>
    <cellStyle name="Currency 5 26 2" xfId="3753"/>
    <cellStyle name="Currency 5 27" xfId="3754"/>
    <cellStyle name="Currency 5 27 2" xfId="3755"/>
    <cellStyle name="Currency 5 28" xfId="3756"/>
    <cellStyle name="Currency 5 28 2" xfId="3757"/>
    <cellStyle name="Currency 5 29" xfId="3758"/>
    <cellStyle name="Currency 5 29 2" xfId="3759"/>
    <cellStyle name="Currency 5 3" xfId="3760"/>
    <cellStyle name="Currency 5 3 2" xfId="3761"/>
    <cellStyle name="Currency 5 3 2 2" xfId="3762"/>
    <cellStyle name="Currency 5 30" xfId="3763"/>
    <cellStyle name="Currency 5 30 2" xfId="3764"/>
    <cellStyle name="Currency 5 31" xfId="3765"/>
    <cellStyle name="Currency 5 31 2" xfId="3766"/>
    <cellStyle name="Currency 5 32" xfId="3767"/>
    <cellStyle name="Currency 5 32 2" xfId="3768"/>
    <cellStyle name="Currency 5 33" xfId="3769"/>
    <cellStyle name="Currency 5 33 2" xfId="3770"/>
    <cellStyle name="Currency 5 34" xfId="3771"/>
    <cellStyle name="Currency 5 34 2" xfId="3772"/>
    <cellStyle name="Currency 5 35" xfId="3773"/>
    <cellStyle name="Currency 5 35 2" xfId="3774"/>
    <cellStyle name="Currency 5 36" xfId="3775"/>
    <cellStyle name="Currency 5 36 2" xfId="3776"/>
    <cellStyle name="Currency 5 37" xfId="3777"/>
    <cellStyle name="Currency 5 37 2" xfId="3778"/>
    <cellStyle name="Currency 5 38" xfId="3779"/>
    <cellStyle name="Currency 5 38 2" xfId="3780"/>
    <cellStyle name="Currency 5 39" xfId="3781"/>
    <cellStyle name="Currency 5 39 2" xfId="3782"/>
    <cellStyle name="Currency 5 4" xfId="3783"/>
    <cellStyle name="Currency 5 4 2" xfId="3784"/>
    <cellStyle name="Currency 5 40" xfId="3785"/>
    <cellStyle name="Currency 5 40 2" xfId="3786"/>
    <cellStyle name="Currency 5 41" xfId="3787"/>
    <cellStyle name="Currency 5 42" xfId="3788"/>
    <cellStyle name="Currency 5 42 2" xfId="3789"/>
    <cellStyle name="Currency 5 43" xfId="3790"/>
    <cellStyle name="Currency 5 43 2" xfId="3791"/>
    <cellStyle name="Currency 5 44" xfId="3792"/>
    <cellStyle name="Currency 5 44 2" xfId="3793"/>
    <cellStyle name="Currency 5 45" xfId="3794"/>
    <cellStyle name="Currency 5 45 2" xfId="3795"/>
    <cellStyle name="Currency 5 46" xfId="3796"/>
    <cellStyle name="Currency 5 47" xfId="3797"/>
    <cellStyle name="Currency 5 47 2" xfId="3798"/>
    <cellStyle name="Currency 5 48" xfId="3799"/>
    <cellStyle name="Currency 5 49" xfId="3800"/>
    <cellStyle name="Currency 5 5" xfId="3801"/>
    <cellStyle name="Currency 5 5 2" xfId="3802"/>
    <cellStyle name="Currency 5 50" xfId="3803"/>
    <cellStyle name="Currency 5 51" xfId="3804"/>
    <cellStyle name="Currency 5 52" xfId="3805"/>
    <cellStyle name="Currency 5 53" xfId="3806"/>
    <cellStyle name="Currency 5 54" xfId="3807"/>
    <cellStyle name="Currency 5 54 2" xfId="3808"/>
    <cellStyle name="Currency 5 55" xfId="3809"/>
    <cellStyle name="Currency 5 55 2" xfId="3810"/>
    <cellStyle name="Currency 5 56" xfId="3811"/>
    <cellStyle name="Currency 5 56 2" xfId="3812"/>
    <cellStyle name="Currency 5 57" xfId="3813"/>
    <cellStyle name="Currency 5 57 2" xfId="3814"/>
    <cellStyle name="Currency 5 58" xfId="3815"/>
    <cellStyle name="Currency 5 58 2" xfId="3816"/>
    <cellStyle name="Currency 5 59" xfId="3817"/>
    <cellStyle name="Currency 5 59 2" xfId="3818"/>
    <cellStyle name="Currency 5 6" xfId="3819"/>
    <cellStyle name="Currency 5 6 2" xfId="3820"/>
    <cellStyle name="Currency 5 60" xfId="3821"/>
    <cellStyle name="Currency 5 60 2" xfId="3822"/>
    <cellStyle name="Currency 5 61" xfId="3823"/>
    <cellStyle name="Currency 5 61 2" xfId="3824"/>
    <cellStyle name="Currency 5 62" xfId="3825"/>
    <cellStyle name="Currency 5 62 2" xfId="3826"/>
    <cellStyle name="Currency 5 63" xfId="3827"/>
    <cellStyle name="Currency 5 63 2" xfId="3828"/>
    <cellStyle name="Currency 5 64" xfId="3829"/>
    <cellStyle name="Currency 5 64 2" xfId="3830"/>
    <cellStyle name="Currency 5 65" xfId="3831"/>
    <cellStyle name="Currency 5 65 2" xfId="3832"/>
    <cellStyle name="Currency 5 66" xfId="3833"/>
    <cellStyle name="Currency 5 67" xfId="3834"/>
    <cellStyle name="Currency 5 68" xfId="3835"/>
    <cellStyle name="Currency 5 69" xfId="3836"/>
    <cellStyle name="Currency 5 7" xfId="3837"/>
    <cellStyle name="Currency 5 7 2" xfId="3838"/>
    <cellStyle name="Currency 5 70" xfId="3839"/>
    <cellStyle name="Currency 5 70 2" xfId="3840"/>
    <cellStyle name="Currency 5 71" xfId="3841"/>
    <cellStyle name="Currency 5 71 2" xfId="3842"/>
    <cellStyle name="Currency 5 72" xfId="3843"/>
    <cellStyle name="Currency 5 72 2" xfId="3844"/>
    <cellStyle name="Currency 5 73" xfId="3845"/>
    <cellStyle name="Currency 5 73 2" xfId="3846"/>
    <cellStyle name="Currency 5 74" xfId="3847"/>
    <cellStyle name="Currency 5 74 2" xfId="3848"/>
    <cellStyle name="Currency 5 75" xfId="3849"/>
    <cellStyle name="Currency 5 75 2" xfId="3850"/>
    <cellStyle name="Currency 5 76" xfId="3851"/>
    <cellStyle name="Currency 5 76 2" xfId="3852"/>
    <cellStyle name="Currency 5 77" xfId="3853"/>
    <cellStyle name="Currency 5 77 2" xfId="3854"/>
    <cellStyle name="Currency 5 78" xfId="3855"/>
    <cellStyle name="Currency 5 78 2" xfId="3856"/>
    <cellStyle name="Currency 5 79" xfId="3857"/>
    <cellStyle name="Currency 5 79 2" xfId="3858"/>
    <cellStyle name="Currency 5 8" xfId="3859"/>
    <cellStyle name="Currency 5 8 2" xfId="3860"/>
    <cellStyle name="Currency 5 80" xfId="3861"/>
    <cellStyle name="Currency 5 80 2" xfId="3862"/>
    <cellStyle name="Currency 5 81" xfId="3863"/>
    <cellStyle name="Currency 5 81 2" xfId="3864"/>
    <cellStyle name="Currency 5 82" xfId="3865"/>
    <cellStyle name="Currency 5 82 2" xfId="3866"/>
    <cellStyle name="Currency 5 83" xfId="3867"/>
    <cellStyle name="Currency 5 83 2" xfId="3868"/>
    <cellStyle name="Currency 5 84" xfId="3869"/>
    <cellStyle name="Currency 5 84 2" xfId="3870"/>
    <cellStyle name="Currency 5 85" xfId="3871"/>
    <cellStyle name="Currency 5 85 2" xfId="3872"/>
    <cellStyle name="Currency 5 86" xfId="3873"/>
    <cellStyle name="Currency 5 86 2" xfId="3874"/>
    <cellStyle name="Currency 5 87" xfId="3875"/>
    <cellStyle name="Currency 5 87 2" xfId="3876"/>
    <cellStyle name="Currency 5 88" xfId="3877"/>
    <cellStyle name="Currency 5 88 2" xfId="3878"/>
    <cellStyle name="Currency 5 89" xfId="3879"/>
    <cellStyle name="Currency 5 89 2" xfId="3880"/>
    <cellStyle name="Currency 5 9" xfId="3881"/>
    <cellStyle name="Currency 5 9 2" xfId="3882"/>
    <cellStyle name="Currency 5 90" xfId="3883"/>
    <cellStyle name="Currency 5 90 2" xfId="3884"/>
    <cellStyle name="Currency 5 91" xfId="3885"/>
    <cellStyle name="Currency 5 91 2" xfId="3886"/>
    <cellStyle name="Currency 5 92" xfId="3887"/>
    <cellStyle name="Currency 5 93" xfId="3888"/>
    <cellStyle name="Currency 5 94" xfId="3889"/>
    <cellStyle name="Currency 5 94 2" xfId="3890"/>
    <cellStyle name="Currency 5 95" xfId="3891"/>
    <cellStyle name="Currency 5 95 2" xfId="3892"/>
    <cellStyle name="Currency 5 96" xfId="3893"/>
    <cellStyle name="Currency 5 96 2" xfId="3894"/>
    <cellStyle name="Currency 5 97" xfId="3895"/>
    <cellStyle name="Currency 5 97 2" xfId="3896"/>
    <cellStyle name="Currency 5 98" xfId="3897"/>
    <cellStyle name="Currency 5 98 2" xfId="3898"/>
    <cellStyle name="Currency 5 99" xfId="3899"/>
    <cellStyle name="Currency 6" xfId="16"/>
    <cellStyle name="Currency 6 10" xfId="3900"/>
    <cellStyle name="Currency 6 10 2" xfId="3901"/>
    <cellStyle name="Currency 6 11" xfId="3902"/>
    <cellStyle name="Currency 6 11 2" xfId="3903"/>
    <cellStyle name="Currency 6 12" xfId="3904"/>
    <cellStyle name="Currency 6 12 2" xfId="3905"/>
    <cellStyle name="Currency 6 13" xfId="3906"/>
    <cellStyle name="Currency 6 13 2" xfId="3907"/>
    <cellStyle name="Currency 6 14" xfId="3908"/>
    <cellStyle name="Currency 6 14 2" xfId="3909"/>
    <cellStyle name="Currency 6 15" xfId="3910"/>
    <cellStyle name="Currency 6 15 2" xfId="3911"/>
    <cellStyle name="Currency 6 16" xfId="3912"/>
    <cellStyle name="Currency 6 16 2" xfId="3913"/>
    <cellStyle name="Currency 6 17" xfId="3914"/>
    <cellStyle name="Currency 6 17 2" xfId="3915"/>
    <cellStyle name="Currency 6 18" xfId="3916"/>
    <cellStyle name="Currency 6 18 2" xfId="3917"/>
    <cellStyle name="Currency 6 19" xfId="3918"/>
    <cellStyle name="Currency 6 2" xfId="3919"/>
    <cellStyle name="Currency 6 2 2" xfId="3920"/>
    <cellStyle name="Currency 6 2 2 2" xfId="3921"/>
    <cellStyle name="Currency 6 2 3" xfId="3922"/>
    <cellStyle name="Currency 6 2 4" xfId="15644"/>
    <cellStyle name="Currency 6 2 5" xfId="15645"/>
    <cellStyle name="Currency 6 20" xfId="33643"/>
    <cellStyle name="Currency 6 3" xfId="3923"/>
    <cellStyle name="Currency 6 3 2" xfId="3924"/>
    <cellStyle name="Currency 6 4" xfId="3925"/>
    <cellStyle name="Currency 6 4 2" xfId="3926"/>
    <cellStyle name="Currency 6 5" xfId="3927"/>
    <cellStyle name="Currency 6 5 2" xfId="3928"/>
    <cellStyle name="Currency 6 6" xfId="3929"/>
    <cellStyle name="Currency 6 6 2" xfId="3930"/>
    <cellStyle name="Currency 6 7" xfId="3931"/>
    <cellStyle name="Currency 6 7 2" xfId="3932"/>
    <cellStyle name="Currency 6 8" xfId="3933"/>
    <cellStyle name="Currency 6 8 2" xfId="3934"/>
    <cellStyle name="Currency 6 9" xfId="3935"/>
    <cellStyle name="Currency 6 9 2" xfId="3936"/>
    <cellStyle name="Currency 7" xfId="17"/>
    <cellStyle name="Currency 7 10" xfId="3937"/>
    <cellStyle name="Currency 7 11" xfId="3938"/>
    <cellStyle name="Currency 7 12" xfId="3939"/>
    <cellStyle name="Currency 7 13" xfId="3940"/>
    <cellStyle name="Currency 7 13 2" xfId="3941"/>
    <cellStyle name="Currency 7 13 2 2" xfId="3942"/>
    <cellStyle name="Currency 7 13 2 2 2" xfId="23431"/>
    <cellStyle name="Currency 7 13 2 3" xfId="3943"/>
    <cellStyle name="Currency 7 13 2 3 2" xfId="15646"/>
    <cellStyle name="Currency 7 13 2 3 2 2" xfId="23432"/>
    <cellStyle name="Currency 7 13 2 3 3" xfId="23433"/>
    <cellStyle name="Currency 7 13 2 4" xfId="15647"/>
    <cellStyle name="Currency 7 13 2 4 2" xfId="23434"/>
    <cellStyle name="Currency 7 13 2 5" xfId="23435"/>
    <cellStyle name="Currency 7 13 3" xfId="3944"/>
    <cellStyle name="Currency 7 13 4" xfId="3945"/>
    <cellStyle name="Currency 7 14" xfId="3946"/>
    <cellStyle name="Currency 7 15" xfId="3947"/>
    <cellStyle name="Currency 7 15 2" xfId="3948"/>
    <cellStyle name="Currency 7 15 3" xfId="23436"/>
    <cellStyle name="Currency 7 16" xfId="3949"/>
    <cellStyle name="Currency 7 16 2" xfId="15648"/>
    <cellStyle name="Currency 7 16 2 2" xfId="23437"/>
    <cellStyle name="Currency 7 16 3" xfId="23438"/>
    <cellStyle name="Currency 7 17" xfId="15649"/>
    <cellStyle name="Currency 7 17 2" xfId="23439"/>
    <cellStyle name="Currency 7 18" xfId="23440"/>
    <cellStyle name="Currency 7 2" xfId="3950"/>
    <cellStyle name="Currency 7 2 10" xfId="3951"/>
    <cellStyle name="Currency 7 2 10 2" xfId="3952"/>
    <cellStyle name="Currency 7 2 10 2 2" xfId="3953"/>
    <cellStyle name="Currency 7 2 10 2 3" xfId="3954"/>
    <cellStyle name="Currency 7 2 10 2 3 2" xfId="15650"/>
    <cellStyle name="Currency 7 2 10 2 3 2 2" xfId="23441"/>
    <cellStyle name="Currency 7 2 10 2 3 3" xfId="23442"/>
    <cellStyle name="Currency 7 2 10 2 4" xfId="15651"/>
    <cellStyle name="Currency 7 2 10 2 4 2" xfId="23443"/>
    <cellStyle name="Currency 7 2 10 2 5" xfId="23444"/>
    <cellStyle name="Currency 7 2 10 3" xfId="3955"/>
    <cellStyle name="Currency 7 2 10 4" xfId="3956"/>
    <cellStyle name="Currency 7 2 10 4 2" xfId="15652"/>
    <cellStyle name="Currency 7 2 10 4 2 2" xfId="23445"/>
    <cellStyle name="Currency 7 2 10 4 3" xfId="23446"/>
    <cellStyle name="Currency 7 2 10 5" xfId="15653"/>
    <cellStyle name="Currency 7 2 10 5 2" xfId="23447"/>
    <cellStyle name="Currency 7 2 10 6" xfId="23448"/>
    <cellStyle name="Currency 7 2 11" xfId="3957"/>
    <cellStyle name="Currency 7 2 11 2" xfId="3958"/>
    <cellStyle name="Currency 7 2 11 2 2" xfId="3959"/>
    <cellStyle name="Currency 7 2 11 2 3" xfId="3960"/>
    <cellStyle name="Currency 7 2 11 2 3 2" xfId="15654"/>
    <cellStyle name="Currency 7 2 11 2 3 2 2" xfId="23449"/>
    <cellStyle name="Currency 7 2 11 2 3 3" xfId="23450"/>
    <cellStyle name="Currency 7 2 11 2 4" xfId="15655"/>
    <cellStyle name="Currency 7 2 11 2 4 2" xfId="23451"/>
    <cellStyle name="Currency 7 2 11 2 5" xfId="23452"/>
    <cellStyle name="Currency 7 2 11 3" xfId="3961"/>
    <cellStyle name="Currency 7 2 11 4" xfId="3962"/>
    <cellStyle name="Currency 7 2 11 4 2" xfId="15656"/>
    <cellStyle name="Currency 7 2 11 4 2 2" xfId="23453"/>
    <cellStyle name="Currency 7 2 11 4 3" xfId="23454"/>
    <cellStyle name="Currency 7 2 11 5" xfId="15657"/>
    <cellStyle name="Currency 7 2 11 5 2" xfId="23455"/>
    <cellStyle name="Currency 7 2 11 6" xfId="23456"/>
    <cellStyle name="Currency 7 2 12" xfId="3963"/>
    <cellStyle name="Currency 7 2 12 2" xfId="3964"/>
    <cellStyle name="Currency 7 2 12 2 2" xfId="23457"/>
    <cellStyle name="Currency 7 2 12 3" xfId="3965"/>
    <cellStyle name="Currency 7 2 12 3 2" xfId="15658"/>
    <cellStyle name="Currency 7 2 12 3 2 2" xfId="23458"/>
    <cellStyle name="Currency 7 2 12 3 3" xfId="23459"/>
    <cellStyle name="Currency 7 2 12 4" xfId="15659"/>
    <cellStyle name="Currency 7 2 12 4 2" xfId="23460"/>
    <cellStyle name="Currency 7 2 12 5" xfId="23461"/>
    <cellStyle name="Currency 7 2 13" xfId="3966"/>
    <cellStyle name="Currency 7 2 13 2" xfId="3967"/>
    <cellStyle name="Currency 7 2 13 2 2" xfId="23462"/>
    <cellStyle name="Currency 7 2 13 3" xfId="3968"/>
    <cellStyle name="Currency 7 2 13 3 2" xfId="15660"/>
    <cellStyle name="Currency 7 2 13 3 2 2" xfId="23463"/>
    <cellStyle name="Currency 7 2 13 3 3" xfId="23464"/>
    <cellStyle name="Currency 7 2 13 4" xfId="15661"/>
    <cellStyle name="Currency 7 2 13 4 2" xfId="23465"/>
    <cellStyle name="Currency 7 2 13 5" xfId="23466"/>
    <cellStyle name="Currency 7 2 14" xfId="3969"/>
    <cellStyle name="Currency 7 2 14 2" xfId="3970"/>
    <cellStyle name="Currency 7 2 14 3" xfId="3971"/>
    <cellStyle name="Currency 7 2 14 3 2" xfId="15662"/>
    <cellStyle name="Currency 7 2 14 3 2 2" xfId="23467"/>
    <cellStyle name="Currency 7 2 14 3 3" xfId="23468"/>
    <cellStyle name="Currency 7 2 14 4" xfId="15663"/>
    <cellStyle name="Currency 7 2 14 4 2" xfId="23469"/>
    <cellStyle name="Currency 7 2 14 5" xfId="23470"/>
    <cellStyle name="Currency 7 2 15" xfId="3972"/>
    <cellStyle name="Currency 7 2 15 2" xfId="15664"/>
    <cellStyle name="Currency 7 2 15 2 2" xfId="23471"/>
    <cellStyle name="Currency 7 2 15 3" xfId="23472"/>
    <cellStyle name="Currency 7 2 16" xfId="15665"/>
    <cellStyle name="Currency 7 2 16 2" xfId="23473"/>
    <cellStyle name="Currency 7 2 17" xfId="23474"/>
    <cellStyle name="Currency 7 2 2" xfId="3973"/>
    <cellStyle name="Currency 7 2 2 2" xfId="3974"/>
    <cellStyle name="Currency 7 2 2 2 2" xfId="3975"/>
    <cellStyle name="Currency 7 2 2 2 3" xfId="3976"/>
    <cellStyle name="Currency 7 2 2 2 3 2" xfId="15666"/>
    <cellStyle name="Currency 7 2 2 2 3 2 2" xfId="23475"/>
    <cellStyle name="Currency 7 2 2 2 3 3" xfId="23476"/>
    <cellStyle name="Currency 7 2 2 2 4" xfId="15667"/>
    <cellStyle name="Currency 7 2 2 2 4 2" xfId="23477"/>
    <cellStyle name="Currency 7 2 2 2 5" xfId="23478"/>
    <cellStyle name="Currency 7 2 2 3" xfId="3977"/>
    <cellStyle name="Currency 7 2 2 4" xfId="3978"/>
    <cellStyle name="Currency 7 2 2 4 2" xfId="15668"/>
    <cellStyle name="Currency 7 2 2 4 2 2" xfId="23479"/>
    <cellStyle name="Currency 7 2 2 4 3" xfId="23480"/>
    <cellStyle name="Currency 7 2 2 5" xfId="15669"/>
    <cellStyle name="Currency 7 2 2 5 2" xfId="23481"/>
    <cellStyle name="Currency 7 2 2 6" xfId="23482"/>
    <cellStyle name="Currency 7 2 3" xfId="3979"/>
    <cellStyle name="Currency 7 2 3 2" xfId="3980"/>
    <cellStyle name="Currency 7 2 3 2 2" xfId="3981"/>
    <cellStyle name="Currency 7 2 3 2 3" xfId="3982"/>
    <cellStyle name="Currency 7 2 3 2 3 2" xfId="15670"/>
    <cellStyle name="Currency 7 2 3 2 3 2 2" xfId="23483"/>
    <cellStyle name="Currency 7 2 3 2 3 3" xfId="23484"/>
    <cellStyle name="Currency 7 2 3 2 4" xfId="15671"/>
    <cellStyle name="Currency 7 2 3 2 4 2" xfId="23485"/>
    <cellStyle name="Currency 7 2 3 2 5" xfId="23486"/>
    <cellStyle name="Currency 7 2 3 3" xfId="3983"/>
    <cellStyle name="Currency 7 2 3 4" xfId="3984"/>
    <cellStyle name="Currency 7 2 3 4 2" xfId="15672"/>
    <cellStyle name="Currency 7 2 3 4 2 2" xfId="23487"/>
    <cellStyle name="Currency 7 2 3 4 3" xfId="23488"/>
    <cellStyle name="Currency 7 2 3 5" xfId="15673"/>
    <cellStyle name="Currency 7 2 3 5 2" xfId="23489"/>
    <cellStyle name="Currency 7 2 3 6" xfId="23490"/>
    <cellStyle name="Currency 7 2 4" xfId="3985"/>
    <cellStyle name="Currency 7 2 4 2" xfId="3986"/>
    <cellStyle name="Currency 7 2 4 2 2" xfId="3987"/>
    <cellStyle name="Currency 7 2 4 2 3" xfId="3988"/>
    <cellStyle name="Currency 7 2 4 2 3 2" xfId="15674"/>
    <cellStyle name="Currency 7 2 4 2 3 2 2" xfId="23491"/>
    <cellStyle name="Currency 7 2 4 2 3 3" xfId="23492"/>
    <cellStyle name="Currency 7 2 4 2 4" xfId="15675"/>
    <cellStyle name="Currency 7 2 4 2 4 2" xfId="23493"/>
    <cellStyle name="Currency 7 2 4 2 5" xfId="23494"/>
    <cellStyle name="Currency 7 2 4 3" xfId="3989"/>
    <cellStyle name="Currency 7 2 4 4" xfId="3990"/>
    <cellStyle name="Currency 7 2 4 4 2" xfId="15676"/>
    <cellStyle name="Currency 7 2 4 4 2 2" xfId="23495"/>
    <cellStyle name="Currency 7 2 4 4 3" xfId="23496"/>
    <cellStyle name="Currency 7 2 4 5" xfId="15677"/>
    <cellStyle name="Currency 7 2 4 5 2" xfId="23497"/>
    <cellStyle name="Currency 7 2 4 6" xfId="23498"/>
    <cellStyle name="Currency 7 2 5" xfId="3991"/>
    <cellStyle name="Currency 7 2 5 2" xfId="3992"/>
    <cellStyle name="Currency 7 2 5 2 2" xfId="3993"/>
    <cellStyle name="Currency 7 2 5 2 3" xfId="3994"/>
    <cellStyle name="Currency 7 2 5 2 3 2" xfId="15678"/>
    <cellStyle name="Currency 7 2 5 2 3 2 2" xfId="23499"/>
    <cellStyle name="Currency 7 2 5 2 3 3" xfId="23500"/>
    <cellStyle name="Currency 7 2 5 2 4" xfId="15679"/>
    <cellStyle name="Currency 7 2 5 2 4 2" xfId="23501"/>
    <cellStyle name="Currency 7 2 5 2 5" xfId="23502"/>
    <cellStyle name="Currency 7 2 5 3" xfId="3995"/>
    <cellStyle name="Currency 7 2 5 4" xfId="3996"/>
    <cellStyle name="Currency 7 2 5 4 2" xfId="15680"/>
    <cellStyle name="Currency 7 2 5 4 2 2" xfId="23503"/>
    <cellStyle name="Currency 7 2 5 4 3" xfId="23504"/>
    <cellStyle name="Currency 7 2 5 5" xfId="15681"/>
    <cellStyle name="Currency 7 2 5 5 2" xfId="23505"/>
    <cellStyle name="Currency 7 2 5 6" xfId="23506"/>
    <cellStyle name="Currency 7 2 6" xfId="3997"/>
    <cellStyle name="Currency 7 2 6 2" xfId="3998"/>
    <cellStyle name="Currency 7 2 6 2 2" xfId="3999"/>
    <cellStyle name="Currency 7 2 6 2 3" xfId="4000"/>
    <cellStyle name="Currency 7 2 6 2 3 2" xfId="15682"/>
    <cellStyle name="Currency 7 2 6 2 3 2 2" xfId="23507"/>
    <cellStyle name="Currency 7 2 6 2 3 3" xfId="23508"/>
    <cellStyle name="Currency 7 2 6 2 4" xfId="15683"/>
    <cellStyle name="Currency 7 2 6 2 4 2" xfId="23509"/>
    <cellStyle name="Currency 7 2 6 2 5" xfId="23510"/>
    <cellStyle name="Currency 7 2 6 3" xfId="4001"/>
    <cellStyle name="Currency 7 2 6 4" xfId="4002"/>
    <cellStyle name="Currency 7 2 6 4 2" xfId="15684"/>
    <cellStyle name="Currency 7 2 6 4 2 2" xfId="23511"/>
    <cellStyle name="Currency 7 2 6 4 3" xfId="23512"/>
    <cellStyle name="Currency 7 2 6 5" xfId="15685"/>
    <cellStyle name="Currency 7 2 6 5 2" xfId="23513"/>
    <cellStyle name="Currency 7 2 6 6" xfId="23514"/>
    <cellStyle name="Currency 7 2 7" xfId="4003"/>
    <cellStyle name="Currency 7 2 7 2" xfId="4004"/>
    <cellStyle name="Currency 7 2 7 2 2" xfId="4005"/>
    <cellStyle name="Currency 7 2 7 2 3" xfId="4006"/>
    <cellStyle name="Currency 7 2 7 2 3 2" xfId="15686"/>
    <cellStyle name="Currency 7 2 7 2 3 2 2" xfId="23515"/>
    <cellStyle name="Currency 7 2 7 2 3 3" xfId="23516"/>
    <cellStyle name="Currency 7 2 7 2 4" xfId="15687"/>
    <cellStyle name="Currency 7 2 7 2 4 2" xfId="23517"/>
    <cellStyle name="Currency 7 2 7 2 5" xfId="23518"/>
    <cellStyle name="Currency 7 2 7 3" xfId="4007"/>
    <cellStyle name="Currency 7 2 7 4" xfId="4008"/>
    <cellStyle name="Currency 7 2 7 4 2" xfId="15688"/>
    <cellStyle name="Currency 7 2 7 4 2 2" xfId="23519"/>
    <cellStyle name="Currency 7 2 7 4 3" xfId="23520"/>
    <cellStyle name="Currency 7 2 7 5" xfId="15689"/>
    <cellStyle name="Currency 7 2 7 5 2" xfId="23521"/>
    <cellStyle name="Currency 7 2 7 6" xfId="23522"/>
    <cellStyle name="Currency 7 2 8" xfId="4009"/>
    <cellStyle name="Currency 7 2 8 2" xfId="4010"/>
    <cellStyle name="Currency 7 2 8 2 2" xfId="4011"/>
    <cellStyle name="Currency 7 2 8 2 3" xfId="4012"/>
    <cellStyle name="Currency 7 2 8 2 3 2" xfId="15690"/>
    <cellStyle name="Currency 7 2 8 2 3 2 2" xfId="23523"/>
    <cellStyle name="Currency 7 2 8 2 3 3" xfId="23524"/>
    <cellStyle name="Currency 7 2 8 2 4" xfId="15691"/>
    <cellStyle name="Currency 7 2 8 2 4 2" xfId="23525"/>
    <cellStyle name="Currency 7 2 8 2 5" xfId="23526"/>
    <cellStyle name="Currency 7 2 8 3" xfId="4013"/>
    <cellStyle name="Currency 7 2 8 4" xfId="4014"/>
    <cellStyle name="Currency 7 2 8 4 2" xfId="15692"/>
    <cellStyle name="Currency 7 2 8 4 2 2" xfId="23527"/>
    <cellStyle name="Currency 7 2 8 4 3" xfId="23528"/>
    <cellStyle name="Currency 7 2 8 5" xfId="15693"/>
    <cellStyle name="Currency 7 2 8 5 2" xfId="23529"/>
    <cellStyle name="Currency 7 2 8 6" xfId="23530"/>
    <cellStyle name="Currency 7 2 9" xfId="4015"/>
    <cellStyle name="Currency 7 2 9 2" xfId="4016"/>
    <cellStyle name="Currency 7 2 9 2 2" xfId="4017"/>
    <cellStyle name="Currency 7 2 9 2 3" xfId="4018"/>
    <cellStyle name="Currency 7 2 9 2 3 2" xfId="15694"/>
    <cellStyle name="Currency 7 2 9 2 3 2 2" xfId="23531"/>
    <cellStyle name="Currency 7 2 9 2 3 3" xfId="23532"/>
    <cellStyle name="Currency 7 2 9 2 4" xfId="15695"/>
    <cellStyle name="Currency 7 2 9 2 4 2" xfId="23533"/>
    <cellStyle name="Currency 7 2 9 2 5" xfId="23534"/>
    <cellStyle name="Currency 7 2 9 3" xfId="4019"/>
    <cellStyle name="Currency 7 2 9 4" xfId="4020"/>
    <cellStyle name="Currency 7 2 9 4 2" xfId="15696"/>
    <cellStyle name="Currency 7 2 9 4 2 2" xfId="23535"/>
    <cellStyle name="Currency 7 2 9 4 3" xfId="23536"/>
    <cellStyle name="Currency 7 2 9 5" xfId="15697"/>
    <cellStyle name="Currency 7 2 9 5 2" xfId="23537"/>
    <cellStyle name="Currency 7 2 9 6" xfId="23538"/>
    <cellStyle name="Currency 7 3" xfId="4021"/>
    <cellStyle name="Currency 7 3 2" xfId="4022"/>
    <cellStyle name="Currency 7 3 2 2" xfId="4023"/>
    <cellStyle name="Currency 7 3 2 3" xfId="4024"/>
    <cellStyle name="Currency 7 3 2 3 2" xfId="15698"/>
    <cellStyle name="Currency 7 3 2 3 2 2" xfId="23539"/>
    <cellStyle name="Currency 7 3 2 3 3" xfId="23540"/>
    <cellStyle name="Currency 7 3 2 4" xfId="15699"/>
    <cellStyle name="Currency 7 3 2 4 2" xfId="23541"/>
    <cellStyle name="Currency 7 3 2 5" xfId="23542"/>
    <cellStyle name="Currency 7 3 3" xfId="4025"/>
    <cellStyle name="Currency 7 3 4" xfId="4026"/>
    <cellStyle name="Currency 7 3 4 2" xfId="15700"/>
    <cellStyle name="Currency 7 3 4 2 2" xfId="23543"/>
    <cellStyle name="Currency 7 3 4 3" xfId="23544"/>
    <cellStyle name="Currency 7 3 5" xfId="15701"/>
    <cellStyle name="Currency 7 3 5 2" xfId="23545"/>
    <cellStyle name="Currency 7 3 6" xfId="23546"/>
    <cellStyle name="Currency 7 4" xfId="4027"/>
    <cellStyle name="Currency 7 5" xfId="4028"/>
    <cellStyle name="Currency 7 6" xfId="4029"/>
    <cellStyle name="Currency 7 7" xfId="4030"/>
    <cellStyle name="Currency 7 8" xfId="4031"/>
    <cellStyle name="Currency 7 9" xfId="4032"/>
    <cellStyle name="Currency 8" xfId="18"/>
    <cellStyle name="Currency 8 2" xfId="4033"/>
    <cellStyle name="Currency 8 2 2" xfId="15702"/>
    <cellStyle name="Currency 8 2 2 2" xfId="23547"/>
    <cellStyle name="Currency 8 2 3" xfId="23548"/>
    <cellStyle name="Currency 9" xfId="4034"/>
    <cellStyle name="Currency No$" xfId="4035"/>
    <cellStyle name="Currency Total" xfId="4036"/>
    <cellStyle name="Currency Total 2" xfId="4037"/>
    <cellStyle name="Currency x2 No$" xfId="4038"/>
    <cellStyle name="Currency0" xfId="4039"/>
    <cellStyle name="Custom - Style1" xfId="4040"/>
    <cellStyle name="Custom - Style8" xfId="4041"/>
    <cellStyle name="Data   - Style2" xfId="4042"/>
    <cellStyle name="Date" xfId="4043"/>
    <cellStyle name="Dollarsign" xfId="4044"/>
    <cellStyle name="DOUBLEL" xfId="4045"/>
    <cellStyle name="DOUBLEL 2" xfId="15703"/>
    <cellStyle name="eatme" xfId="4046"/>
    <cellStyle name="Explanatory Text 2" xfId="4047"/>
    <cellStyle name="Explanatory Text 3" xfId="4048"/>
    <cellStyle name="Explanatory Text 4" xfId="4049"/>
    <cellStyle name="Explanatory Text 5" xfId="4050"/>
    <cellStyle name="Explanatory Text 6" xfId="4051"/>
    <cellStyle name="Fixed" xfId="4052"/>
    <cellStyle name="Formula" xfId="4053"/>
    <cellStyle name="Gas Cost x5" xfId="4054"/>
    <cellStyle name="Good 2" xfId="4055"/>
    <cellStyle name="Good 3" xfId="4056"/>
    <cellStyle name="Good 4" xfId="4057"/>
    <cellStyle name="Good 5" xfId="4058"/>
    <cellStyle name="Good 6" xfId="4059"/>
    <cellStyle name="Hardcoded" xfId="4060"/>
    <cellStyle name="Head Title" xfId="4061"/>
    <cellStyle name="Heading 1 2" xfId="4062"/>
    <cellStyle name="Heading 1 3" xfId="4063"/>
    <cellStyle name="Heading 1 4" xfId="4064"/>
    <cellStyle name="Heading 1 5" xfId="4065"/>
    <cellStyle name="Heading 1 6" xfId="4066"/>
    <cellStyle name="Heading 2 2" xfId="4067"/>
    <cellStyle name="Heading 2 3" xfId="4068"/>
    <cellStyle name="Heading 2 4" xfId="4069"/>
    <cellStyle name="Heading 2 5" xfId="4070"/>
    <cellStyle name="Heading 2 6" xfId="4071"/>
    <cellStyle name="Heading 3 2" xfId="4072"/>
    <cellStyle name="Heading 3 3" xfId="4073"/>
    <cellStyle name="Heading 3 4" xfId="4074"/>
    <cellStyle name="Heading 3 5" xfId="4075"/>
    <cellStyle name="Heading 3 6" xfId="4076"/>
    <cellStyle name="Heading 4 2" xfId="4077"/>
    <cellStyle name="Heading 4 3" xfId="4078"/>
    <cellStyle name="Heading 4 4" xfId="4079"/>
    <cellStyle name="Heading 4 5" xfId="4080"/>
    <cellStyle name="Heading 4 6" xfId="4081"/>
    <cellStyle name="HeadlineStyle" xfId="19"/>
    <cellStyle name="HeadlineStyle 10" xfId="4082"/>
    <cellStyle name="HeadlineStyle 11" xfId="4083"/>
    <cellStyle name="HeadlineStyle 12" xfId="4084"/>
    <cellStyle name="HeadlineStyle 13" xfId="4085"/>
    <cellStyle name="HeadlineStyle 14" xfId="4086"/>
    <cellStyle name="HeadlineStyle 15" xfId="4087"/>
    <cellStyle name="HeadlineStyle 16" xfId="4088"/>
    <cellStyle name="HeadlineStyle 2" xfId="20"/>
    <cellStyle name="HeadlineStyle 3" xfId="4089"/>
    <cellStyle name="HeadlineStyle 4" xfId="4090"/>
    <cellStyle name="HeadlineStyle 5" xfId="4091"/>
    <cellStyle name="HeadlineStyle 6" xfId="4092"/>
    <cellStyle name="HeadlineStyle 7" xfId="4093"/>
    <cellStyle name="HeadlineStyle 8" xfId="4094"/>
    <cellStyle name="HeadlineStyle 9" xfId="4095"/>
    <cellStyle name="HeadlineStyleJustified" xfId="21"/>
    <cellStyle name="HeadlineStyleJustified 10" xfId="4096"/>
    <cellStyle name="HeadlineStyleJustified 11" xfId="4097"/>
    <cellStyle name="HeadlineStyleJustified 12" xfId="4098"/>
    <cellStyle name="HeadlineStyleJustified 13" xfId="4099"/>
    <cellStyle name="HeadlineStyleJustified 14" xfId="4100"/>
    <cellStyle name="HeadlineStyleJustified 15" xfId="4101"/>
    <cellStyle name="HeadlineStyleJustified 16" xfId="4102"/>
    <cellStyle name="HeadlineStyleJustified 2" xfId="22"/>
    <cellStyle name="HeadlineStyleJustified 3" xfId="4103"/>
    <cellStyle name="HeadlineStyleJustified 4" xfId="4104"/>
    <cellStyle name="HeadlineStyleJustified 5" xfId="4105"/>
    <cellStyle name="HeadlineStyleJustified 6" xfId="4106"/>
    <cellStyle name="HeadlineStyleJustified 7" xfId="4107"/>
    <cellStyle name="HeadlineStyleJustified 8" xfId="4108"/>
    <cellStyle name="HeadlineStyleJustified 9" xfId="4109"/>
    <cellStyle name="Hyperlink 2" xfId="4110"/>
    <cellStyle name="Hyperlink 2 2" xfId="4111"/>
    <cellStyle name="Hyperlink 2 2 2" xfId="33723"/>
    <cellStyle name="Hyperlink 3" xfId="4112"/>
    <cellStyle name="Hyperlink 4" xfId="4113"/>
    <cellStyle name="inc/dec" xfId="4114"/>
    <cellStyle name="inc/dec 2" xfId="4115"/>
    <cellStyle name="Input 2" xfId="4116"/>
    <cellStyle name="Input 3" xfId="4117"/>
    <cellStyle name="Input 4" xfId="4118"/>
    <cellStyle name="Input 5" xfId="4119"/>
    <cellStyle name="Input 6" xfId="4120"/>
    <cellStyle name="Invisible" xfId="4121"/>
    <cellStyle name="Labels - Style3" xfId="4122"/>
    <cellStyle name="Labor" xfId="4123"/>
    <cellStyle name="Lines" xfId="4124"/>
    <cellStyle name="Linked Amount" xfId="4125"/>
    <cellStyle name="Linked Cell 2" xfId="4126"/>
    <cellStyle name="Linked Cell 3" xfId="4127"/>
    <cellStyle name="Linked Cell 4" xfId="4128"/>
    <cellStyle name="Linked Cell 5" xfId="4129"/>
    <cellStyle name="Linked Cell 6" xfId="4130"/>
    <cellStyle name="Neutral 2" xfId="4131"/>
    <cellStyle name="Neutral 3" xfId="4132"/>
    <cellStyle name="Neutral 4" xfId="4133"/>
    <cellStyle name="Neutral 5" xfId="4134"/>
    <cellStyle name="Neutral 6" xfId="4135"/>
    <cellStyle name="NewColumnHeaderNormal" xfId="4136"/>
    <cellStyle name="NewSectionHeaderNormal" xfId="4137"/>
    <cellStyle name="NewTitleNormal" xfId="4138"/>
    <cellStyle name="Normal" xfId="0" builtinId="0"/>
    <cellStyle name="Normal - Style1" xfId="4139"/>
    <cellStyle name="Normal - Style2" xfId="4140"/>
    <cellStyle name="Normal - Style3" xfId="4141"/>
    <cellStyle name="Normal - Style4" xfId="4142"/>
    <cellStyle name="Normal - Style5" xfId="4143"/>
    <cellStyle name="Normal - Style6" xfId="4144"/>
    <cellStyle name="Normal - Style7" xfId="4145"/>
    <cellStyle name="Normal - Style8" xfId="4146"/>
    <cellStyle name="Normal 10" xfId="23"/>
    <cellStyle name="Normal 10 10" xfId="2"/>
    <cellStyle name="Normal 10 10 2" xfId="4147"/>
    <cellStyle name="Normal 10 10 2 2" xfId="4148"/>
    <cellStyle name="Normal 10 10 2 2 2" xfId="4149"/>
    <cellStyle name="Normal 10 10 2 2 2 2" xfId="15704"/>
    <cellStyle name="Normal 10 10 2 2 2 2 2" xfId="15705"/>
    <cellStyle name="Normal 10 10 2 2 2 2 2 2" xfId="23549"/>
    <cellStyle name="Normal 10 10 2 2 2 2 3" xfId="15706"/>
    <cellStyle name="Normal 10 10 2 2 2 3" xfId="15707"/>
    <cellStyle name="Normal 10 10 2 2 2 3 2" xfId="15708"/>
    <cellStyle name="Normal 10 10 2 2 2 3 2 2" xfId="23550"/>
    <cellStyle name="Normal 10 10 2 2 2 3 3" xfId="23551"/>
    <cellStyle name="Normal 10 10 2 2 2 4" xfId="15709"/>
    <cellStyle name="Normal 10 10 2 2 2 4 2" xfId="23552"/>
    <cellStyle name="Normal 10 10 2 2 2 4 2 2 2" xfId="33741"/>
    <cellStyle name="Normal 10 10 2 2 2 5" xfId="15710"/>
    <cellStyle name="Normal 10 10 2 2 3" xfId="15711"/>
    <cellStyle name="Normal 10 10 2 2 3 2" xfId="23553"/>
    <cellStyle name="Normal 10 10 2 2 4" xfId="23554"/>
    <cellStyle name="Normal 10 10 2 3" xfId="4150"/>
    <cellStyle name="Normal 10 10 2 3 2" xfId="15712"/>
    <cellStyle name="Normal 10 10 2 3 2 2" xfId="23555"/>
    <cellStyle name="Normal 10 10 2 3 3" xfId="23556"/>
    <cellStyle name="Normal 10 10 2 4" xfId="15713"/>
    <cellStyle name="Normal 10 10 2 4 2" xfId="23557"/>
    <cellStyle name="Normal 10 10 2 5" xfId="23558"/>
    <cellStyle name="Normal 10 10 3" xfId="4151"/>
    <cellStyle name="Normal 10 10 3 2" xfId="23559"/>
    <cellStyle name="Normal 10 10 3 2 2" xfId="33621"/>
    <cellStyle name="Normal 10 10 3 2 2 2" xfId="33672"/>
    <cellStyle name="Normal 10 10 3 2 2 2 2" xfId="33689"/>
    <cellStyle name="Normal 10 10 3 2 2 2 2 2" xfId="33714"/>
    <cellStyle name="Normal 10 10 3 2 2 2 2 2 2" xfId="33729"/>
    <cellStyle name="Normal 10 10 3 2 2 3" xfId="33675"/>
    <cellStyle name="Normal 10 10 3 2 2 3 2" xfId="33739"/>
    <cellStyle name="Normal 10 10 3 2 2 3 4" xfId="33778"/>
    <cellStyle name="Normal 10 10 3 2 2 5" xfId="33700"/>
    <cellStyle name="Normal 10 10 3 3" xfId="23560"/>
    <cellStyle name="Normal 10 10 3 4 2" xfId="33760"/>
    <cellStyle name="Normal 10 10 4" xfId="4152"/>
    <cellStyle name="Normal 10 10 4 2" xfId="4153"/>
    <cellStyle name="Normal 10 10 4 2 2" xfId="15714"/>
    <cellStyle name="Normal 10 10 4 2 2 2" xfId="15715"/>
    <cellStyle name="Normal 10 10 4 2 2 2 2" xfId="23561"/>
    <cellStyle name="Normal 10 10 4 2 2 3" xfId="23562"/>
    <cellStyle name="Normal 10 10 4 2 3" xfId="15716"/>
    <cellStyle name="Normal 10 10 4 2 3 2" xfId="23563"/>
    <cellStyle name="Normal 10 10 4 2 4" xfId="23564"/>
    <cellStyle name="Normal 10 10 4 2 4 2 2" xfId="33757"/>
    <cellStyle name="Normal 10 10 4 2 5" xfId="23565"/>
    <cellStyle name="Normal 10 10 4 3" xfId="15717"/>
    <cellStyle name="Normal 10 10 4 3 2" xfId="23566"/>
    <cellStyle name="Normal 10 10 4 4" xfId="23567"/>
    <cellStyle name="Normal 10 10 5" xfId="4154"/>
    <cellStyle name="Normal 10 10 5 2" xfId="15718"/>
    <cellStyle name="Normal 10 10 5 2 2" xfId="23568"/>
    <cellStyle name="Normal 10 10 5 3" xfId="23569"/>
    <cellStyle name="Normal 10 10 6" xfId="4155"/>
    <cellStyle name="Normal 10 10 6 2" xfId="15719"/>
    <cellStyle name="Normal 10 10 6 2 2" xfId="23570"/>
    <cellStyle name="Normal 10 10 6 3" xfId="22082"/>
    <cellStyle name="Normal 10 10 6 4" xfId="23571"/>
    <cellStyle name="Normal 10 10 7" xfId="15720"/>
    <cellStyle name="Normal 10 10 7 2" xfId="23572"/>
    <cellStyle name="Normal 10 10 8" xfId="14447"/>
    <cellStyle name="Normal 10 11" xfId="4156"/>
    <cellStyle name="Normal 10 11 2" xfId="4157"/>
    <cellStyle name="Normal 10 11 2 2" xfId="4158"/>
    <cellStyle name="Normal 10 11 2 2 2" xfId="15721"/>
    <cellStyle name="Normal 10 11 2 3" xfId="15722"/>
    <cellStyle name="Normal 10 11 2 4" xfId="15723"/>
    <cellStyle name="Normal 10 11 2 5" xfId="15724"/>
    <cellStyle name="Normal 10 11 3" xfId="4159"/>
    <cellStyle name="Normal 10 11 3 2" xfId="15725"/>
    <cellStyle name="Normal 10 11 4" xfId="4160"/>
    <cellStyle name="Normal 10 11 4 2" xfId="4161"/>
    <cellStyle name="Normal 10 11 5" xfId="15726"/>
    <cellStyle name="Normal 10 11 6" xfId="15727"/>
    <cellStyle name="Normal 10 11 7" xfId="33629"/>
    <cellStyle name="Normal 10 11 7 2" xfId="33717"/>
    <cellStyle name="Normal 10 11 8" xfId="33683"/>
    <cellStyle name="Normal 10 11 8 2" xfId="33709"/>
    <cellStyle name="Normal 10 11 9" xfId="33748"/>
    <cellStyle name="Normal 10 12" xfId="4162"/>
    <cellStyle name="Normal 10 12 2" xfId="4163"/>
    <cellStyle name="Normal 10 12 2 2" xfId="4164"/>
    <cellStyle name="Normal 10 12 3" xfId="4165"/>
    <cellStyle name="Normal 10 12 4" xfId="15728"/>
    <cellStyle name="Normal 10 12 5" xfId="15729"/>
    <cellStyle name="Normal 10 13" xfId="4166"/>
    <cellStyle name="Normal 10 13 2" xfId="4167"/>
    <cellStyle name="Normal 10 13 2 2" xfId="4168"/>
    <cellStyle name="Normal 10 13 3" xfId="4169"/>
    <cellStyle name="Normal 10 13 4" xfId="15730"/>
    <cellStyle name="Normal 10 13 5" xfId="15731"/>
    <cellStyle name="Normal 10 14" xfId="4170"/>
    <cellStyle name="Normal 10 14 10" xfId="4171"/>
    <cellStyle name="Normal 10 14 10 2" xfId="4172"/>
    <cellStyle name="Normal 10 14 10 2 2" xfId="4173"/>
    <cellStyle name="Normal 10 14 10 3" xfId="4174"/>
    <cellStyle name="Normal 10 14 10 4" xfId="15732"/>
    <cellStyle name="Normal 10 14 10 5" xfId="15733"/>
    <cellStyle name="Normal 10 14 11" xfId="4175"/>
    <cellStyle name="Normal 10 14 11 2" xfId="4176"/>
    <cellStyle name="Normal 10 14 11 2 2" xfId="4177"/>
    <cellStyle name="Normal 10 14 11 3" xfId="4178"/>
    <cellStyle name="Normal 10 14 11 4" xfId="15734"/>
    <cellStyle name="Normal 10 14 11 5" xfId="15735"/>
    <cellStyle name="Normal 10 14 12" xfId="4179"/>
    <cellStyle name="Normal 10 14 12 2" xfId="4180"/>
    <cellStyle name="Normal 10 14 12 2 2" xfId="4181"/>
    <cellStyle name="Normal 10 14 12 3" xfId="4182"/>
    <cellStyle name="Normal 10 14 12 4" xfId="15736"/>
    <cellStyle name="Normal 10 14 12 5" xfId="15737"/>
    <cellStyle name="Normal 10 14 13" xfId="4183"/>
    <cellStyle name="Normal 10 14 13 2" xfId="4184"/>
    <cellStyle name="Normal 10 14 13 2 2" xfId="15738"/>
    <cellStyle name="Normal 10 14 13 2 2 2" xfId="23573"/>
    <cellStyle name="Normal 10 14 13 2 3" xfId="23574"/>
    <cellStyle name="Normal 10 14 13 3" xfId="15739"/>
    <cellStyle name="Normal 10 14 13 3 2" xfId="23575"/>
    <cellStyle name="Normal 10 14 13 4" xfId="23576"/>
    <cellStyle name="Normal 10 14 14" xfId="4185"/>
    <cellStyle name="Normal 10 14 14 2" xfId="15740"/>
    <cellStyle name="Normal 10 14 14 2 2" xfId="23577"/>
    <cellStyle name="Normal 10 14 14 3" xfId="23578"/>
    <cellStyle name="Normal 10 14 15" xfId="15741"/>
    <cellStyle name="Normal 10 14 15 2" xfId="23579"/>
    <cellStyle name="Normal 10 14 16" xfId="23580"/>
    <cellStyle name="Normal 10 14 2" xfId="4186"/>
    <cellStyle name="Normal 10 14 2 2" xfId="4187"/>
    <cellStyle name="Normal 10 14 2 2 2" xfId="4188"/>
    <cellStyle name="Normal 10 14 2 2 3" xfId="15742"/>
    <cellStyle name="Normal 10 14 2 3" xfId="4189"/>
    <cellStyle name="Normal 10 14 2 4" xfId="15743"/>
    <cellStyle name="Normal 10 14 2 5" xfId="15744"/>
    <cellStyle name="Normal 10 14 3" xfId="4190"/>
    <cellStyle name="Normal 10 14 3 2" xfId="4191"/>
    <cellStyle name="Normal 10 14 3 2 2" xfId="4192"/>
    <cellStyle name="Normal 10 14 3 3" xfId="4193"/>
    <cellStyle name="Normal 10 14 3 4" xfId="15745"/>
    <cellStyle name="Normal 10 14 3 5" xfId="15746"/>
    <cellStyle name="Normal 10 14 4" xfId="4194"/>
    <cellStyle name="Normal 10 14 4 2" xfId="4195"/>
    <cellStyle name="Normal 10 14 4 2 2" xfId="4196"/>
    <cellStyle name="Normal 10 14 4 3" xfId="4197"/>
    <cellStyle name="Normal 10 14 4 4" xfId="15747"/>
    <cellStyle name="Normal 10 14 4 5" xfId="15748"/>
    <cellStyle name="Normal 10 14 5" xfId="4198"/>
    <cellStyle name="Normal 10 14 5 2" xfId="4199"/>
    <cellStyle name="Normal 10 14 5 2 2" xfId="4200"/>
    <cellStyle name="Normal 10 14 5 3" xfId="4201"/>
    <cellStyle name="Normal 10 14 5 4" xfId="15749"/>
    <cellStyle name="Normal 10 14 5 5" xfId="15750"/>
    <cellStyle name="Normal 10 14 6" xfId="4202"/>
    <cellStyle name="Normal 10 14 6 2" xfId="4203"/>
    <cellStyle name="Normal 10 14 6 2 2" xfId="4204"/>
    <cellStyle name="Normal 10 14 6 3" xfId="4205"/>
    <cellStyle name="Normal 10 14 6 4" xfId="15751"/>
    <cellStyle name="Normal 10 14 6 5" xfId="15752"/>
    <cellStyle name="Normal 10 14 7" xfId="4206"/>
    <cellStyle name="Normal 10 14 7 2" xfId="4207"/>
    <cellStyle name="Normal 10 14 7 2 2" xfId="4208"/>
    <cellStyle name="Normal 10 14 7 3" xfId="4209"/>
    <cellStyle name="Normal 10 14 7 4" xfId="15753"/>
    <cellStyle name="Normal 10 14 7 5" xfId="15754"/>
    <cellStyle name="Normal 10 14 8" xfId="4210"/>
    <cellStyle name="Normal 10 14 8 2" xfId="4211"/>
    <cellStyle name="Normal 10 14 8 2 2" xfId="4212"/>
    <cellStyle name="Normal 10 14 8 3" xfId="4213"/>
    <cellStyle name="Normal 10 14 8 4" xfId="15755"/>
    <cellStyle name="Normal 10 14 8 5" xfId="15756"/>
    <cellStyle name="Normal 10 14 9" xfId="4214"/>
    <cellStyle name="Normal 10 14 9 2" xfId="4215"/>
    <cellStyle name="Normal 10 14 9 2 2" xfId="4216"/>
    <cellStyle name="Normal 10 14 9 3" xfId="4217"/>
    <cellStyle name="Normal 10 14 9 4" xfId="15757"/>
    <cellStyle name="Normal 10 14 9 5" xfId="15758"/>
    <cellStyle name="Normal 10 15" xfId="4218"/>
    <cellStyle name="Normal 10 15 2" xfId="4219"/>
    <cellStyle name="Normal 10 15 2 2" xfId="4220"/>
    <cellStyle name="Normal 10 15 3" xfId="4221"/>
    <cellStyle name="Normal 10 15 4" xfId="15759"/>
    <cellStyle name="Normal 10 15 5" xfId="15760"/>
    <cellStyle name="Normal 10 16" xfId="4222"/>
    <cellStyle name="Normal 10 16 2" xfId="4223"/>
    <cellStyle name="Normal 10 16 2 2" xfId="4224"/>
    <cellStyle name="Normal 10 16 3" xfId="4225"/>
    <cellStyle name="Normal 10 16 4" xfId="15761"/>
    <cellStyle name="Normal 10 16 5" xfId="15762"/>
    <cellStyle name="Normal 10 17" xfId="4226"/>
    <cellStyle name="Normal 10 17 2" xfId="4227"/>
    <cellStyle name="Normal 10 17 2 2" xfId="4228"/>
    <cellStyle name="Normal 10 17 3" xfId="4229"/>
    <cellStyle name="Normal 10 17 4" xfId="15763"/>
    <cellStyle name="Normal 10 17 5" xfId="15764"/>
    <cellStyle name="Normal 10 18" xfId="4230"/>
    <cellStyle name="Normal 10 18 2" xfId="4231"/>
    <cellStyle name="Normal 10 18 2 2" xfId="4232"/>
    <cellStyle name="Normal 10 18 3" xfId="4233"/>
    <cellStyle name="Normal 10 18 4" xfId="15765"/>
    <cellStyle name="Normal 10 18 5" xfId="15766"/>
    <cellStyle name="Normal 10 19" xfId="4234"/>
    <cellStyle name="Normal 10 19 2" xfId="4235"/>
    <cellStyle name="Normal 10 19 2 2" xfId="4236"/>
    <cellStyle name="Normal 10 19 3" xfId="4237"/>
    <cellStyle name="Normal 10 19 4" xfId="15767"/>
    <cellStyle name="Normal 10 19 5" xfId="15768"/>
    <cellStyle name="Normal 10 2" xfId="4238"/>
    <cellStyle name="Normal 10 2 2" xfId="4239"/>
    <cellStyle name="Normal 10 2 2 2" xfId="4240"/>
    <cellStyle name="Normal 10 2 2 2 2" xfId="23581"/>
    <cellStyle name="Normal 10 2 2 3" xfId="4241"/>
    <cellStyle name="Normal 10 2 2 3 2" xfId="15769"/>
    <cellStyle name="Normal 10 2 2 3 2 2" xfId="23582"/>
    <cellStyle name="Normal 10 2 2 3 3" xfId="23583"/>
    <cellStyle name="Normal 10 2 2 4" xfId="15770"/>
    <cellStyle name="Normal 10 2 2 4 2" xfId="23584"/>
    <cellStyle name="Normal 10 2 2 5" xfId="23585"/>
    <cellStyle name="Normal 10 2 3" xfId="4242"/>
    <cellStyle name="Normal 10 2 3 2" xfId="23586"/>
    <cellStyle name="Normal 10 2 4" xfId="4243"/>
    <cellStyle name="Normal 10 2 4 2" xfId="15771"/>
    <cellStyle name="Normal 10 2 4 2 2" xfId="23587"/>
    <cellStyle name="Normal 10 2 4 3" xfId="23588"/>
    <cellStyle name="Normal 10 2 5" xfId="15772"/>
    <cellStyle name="Normal 10 2 5 2" xfId="23589"/>
    <cellStyle name="Normal 10 2 6" xfId="23590"/>
    <cellStyle name="Normal 10 20" xfId="4244"/>
    <cellStyle name="Normal 10 20 2" xfId="4245"/>
    <cellStyle name="Normal 10 20 2 2" xfId="4246"/>
    <cellStyle name="Normal 10 20 3" xfId="4247"/>
    <cellStyle name="Normal 10 20 4" xfId="15773"/>
    <cellStyle name="Normal 10 20 5" xfId="15774"/>
    <cellStyle name="Normal 10 21" xfId="4248"/>
    <cellStyle name="Normal 10 21 2" xfId="4249"/>
    <cellStyle name="Normal 10 21 2 2" xfId="4250"/>
    <cellStyle name="Normal 10 21 2 2 2" xfId="4251"/>
    <cellStyle name="Normal 10 21 2 2 2 2" xfId="15775"/>
    <cellStyle name="Normal 10 21 2 2 2 2 2" xfId="23591"/>
    <cellStyle name="Normal 10 21 2 2 2 3" xfId="23592"/>
    <cellStyle name="Normal 10 21 2 2 3" xfId="15776"/>
    <cellStyle name="Normal 10 21 2 2 3 2" xfId="23593"/>
    <cellStyle name="Normal 10 21 2 2 4" xfId="23594"/>
    <cellStyle name="Normal 10 21 2 3" xfId="4252"/>
    <cellStyle name="Normal 10 21 2 3 2" xfId="15777"/>
    <cellStyle name="Normal 10 21 2 3 2 2" xfId="23595"/>
    <cellStyle name="Normal 10 21 2 3 3" xfId="23596"/>
    <cellStyle name="Normal 10 21 2 4" xfId="15778"/>
    <cellStyle name="Normal 10 21 2 4 2" xfId="23597"/>
    <cellStyle name="Normal 10 21 2 5" xfId="23598"/>
    <cellStyle name="Normal 10 21 3" xfId="4253"/>
    <cellStyle name="Normal 10 21 4" xfId="4254"/>
    <cellStyle name="Normal 10 21 4 2" xfId="23599"/>
    <cellStyle name="Normal 10 21 5" xfId="4255"/>
    <cellStyle name="Normal 10 21 5 2" xfId="15779"/>
    <cellStyle name="Normal 10 21 5 2 2" xfId="23600"/>
    <cellStyle name="Normal 10 21 5 3" xfId="23601"/>
    <cellStyle name="Normal 10 21 6" xfId="15780"/>
    <cellStyle name="Normal 10 21 6 2" xfId="23602"/>
    <cellStyle name="Normal 10 21 7" xfId="23603"/>
    <cellStyle name="Normal 10 22" xfId="4256"/>
    <cellStyle name="Normal 10 22 2" xfId="4257"/>
    <cellStyle name="Normal 10 22 2 2" xfId="23604"/>
    <cellStyle name="Normal 10 22 3" xfId="4258"/>
    <cellStyle name="Normal 10 22 3 2" xfId="15781"/>
    <cellStyle name="Normal 10 22 3 2 2" xfId="23605"/>
    <cellStyle name="Normal 10 22 3 3" xfId="23606"/>
    <cellStyle name="Normal 10 22 4" xfId="15782"/>
    <cellStyle name="Normal 10 22 4 2" xfId="23607"/>
    <cellStyle name="Normal 10 22 5" xfId="23608"/>
    <cellStyle name="Normal 10 23" xfId="4259"/>
    <cellStyle name="Normal 10 23 2" xfId="4260"/>
    <cellStyle name="Normal 10 24" xfId="4261"/>
    <cellStyle name="Normal 10 24 2" xfId="15783"/>
    <cellStyle name="Normal 10 25" xfId="4262"/>
    <cellStyle name="Normal 10 25 2" xfId="15784"/>
    <cellStyle name="Normal 10 26" xfId="4263"/>
    <cellStyle name="Normal 10 26 2" xfId="4264"/>
    <cellStyle name="Normal 10 26 2 2" xfId="15785"/>
    <cellStyle name="Normal 10 26 2 2 2" xfId="15786"/>
    <cellStyle name="Normal 10 26 2 2 2 2" xfId="23609"/>
    <cellStyle name="Normal 10 26 2 2 3" xfId="23610"/>
    <cellStyle name="Normal 10 26 2 2 4" xfId="23611"/>
    <cellStyle name="Normal 10 26 2 3" xfId="15787"/>
    <cellStyle name="Normal 10 26 2 3 2" xfId="23612"/>
    <cellStyle name="Normal 10 26 2 4" xfId="23613"/>
    <cellStyle name="Normal 10 26 3" xfId="15788"/>
    <cellStyle name="Normal 10 27" xfId="4265"/>
    <cellStyle name="Normal 10 27 2" xfId="15789"/>
    <cellStyle name="Normal 10 28" xfId="4266"/>
    <cellStyle name="Normal 10 28 2" xfId="15790"/>
    <cellStyle name="Normal 10 29" xfId="4267"/>
    <cellStyle name="Normal 10 29 2" xfId="15791"/>
    <cellStyle name="Normal 10 3" xfId="4268"/>
    <cellStyle name="Normal 10 3 2" xfId="4269"/>
    <cellStyle name="Normal 10 3 2 2" xfId="4270"/>
    <cellStyle name="Normal 10 3 2 2 2" xfId="4271"/>
    <cellStyle name="Normal 10 3 2 2 2 2" xfId="15792"/>
    <cellStyle name="Normal 10 3 2 2 2 2 2" xfId="23614"/>
    <cellStyle name="Normal 10 3 2 2 2 3" xfId="23615"/>
    <cellStyle name="Normal 10 3 2 2 3" xfId="15793"/>
    <cellStyle name="Normal 10 3 2 2 3 2" xfId="23616"/>
    <cellStyle name="Normal 10 3 2 2 4" xfId="23617"/>
    <cellStyle name="Normal 10 3 2 3" xfId="4272"/>
    <cellStyle name="Normal 10 3 2 3 2" xfId="15794"/>
    <cellStyle name="Normal 10 3 2 3 2 2" xfId="23618"/>
    <cellStyle name="Normal 10 3 2 3 3" xfId="23619"/>
    <cellStyle name="Normal 10 3 2 4" xfId="15795"/>
    <cellStyle name="Normal 10 3 2 4 2" xfId="23620"/>
    <cellStyle name="Normal 10 3 2 5" xfId="23621"/>
    <cellStyle name="Normal 10 3 3" xfId="4273"/>
    <cellStyle name="Normal 10 3 3 2" xfId="23622"/>
    <cellStyle name="Normal 10 3 4" xfId="4274"/>
    <cellStyle name="Normal 10 3 4 2" xfId="15796"/>
    <cellStyle name="Normal 10 3 4 2 2" xfId="23623"/>
    <cellStyle name="Normal 10 3 4 3" xfId="23624"/>
    <cellStyle name="Normal 10 3 5" xfId="23625"/>
    <cellStyle name="Normal 10 30" xfId="4275"/>
    <cellStyle name="Normal 10 30 2" xfId="15797"/>
    <cellStyle name="Normal 10 31" xfId="4276"/>
    <cellStyle name="Normal 10 31 2" xfId="15798"/>
    <cellStyle name="Normal 10 32" xfId="4277"/>
    <cellStyle name="Normal 10 32 2" xfId="15799"/>
    <cellStyle name="Normal 10 33" xfId="4278"/>
    <cellStyle name="Normal 10 33 2" xfId="15800"/>
    <cellStyle name="Normal 10 34" xfId="4279"/>
    <cellStyle name="Normal 10 34 2" xfId="15801"/>
    <cellStyle name="Normal 10 35" xfId="4280"/>
    <cellStyle name="Normal 10 35 2" xfId="15802"/>
    <cellStyle name="Normal 10 36" xfId="4281"/>
    <cellStyle name="Normal 10 36 2" xfId="15803"/>
    <cellStyle name="Normal 10 37" xfId="4282"/>
    <cellStyle name="Normal 10 37 2" xfId="15804"/>
    <cellStyle name="Normal 10 38" xfId="4283"/>
    <cellStyle name="Normal 10 38 2" xfId="15805"/>
    <cellStyle name="Normal 10 39" xfId="4284"/>
    <cellStyle name="Normal 10 39 2" xfId="15806"/>
    <cellStyle name="Normal 10 4" xfId="4285"/>
    <cellStyle name="Normal 10 4 2" xfId="4286"/>
    <cellStyle name="Normal 10 4 2 2" xfId="4287"/>
    <cellStyle name="Normal 10 4 2 2 2" xfId="4288"/>
    <cellStyle name="Normal 10 4 2 2 2 2" xfId="15807"/>
    <cellStyle name="Normal 10 4 2 2 2 2 2" xfId="23626"/>
    <cellStyle name="Normal 10 4 2 2 2 3" xfId="23627"/>
    <cellStyle name="Normal 10 4 2 2 3" xfId="15808"/>
    <cellStyle name="Normal 10 4 2 2 3 2" xfId="23628"/>
    <cellStyle name="Normal 10 4 2 2 4" xfId="23629"/>
    <cellStyle name="Normal 10 4 2 3" xfId="4289"/>
    <cellStyle name="Normal 10 4 2 3 2" xfId="15809"/>
    <cellStyle name="Normal 10 4 2 3 2 2" xfId="23630"/>
    <cellStyle name="Normal 10 4 2 3 3" xfId="23631"/>
    <cellStyle name="Normal 10 4 2 4" xfId="15810"/>
    <cellStyle name="Normal 10 4 2 4 2" xfId="23632"/>
    <cellStyle name="Normal 10 4 2 5" xfId="23633"/>
    <cellStyle name="Normal 10 4 3" xfId="4290"/>
    <cellStyle name="Normal 10 4 3 2" xfId="23634"/>
    <cellStyle name="Normal 10 4 4" xfId="4291"/>
    <cellStyle name="Normal 10 4 4 2" xfId="15811"/>
    <cellStyle name="Normal 10 4 4 2 2" xfId="23635"/>
    <cellStyle name="Normal 10 4 4 3" xfId="23636"/>
    <cellStyle name="Normal 10 4 5" xfId="15812"/>
    <cellStyle name="Normal 10 4 5 2" xfId="23637"/>
    <cellStyle name="Normal 10 4 6" xfId="23638"/>
    <cellStyle name="Normal 10 40" xfId="4292"/>
    <cellStyle name="Normal 10 40 2" xfId="15813"/>
    <cellStyle name="Normal 10 41" xfId="4293"/>
    <cellStyle name="Normal 10 41 2" xfId="15814"/>
    <cellStyle name="Normal 10 42" xfId="4294"/>
    <cellStyle name="Normal 10 42 2" xfId="15815"/>
    <cellStyle name="Normal 10 43" xfId="4295"/>
    <cellStyle name="Normal 10 43 2" xfId="15816"/>
    <cellStyle name="Normal 10 44" xfId="4296"/>
    <cellStyle name="Normal 10 44 2" xfId="15817"/>
    <cellStyle name="Normal 10 45" xfId="4297"/>
    <cellStyle name="Normal 10 45 2" xfId="15818"/>
    <cellStyle name="Normal 10 46" xfId="4298"/>
    <cellStyle name="Normal 10 46 2" xfId="15819"/>
    <cellStyle name="Normal 10 47" xfId="4299"/>
    <cellStyle name="Normal 10 47 2" xfId="15820"/>
    <cellStyle name="Normal 10 48" xfId="4300"/>
    <cellStyle name="Normal 10 48 2" xfId="15821"/>
    <cellStyle name="Normal 10 49" xfId="4301"/>
    <cellStyle name="Normal 10 49 2" xfId="15822"/>
    <cellStyle name="Normal 10 5" xfId="4302"/>
    <cellStyle name="Normal 10 5 2" xfId="4303"/>
    <cellStyle name="Normal 10 5 2 2" xfId="4304"/>
    <cellStyle name="Normal 10 5 2 2 2" xfId="4305"/>
    <cellStyle name="Normal 10 5 2 2 2 2" xfId="15823"/>
    <cellStyle name="Normal 10 5 2 2 2 2 2" xfId="23639"/>
    <cellStyle name="Normal 10 5 2 2 2 3" xfId="23640"/>
    <cellStyle name="Normal 10 5 2 2 3" xfId="15824"/>
    <cellStyle name="Normal 10 5 2 2 3 2" xfId="23641"/>
    <cellStyle name="Normal 10 5 2 2 4" xfId="23642"/>
    <cellStyle name="Normal 10 5 2 3" xfId="4306"/>
    <cellStyle name="Normal 10 5 2 3 2" xfId="15825"/>
    <cellStyle name="Normal 10 5 2 3 2 2" xfId="23643"/>
    <cellStyle name="Normal 10 5 2 3 3" xfId="23644"/>
    <cellStyle name="Normal 10 5 2 4" xfId="15826"/>
    <cellStyle name="Normal 10 5 2 4 2" xfId="23645"/>
    <cellStyle name="Normal 10 5 2 5" xfId="23646"/>
    <cellStyle name="Normal 10 5 3" xfId="4307"/>
    <cellStyle name="Normal 10 5 3 2" xfId="23647"/>
    <cellStyle name="Normal 10 5 4" xfId="4308"/>
    <cellStyle name="Normal 10 5 4 2" xfId="15827"/>
    <cellStyle name="Normal 10 5 4 2 2" xfId="23648"/>
    <cellStyle name="Normal 10 5 4 3" xfId="23649"/>
    <cellStyle name="Normal 10 5 5" xfId="15828"/>
    <cellStyle name="Normal 10 5 5 2" xfId="23650"/>
    <cellStyle name="Normal 10 5 6" xfId="23651"/>
    <cellStyle name="Normal 10 50" xfId="4309"/>
    <cellStyle name="Normal 10 50 2" xfId="15829"/>
    <cellStyle name="Normal 10 51" xfId="4310"/>
    <cellStyle name="Normal 10 51 2" xfId="15830"/>
    <cellStyle name="Normal 10 52" xfId="4311"/>
    <cellStyle name="Normal 10 52 2" xfId="15831"/>
    <cellStyle name="Normal 10 53" xfId="4312"/>
    <cellStyle name="Normal 10 53 2" xfId="15832"/>
    <cellStyle name="Normal 10 54" xfId="4313"/>
    <cellStyle name="Normal 10 54 2" xfId="15833"/>
    <cellStyle name="Normal 10 55" xfId="4314"/>
    <cellStyle name="Normal 10 55 2" xfId="15834"/>
    <cellStyle name="Normal 10 56" xfId="4315"/>
    <cellStyle name="Normal 10 56 2" xfId="15835"/>
    <cellStyle name="Normal 10 57" xfId="4316"/>
    <cellStyle name="Normal 10 57 2" xfId="15836"/>
    <cellStyle name="Normal 10 58" xfId="4317"/>
    <cellStyle name="Normal 10 58 2" xfId="15837"/>
    <cellStyle name="Normal 10 59" xfId="4318"/>
    <cellStyle name="Normal 10 59 2" xfId="15838"/>
    <cellStyle name="Normal 10 6" xfId="4319"/>
    <cellStyle name="Normal 10 6 2" xfId="4320"/>
    <cellStyle name="Normal 10 6 2 2" xfId="4321"/>
    <cellStyle name="Normal 10 6 2 2 2" xfId="4322"/>
    <cellStyle name="Normal 10 6 2 2 2 2" xfId="15839"/>
    <cellStyle name="Normal 10 6 2 2 2 2 2" xfId="23652"/>
    <cellStyle name="Normal 10 6 2 2 2 3" xfId="23653"/>
    <cellStyle name="Normal 10 6 2 2 3" xfId="15840"/>
    <cellStyle name="Normal 10 6 2 2 3 2" xfId="23654"/>
    <cellStyle name="Normal 10 6 2 2 4" xfId="23655"/>
    <cellStyle name="Normal 10 6 2 3" xfId="4323"/>
    <cellStyle name="Normal 10 6 2 3 2" xfId="15841"/>
    <cellStyle name="Normal 10 6 2 3 2 2" xfId="23656"/>
    <cellStyle name="Normal 10 6 2 3 3" xfId="23657"/>
    <cellStyle name="Normal 10 6 2 4" xfId="15842"/>
    <cellStyle name="Normal 10 6 2 4 2" xfId="23658"/>
    <cellStyle name="Normal 10 6 2 5" xfId="23659"/>
    <cellStyle name="Normal 10 6 3" xfId="4324"/>
    <cellStyle name="Normal 10 6 3 2" xfId="23660"/>
    <cellStyle name="Normal 10 6 4" xfId="4325"/>
    <cellStyle name="Normal 10 6 4 2" xfId="15843"/>
    <cellStyle name="Normal 10 6 4 2 2" xfId="23661"/>
    <cellStyle name="Normal 10 6 4 3" xfId="23662"/>
    <cellStyle name="Normal 10 6 5" xfId="15844"/>
    <cellStyle name="Normal 10 6 5 2" xfId="23663"/>
    <cellStyle name="Normal 10 6 6" xfId="23664"/>
    <cellStyle name="Normal 10 60" xfId="4326"/>
    <cellStyle name="Normal 10 60 2" xfId="15845"/>
    <cellStyle name="Normal 10 61" xfId="4327"/>
    <cellStyle name="Normal 10 61 2" xfId="15846"/>
    <cellStyle name="Normal 10 62" xfId="4328"/>
    <cellStyle name="Normal 10 62 2" xfId="15847"/>
    <cellStyle name="Normal 10 63" xfId="4329"/>
    <cellStyle name="Normal 10 63 2" xfId="15848"/>
    <cellStyle name="Normal 10 64" xfId="4330"/>
    <cellStyle name="Normal 10 64 2" xfId="15849"/>
    <cellStyle name="Normal 10 65" xfId="4331"/>
    <cellStyle name="Normal 10 65 2" xfId="15850"/>
    <cellStyle name="Normal 10 66" xfId="4332"/>
    <cellStyle name="Normal 10 66 2" xfId="15851"/>
    <cellStyle name="Normal 10 67" xfId="4333"/>
    <cellStyle name="Normal 10 67 2" xfId="15852"/>
    <cellStyle name="Normal 10 68" xfId="4334"/>
    <cellStyle name="Normal 10 68 2" xfId="15853"/>
    <cellStyle name="Normal 10 69" xfId="4335"/>
    <cellStyle name="Normal 10 69 2" xfId="15854"/>
    <cellStyle name="Normal 10 7" xfId="4336"/>
    <cellStyle name="Normal 10 7 2" xfId="4337"/>
    <cellStyle name="Normal 10 7 2 2" xfId="4338"/>
    <cellStyle name="Normal 10 7 2 2 2" xfId="4339"/>
    <cellStyle name="Normal 10 7 2 2 2 2" xfId="15855"/>
    <cellStyle name="Normal 10 7 2 2 2 2 2" xfId="23665"/>
    <cellStyle name="Normal 10 7 2 2 2 3" xfId="23666"/>
    <cellStyle name="Normal 10 7 2 2 3" xfId="15856"/>
    <cellStyle name="Normal 10 7 2 2 3 2" xfId="23667"/>
    <cellStyle name="Normal 10 7 2 2 4" xfId="23668"/>
    <cellStyle name="Normal 10 7 2 3" xfId="4340"/>
    <cellStyle name="Normal 10 7 2 3 2" xfId="15857"/>
    <cellStyle name="Normal 10 7 2 3 2 2" xfId="23669"/>
    <cellStyle name="Normal 10 7 2 3 3" xfId="23670"/>
    <cellStyle name="Normal 10 7 2 4" xfId="15858"/>
    <cellStyle name="Normal 10 7 2 4 2" xfId="23671"/>
    <cellStyle name="Normal 10 7 2 5" xfId="23672"/>
    <cellStyle name="Normal 10 7 3" xfId="4341"/>
    <cellStyle name="Normal 10 7 3 2" xfId="23673"/>
    <cellStyle name="Normal 10 7 4" xfId="4342"/>
    <cellStyle name="Normal 10 7 4 2" xfId="15859"/>
    <cellStyle name="Normal 10 7 4 2 2" xfId="23674"/>
    <cellStyle name="Normal 10 7 4 3" xfId="23675"/>
    <cellStyle name="Normal 10 7 5" xfId="15860"/>
    <cellStyle name="Normal 10 7 5 2" xfId="23676"/>
    <cellStyle name="Normal 10 7 6" xfId="23677"/>
    <cellStyle name="Normal 10 70" xfId="4343"/>
    <cellStyle name="Normal 10 71" xfId="4344"/>
    <cellStyle name="Normal 10 72" xfId="4345"/>
    <cellStyle name="Normal 10 72 2" xfId="15861"/>
    <cellStyle name="Normal 10 72 3" xfId="23678"/>
    <cellStyle name="Normal 10 73" xfId="4346"/>
    <cellStyle name="Normal 10 73 2" xfId="4347"/>
    <cellStyle name="Normal 10 73 2 2" xfId="15862"/>
    <cellStyle name="Normal 10 73 2 2 2" xfId="23679"/>
    <cellStyle name="Normal 10 73 2 3" xfId="23680"/>
    <cellStyle name="Normal 10 73 3" xfId="15863"/>
    <cellStyle name="Normal 10 73 3 2" xfId="23681"/>
    <cellStyle name="Normal 10 73 4" xfId="23682"/>
    <cellStyle name="Normal 10 74" xfId="4348"/>
    <cellStyle name="Normal 10 74 2" xfId="4349"/>
    <cellStyle name="Normal 10 74 2 2" xfId="15864"/>
    <cellStyle name="Normal 10 74 2 2 2" xfId="23683"/>
    <cellStyle name="Normal 10 74 2 3" xfId="23684"/>
    <cellStyle name="Normal 10 74 3" xfId="15865"/>
    <cellStyle name="Normal 10 74 3 2" xfId="23685"/>
    <cellStyle name="Normal 10 74 4" xfId="23686"/>
    <cellStyle name="Normal 10 75" xfId="4350"/>
    <cellStyle name="Normal 10 75 2" xfId="4351"/>
    <cellStyle name="Normal 10 75 2 2" xfId="15866"/>
    <cellStyle name="Normal 10 75 2 2 2" xfId="23687"/>
    <cellStyle name="Normal 10 75 2 3" xfId="23688"/>
    <cellStyle name="Normal 10 75 3" xfId="15867"/>
    <cellStyle name="Normal 10 75 3 2" xfId="23689"/>
    <cellStyle name="Normal 10 75 4" xfId="23690"/>
    <cellStyle name="Normal 10 76" xfId="4352"/>
    <cellStyle name="Normal 10 76 2" xfId="4353"/>
    <cellStyle name="Normal 10 76 2 2" xfId="15868"/>
    <cellStyle name="Normal 10 76 2 2 2" xfId="23691"/>
    <cellStyle name="Normal 10 76 2 3" xfId="23692"/>
    <cellStyle name="Normal 10 76 3" xfId="15869"/>
    <cellStyle name="Normal 10 76 3 2" xfId="23693"/>
    <cellStyle name="Normal 10 76 4" xfId="23694"/>
    <cellStyle name="Normal 10 77" xfId="4354"/>
    <cellStyle name="Normal 10 77 2" xfId="15870"/>
    <cellStyle name="Normal 10 77 2 2" xfId="15871"/>
    <cellStyle name="Normal 10 77 2 2 2" xfId="23695"/>
    <cellStyle name="Normal 10 77 2 3" xfId="23696"/>
    <cellStyle name="Normal 10 77 3" xfId="15872"/>
    <cellStyle name="Normal 10 77 3 2" xfId="23697"/>
    <cellStyle name="Normal 10 77 4" xfId="23698"/>
    <cellStyle name="Normal 10 78" xfId="4355"/>
    <cellStyle name="Normal 10 78 2" xfId="4356"/>
    <cellStyle name="Normal 10 78 2 2" xfId="15873"/>
    <cellStyle name="Normal 10 78 2 2 2" xfId="23699"/>
    <cellStyle name="Normal 10 78 2 3" xfId="23700"/>
    <cellStyle name="Normal 10 78 3" xfId="4357"/>
    <cellStyle name="Normal 10 78 3 2" xfId="15874"/>
    <cellStyle name="Normal 10 78 3 2 2" xfId="23701"/>
    <cellStyle name="Normal 10 78 3 3" xfId="23702"/>
    <cellStyle name="Normal 10 78 4" xfId="15875"/>
    <cellStyle name="Normal 10 78 4 2" xfId="23703"/>
    <cellStyle name="Normal 10 78 5" xfId="23704"/>
    <cellStyle name="Normal 10 79" xfId="15876"/>
    <cellStyle name="Normal 10 79 2" xfId="15877"/>
    <cellStyle name="Normal 10 79 2 2" xfId="23705"/>
    <cellStyle name="Normal 10 79 3" xfId="23706"/>
    <cellStyle name="Normal 10 79 4" xfId="23707"/>
    <cellStyle name="Normal 10 8" xfId="4358"/>
    <cellStyle name="Normal 10 8 2" xfId="4359"/>
    <cellStyle name="Normal 10 8 2 2" xfId="4360"/>
    <cellStyle name="Normal 10 8 2 2 2" xfId="4361"/>
    <cellStyle name="Normal 10 8 2 2 2 2" xfId="15878"/>
    <cellStyle name="Normal 10 8 2 2 2 2 2" xfId="23708"/>
    <cellStyle name="Normal 10 8 2 2 2 3" xfId="23709"/>
    <cellStyle name="Normal 10 8 2 2 3" xfId="15879"/>
    <cellStyle name="Normal 10 8 2 2 3 2" xfId="23710"/>
    <cellStyle name="Normal 10 8 2 2 4" xfId="23711"/>
    <cellStyle name="Normal 10 8 2 3" xfId="4362"/>
    <cellStyle name="Normal 10 8 2 3 2" xfId="15880"/>
    <cellStyle name="Normal 10 8 2 3 2 2" xfId="23712"/>
    <cellStyle name="Normal 10 8 2 3 3" xfId="23713"/>
    <cellStyle name="Normal 10 8 2 4" xfId="15881"/>
    <cellStyle name="Normal 10 8 2 4 2" xfId="23714"/>
    <cellStyle name="Normal 10 8 2 5" xfId="23715"/>
    <cellStyle name="Normal 10 8 3" xfId="4363"/>
    <cellStyle name="Normal 10 8 3 2" xfId="23716"/>
    <cellStyle name="Normal 10 8 4" xfId="4364"/>
    <cellStyle name="Normal 10 8 4 2" xfId="15882"/>
    <cellStyle name="Normal 10 8 4 2 2" xfId="23717"/>
    <cellStyle name="Normal 10 8 4 3" xfId="23718"/>
    <cellStyle name="Normal 10 8 5" xfId="15883"/>
    <cellStyle name="Normal 10 8 5 2" xfId="23719"/>
    <cellStyle name="Normal 10 8 6" xfId="23720"/>
    <cellStyle name="Normal 10 80" xfId="15884"/>
    <cellStyle name="Normal 10 80 2" xfId="15885"/>
    <cellStyle name="Normal 10 80 2 2" xfId="23721"/>
    <cellStyle name="Normal 10 80 3" xfId="23722"/>
    <cellStyle name="Normal 10 81" xfId="23723"/>
    <cellStyle name="Normal 10 9" xfId="4365"/>
    <cellStyle name="Normal 10 9 2" xfId="4366"/>
    <cellStyle name="Normal 10 9 2 2" xfId="4367"/>
    <cellStyle name="Normal 10 9 2 2 2" xfId="4368"/>
    <cellStyle name="Normal 10 9 2 2 2 2" xfId="15886"/>
    <cellStyle name="Normal 10 9 2 2 2 2 2" xfId="23724"/>
    <cellStyle name="Normal 10 9 2 2 2 3" xfId="23725"/>
    <cellStyle name="Normal 10 9 2 2 3" xfId="15887"/>
    <cellStyle name="Normal 10 9 2 2 3 2" xfId="23726"/>
    <cellStyle name="Normal 10 9 2 2 4" xfId="23727"/>
    <cellStyle name="Normal 10 9 2 3" xfId="4369"/>
    <cellStyle name="Normal 10 9 2 3 2" xfId="15888"/>
    <cellStyle name="Normal 10 9 2 3 2 2" xfId="23728"/>
    <cellStyle name="Normal 10 9 2 3 3" xfId="23729"/>
    <cellStyle name="Normal 10 9 2 4" xfId="15889"/>
    <cellStyle name="Normal 10 9 2 4 2" xfId="23730"/>
    <cellStyle name="Normal 10 9 2 5" xfId="23731"/>
    <cellStyle name="Normal 10 9 3" xfId="4370"/>
    <cellStyle name="Normal 10 9 3 2" xfId="23732"/>
    <cellStyle name="Normal 10 9 4" xfId="4371"/>
    <cellStyle name="Normal 10 9 5" xfId="15890"/>
    <cellStyle name="Normal 10 9 5 2" xfId="23733"/>
    <cellStyle name="Normal 10 9 6" xfId="23734"/>
    <cellStyle name="Normal 100" xfId="4372"/>
    <cellStyle name="Normal 101" xfId="4373"/>
    <cellStyle name="Normal 102" xfId="4374"/>
    <cellStyle name="Normal 103" xfId="4375"/>
    <cellStyle name="Normal 104" xfId="4376"/>
    <cellStyle name="Normal 105" xfId="4377"/>
    <cellStyle name="Normal 106" xfId="4378"/>
    <cellStyle name="Normal 107" xfId="4379"/>
    <cellStyle name="Normal 108" xfId="4380"/>
    <cellStyle name="Normal 109" xfId="4381"/>
    <cellStyle name="Normal 11" xfId="24"/>
    <cellStyle name="Normal 11 10" xfId="4382"/>
    <cellStyle name="Normal 11 11" xfId="4383"/>
    <cellStyle name="Normal 11 12" xfId="4384"/>
    <cellStyle name="Normal 11 13" xfId="4385"/>
    <cellStyle name="Normal 11 14" xfId="4386"/>
    <cellStyle name="Normal 11 15" xfId="33644"/>
    <cellStyle name="Normal 11 2" xfId="4387"/>
    <cellStyle name="Normal 11 2 10" xfId="4388"/>
    <cellStyle name="Normal 11 2 2" xfId="4389"/>
    <cellStyle name="Normal 11 2 2 2" xfId="4390"/>
    <cellStyle name="Normal 11 2 2 2 2" xfId="4391"/>
    <cellStyle name="Normal 11 2 2 3" xfId="4392"/>
    <cellStyle name="Normal 11 2 2 4" xfId="4393"/>
    <cellStyle name="Normal 11 2 2 5" xfId="4394"/>
    <cellStyle name="Normal 11 2 2 6" xfId="4395"/>
    <cellStyle name="Normal 11 2 2 7" xfId="4396"/>
    <cellStyle name="Normal 11 2 2 8" xfId="4397"/>
    <cellStyle name="Normal 11 2 2 9" xfId="4398"/>
    <cellStyle name="Normal 11 2 3" xfId="4399"/>
    <cellStyle name="Normal 11 2 3 2" xfId="15891"/>
    <cellStyle name="Normal 11 2 4" xfId="4400"/>
    <cellStyle name="Normal 11 2 4 2" xfId="15892"/>
    <cellStyle name="Normal 11 2 5" xfId="4401"/>
    <cellStyle name="Normal 11 2 6" xfId="4402"/>
    <cellStyle name="Normal 11 2 7" xfId="4403"/>
    <cellStyle name="Normal 11 2 8" xfId="4404"/>
    <cellStyle name="Normal 11 2 9" xfId="4405"/>
    <cellStyle name="Normal 11 3" xfId="4406"/>
    <cellStyle name="Normal 11 3 2" xfId="4407"/>
    <cellStyle name="Normal 11 4" xfId="4408"/>
    <cellStyle name="Normal 11 4 2" xfId="15893"/>
    <cellStyle name="Normal 11 5" xfId="4409"/>
    <cellStyle name="Normal 11 5 2" xfId="4410"/>
    <cellStyle name="Normal 11 6" xfId="4411"/>
    <cellStyle name="Normal 11 6 2" xfId="4412"/>
    <cellStyle name="Normal 11 6 3" xfId="15894"/>
    <cellStyle name="Normal 11 6 4" xfId="15895"/>
    <cellStyle name="Normal 11 6 4 2" xfId="23735"/>
    <cellStyle name="Normal 11 6 5" xfId="23736"/>
    <cellStyle name="Normal 11 7" xfId="4413"/>
    <cellStyle name="Normal 11 7 2" xfId="4414"/>
    <cellStyle name="Normal 11 7 2 2" xfId="15896"/>
    <cellStyle name="Normal 11 7 2 2 2" xfId="23737"/>
    <cellStyle name="Normal 11 7 2 3" xfId="23738"/>
    <cellStyle name="Normal 11 7 3" xfId="15897"/>
    <cellStyle name="Normal 11 7 3 2" xfId="23739"/>
    <cellStyle name="Normal 11 7 4" xfId="23740"/>
    <cellStyle name="Normal 11 8" xfId="4415"/>
    <cellStyle name="Normal 11 9" xfId="4416"/>
    <cellStyle name="Normal 110" xfId="4417"/>
    <cellStyle name="Normal 111" xfId="4418"/>
    <cellStyle name="Normal 112" xfId="4419"/>
    <cellStyle name="Normal 113" xfId="4420"/>
    <cellStyle name="Normal 114" xfId="4421"/>
    <cellStyle name="Normal 115" xfId="4422"/>
    <cellStyle name="Normal 116" xfId="4423"/>
    <cellStyle name="Normal 117" xfId="4424"/>
    <cellStyle name="Normal 118" xfId="4425"/>
    <cellStyle name="Normal 119" xfId="4426"/>
    <cellStyle name="Normal 12" xfId="25"/>
    <cellStyle name="Normal 12 10" xfId="4427"/>
    <cellStyle name="Normal 12 10 2" xfId="15898"/>
    <cellStyle name="Normal 12 10 3" xfId="33666"/>
    <cellStyle name="Normal 12 10 4" xfId="33719"/>
    <cellStyle name="Normal 12 10 4 2" xfId="33726"/>
    <cellStyle name="Normal 12 10 4 2 2" xfId="33734"/>
    <cellStyle name="Normal 12 11" xfId="4428"/>
    <cellStyle name="Normal 12 11 2" xfId="15899"/>
    <cellStyle name="Normal 12 12" xfId="4429"/>
    <cellStyle name="Normal 12 12 2" xfId="15900"/>
    <cellStyle name="Normal 12 13" xfId="4430"/>
    <cellStyle name="Normal 12 13 2" xfId="15901"/>
    <cellStyle name="Normal 12 14" xfId="4431"/>
    <cellStyle name="Normal 12 14 2" xfId="15902"/>
    <cellStyle name="Normal 12 15" xfId="4432"/>
    <cellStyle name="Normal 12 15 2" xfId="15903"/>
    <cellStyle name="Normal 12 16" xfId="4433"/>
    <cellStyle name="Normal 12 16 2" xfId="15904"/>
    <cellStyle name="Normal 12 17" xfId="4434"/>
    <cellStyle name="Normal 12 17 2" xfId="15905"/>
    <cellStyle name="Normal 12 18" xfId="4435"/>
    <cellStyle name="Normal 12 18 2" xfId="15906"/>
    <cellStyle name="Normal 12 19" xfId="4436"/>
    <cellStyle name="Normal 12 19 2" xfId="15907"/>
    <cellStyle name="Normal 12 2" xfId="4437"/>
    <cellStyle name="Normal 12 2 2" xfId="4438"/>
    <cellStyle name="Normal 12 2 2 2" xfId="4439"/>
    <cellStyle name="Normal 12 2 3" xfId="4440"/>
    <cellStyle name="Normal 12 2 4" xfId="15908"/>
    <cellStyle name="Normal 12 20" xfId="4441"/>
    <cellStyle name="Normal 12 20 2" xfId="15909"/>
    <cellStyle name="Normal 12 21" xfId="4442"/>
    <cellStyle name="Normal 12 21 2" xfId="15910"/>
    <cellStyle name="Normal 12 22" xfId="4443"/>
    <cellStyle name="Normal 12 22 2" xfId="15911"/>
    <cellStyle name="Normal 12 23" xfId="4444"/>
    <cellStyle name="Normal 12 23 2" xfId="15912"/>
    <cellStyle name="Normal 12 24" xfId="4445"/>
    <cellStyle name="Normal 12 24 2" xfId="15913"/>
    <cellStyle name="Normal 12 25" xfId="4446"/>
    <cellStyle name="Normal 12 25 2" xfId="15914"/>
    <cellStyle name="Normal 12 26" xfId="4447"/>
    <cellStyle name="Normal 12 26 2" xfId="15915"/>
    <cellStyle name="Normal 12 27" xfId="4448"/>
    <cellStyle name="Normal 12 27 2" xfId="15916"/>
    <cellStyle name="Normal 12 28" xfId="4449"/>
    <cellStyle name="Normal 12 28 2" xfId="15917"/>
    <cellStyle name="Normal 12 29" xfId="4450"/>
    <cellStyle name="Normal 12 29 2" xfId="15918"/>
    <cellStyle name="Normal 12 3" xfId="4451"/>
    <cellStyle name="Normal 12 3 2" xfId="4452"/>
    <cellStyle name="Normal 12 30" xfId="4453"/>
    <cellStyle name="Normal 12 30 2" xfId="15919"/>
    <cellStyle name="Normal 12 31" xfId="4454"/>
    <cellStyle name="Normal 12 31 2" xfId="15920"/>
    <cellStyle name="Normal 12 32" xfId="4455"/>
    <cellStyle name="Normal 12 32 2" xfId="15921"/>
    <cellStyle name="Normal 12 33" xfId="4456"/>
    <cellStyle name="Normal 12 33 2" xfId="15922"/>
    <cellStyle name="Normal 12 34" xfId="4457"/>
    <cellStyle name="Normal 12 34 2" xfId="15923"/>
    <cellStyle name="Normal 12 35" xfId="4458"/>
    <cellStyle name="Normal 12 35 2" xfId="15924"/>
    <cellStyle name="Normal 12 36" xfId="4459"/>
    <cellStyle name="Normal 12 36 2" xfId="15925"/>
    <cellStyle name="Normal 12 37" xfId="4460"/>
    <cellStyle name="Normal 12 37 2" xfId="15926"/>
    <cellStyle name="Normal 12 38" xfId="4461"/>
    <cellStyle name="Normal 12 38 2" xfId="15927"/>
    <cellStyle name="Normal 12 39" xfId="4462"/>
    <cellStyle name="Normal 12 39 2" xfId="15928"/>
    <cellStyle name="Normal 12 4" xfId="4463"/>
    <cellStyle name="Normal 12 4 2" xfId="4464"/>
    <cellStyle name="Normal 12 40" xfId="4465"/>
    <cellStyle name="Normal 12 40 2" xfId="15929"/>
    <cellStyle name="Normal 12 41" xfId="4466"/>
    <cellStyle name="Normal 12 41 2" xfId="15930"/>
    <cellStyle name="Normal 12 42" xfId="4467"/>
    <cellStyle name="Normal 12 42 2" xfId="15931"/>
    <cellStyle name="Normal 12 43" xfId="4468"/>
    <cellStyle name="Normal 12 43 2" xfId="15932"/>
    <cellStyle name="Normal 12 44" xfId="4469"/>
    <cellStyle name="Normal 12 44 2" xfId="15933"/>
    <cellStyle name="Normal 12 45" xfId="4470"/>
    <cellStyle name="Normal 12 45 2" xfId="15934"/>
    <cellStyle name="Normal 12 46" xfId="4471"/>
    <cellStyle name="Normal 12 46 2" xfId="15935"/>
    <cellStyle name="Normal 12 47" xfId="4472"/>
    <cellStyle name="Normal 12 47 2" xfId="15936"/>
    <cellStyle name="Normal 12 48" xfId="4473"/>
    <cellStyle name="Normal 12 48 2" xfId="15937"/>
    <cellStyle name="Normal 12 49" xfId="4474"/>
    <cellStyle name="Normal 12 49 2" xfId="15938"/>
    <cellStyle name="Normal 12 5" xfId="4475"/>
    <cellStyle name="Normal 12 5 2" xfId="15939"/>
    <cellStyle name="Normal 12 50" xfId="33645"/>
    <cellStyle name="Normal 12 6" xfId="4476"/>
    <cellStyle name="Normal 12 6 2" xfId="15940"/>
    <cellStyle name="Normal 12 7" xfId="4477"/>
    <cellStyle name="Normal 12 7 2" xfId="15941"/>
    <cellStyle name="Normal 12 8" xfId="4478"/>
    <cellStyle name="Normal 12 8 2" xfId="15942"/>
    <cellStyle name="Normal 12 9" xfId="4479"/>
    <cellStyle name="Normal 12 9 2" xfId="15943"/>
    <cellStyle name="Normal 120" xfId="4480"/>
    <cellStyle name="Normal 121" xfId="4481"/>
    <cellStyle name="Normal 122" xfId="4482"/>
    <cellStyle name="Normal 123" xfId="4483"/>
    <cellStyle name="Normal 124" xfId="4484"/>
    <cellStyle name="Normal 124 2" xfId="15944"/>
    <cellStyle name="Normal 125" xfId="4485"/>
    <cellStyle name="Normal 125 2" xfId="4486"/>
    <cellStyle name="Normal 125 2 2" xfId="4487"/>
    <cellStyle name="Normal 125 2 2 2" xfId="15945"/>
    <cellStyle name="Normal 125 2 2 2 2" xfId="23741"/>
    <cellStyle name="Normal 125 2 2 3" xfId="23742"/>
    <cellStyle name="Normal 125 2 3" xfId="15946"/>
    <cellStyle name="Normal 125 2 3 2" xfId="23743"/>
    <cellStyle name="Normal 125 2 4" xfId="23744"/>
    <cellStyle name="Normal 125 3" xfId="4488"/>
    <cellStyle name="Normal 125 3 2" xfId="15947"/>
    <cellStyle name="Normal 125 3 2 2" xfId="23745"/>
    <cellStyle name="Normal 125 3 3" xfId="23746"/>
    <cellStyle name="Normal 125 4" xfId="15948"/>
    <cellStyle name="Normal 125 4 2" xfId="23747"/>
    <cellStyle name="Normal 125 5" xfId="23748"/>
    <cellStyle name="Normal 126" xfId="4489"/>
    <cellStyle name="Normal 126 2" xfId="4490"/>
    <cellStyle name="Normal 126 2 2" xfId="4491"/>
    <cellStyle name="Normal 126 2 2 2" xfId="15949"/>
    <cellStyle name="Normal 126 2 2 2 2" xfId="23749"/>
    <cellStyle name="Normal 126 2 2 3" xfId="23750"/>
    <cellStyle name="Normal 126 2 3" xfId="15950"/>
    <cellStyle name="Normal 126 2 3 2" xfId="23751"/>
    <cellStyle name="Normal 126 2 4" xfId="23752"/>
    <cellStyle name="Normal 126 3" xfId="4492"/>
    <cellStyle name="Normal 126 3 2" xfId="15951"/>
    <cellStyle name="Normal 126 3 2 2" xfId="23753"/>
    <cellStyle name="Normal 126 3 3" xfId="23754"/>
    <cellStyle name="Normal 126 4" xfId="15952"/>
    <cellStyle name="Normal 126 4 2" xfId="23755"/>
    <cellStyle name="Normal 126 5" xfId="23756"/>
    <cellStyle name="Normal 127" xfId="4493"/>
    <cellStyle name="Normal 127 2" xfId="4494"/>
    <cellStyle name="Normal 127 2 2" xfId="4495"/>
    <cellStyle name="Normal 127 2 2 2" xfId="15953"/>
    <cellStyle name="Normal 127 2 2 2 2" xfId="23757"/>
    <cellStyle name="Normal 127 2 2 3" xfId="23758"/>
    <cellStyle name="Normal 127 2 3" xfId="15954"/>
    <cellStyle name="Normal 127 2 3 2" xfId="23759"/>
    <cellStyle name="Normal 127 2 4" xfId="23760"/>
    <cellStyle name="Normal 127 3" xfId="4496"/>
    <cellStyle name="Normal 127 3 2" xfId="15955"/>
    <cellStyle name="Normal 127 3 2 2" xfId="23761"/>
    <cellStyle name="Normal 127 3 3" xfId="23762"/>
    <cellStyle name="Normal 127 4" xfId="15956"/>
    <cellStyle name="Normal 127 4 2" xfId="23763"/>
    <cellStyle name="Normal 127 5" xfId="23764"/>
    <cellStyle name="Normal 128" xfId="4497"/>
    <cellStyle name="Normal 129" xfId="4498"/>
    <cellStyle name="Normal 129 2" xfId="4499"/>
    <cellStyle name="Normal 129 2 2" xfId="4500"/>
    <cellStyle name="Normal 129 2 2 2" xfId="15957"/>
    <cellStyle name="Normal 129 2 2 2 2" xfId="23765"/>
    <cellStyle name="Normal 129 2 2 3" xfId="23766"/>
    <cellStyle name="Normal 129 2 3" xfId="15958"/>
    <cellStyle name="Normal 129 2 3 2" xfId="23767"/>
    <cellStyle name="Normal 129 2 4" xfId="23768"/>
    <cellStyle name="Normal 129 3" xfId="4501"/>
    <cellStyle name="Normal 129 3 2" xfId="15959"/>
    <cellStyle name="Normal 129 3 2 2" xfId="23769"/>
    <cellStyle name="Normal 129 3 3" xfId="23770"/>
    <cellStyle name="Normal 129 4" xfId="15960"/>
    <cellStyle name="Normal 129 4 2" xfId="23771"/>
    <cellStyle name="Normal 129 5" xfId="23772"/>
    <cellStyle name="Normal 13" xfId="26"/>
    <cellStyle name="Normal 13 10" xfId="4502"/>
    <cellStyle name="Normal 13 10 2" xfId="15961"/>
    <cellStyle name="Normal 13 11" xfId="4503"/>
    <cellStyle name="Normal 13 11 2" xfId="15962"/>
    <cellStyle name="Normal 13 12" xfId="4504"/>
    <cellStyle name="Normal 13 12 2" xfId="15963"/>
    <cellStyle name="Normal 13 13" xfId="4505"/>
    <cellStyle name="Normal 13 13 2" xfId="15964"/>
    <cellStyle name="Normal 13 14" xfId="4506"/>
    <cellStyle name="Normal 13 14 2" xfId="15965"/>
    <cellStyle name="Normal 13 15" xfId="4507"/>
    <cellStyle name="Normal 13 15 2" xfId="15966"/>
    <cellStyle name="Normal 13 16" xfId="4508"/>
    <cellStyle name="Normal 13 16 2" xfId="15967"/>
    <cellStyle name="Normal 13 17" xfId="4509"/>
    <cellStyle name="Normal 13 17 2" xfId="15968"/>
    <cellStyle name="Normal 13 18" xfId="4510"/>
    <cellStyle name="Normal 13 18 2" xfId="15969"/>
    <cellStyle name="Normal 13 19" xfId="4511"/>
    <cellStyle name="Normal 13 19 2" xfId="15970"/>
    <cellStyle name="Normal 13 2" xfId="4512"/>
    <cellStyle name="Normal 13 2 2" xfId="4513"/>
    <cellStyle name="Normal 13 2 2 2" xfId="4514"/>
    <cellStyle name="Normal 13 2 3" xfId="4515"/>
    <cellStyle name="Normal 13 2 3 2" xfId="4516"/>
    <cellStyle name="Normal 13 2 3 2 2" xfId="4517"/>
    <cellStyle name="Normal 13 2 3 2 2 2" xfId="15971"/>
    <cellStyle name="Normal 13 2 3 2 2 2 2" xfId="23773"/>
    <cellStyle name="Normal 13 2 3 2 2 3" xfId="23774"/>
    <cellStyle name="Normal 13 2 3 2 3" xfId="15972"/>
    <cellStyle name="Normal 13 2 3 2 3 2" xfId="23775"/>
    <cellStyle name="Normal 13 2 3 2 4" xfId="23776"/>
    <cellStyle name="Normal 13 2 3 3" xfId="4518"/>
    <cellStyle name="Normal 13 2 3 3 2" xfId="15973"/>
    <cellStyle name="Normal 13 2 3 3 2 2" xfId="23777"/>
    <cellStyle name="Normal 13 2 3 3 3" xfId="23778"/>
    <cellStyle name="Normal 13 2 3 4" xfId="15974"/>
    <cellStyle name="Normal 13 2 3 4 2" xfId="23779"/>
    <cellStyle name="Normal 13 2 3 5" xfId="23780"/>
    <cellStyle name="Normal 13 2 4" xfId="4519"/>
    <cellStyle name="Normal 13 2 4 2" xfId="15975"/>
    <cellStyle name="Normal 13 2 5" xfId="4520"/>
    <cellStyle name="Normal 13 2 5 2" xfId="4521"/>
    <cellStyle name="Normal 13 2 5 2 2" xfId="15976"/>
    <cellStyle name="Normal 13 2 5 2 2 2" xfId="23781"/>
    <cellStyle name="Normal 13 2 5 2 3" xfId="23782"/>
    <cellStyle name="Normal 13 2 5 3" xfId="15977"/>
    <cellStyle name="Normal 13 2 5 3 2" xfId="23783"/>
    <cellStyle name="Normal 13 2 5 4" xfId="23784"/>
    <cellStyle name="Normal 13 2 6" xfId="4522"/>
    <cellStyle name="Normal 13 2 6 2" xfId="15978"/>
    <cellStyle name="Normal 13 2 6 2 2" xfId="23785"/>
    <cellStyle name="Normal 13 2 6 3" xfId="23786"/>
    <cellStyle name="Normal 13 2 7" xfId="15979"/>
    <cellStyle name="Normal 13 2 7 2" xfId="23787"/>
    <cellStyle name="Normal 13 2 8" xfId="23788"/>
    <cellStyle name="Normal 13 20" xfId="4523"/>
    <cellStyle name="Normal 13 21" xfId="4524"/>
    <cellStyle name="Normal 13 22" xfId="4525"/>
    <cellStyle name="Normal 13 22 2" xfId="15980"/>
    <cellStyle name="Normal 13 22 3" xfId="23789"/>
    <cellStyle name="Normal 13 23" xfId="4526"/>
    <cellStyle name="Normal 13 23 2" xfId="4527"/>
    <cellStyle name="Normal 13 23 2 2" xfId="15981"/>
    <cellStyle name="Normal 13 23 2 2 2" xfId="23790"/>
    <cellStyle name="Normal 13 23 2 3" xfId="23791"/>
    <cellStyle name="Normal 13 23 3" xfId="15982"/>
    <cellStyle name="Normal 13 23 3 2" xfId="23792"/>
    <cellStyle name="Normal 13 23 4" xfId="23793"/>
    <cellStyle name="Normal 13 24" xfId="4528"/>
    <cellStyle name="Normal 13 24 2" xfId="15983"/>
    <cellStyle name="Normal 13 24 2 2" xfId="23794"/>
    <cellStyle name="Normal 13 24 3" xfId="23795"/>
    <cellStyle name="Normal 13 25" xfId="23796"/>
    <cellStyle name="Normal 13 26" xfId="33646"/>
    <cellStyle name="Normal 13 3" xfId="4529"/>
    <cellStyle name="Normal 13 3 2" xfId="4530"/>
    <cellStyle name="Normal 13 3 2 2" xfId="23797"/>
    <cellStyle name="Normal 13 3 3" xfId="4531"/>
    <cellStyle name="Normal 13 3 3 2" xfId="15984"/>
    <cellStyle name="Normal 13 3 3 2 2" xfId="23798"/>
    <cellStyle name="Normal 13 3 3 3" xfId="23799"/>
    <cellStyle name="Normal 13 3 4" xfId="15985"/>
    <cellStyle name="Normal 13 3 4 2" xfId="23800"/>
    <cellStyle name="Normal 13 3 5" xfId="23801"/>
    <cellStyle name="Normal 13 4" xfId="4532"/>
    <cellStyle name="Normal 13 4 2" xfId="4533"/>
    <cellStyle name="Normal 13 4 2 2" xfId="4534"/>
    <cellStyle name="Normal 13 4 3" xfId="4535"/>
    <cellStyle name="Normal 13 4 4" xfId="15986"/>
    <cellStyle name="Normal 13 5" xfId="4536"/>
    <cellStyle name="Normal 13 5 2" xfId="4537"/>
    <cellStyle name="Normal 13 5 2 2" xfId="15987"/>
    <cellStyle name="Normal 13 5 2 2 2" xfId="23802"/>
    <cellStyle name="Normal 13 5 2 3" xfId="23803"/>
    <cellStyle name="Normal 13 5 3" xfId="15988"/>
    <cellStyle name="Normal 13 6" xfId="4538"/>
    <cellStyle name="Normal 13 6 2" xfId="15989"/>
    <cellStyle name="Normal 13 7" xfId="4539"/>
    <cellStyle name="Normal 13 7 2" xfId="15990"/>
    <cellStyle name="Normal 13 8" xfId="4540"/>
    <cellStyle name="Normal 13 8 2" xfId="15991"/>
    <cellStyle name="Normal 13 9" xfId="4541"/>
    <cellStyle name="Normal 13 9 2" xfId="15992"/>
    <cellStyle name="Normal 130" xfId="4542"/>
    <cellStyle name="Normal 130 2" xfId="4543"/>
    <cellStyle name="Normal 130 2 2" xfId="4544"/>
    <cellStyle name="Normal 130 2 2 2" xfId="15993"/>
    <cellStyle name="Normal 130 2 2 2 2" xfId="23804"/>
    <cellStyle name="Normal 130 2 2 3" xfId="23805"/>
    <cellStyle name="Normal 130 2 3" xfId="15994"/>
    <cellStyle name="Normal 130 2 3 2" xfId="23806"/>
    <cellStyle name="Normal 130 2 4" xfId="23807"/>
    <cellStyle name="Normal 130 3" xfId="4545"/>
    <cellStyle name="Normal 130 3 2" xfId="15995"/>
    <cellStyle name="Normal 130 3 2 2" xfId="23808"/>
    <cellStyle name="Normal 130 3 3" xfId="23809"/>
    <cellStyle name="Normal 130 4" xfId="15996"/>
    <cellStyle name="Normal 130 4 2" xfId="23810"/>
    <cellStyle name="Normal 130 5" xfId="23811"/>
    <cellStyle name="Normal 131" xfId="4546"/>
    <cellStyle name="Normal 131 2" xfId="4547"/>
    <cellStyle name="Normal 131 2 2" xfId="23812"/>
    <cellStyle name="Normal 131 3" xfId="4548"/>
    <cellStyle name="Normal 131 3 2" xfId="15997"/>
    <cellStyle name="Normal 131 3 2 2" xfId="23813"/>
    <cellStyle name="Normal 131 3 3" xfId="23814"/>
    <cellStyle name="Normal 131 4" xfId="15998"/>
    <cellStyle name="Normal 131 4 2" xfId="23815"/>
    <cellStyle name="Normal 131 5" xfId="23816"/>
    <cellStyle name="Normal 132" xfId="4549"/>
    <cellStyle name="Normal 132 2" xfId="4550"/>
    <cellStyle name="Normal 132 2 2" xfId="4551"/>
    <cellStyle name="Normal 132 2 2 2" xfId="15999"/>
    <cellStyle name="Normal 132 2 2 2 2" xfId="23817"/>
    <cellStyle name="Normal 132 2 2 3" xfId="23818"/>
    <cellStyle name="Normal 132 2 3" xfId="16000"/>
    <cellStyle name="Normal 132 2 3 2" xfId="23819"/>
    <cellStyle name="Normal 132 2 4" xfId="23820"/>
    <cellStyle name="Normal 132 3" xfId="4552"/>
    <cellStyle name="Normal 132 3 2" xfId="16001"/>
    <cellStyle name="Normal 132 3 2 2" xfId="23821"/>
    <cellStyle name="Normal 132 3 3" xfId="23822"/>
    <cellStyle name="Normal 132 4" xfId="16002"/>
    <cellStyle name="Normal 132 4 2" xfId="23823"/>
    <cellStyle name="Normal 132 5" xfId="23824"/>
    <cellStyle name="Normal 133" xfId="4553"/>
    <cellStyle name="Normal 133 2" xfId="4554"/>
    <cellStyle name="Normal 133 2 2" xfId="4555"/>
    <cellStyle name="Normal 133 2 2 2" xfId="16003"/>
    <cellStyle name="Normal 133 2 2 2 2" xfId="23825"/>
    <cellStyle name="Normal 133 2 2 3" xfId="23826"/>
    <cellStyle name="Normal 133 2 3" xfId="16004"/>
    <cellStyle name="Normal 133 2 3 2" xfId="23827"/>
    <cellStyle name="Normal 133 2 4" xfId="23828"/>
    <cellStyle name="Normal 133 3" xfId="4556"/>
    <cellStyle name="Normal 133 3 2" xfId="16005"/>
    <cellStyle name="Normal 133 3 2 2" xfId="23829"/>
    <cellStyle name="Normal 133 3 3" xfId="23830"/>
    <cellStyle name="Normal 133 4" xfId="16006"/>
    <cellStyle name="Normal 133 4 2" xfId="23831"/>
    <cellStyle name="Normal 133 5" xfId="23832"/>
    <cellStyle name="Normal 134" xfId="4557"/>
    <cellStyle name="Normal 134 2" xfId="4558"/>
    <cellStyle name="Normal 134 2 2" xfId="4559"/>
    <cellStyle name="Normal 134 2 3" xfId="23833"/>
    <cellStyle name="Normal 134 3" xfId="4560"/>
    <cellStyle name="Normal 134 3 2" xfId="16007"/>
    <cellStyle name="Normal 134 3 2 2" xfId="23834"/>
    <cellStyle name="Normal 134 3 3" xfId="23835"/>
    <cellStyle name="Normal 134 4" xfId="16008"/>
    <cellStyle name="Normal 134 4 2" xfId="23836"/>
    <cellStyle name="Normal 134 5" xfId="23837"/>
    <cellStyle name="Normal 135" xfId="4561"/>
    <cellStyle name="Normal 135 2" xfId="4562"/>
    <cellStyle name="Normal 135 2 2" xfId="4563"/>
    <cellStyle name="Normal 135 2 2 2" xfId="16009"/>
    <cellStyle name="Normal 135 2 2 2 2" xfId="23838"/>
    <cellStyle name="Normal 135 2 2 3" xfId="23839"/>
    <cellStyle name="Normal 135 2 3" xfId="16010"/>
    <cellStyle name="Normal 135 2 3 2" xfId="23840"/>
    <cellStyle name="Normal 135 2 4" xfId="23841"/>
    <cellStyle name="Normal 135 3" xfId="4564"/>
    <cellStyle name="Normal 135 3 2" xfId="16011"/>
    <cellStyle name="Normal 135 3 2 2" xfId="23842"/>
    <cellStyle name="Normal 135 3 3" xfId="23843"/>
    <cellStyle name="Normal 135 4" xfId="16012"/>
    <cellStyle name="Normal 135 4 2" xfId="23844"/>
    <cellStyle name="Normal 135 5" xfId="23845"/>
    <cellStyle name="Normal 136" xfId="4565"/>
    <cellStyle name="Normal 137" xfId="4566"/>
    <cellStyle name="Normal 137 2" xfId="4567"/>
    <cellStyle name="Normal 138" xfId="4568"/>
    <cellStyle name="Normal 139" xfId="4569"/>
    <cellStyle name="Normal 14" xfId="27"/>
    <cellStyle name="Normal 14 10" xfId="4570"/>
    <cellStyle name="Normal 14 10 2" xfId="4571"/>
    <cellStyle name="Normal 14 10 2 2" xfId="4572"/>
    <cellStyle name="Normal 14 10 2 2 2" xfId="16013"/>
    <cellStyle name="Normal 14 10 2 2 2 2" xfId="23846"/>
    <cellStyle name="Normal 14 10 2 2 3" xfId="23847"/>
    <cellStyle name="Normal 14 10 2 3" xfId="16014"/>
    <cellStyle name="Normal 14 10 2 3 2" xfId="23848"/>
    <cellStyle name="Normal 14 10 2 4" xfId="23849"/>
    <cellStyle name="Normal 14 10 3" xfId="4573"/>
    <cellStyle name="Normal 14 10 3 2" xfId="16015"/>
    <cellStyle name="Normal 14 10 3 2 2" xfId="23850"/>
    <cellStyle name="Normal 14 10 3 3" xfId="23851"/>
    <cellStyle name="Normal 14 10 4" xfId="16016"/>
    <cellStyle name="Normal 14 10 4 2" xfId="23852"/>
    <cellStyle name="Normal 14 10 5" xfId="23853"/>
    <cellStyle name="Normal 14 11" xfId="4574"/>
    <cellStyle name="Normal 14 12" xfId="4575"/>
    <cellStyle name="Normal 14 12 10" xfId="33669"/>
    <cellStyle name="Normal 14 12 10 2 2 2" xfId="33756"/>
    <cellStyle name="Normal 14 12 2" xfId="4576"/>
    <cellStyle name="Normal 14 12 2 2" xfId="4577"/>
    <cellStyle name="Normal 14 12 2 2 2" xfId="16017"/>
    <cellStyle name="Normal 14 12 2 2 2 2" xfId="23854"/>
    <cellStyle name="Normal 14 12 2 2 3" xfId="23855"/>
    <cellStyle name="Normal 14 12 2 3" xfId="16018"/>
    <cellStyle name="Normal 14 12 2 3 2" xfId="23856"/>
    <cellStyle name="Normal 14 12 3" xfId="4578"/>
    <cellStyle name="Normal 14 12 3 2" xfId="4579"/>
    <cellStyle name="Normal 14 12 3 2 2" xfId="16019"/>
    <cellStyle name="Normal 14 12 3 2 2 2" xfId="23857"/>
    <cellStyle name="Normal 14 12 3 2 3" xfId="23858"/>
    <cellStyle name="Normal 14 12 3 3" xfId="16020"/>
    <cellStyle name="Normal 14 12 3 3 2" xfId="23859"/>
    <cellStyle name="Normal 14 12 3 4" xfId="23860"/>
    <cellStyle name="Normal 14 12 3 5" xfId="23861"/>
    <cellStyle name="Normal 14 12 4" xfId="4580"/>
    <cellStyle name="Normal 14 12 4 2" xfId="16021"/>
    <cellStyle name="Normal 14 12 4 2 2" xfId="16022"/>
    <cellStyle name="Normal 14 12 4 2 2 2" xfId="23862"/>
    <cellStyle name="Normal 14 12 4 2 3" xfId="22079"/>
    <cellStyle name="Normal 14 12 4 2 4" xfId="23863"/>
    <cellStyle name="Normal 14 12 4 3" xfId="16023"/>
    <cellStyle name="Normal 14 12 4 3 2" xfId="23864"/>
    <cellStyle name="Normal 14 12 4 4" xfId="23865"/>
    <cellStyle name="Normal 14 12 5" xfId="4581"/>
    <cellStyle name="Normal 14 12 5 2" xfId="16024"/>
    <cellStyle name="Normal 14 12 5 2 2" xfId="23866"/>
    <cellStyle name="Normal 14 12 5 3" xfId="23867"/>
    <cellStyle name="Normal 14 12 6" xfId="16025"/>
    <cellStyle name="Normal 14 12 6 2" xfId="23868"/>
    <cellStyle name="Normal 14 12 7" xfId="23869"/>
    <cellStyle name="Normal 14 12 8" xfId="23870"/>
    <cellStyle name="Normal 14 13" xfId="4582"/>
    <cellStyle name="Normal 14 13 2" xfId="4583"/>
    <cellStyle name="Normal 14 13 2 2" xfId="16026"/>
    <cellStyle name="Normal 14 13 2 2 2" xfId="23871"/>
    <cellStyle name="Normal 14 13 2 3" xfId="23872"/>
    <cellStyle name="Normal 14 13 3" xfId="16027"/>
    <cellStyle name="Normal 14 13 3 2" xfId="23873"/>
    <cellStyle name="Normal 14 13 4" xfId="23874"/>
    <cellStyle name="Normal 14 14" xfId="4584"/>
    <cellStyle name="Normal 14 14 2" xfId="16028"/>
    <cellStyle name="Normal 14 14 2 2" xfId="16029"/>
    <cellStyle name="Normal 14 14 2 2 2" xfId="23875"/>
    <cellStyle name="Normal 14 14 2 3" xfId="23876"/>
    <cellStyle name="Normal 14 14 3" xfId="16030"/>
    <cellStyle name="Normal 14 14 3 2" xfId="16031"/>
    <cellStyle name="Normal 14 14 3 2 2" xfId="23877"/>
    <cellStyle name="Normal 14 14 3 3" xfId="23878"/>
    <cellStyle name="Normal 14 14 3 4" xfId="23879"/>
    <cellStyle name="Normal 14 14 4" xfId="16032"/>
    <cellStyle name="Normal 14 14 4 2" xfId="23880"/>
    <cellStyle name="Normal 14 14 5" xfId="23881"/>
    <cellStyle name="Normal 14 15" xfId="4585"/>
    <cellStyle name="Normal 14 15 2" xfId="16033"/>
    <cellStyle name="Normal 14 15 2 2" xfId="23882"/>
    <cellStyle name="Normal 14 15 3" xfId="23883"/>
    <cellStyle name="Normal 14 16" xfId="16034"/>
    <cellStyle name="Normal 14 16 2" xfId="16035"/>
    <cellStyle name="Normal 14 16 2 2" xfId="23884"/>
    <cellStyle name="Normal 14 16 3" xfId="23885"/>
    <cellStyle name="Normal 14 17" xfId="16036"/>
    <cellStyle name="Normal 14 17 2" xfId="23886"/>
    <cellStyle name="Normal 14 18" xfId="16037"/>
    <cellStyle name="Normal 14 2" xfId="28"/>
    <cellStyle name="Normal 14 2 2" xfId="4586"/>
    <cellStyle name="Normal 14 2 3" xfId="4587"/>
    <cellStyle name="Normal 14 2 3 2" xfId="23887"/>
    <cellStyle name="Normal 14 2 4" xfId="4588"/>
    <cellStyle name="Normal 14 2 4 2" xfId="16038"/>
    <cellStyle name="Normal 14 2 4 2 2" xfId="23888"/>
    <cellStyle name="Normal 14 2 4 3" xfId="23889"/>
    <cellStyle name="Normal 14 2 5" xfId="16039"/>
    <cellStyle name="Normal 14 2 5 2" xfId="23890"/>
    <cellStyle name="Normal 14 2 6" xfId="23891"/>
    <cellStyle name="Normal 14 3" xfId="29"/>
    <cellStyle name="Normal 14 3 2" xfId="4589"/>
    <cellStyle name="Normal 14 3 2 2" xfId="23892"/>
    <cellStyle name="Normal 14 3 3" xfId="4590"/>
    <cellStyle name="Normal 14 3 3 2" xfId="16040"/>
    <cellStyle name="Normal 14 3 3 2 2" xfId="23893"/>
    <cellStyle name="Normal 14 3 3 3" xfId="23894"/>
    <cellStyle name="Normal 14 3 4" xfId="16041"/>
    <cellStyle name="Normal 14 3 4 2" xfId="23895"/>
    <cellStyle name="Normal 14 3 5" xfId="23896"/>
    <cellStyle name="Normal 14 4" xfId="4591"/>
    <cellStyle name="Normal 14 4 2" xfId="4592"/>
    <cellStyle name="Normal 14 4 2 2" xfId="4593"/>
    <cellStyle name="Normal 14 4 2 2 2" xfId="16042"/>
    <cellStyle name="Normal 14 4 2 2 2 2" xfId="23897"/>
    <cellStyle name="Normal 14 4 2 2 3" xfId="23898"/>
    <cellStyle name="Normal 14 4 2 3" xfId="16043"/>
    <cellStyle name="Normal 14 4 2 3 2" xfId="23899"/>
    <cellStyle name="Normal 14 4 2 4" xfId="23900"/>
    <cellStyle name="Normal 14 4 3" xfId="4594"/>
    <cellStyle name="Normal 14 4 4" xfId="4595"/>
    <cellStyle name="Normal 14 4 4 2" xfId="16044"/>
    <cellStyle name="Normal 14 4 4 2 2" xfId="23901"/>
    <cellStyle name="Normal 14 4 4 3" xfId="23902"/>
    <cellStyle name="Normal 14 4 5" xfId="16045"/>
    <cellStyle name="Normal 14 4 5 2" xfId="23903"/>
    <cellStyle name="Normal 14 4 6" xfId="23904"/>
    <cellStyle name="Normal 14 5" xfId="4596"/>
    <cellStyle name="Normal 14 5 2" xfId="4597"/>
    <cellStyle name="Normal 14 5 2 2" xfId="23905"/>
    <cellStyle name="Normal 14 5 3" xfId="4598"/>
    <cellStyle name="Normal 14 5 3 2" xfId="16046"/>
    <cellStyle name="Normal 14 5 3 2 2" xfId="23906"/>
    <cellStyle name="Normal 14 5 3 3" xfId="23907"/>
    <cellStyle name="Normal 14 5 4" xfId="16047"/>
    <cellStyle name="Normal 14 5 4 2" xfId="23908"/>
    <cellStyle name="Normal 14 5 5" xfId="23909"/>
    <cellStyle name="Normal 14 6" xfId="4599"/>
    <cellStyle name="Normal 14 6 2" xfId="4600"/>
    <cellStyle name="Normal 14 6 2 2" xfId="23910"/>
    <cellStyle name="Normal 14 6 3" xfId="4601"/>
    <cellStyle name="Normal 14 6 3 2" xfId="16048"/>
    <cellStyle name="Normal 14 6 3 2 2" xfId="23911"/>
    <cellStyle name="Normal 14 6 3 3" xfId="23912"/>
    <cellStyle name="Normal 14 6 4" xfId="16049"/>
    <cellStyle name="Normal 14 6 4 2" xfId="23913"/>
    <cellStyle name="Normal 14 6 5" xfId="23914"/>
    <cellStyle name="Normal 14 7" xfId="4602"/>
    <cellStyle name="Normal 14 7 2" xfId="4603"/>
    <cellStyle name="Normal 14 7 2 2" xfId="23915"/>
    <cellStyle name="Normal 14 7 3" xfId="4604"/>
    <cellStyle name="Normal 14 7 3 2" xfId="16050"/>
    <cellStyle name="Normal 14 7 3 2 2" xfId="23916"/>
    <cellStyle name="Normal 14 7 3 3" xfId="23917"/>
    <cellStyle name="Normal 14 7 4" xfId="16051"/>
    <cellStyle name="Normal 14 7 4 2" xfId="23918"/>
    <cellStyle name="Normal 14 7 5" xfId="23919"/>
    <cellStyle name="Normal 14 8" xfId="4605"/>
    <cellStyle name="Normal 14 8 2" xfId="4606"/>
    <cellStyle name="Normal 14 8 2 2" xfId="23920"/>
    <cellStyle name="Normal 14 8 3" xfId="4607"/>
    <cellStyle name="Normal 14 8 3 2" xfId="16052"/>
    <cellStyle name="Normal 14 8 3 2 2" xfId="23921"/>
    <cellStyle name="Normal 14 8 3 3" xfId="23922"/>
    <cellStyle name="Normal 14 8 4" xfId="16053"/>
    <cellStyle name="Normal 14 8 4 2" xfId="23923"/>
    <cellStyle name="Normal 14 8 5" xfId="23924"/>
    <cellStyle name="Normal 14 9" xfId="4608"/>
    <cellStyle name="Normal 14 9 2" xfId="4609"/>
    <cellStyle name="Normal 14 9 2 2" xfId="23925"/>
    <cellStyle name="Normal 14 9 3" xfId="4610"/>
    <cellStyle name="Normal 14 9 3 2" xfId="16054"/>
    <cellStyle name="Normal 14 9 3 2 2" xfId="23926"/>
    <cellStyle name="Normal 14 9 3 3" xfId="23927"/>
    <cellStyle name="Normal 14 9 4" xfId="16055"/>
    <cellStyle name="Normal 14 9 4 2" xfId="23928"/>
    <cellStyle name="Normal 14 9 5" xfId="23929"/>
    <cellStyle name="Normal 140" xfId="4611"/>
    <cellStyle name="Normal 140 2" xfId="4612"/>
    <cellStyle name="Normal 140 2 2" xfId="4613"/>
    <cellStyle name="Normal 140 2 2 2" xfId="16056"/>
    <cellStyle name="Normal 140 2 2 2 2" xfId="23930"/>
    <cellStyle name="Normal 140 2 2 3" xfId="23931"/>
    <cellStyle name="Normal 140 2 3" xfId="16057"/>
    <cellStyle name="Normal 140 2 3 2" xfId="23932"/>
    <cellStyle name="Normal 140 2 4" xfId="23933"/>
    <cellStyle name="Normal 140 3" xfId="4614"/>
    <cellStyle name="Normal 140 3 2" xfId="16058"/>
    <cellStyle name="Normal 140 3 2 2" xfId="23934"/>
    <cellStyle name="Normal 140 3 3" xfId="23935"/>
    <cellStyle name="Normal 140 4" xfId="16059"/>
    <cellStyle name="Normal 140 4 2" xfId="23936"/>
    <cellStyle name="Normal 140 5" xfId="23937"/>
    <cellStyle name="Normal 141" xfId="4615"/>
    <cellStyle name="Normal 141 2" xfId="4616"/>
    <cellStyle name="Normal 141 2 2" xfId="16060"/>
    <cellStyle name="Normal 141 2 2 2" xfId="23938"/>
    <cellStyle name="Normal 141 2 3" xfId="23939"/>
    <cellStyle name="Normal 141 3" xfId="16061"/>
    <cellStyle name="Normal 141 3 2" xfId="23940"/>
    <cellStyle name="Normal 141 4" xfId="23941"/>
    <cellStyle name="Normal 142" xfId="4617"/>
    <cellStyle name="Normal 143" xfId="4618"/>
    <cellStyle name="Normal 143 2" xfId="4619"/>
    <cellStyle name="Normal 143 2 2" xfId="16062"/>
    <cellStyle name="Normal 143 2 2 2" xfId="23942"/>
    <cellStyle name="Normal 143 2 3" xfId="23943"/>
    <cellStyle name="Normal 143 3" xfId="16063"/>
    <cellStyle name="Normal 143 3 2" xfId="23944"/>
    <cellStyle name="Normal 143 4" xfId="23945"/>
    <cellStyle name="Normal 144" xfId="4620"/>
    <cellStyle name="Normal 144 2" xfId="4621"/>
    <cellStyle name="Normal 144 2 2" xfId="16064"/>
    <cellStyle name="Normal 144 2 2 2" xfId="23946"/>
    <cellStyle name="Normal 144 2 3" xfId="23947"/>
    <cellStyle name="Normal 144 3" xfId="16065"/>
    <cellStyle name="Normal 144 3 2" xfId="23948"/>
    <cellStyle name="Normal 144 4" xfId="23949"/>
    <cellStyle name="Normal 145" xfId="4622"/>
    <cellStyle name="Normal 145 2" xfId="4623"/>
    <cellStyle name="Normal 145 2 2" xfId="16066"/>
    <cellStyle name="Normal 145 2 2 2" xfId="23950"/>
    <cellStyle name="Normal 145 2 3" xfId="23951"/>
    <cellStyle name="Normal 145 3" xfId="16067"/>
    <cellStyle name="Normal 145 3 2" xfId="23952"/>
    <cellStyle name="Normal 145 4" xfId="23953"/>
    <cellStyle name="Normal 146" xfId="4624"/>
    <cellStyle name="Normal 146 2" xfId="4625"/>
    <cellStyle name="Normal 146 2 2" xfId="16068"/>
    <cellStyle name="Normal 146 2 2 2" xfId="23954"/>
    <cellStyle name="Normal 146 2 3" xfId="23955"/>
    <cellStyle name="Normal 146 3" xfId="16069"/>
    <cellStyle name="Normal 146 3 2" xfId="23956"/>
    <cellStyle name="Normal 146 4" xfId="23957"/>
    <cellStyle name="Normal 147" xfId="4626"/>
    <cellStyle name="Normal 147 2" xfId="4627"/>
    <cellStyle name="Normal 147 2 2" xfId="16070"/>
    <cellStyle name="Normal 147 2 2 2" xfId="23958"/>
    <cellStyle name="Normal 147 2 3" xfId="23959"/>
    <cellStyle name="Normal 147 3" xfId="16071"/>
    <cellStyle name="Normal 147 3 2" xfId="23960"/>
    <cellStyle name="Normal 147 4" xfId="23961"/>
    <cellStyle name="Normal 148" xfId="4628"/>
    <cellStyle name="Normal 149" xfId="4629"/>
    <cellStyle name="Normal 15" xfId="30"/>
    <cellStyle name="Normal 15 10" xfId="23962"/>
    <cellStyle name="Normal 15 2" xfId="4630"/>
    <cellStyle name="Normal 15 2 2" xfId="4631"/>
    <cellStyle name="Normal 15 2 2 2" xfId="23963"/>
    <cellStyle name="Normal 15 2 3" xfId="4632"/>
    <cellStyle name="Normal 15 2 3 2" xfId="16072"/>
    <cellStyle name="Normal 15 2 3 2 2" xfId="23964"/>
    <cellStyle name="Normal 15 2 3 3" xfId="23965"/>
    <cellStyle name="Normal 15 2 4" xfId="16073"/>
    <cellStyle name="Normal 15 2 4 2" xfId="23966"/>
    <cellStyle name="Normal 15 2 5" xfId="23967"/>
    <cellStyle name="Normal 15 3" xfId="4633"/>
    <cellStyle name="Normal 15 3 2" xfId="4634"/>
    <cellStyle name="Normal 15 3 2 2" xfId="23968"/>
    <cellStyle name="Normal 15 3 3" xfId="4635"/>
    <cellStyle name="Normal 15 3 3 2" xfId="16074"/>
    <cellStyle name="Normal 15 3 3 2 2" xfId="23969"/>
    <cellStyle name="Normal 15 3 3 3" xfId="23970"/>
    <cellStyle name="Normal 15 3 4" xfId="16075"/>
    <cellStyle name="Normal 15 3 4 2" xfId="23971"/>
    <cellStyle name="Normal 15 3 5" xfId="23972"/>
    <cellStyle name="Normal 15 4" xfId="4636"/>
    <cellStyle name="Normal 15 4 2" xfId="4637"/>
    <cellStyle name="Normal 15 4 3" xfId="16076"/>
    <cellStyle name="Normal 15 4 3 2" xfId="23973"/>
    <cellStyle name="Normal 15 5" xfId="4638"/>
    <cellStyle name="Normal 15 5 2" xfId="4639"/>
    <cellStyle name="Normal 15 5 2 2" xfId="16077"/>
    <cellStyle name="Normal 15 5 2 2 2" xfId="23974"/>
    <cellStyle name="Normal 15 5 2 3" xfId="23975"/>
    <cellStyle name="Normal 15 5 3" xfId="16078"/>
    <cellStyle name="Normal 15 5 3 2" xfId="23976"/>
    <cellStyle name="Normal 15 5 4" xfId="23977"/>
    <cellStyle name="Normal 15 6" xfId="4640"/>
    <cellStyle name="Normal 15 6 2" xfId="4641"/>
    <cellStyle name="Normal 15 6 2 2" xfId="16079"/>
    <cellStyle name="Normal 15 6 2 2 2" xfId="23978"/>
    <cellStyle name="Normal 15 6 2 3" xfId="23979"/>
    <cellStyle name="Normal 15 6 3" xfId="16080"/>
    <cellStyle name="Normal 15 6 3 2" xfId="23980"/>
    <cellStyle name="Normal 15 6 4" xfId="23981"/>
    <cellStyle name="Normal 15 7" xfId="4642"/>
    <cellStyle name="Normal 15 7 2" xfId="4643"/>
    <cellStyle name="Normal 15 7 2 2" xfId="16081"/>
    <cellStyle name="Normal 15 7 2 2 2" xfId="23982"/>
    <cellStyle name="Normal 15 7 2 3" xfId="23983"/>
    <cellStyle name="Normal 15 7 3" xfId="16082"/>
    <cellStyle name="Normal 15 7 3 2" xfId="23984"/>
    <cellStyle name="Normal 15 7 4" xfId="23985"/>
    <cellStyle name="Normal 15 8" xfId="4644"/>
    <cellStyle name="Normal 15 8 2" xfId="16083"/>
    <cellStyle name="Normal 15 8 2 2" xfId="23986"/>
    <cellStyle name="Normal 15 8 3" xfId="23987"/>
    <cellStyle name="Normal 15 9" xfId="16084"/>
    <cellStyle name="Normal 15 9 2" xfId="23988"/>
    <cellStyle name="Normal 150" xfId="4645"/>
    <cellStyle name="Normal 151" xfId="4646"/>
    <cellStyle name="Normal 152" xfId="4647"/>
    <cellStyle name="Normal 152 2" xfId="4648"/>
    <cellStyle name="Normal 152 2 2" xfId="16085"/>
    <cellStyle name="Normal 152 3" xfId="16086"/>
    <cellStyle name="Normal 152 3 2" xfId="16087"/>
    <cellStyle name="Normal 152 3 2 2" xfId="23989"/>
    <cellStyle name="Normal 152 3 3" xfId="23990"/>
    <cellStyle name="Normal 152 4" xfId="16088"/>
    <cellStyle name="Normal 152 4 2" xfId="23991"/>
    <cellStyle name="Normal 152 5" xfId="23992"/>
    <cellStyle name="Normal 153" xfId="4649"/>
    <cellStyle name="Normal 153 2" xfId="4650"/>
    <cellStyle name="Normal 153 2 2" xfId="16089"/>
    <cellStyle name="Normal 153 2 2 2" xfId="23993"/>
    <cellStyle name="Normal 153 2 3" xfId="23994"/>
    <cellStyle name="Normal 153 3" xfId="23995"/>
    <cellStyle name="Normal 153 3 2" xfId="23996"/>
    <cellStyle name="Normal 154" xfId="4651"/>
    <cellStyle name="Normal 155" xfId="4652"/>
    <cellStyle name="Normal 155 2" xfId="4653"/>
    <cellStyle name="Normal 155 2 2" xfId="16090"/>
    <cellStyle name="Normal 155 2 2 2" xfId="23997"/>
    <cellStyle name="Normal 155 2 3" xfId="23998"/>
    <cellStyle name="Normal 156" xfId="4654"/>
    <cellStyle name="Normal 157" xfId="4655"/>
    <cellStyle name="Normal 158" xfId="4656"/>
    <cellStyle name="Normal 159" xfId="4657"/>
    <cellStyle name="Normal 16" xfId="31"/>
    <cellStyle name="Normal 16 10" xfId="23999"/>
    <cellStyle name="Normal 16 2" xfId="4658"/>
    <cellStyle name="Normal 16 2 2" xfId="4659"/>
    <cellStyle name="Normal 16 2 2 2" xfId="4660"/>
    <cellStyle name="Normal 16 2 2 2 2" xfId="16091"/>
    <cellStyle name="Normal 16 2 2 2 2 2" xfId="24000"/>
    <cellStyle name="Normal 16 2 2 2 3" xfId="24001"/>
    <cellStyle name="Normal 16 2 2 3" xfId="16092"/>
    <cellStyle name="Normal 16 2 2 3 2" xfId="24002"/>
    <cellStyle name="Normal 16 2 2 4" xfId="24003"/>
    <cellStyle name="Normal 16 2 3" xfId="4661"/>
    <cellStyle name="Normal 16 2 3 2" xfId="4662"/>
    <cellStyle name="Normal 16 2 3 2 2" xfId="16093"/>
    <cellStyle name="Normal 16 2 3 2 2 2" xfId="24004"/>
    <cellStyle name="Normal 16 2 3 2 3" xfId="24005"/>
    <cellStyle name="Normal 16 2 3 3" xfId="16094"/>
    <cellStyle name="Normal 16 2 3 3 2" xfId="24006"/>
    <cellStyle name="Normal 16 2 3 4" xfId="24007"/>
    <cellStyle name="Normal 16 2 4" xfId="4663"/>
    <cellStyle name="Normal 16 2 4 2" xfId="16095"/>
    <cellStyle name="Normal 16 2 4 2 2" xfId="24008"/>
    <cellStyle name="Normal 16 2 4 3" xfId="24009"/>
    <cellStyle name="Normal 16 2 5" xfId="16096"/>
    <cellStyle name="Normal 16 2 5 2" xfId="24010"/>
    <cellStyle name="Normal 16 2 6" xfId="24011"/>
    <cellStyle name="Normal 16 3" xfId="4664"/>
    <cellStyle name="Normal 16 3 2" xfId="4665"/>
    <cellStyle name="Normal 16 3 2 2" xfId="4666"/>
    <cellStyle name="Normal 16 3 2 2 2" xfId="16097"/>
    <cellStyle name="Normal 16 3 2 2 2 2" xfId="24012"/>
    <cellStyle name="Normal 16 3 2 2 3" xfId="24013"/>
    <cellStyle name="Normal 16 3 2 3" xfId="16098"/>
    <cellStyle name="Normal 16 3 2 3 2" xfId="24014"/>
    <cellStyle name="Normal 16 3 2 4" xfId="24015"/>
    <cellStyle name="Normal 16 3 3" xfId="4667"/>
    <cellStyle name="Normal 16 3 3 2" xfId="16099"/>
    <cellStyle name="Normal 16 3 3 2 2" xfId="24016"/>
    <cellStyle name="Normal 16 3 3 3" xfId="24017"/>
    <cellStyle name="Normal 16 3 4" xfId="16100"/>
    <cellStyle name="Normal 16 3 4 2" xfId="24018"/>
    <cellStyle name="Normal 16 3 5" xfId="24019"/>
    <cellStyle name="Normal 16 4" xfId="4668"/>
    <cellStyle name="Normal 16 5" xfId="4669"/>
    <cellStyle name="Normal 16 5 2" xfId="4670"/>
    <cellStyle name="Normal 16 5 2 2" xfId="16101"/>
    <cellStyle name="Normal 16 5 2 2 2" xfId="24020"/>
    <cellStyle name="Normal 16 5 2 3" xfId="24021"/>
    <cellStyle name="Normal 16 5 3" xfId="16102"/>
    <cellStyle name="Normal 16 5 3 2" xfId="24022"/>
    <cellStyle name="Normal 16 5 4" xfId="24023"/>
    <cellStyle name="Normal 16 6" xfId="4671"/>
    <cellStyle name="Normal 16 7" xfId="4672"/>
    <cellStyle name="Normal 16 7 2" xfId="4673"/>
    <cellStyle name="Normal 16 7 2 2" xfId="16103"/>
    <cellStyle name="Normal 16 7 2 2 2" xfId="24024"/>
    <cellStyle name="Normal 16 7 2 3" xfId="24025"/>
    <cellStyle name="Normal 16 7 3" xfId="16104"/>
    <cellStyle name="Normal 16 7 3 2" xfId="24026"/>
    <cellStyle name="Normal 16 7 4" xfId="24027"/>
    <cellStyle name="Normal 16 8" xfId="4674"/>
    <cellStyle name="Normal 16 8 2" xfId="16105"/>
    <cellStyle name="Normal 16 8 2 2" xfId="24028"/>
    <cellStyle name="Normal 16 8 3" xfId="24029"/>
    <cellStyle name="Normal 16 9" xfId="16106"/>
    <cellStyle name="Normal 16 9 2" xfId="24030"/>
    <cellStyle name="Normal 160" xfId="4675"/>
    <cellStyle name="Normal 160 2" xfId="33731"/>
    <cellStyle name="Normal 161" xfId="4676"/>
    <cellStyle name="Normal 162" xfId="4677"/>
    <cellStyle name="Normal 163" xfId="4678"/>
    <cellStyle name="Normal 164" xfId="4679"/>
    <cellStyle name="Normal 165" xfId="4680"/>
    <cellStyle name="Normal 166" xfId="4681"/>
    <cellStyle name="Normal 167" xfId="4682"/>
    <cellStyle name="Normal 168" xfId="4683"/>
    <cellStyle name="Normal 169" xfId="4684"/>
    <cellStyle name="Normal 17" xfId="32"/>
    <cellStyle name="Normal 17 10" xfId="24031"/>
    <cellStyle name="Normal 17 2" xfId="4685"/>
    <cellStyle name="Normal 17 2 2" xfId="4686"/>
    <cellStyle name="Normal 17 2 2 2" xfId="4687"/>
    <cellStyle name="Normal 17 2 2 2 2" xfId="16107"/>
    <cellStyle name="Normal 17 2 2 2 2 2" xfId="24032"/>
    <cellStyle name="Normal 17 2 2 2 3" xfId="24033"/>
    <cellStyle name="Normal 17 2 2 3" xfId="16108"/>
    <cellStyle name="Normal 17 2 2 3 2" xfId="24034"/>
    <cellStyle name="Normal 17 2 2 4" xfId="24035"/>
    <cellStyle name="Normal 17 2 3" xfId="4688"/>
    <cellStyle name="Normal 17 2 3 2" xfId="4689"/>
    <cellStyle name="Normal 17 2 3 2 2" xfId="16109"/>
    <cellStyle name="Normal 17 2 3 2 2 2" xfId="24036"/>
    <cellStyle name="Normal 17 2 3 2 3" xfId="24037"/>
    <cellStyle name="Normal 17 2 3 3" xfId="16110"/>
    <cellStyle name="Normal 17 2 3 3 2" xfId="24038"/>
    <cellStyle name="Normal 17 2 3 4" xfId="24039"/>
    <cellStyle name="Normal 17 2 4" xfId="4690"/>
    <cellStyle name="Normal 17 2 4 2" xfId="16111"/>
    <cellStyle name="Normal 17 2 4 2 2" xfId="24040"/>
    <cellStyle name="Normal 17 2 4 3" xfId="24041"/>
    <cellStyle name="Normal 17 2 5" xfId="16112"/>
    <cellStyle name="Normal 17 2 5 2" xfId="24042"/>
    <cellStyle name="Normal 17 2 6" xfId="24043"/>
    <cellStyle name="Normal 17 3" xfId="4691"/>
    <cellStyle name="Normal 17 3 2" xfId="4692"/>
    <cellStyle name="Normal 17 3 2 2" xfId="4693"/>
    <cellStyle name="Normal 17 3 2 2 2" xfId="16113"/>
    <cellStyle name="Normal 17 3 2 2 2 2" xfId="24044"/>
    <cellStyle name="Normal 17 3 2 2 3" xfId="24045"/>
    <cellStyle name="Normal 17 3 2 3" xfId="16114"/>
    <cellStyle name="Normal 17 3 2 3 2" xfId="24046"/>
    <cellStyle name="Normal 17 3 2 4" xfId="24047"/>
    <cellStyle name="Normal 17 3 3" xfId="4694"/>
    <cellStyle name="Normal 17 3 3 2" xfId="16115"/>
    <cellStyle name="Normal 17 3 3 2 2" xfId="24048"/>
    <cellStyle name="Normal 17 3 3 3" xfId="24049"/>
    <cellStyle name="Normal 17 3 4" xfId="16116"/>
    <cellStyle name="Normal 17 3 4 2" xfId="24050"/>
    <cellStyle name="Normal 17 3 5" xfId="24051"/>
    <cellStyle name="Normal 17 4" xfId="4695"/>
    <cellStyle name="Normal 17 4 2" xfId="4696"/>
    <cellStyle name="Normal 17 5" xfId="4697"/>
    <cellStyle name="Normal 17 5 2" xfId="4698"/>
    <cellStyle name="Normal 17 5 2 2" xfId="16117"/>
    <cellStyle name="Normal 17 5 2 2 2" xfId="24052"/>
    <cellStyle name="Normal 17 5 2 3" xfId="24053"/>
    <cellStyle name="Normal 17 5 3" xfId="16118"/>
    <cellStyle name="Normal 17 5 3 2" xfId="24054"/>
    <cellStyle name="Normal 17 5 4" xfId="24055"/>
    <cellStyle name="Normal 17 6" xfId="4699"/>
    <cellStyle name="Normal 17 6 2" xfId="4700"/>
    <cellStyle name="Normal 17 6 2 2" xfId="16119"/>
    <cellStyle name="Normal 17 6 2 2 2" xfId="24056"/>
    <cellStyle name="Normal 17 6 2 3" xfId="24057"/>
    <cellStyle name="Normal 17 6 3" xfId="16120"/>
    <cellStyle name="Normal 17 6 3 2" xfId="24058"/>
    <cellStyle name="Normal 17 6 4" xfId="24059"/>
    <cellStyle name="Normal 17 7" xfId="4701"/>
    <cellStyle name="Normal 17 7 2" xfId="4702"/>
    <cellStyle name="Normal 17 7 2 2" xfId="16121"/>
    <cellStyle name="Normal 17 7 2 2 2" xfId="24060"/>
    <cellStyle name="Normal 17 7 2 3" xfId="24061"/>
    <cellStyle name="Normal 17 7 3" xfId="16122"/>
    <cellStyle name="Normal 17 7 3 2" xfId="24062"/>
    <cellStyle name="Normal 17 7 4" xfId="24063"/>
    <cellStyle name="Normal 17 8" xfId="4703"/>
    <cellStyle name="Normal 17 8 2" xfId="16123"/>
    <cellStyle name="Normal 17 8 2 2" xfId="24064"/>
    <cellStyle name="Normal 17 8 3" xfId="24065"/>
    <cellStyle name="Normal 17 9" xfId="16124"/>
    <cellStyle name="Normal 17 9 2" xfId="24066"/>
    <cellStyle name="Normal 170" xfId="4704"/>
    <cellStyle name="Normal 171" xfId="4705"/>
    <cellStyle name="Normal 172" xfId="4706"/>
    <cellStyle name="Normal 173" xfId="4707"/>
    <cellStyle name="Normal 174" xfId="4708"/>
    <cellStyle name="Normal 175" xfId="4709"/>
    <cellStyle name="Normal 176" xfId="4710"/>
    <cellStyle name="Normal 177" xfId="4711"/>
    <cellStyle name="Normal 178" xfId="4712"/>
    <cellStyle name="Normal 179" xfId="4713"/>
    <cellStyle name="Normal 18" xfId="5"/>
    <cellStyle name="Normal 18 10" xfId="24067"/>
    <cellStyle name="Normal 18 2" xfId="4714"/>
    <cellStyle name="Normal 18 2 2" xfId="4715"/>
    <cellStyle name="Normal 18 2 2 2" xfId="4716"/>
    <cellStyle name="Normal 18 2 2 2 2" xfId="16125"/>
    <cellStyle name="Normal 18 2 2 2 2 2" xfId="24068"/>
    <cellStyle name="Normal 18 2 2 2 3" xfId="24069"/>
    <cellStyle name="Normal 18 2 2 3" xfId="16126"/>
    <cellStyle name="Normal 18 2 2 3 2" xfId="24070"/>
    <cellStyle name="Normal 18 2 2 4" xfId="24071"/>
    <cellStyle name="Normal 18 2 3" xfId="4717"/>
    <cellStyle name="Normal 18 2 3 2" xfId="16127"/>
    <cellStyle name="Normal 18 2 3 2 2" xfId="24072"/>
    <cellStyle name="Normal 18 2 3 3" xfId="24073"/>
    <cellStyle name="Normal 18 2 4" xfId="16128"/>
    <cellStyle name="Normal 18 2 4 2" xfId="24074"/>
    <cellStyle name="Normal 18 2 5" xfId="24075"/>
    <cellStyle name="Normal 18 3" xfId="4718"/>
    <cellStyle name="Normal 18 3 2" xfId="4719"/>
    <cellStyle name="Normal 18 3 2 2" xfId="4720"/>
    <cellStyle name="Normal 18 3 2 2 2" xfId="16129"/>
    <cellStyle name="Normal 18 3 2 2 2 2" xfId="24076"/>
    <cellStyle name="Normal 18 3 2 2 3" xfId="24077"/>
    <cellStyle name="Normal 18 3 2 3" xfId="16130"/>
    <cellStyle name="Normal 18 3 2 3 2" xfId="24078"/>
    <cellStyle name="Normal 18 3 2 4" xfId="24079"/>
    <cellStyle name="Normal 18 3 3" xfId="4721"/>
    <cellStyle name="Normal 18 3 3 2" xfId="16131"/>
    <cellStyle name="Normal 18 3 3 2 2" xfId="24080"/>
    <cellStyle name="Normal 18 3 3 3" xfId="24081"/>
    <cellStyle name="Normal 18 3 4" xfId="16132"/>
    <cellStyle name="Normal 18 3 4 2" xfId="24082"/>
    <cellStyle name="Normal 18 3 5" xfId="24083"/>
    <cellStyle name="Normal 18 4" xfId="4722"/>
    <cellStyle name="Normal 18 5" xfId="4723"/>
    <cellStyle name="Normal 18 5 2" xfId="4724"/>
    <cellStyle name="Normal 18 5 2 2" xfId="16133"/>
    <cellStyle name="Normal 18 5 2 2 2" xfId="24084"/>
    <cellStyle name="Normal 18 5 2 3" xfId="24085"/>
    <cellStyle name="Normal 18 5 3" xfId="16134"/>
    <cellStyle name="Normal 18 5 3 2" xfId="24086"/>
    <cellStyle name="Normal 18 5 4" xfId="24087"/>
    <cellStyle name="Normal 18 6" xfId="4725"/>
    <cellStyle name="Normal 18 6 2" xfId="4726"/>
    <cellStyle name="Normal 18 6 2 2" xfId="16135"/>
    <cellStyle name="Normal 18 6 2 2 2" xfId="24088"/>
    <cellStyle name="Normal 18 6 2 3" xfId="24089"/>
    <cellStyle name="Normal 18 6 3" xfId="16136"/>
    <cellStyle name="Normal 18 6 3 2" xfId="24090"/>
    <cellStyle name="Normal 18 6 4" xfId="24091"/>
    <cellStyle name="Normal 18 7" xfId="4727"/>
    <cellStyle name="Normal 18 7 2" xfId="4728"/>
    <cellStyle name="Normal 18 7 2 2" xfId="16137"/>
    <cellStyle name="Normal 18 7 2 2 2" xfId="24092"/>
    <cellStyle name="Normal 18 7 2 3" xfId="24093"/>
    <cellStyle name="Normal 18 7 3" xfId="16138"/>
    <cellStyle name="Normal 18 7 3 2" xfId="24094"/>
    <cellStyle name="Normal 18 7 4" xfId="24095"/>
    <cellStyle name="Normal 18 8" xfId="4729"/>
    <cellStyle name="Normal 18 8 2" xfId="16139"/>
    <cellStyle name="Normal 18 8 2 2" xfId="24096"/>
    <cellStyle name="Normal 18 8 3" xfId="24097"/>
    <cellStyle name="Normal 18 9" xfId="16140"/>
    <cellStyle name="Normal 18 9 2" xfId="24098"/>
    <cellStyle name="Normal 180" xfId="4730"/>
    <cellStyle name="Normal 181" xfId="4731"/>
    <cellStyle name="Normal 182" xfId="4732"/>
    <cellStyle name="Normal 183" xfId="4733"/>
    <cellStyle name="Normal 184" xfId="4734"/>
    <cellStyle name="Normal 185" xfId="4735"/>
    <cellStyle name="Normal 186" xfId="4736"/>
    <cellStyle name="Normal 187" xfId="4737"/>
    <cellStyle name="Normal 188" xfId="4738"/>
    <cellStyle name="Normal 189" xfId="4739"/>
    <cellStyle name="Normal 19" xfId="33"/>
    <cellStyle name="Normal 19 2" xfId="4740"/>
    <cellStyle name="Normal 19 3" xfId="4741"/>
    <cellStyle name="Normal 19 3 2" xfId="4742"/>
    <cellStyle name="Normal 19 3 2 2" xfId="16141"/>
    <cellStyle name="Normal 19 3 2 2 2" xfId="24099"/>
    <cellStyle name="Normal 19 3 2 3" xfId="24100"/>
    <cellStyle name="Normal 19 3 3" xfId="16142"/>
    <cellStyle name="Normal 19 3 3 2" xfId="24101"/>
    <cellStyle name="Normal 19 3 4" xfId="24102"/>
    <cellStyle name="Normal 19 4" xfId="4743"/>
    <cellStyle name="Normal 19 4 2" xfId="4744"/>
    <cellStyle name="Normal 19 4 2 2" xfId="16143"/>
    <cellStyle name="Normal 19 4 2 2 2" xfId="24103"/>
    <cellStyle name="Normal 19 4 2 3" xfId="24104"/>
    <cellStyle name="Normal 19 4 3" xfId="16144"/>
    <cellStyle name="Normal 19 4 3 2" xfId="24105"/>
    <cellStyle name="Normal 19 4 4" xfId="24106"/>
    <cellStyle name="Normal 19 5" xfId="4745"/>
    <cellStyle name="Normal 19 5 2" xfId="4746"/>
    <cellStyle name="Normal 19 5 2 2" xfId="16145"/>
    <cellStyle name="Normal 19 5 2 2 2" xfId="24107"/>
    <cellStyle name="Normal 19 5 2 3" xfId="24108"/>
    <cellStyle name="Normal 19 5 3" xfId="16146"/>
    <cellStyle name="Normal 19 5 3 2" xfId="24109"/>
    <cellStyle name="Normal 19 5 4" xfId="24110"/>
    <cellStyle name="Normal 19 6" xfId="4747"/>
    <cellStyle name="Normal 19 6 2" xfId="4748"/>
    <cellStyle name="Normal 19 6 2 2" xfId="16147"/>
    <cellStyle name="Normal 19 6 2 2 2" xfId="24111"/>
    <cellStyle name="Normal 19 6 2 3" xfId="24112"/>
    <cellStyle name="Normal 19 6 3" xfId="16148"/>
    <cellStyle name="Normal 19 6 3 2" xfId="24113"/>
    <cellStyle name="Normal 19 6 4" xfId="24114"/>
    <cellStyle name="Normal 19 7" xfId="4749"/>
    <cellStyle name="Normal 19 7 2" xfId="4750"/>
    <cellStyle name="Normal 19 7 2 2" xfId="16149"/>
    <cellStyle name="Normal 19 7 2 2 2" xfId="24115"/>
    <cellStyle name="Normal 19 7 2 3" xfId="24116"/>
    <cellStyle name="Normal 19 7 3" xfId="16150"/>
    <cellStyle name="Normal 19 7 3 2" xfId="24117"/>
    <cellStyle name="Normal 19 7 4" xfId="24118"/>
    <cellStyle name="Normal 19 8" xfId="4751"/>
    <cellStyle name="Normal 190" xfId="4752"/>
    <cellStyle name="Normal 191" xfId="4753"/>
    <cellStyle name="Normal 192" xfId="4754"/>
    <cellStyle name="Normal 193" xfId="4755"/>
    <cellStyle name="Normal 194" xfId="4756"/>
    <cellStyle name="Normal 194 2" xfId="4757"/>
    <cellStyle name="Normal 195" xfId="4758"/>
    <cellStyle name="Normal 195 2" xfId="4759"/>
    <cellStyle name="Normal 196" xfId="4760"/>
    <cellStyle name="Normal 197" xfId="4761"/>
    <cellStyle name="Normal 198" xfId="4762"/>
    <cellStyle name="Normal 198 2" xfId="116"/>
    <cellStyle name="Normal 198 3" xfId="16151"/>
    <cellStyle name="Normal 199" xfId="4763"/>
    <cellStyle name="Normal 199 2" xfId="4764"/>
    <cellStyle name="Normal 199 2 2" xfId="24119"/>
    <cellStyle name="Normal 199 3" xfId="24120"/>
    <cellStyle name="Normal 2" xfId="1"/>
    <cellStyle name="Normal 2 10" xfId="4765"/>
    <cellStyle name="Normal 2 10 2" xfId="119"/>
    <cellStyle name="Normal 2 10 3" xfId="4766"/>
    <cellStyle name="Normal 2 10 3 2" xfId="4767"/>
    <cellStyle name="Normal 2 10 4" xfId="4768"/>
    <cellStyle name="Normal 2 10 4 2" xfId="4769"/>
    <cellStyle name="Normal 2 10 4 2 2" xfId="4770"/>
    <cellStyle name="Normal 2 10 4 2 2 2" xfId="16152"/>
    <cellStyle name="Normal 2 10 4 2 2 2 2" xfId="24121"/>
    <cellStyle name="Normal 2 10 4 2 2 3" xfId="24122"/>
    <cellStyle name="Normal 2 10 4 2 3" xfId="16153"/>
    <cellStyle name="Normal 2 10 4 2 3 2" xfId="24123"/>
    <cellStyle name="Normal 2 10 4 2 4" xfId="24124"/>
    <cellStyle name="Normal 2 10 4 3" xfId="4771"/>
    <cellStyle name="Normal 2 10 4 3 2" xfId="16154"/>
    <cellStyle name="Normal 2 10 4 3 2 2" xfId="24125"/>
    <cellStyle name="Normal 2 10 4 3 3" xfId="24126"/>
    <cellStyle name="Normal 2 10 4 4" xfId="16155"/>
    <cellStyle name="Normal 2 10 4 4 2" xfId="24127"/>
    <cellStyle name="Normal 2 10 4 5" xfId="24128"/>
    <cellStyle name="Normal 2 10 5" xfId="4772"/>
    <cellStyle name="Normal 2 10 5 2" xfId="4773"/>
    <cellStyle name="Normal 2 10 5 2 2" xfId="16156"/>
    <cellStyle name="Normal 2 10 5 2 2 2" xfId="24129"/>
    <cellStyle name="Normal 2 10 5 2 3" xfId="24130"/>
    <cellStyle name="Normal 2 10 5 3" xfId="16157"/>
    <cellStyle name="Normal 2 10 5 3 2" xfId="24131"/>
    <cellStyle name="Normal 2 10 5 4" xfId="24132"/>
    <cellStyle name="Normal 2 10 6" xfId="4774"/>
    <cellStyle name="Normal 2 10 6 2" xfId="4775"/>
    <cellStyle name="Normal 2 10 6 2 2" xfId="16158"/>
    <cellStyle name="Normal 2 10 6 2 2 2" xfId="24133"/>
    <cellStyle name="Normal 2 10 6 2 3" xfId="24134"/>
    <cellStyle name="Normal 2 10 6 3" xfId="16159"/>
    <cellStyle name="Normal 2 10 6 3 2" xfId="24135"/>
    <cellStyle name="Normal 2 10 6 4" xfId="24136"/>
    <cellStyle name="Normal 2 10 7" xfId="4776"/>
    <cellStyle name="Normal 2 10 7 2" xfId="16160"/>
    <cellStyle name="Normal 2 10 7 2 2" xfId="16161"/>
    <cellStyle name="Normal 2 10 7 2 2 2" xfId="24137"/>
    <cellStyle name="Normal 2 10 7 2 3" xfId="22078"/>
    <cellStyle name="Normal 2 10 7 2 4" xfId="24138"/>
    <cellStyle name="Normal 2 10 7 3" xfId="16162"/>
    <cellStyle name="Normal 2 10 7 3 2" xfId="24139"/>
    <cellStyle name="Normal 2 10 7 4" xfId="24140"/>
    <cellStyle name="Normal 2 10 8" xfId="16163"/>
    <cellStyle name="Normal 2 10 8 2" xfId="24141"/>
    <cellStyle name="Normal 2 10 9" xfId="24142"/>
    <cellStyle name="Normal 2 100" xfId="4777"/>
    <cellStyle name="Normal 2 100 2" xfId="4778"/>
    <cellStyle name="Normal 2 100 2 2" xfId="4779"/>
    <cellStyle name="Normal 2 100 2 2 2" xfId="16164"/>
    <cellStyle name="Normal 2 100 2 2 2 2" xfId="24143"/>
    <cellStyle name="Normal 2 100 2 2 3" xfId="24144"/>
    <cellStyle name="Normal 2 100 2 3" xfId="16165"/>
    <cellStyle name="Normal 2 100 2 3 2" xfId="24145"/>
    <cellStyle name="Normal 2 100 2 4" xfId="24146"/>
    <cellStyle name="Normal 2 100 3" xfId="4780"/>
    <cellStyle name="Normal 2 100 3 2" xfId="16166"/>
    <cellStyle name="Normal 2 100 3 2 2" xfId="24147"/>
    <cellStyle name="Normal 2 100 3 3" xfId="24148"/>
    <cellStyle name="Normal 2 100 4" xfId="16167"/>
    <cellStyle name="Normal 2 100 4 2" xfId="24149"/>
    <cellStyle name="Normal 2 100 5" xfId="24150"/>
    <cellStyle name="Normal 2 101" xfId="4781"/>
    <cellStyle name="Normal 2 101 2" xfId="4782"/>
    <cellStyle name="Normal 2 101 2 2" xfId="4783"/>
    <cellStyle name="Normal 2 101 2 2 2" xfId="16168"/>
    <cellStyle name="Normal 2 101 2 2 2 2" xfId="24151"/>
    <cellStyle name="Normal 2 101 2 2 3" xfId="24152"/>
    <cellStyle name="Normal 2 101 2 3" xfId="16169"/>
    <cellStyle name="Normal 2 101 2 3 2" xfId="24153"/>
    <cellStyle name="Normal 2 101 2 4" xfId="24154"/>
    <cellStyle name="Normal 2 101 3" xfId="4784"/>
    <cellStyle name="Normal 2 101 3 2" xfId="16170"/>
    <cellStyle name="Normal 2 101 3 2 2" xfId="24155"/>
    <cellStyle name="Normal 2 101 3 3" xfId="24156"/>
    <cellStyle name="Normal 2 101 4" xfId="16171"/>
    <cellStyle name="Normal 2 101 4 2" xfId="24157"/>
    <cellStyle name="Normal 2 101 5" xfId="24158"/>
    <cellStyle name="Normal 2 102" xfId="4785"/>
    <cellStyle name="Normal 2 102 2" xfId="4786"/>
    <cellStyle name="Normal 2 102 2 2" xfId="4787"/>
    <cellStyle name="Normal 2 102 2 2 2" xfId="16172"/>
    <cellStyle name="Normal 2 102 2 2 2 2" xfId="24159"/>
    <cellStyle name="Normal 2 102 2 2 3" xfId="24160"/>
    <cellStyle name="Normal 2 102 2 3" xfId="16173"/>
    <cellStyle name="Normal 2 102 2 3 2" xfId="24161"/>
    <cellStyle name="Normal 2 102 2 4" xfId="24162"/>
    <cellStyle name="Normal 2 102 3" xfId="4788"/>
    <cellStyle name="Normal 2 102 3 2" xfId="16174"/>
    <cellStyle name="Normal 2 102 3 2 2" xfId="24163"/>
    <cellStyle name="Normal 2 102 3 3" xfId="24164"/>
    <cellStyle name="Normal 2 102 4" xfId="16175"/>
    <cellStyle name="Normal 2 102 4 2" xfId="24165"/>
    <cellStyle name="Normal 2 102 5" xfId="24166"/>
    <cellStyle name="Normal 2 103" xfId="4789"/>
    <cellStyle name="Normal 2 103 2" xfId="4790"/>
    <cellStyle name="Normal 2 103 2 2" xfId="4791"/>
    <cellStyle name="Normal 2 103 2 2 2" xfId="16176"/>
    <cellStyle name="Normal 2 103 2 2 2 2" xfId="24167"/>
    <cellStyle name="Normal 2 103 2 2 3" xfId="24168"/>
    <cellStyle name="Normal 2 103 2 3" xfId="16177"/>
    <cellStyle name="Normal 2 103 2 3 2" xfId="24169"/>
    <cellStyle name="Normal 2 103 2 4" xfId="24170"/>
    <cellStyle name="Normal 2 103 3" xfId="4792"/>
    <cellStyle name="Normal 2 103 3 2" xfId="16178"/>
    <cellStyle name="Normal 2 103 3 2 2" xfId="24171"/>
    <cellStyle name="Normal 2 103 3 3" xfId="24172"/>
    <cellStyle name="Normal 2 103 4" xfId="16179"/>
    <cellStyle name="Normal 2 103 4 2" xfId="24173"/>
    <cellStyle name="Normal 2 103 5" xfId="24174"/>
    <cellStyle name="Normal 2 104" xfId="4793"/>
    <cellStyle name="Normal 2 105" xfId="4794"/>
    <cellStyle name="Normal 2 105 2" xfId="4795"/>
    <cellStyle name="Normal 2 105 2 2" xfId="4796"/>
    <cellStyle name="Normal 2 105 2 2 2" xfId="16180"/>
    <cellStyle name="Normal 2 105 2 2 2 2" xfId="24175"/>
    <cellStyle name="Normal 2 105 2 2 3" xfId="24176"/>
    <cellStyle name="Normal 2 105 2 3" xfId="16181"/>
    <cellStyle name="Normal 2 105 2 3 2" xfId="24177"/>
    <cellStyle name="Normal 2 105 2 4" xfId="24178"/>
    <cellStyle name="Normal 2 105 3" xfId="4797"/>
    <cellStyle name="Normal 2 105 3 2" xfId="16182"/>
    <cellStyle name="Normal 2 105 3 2 2" xfId="24179"/>
    <cellStyle name="Normal 2 105 3 3" xfId="24180"/>
    <cellStyle name="Normal 2 105 4" xfId="16183"/>
    <cellStyle name="Normal 2 105 4 2" xfId="24181"/>
    <cellStyle name="Normal 2 105 5" xfId="24182"/>
    <cellStyle name="Normal 2 106" xfId="4798"/>
    <cellStyle name="Normal 2 106 2" xfId="4799"/>
    <cellStyle name="Normal 2 106 2 2" xfId="4800"/>
    <cellStyle name="Normal 2 106 2 2 2" xfId="16184"/>
    <cellStyle name="Normal 2 106 2 2 2 2" xfId="24183"/>
    <cellStyle name="Normal 2 106 2 2 3" xfId="24184"/>
    <cellStyle name="Normal 2 106 2 3" xfId="16185"/>
    <cellStyle name="Normal 2 106 2 3 2" xfId="24185"/>
    <cellStyle name="Normal 2 106 2 4" xfId="24186"/>
    <cellStyle name="Normal 2 106 3" xfId="4801"/>
    <cellStyle name="Normal 2 106 3 2" xfId="16186"/>
    <cellStyle name="Normal 2 106 3 2 2" xfId="24187"/>
    <cellStyle name="Normal 2 106 3 3" xfId="24188"/>
    <cellStyle name="Normal 2 106 4" xfId="16187"/>
    <cellStyle name="Normal 2 106 4 2" xfId="24189"/>
    <cellStyle name="Normal 2 106 5" xfId="24190"/>
    <cellStyle name="Normal 2 107" xfId="4802"/>
    <cellStyle name="Normal 2 107 2" xfId="4803"/>
    <cellStyle name="Normal 2 107 2 2" xfId="4804"/>
    <cellStyle name="Normal 2 107 2 2 2" xfId="16188"/>
    <cellStyle name="Normal 2 107 2 2 2 2" xfId="24191"/>
    <cellStyle name="Normal 2 107 2 2 3" xfId="24192"/>
    <cellStyle name="Normal 2 107 2 3" xfId="16189"/>
    <cellStyle name="Normal 2 107 2 3 2" xfId="24193"/>
    <cellStyle name="Normal 2 107 2 4" xfId="24194"/>
    <cellStyle name="Normal 2 107 3" xfId="4805"/>
    <cellStyle name="Normal 2 107 3 2" xfId="16190"/>
    <cellStyle name="Normal 2 107 3 2 2" xfId="24195"/>
    <cellStyle name="Normal 2 107 3 3" xfId="24196"/>
    <cellStyle name="Normal 2 107 4" xfId="16191"/>
    <cellStyle name="Normal 2 107 4 2" xfId="24197"/>
    <cellStyle name="Normal 2 107 5" xfId="24198"/>
    <cellStyle name="Normal 2 108" xfId="4806"/>
    <cellStyle name="Normal 2 108 2" xfId="4807"/>
    <cellStyle name="Normal 2 108 2 2" xfId="4808"/>
    <cellStyle name="Normal 2 108 2 2 2" xfId="16192"/>
    <cellStyle name="Normal 2 108 2 2 2 2" xfId="24199"/>
    <cellStyle name="Normal 2 108 2 2 3" xfId="24200"/>
    <cellStyle name="Normal 2 108 2 3" xfId="16193"/>
    <cellStyle name="Normal 2 108 2 3 2" xfId="24201"/>
    <cellStyle name="Normal 2 108 2 4" xfId="24202"/>
    <cellStyle name="Normal 2 108 3" xfId="4809"/>
    <cellStyle name="Normal 2 108 3 2" xfId="16194"/>
    <cellStyle name="Normal 2 108 3 2 2" xfId="24203"/>
    <cellStyle name="Normal 2 108 3 3" xfId="24204"/>
    <cellStyle name="Normal 2 108 4" xfId="16195"/>
    <cellStyle name="Normal 2 108 4 2" xfId="24205"/>
    <cellStyle name="Normal 2 108 5" xfId="24206"/>
    <cellStyle name="Normal 2 109" xfId="4810"/>
    <cellStyle name="Normal 2 109 2" xfId="4811"/>
    <cellStyle name="Normal 2 109 2 2" xfId="4812"/>
    <cellStyle name="Normal 2 109 2 2 2" xfId="16196"/>
    <cellStyle name="Normal 2 109 2 2 2 2" xfId="24207"/>
    <cellStyle name="Normal 2 109 2 2 3" xfId="24208"/>
    <cellStyle name="Normal 2 109 2 3" xfId="16197"/>
    <cellStyle name="Normal 2 109 2 3 2" xfId="24209"/>
    <cellStyle name="Normal 2 109 2 4" xfId="24210"/>
    <cellStyle name="Normal 2 109 3" xfId="4813"/>
    <cellStyle name="Normal 2 109 3 2" xfId="16198"/>
    <cellStyle name="Normal 2 109 3 2 2" xfId="24211"/>
    <cellStyle name="Normal 2 109 3 3" xfId="24212"/>
    <cellStyle name="Normal 2 109 4" xfId="16199"/>
    <cellStyle name="Normal 2 109 4 2" xfId="24213"/>
    <cellStyle name="Normal 2 109 5" xfId="24214"/>
    <cellStyle name="Normal 2 11" xfId="4814"/>
    <cellStyle name="Normal 2 11 2" xfId="4815"/>
    <cellStyle name="Normal 2 11 3" xfId="4816"/>
    <cellStyle name="Normal 2 11 4" xfId="4817"/>
    <cellStyle name="Normal 2 11 4 2" xfId="4818"/>
    <cellStyle name="Normal 2 11 4 2 2" xfId="16200"/>
    <cellStyle name="Normal 2 11 4 2 2 2" xfId="24215"/>
    <cellStyle name="Normal 2 11 4 2 3" xfId="24216"/>
    <cellStyle name="Normal 2 11 4 3" xfId="16201"/>
    <cellStyle name="Normal 2 11 4 3 2" xfId="24217"/>
    <cellStyle name="Normal 2 11 4 4" xfId="24218"/>
    <cellStyle name="Normal 2 11 5" xfId="4819"/>
    <cellStyle name="Normal 2 11 5 2" xfId="4820"/>
    <cellStyle name="Normal 2 11 5 2 2" xfId="16202"/>
    <cellStyle name="Normal 2 11 5 2 2 2" xfId="24219"/>
    <cellStyle name="Normal 2 11 5 2 3" xfId="24220"/>
    <cellStyle name="Normal 2 11 5 3" xfId="16203"/>
    <cellStyle name="Normal 2 11 5 3 2" xfId="24221"/>
    <cellStyle name="Normal 2 11 5 4" xfId="24222"/>
    <cellStyle name="Normal 2 11 6" xfId="4821"/>
    <cellStyle name="Normal 2 11 6 2" xfId="16204"/>
    <cellStyle name="Normal 2 11 6 2 2" xfId="24223"/>
    <cellStyle name="Normal 2 11 6 3" xfId="24224"/>
    <cellStyle name="Normal 2 11 7" xfId="16205"/>
    <cellStyle name="Normal 2 11 7 2" xfId="24225"/>
    <cellStyle name="Normal 2 11 8" xfId="24226"/>
    <cellStyle name="Normal 2 110" xfId="4822"/>
    <cellStyle name="Normal 2 110 2" xfId="4823"/>
    <cellStyle name="Normal 2 110 2 2" xfId="4824"/>
    <cellStyle name="Normal 2 110 2 2 2" xfId="16206"/>
    <cellStyle name="Normal 2 110 2 2 2 2" xfId="24227"/>
    <cellStyle name="Normal 2 110 2 2 3" xfId="24228"/>
    <cellStyle name="Normal 2 110 2 3" xfId="16207"/>
    <cellStyle name="Normal 2 110 2 3 2" xfId="24229"/>
    <cellStyle name="Normal 2 110 2 4" xfId="24230"/>
    <cellStyle name="Normal 2 110 3" xfId="4825"/>
    <cellStyle name="Normal 2 110 3 2" xfId="16208"/>
    <cellStyle name="Normal 2 110 3 2 2" xfId="24231"/>
    <cellStyle name="Normal 2 110 3 3" xfId="24232"/>
    <cellStyle name="Normal 2 110 4" xfId="16209"/>
    <cellStyle name="Normal 2 110 4 2" xfId="24233"/>
    <cellStyle name="Normal 2 110 5" xfId="24234"/>
    <cellStyle name="Normal 2 111" xfId="4826"/>
    <cellStyle name="Normal 2 111 2" xfId="4827"/>
    <cellStyle name="Normal 2 111 2 2" xfId="4828"/>
    <cellStyle name="Normal 2 111 2 2 2" xfId="16210"/>
    <cellStyle name="Normal 2 111 2 2 2 2" xfId="24235"/>
    <cellStyle name="Normal 2 111 2 2 3" xfId="24236"/>
    <cellStyle name="Normal 2 111 2 3" xfId="16211"/>
    <cellStyle name="Normal 2 111 2 3 2" xfId="24237"/>
    <cellStyle name="Normal 2 111 2 4" xfId="24238"/>
    <cellStyle name="Normal 2 111 3" xfId="4829"/>
    <cellStyle name="Normal 2 111 3 2" xfId="16212"/>
    <cellStyle name="Normal 2 111 3 2 2" xfId="24239"/>
    <cellStyle name="Normal 2 111 3 3" xfId="24240"/>
    <cellStyle name="Normal 2 111 4" xfId="16213"/>
    <cellStyle name="Normal 2 111 4 2" xfId="24241"/>
    <cellStyle name="Normal 2 111 5" xfId="24242"/>
    <cellStyle name="Normal 2 112" xfId="4830"/>
    <cellStyle name="Normal 2 112 2" xfId="4831"/>
    <cellStyle name="Normal 2 112 2 2" xfId="4832"/>
    <cellStyle name="Normal 2 112 2 2 2" xfId="16214"/>
    <cellStyle name="Normal 2 112 2 2 2 2" xfId="24243"/>
    <cellStyle name="Normal 2 112 2 2 3" xfId="24244"/>
    <cellStyle name="Normal 2 112 2 3" xfId="16215"/>
    <cellStyle name="Normal 2 112 2 3 2" xfId="24245"/>
    <cellStyle name="Normal 2 112 2 4" xfId="24246"/>
    <cellStyle name="Normal 2 112 3" xfId="4833"/>
    <cellStyle name="Normal 2 112 3 2" xfId="16216"/>
    <cellStyle name="Normal 2 112 3 2 2" xfId="24247"/>
    <cellStyle name="Normal 2 112 3 3" xfId="24248"/>
    <cellStyle name="Normal 2 112 4" xfId="16217"/>
    <cellStyle name="Normal 2 112 4 2" xfId="24249"/>
    <cellStyle name="Normal 2 112 5" xfId="24250"/>
    <cellStyle name="Normal 2 113" xfId="4834"/>
    <cellStyle name="Normal 2 113 2" xfId="4835"/>
    <cellStyle name="Normal 2 113 2 2" xfId="4836"/>
    <cellStyle name="Normal 2 113 2 2 2" xfId="16218"/>
    <cellStyle name="Normal 2 113 2 2 2 2" xfId="24251"/>
    <cellStyle name="Normal 2 113 2 2 3" xfId="24252"/>
    <cellStyle name="Normal 2 113 2 3" xfId="16219"/>
    <cellStyle name="Normal 2 113 2 3 2" xfId="24253"/>
    <cellStyle name="Normal 2 113 2 4" xfId="24254"/>
    <cellStyle name="Normal 2 113 3" xfId="4837"/>
    <cellStyle name="Normal 2 113 3 2" xfId="16220"/>
    <cellStyle name="Normal 2 113 3 2 2" xfId="24255"/>
    <cellStyle name="Normal 2 113 3 3" xfId="24256"/>
    <cellStyle name="Normal 2 113 4" xfId="16221"/>
    <cellStyle name="Normal 2 113 4 2" xfId="24257"/>
    <cellStyle name="Normal 2 113 5" xfId="24258"/>
    <cellStyle name="Normal 2 114" xfId="4838"/>
    <cellStyle name="Normal 2 114 2" xfId="4839"/>
    <cellStyle name="Normal 2 114 2 2" xfId="4840"/>
    <cellStyle name="Normal 2 114 2 2 2" xfId="16222"/>
    <cellStyle name="Normal 2 114 2 2 2 2" xfId="24259"/>
    <cellStyle name="Normal 2 114 2 2 3" xfId="24260"/>
    <cellStyle name="Normal 2 114 2 3" xfId="16223"/>
    <cellStyle name="Normal 2 114 2 3 2" xfId="24261"/>
    <cellStyle name="Normal 2 114 2 4" xfId="24262"/>
    <cellStyle name="Normal 2 114 3" xfId="4841"/>
    <cellStyle name="Normal 2 114 3 2" xfId="16224"/>
    <cellStyle name="Normal 2 114 3 2 2" xfId="24263"/>
    <cellStyle name="Normal 2 114 3 3" xfId="24264"/>
    <cellStyle name="Normal 2 114 4" xfId="16225"/>
    <cellStyle name="Normal 2 114 4 2" xfId="24265"/>
    <cellStyle name="Normal 2 114 5" xfId="24266"/>
    <cellStyle name="Normal 2 115" xfId="4842"/>
    <cellStyle name="Normal 2 115 2" xfId="4843"/>
    <cellStyle name="Normal 2 115 2 2" xfId="4844"/>
    <cellStyle name="Normal 2 115 2 2 2" xfId="16226"/>
    <cellStyle name="Normal 2 115 2 2 2 2" xfId="24267"/>
    <cellStyle name="Normal 2 115 2 2 3" xfId="24268"/>
    <cellStyle name="Normal 2 115 2 3" xfId="16227"/>
    <cellStyle name="Normal 2 115 2 3 2" xfId="24269"/>
    <cellStyle name="Normal 2 115 2 4" xfId="24270"/>
    <cellStyle name="Normal 2 115 3" xfId="4845"/>
    <cellStyle name="Normal 2 115 3 2" xfId="16228"/>
    <cellStyle name="Normal 2 115 3 2 2" xfId="24271"/>
    <cellStyle name="Normal 2 115 3 3" xfId="24272"/>
    <cellStyle name="Normal 2 115 4" xfId="16229"/>
    <cellStyle name="Normal 2 115 4 2" xfId="24273"/>
    <cellStyle name="Normal 2 115 5" xfId="24274"/>
    <cellStyle name="Normal 2 116" xfId="4846"/>
    <cellStyle name="Normal 2 116 2" xfId="4847"/>
    <cellStyle name="Normal 2 116 2 2" xfId="4848"/>
    <cellStyle name="Normal 2 116 2 2 2" xfId="16230"/>
    <cellStyle name="Normal 2 116 2 2 2 2" xfId="24275"/>
    <cellStyle name="Normal 2 116 2 2 3" xfId="24276"/>
    <cellStyle name="Normal 2 116 2 3" xfId="16231"/>
    <cellStyle name="Normal 2 116 2 3 2" xfId="24277"/>
    <cellStyle name="Normal 2 116 2 4" xfId="24278"/>
    <cellStyle name="Normal 2 116 3" xfId="4849"/>
    <cellStyle name="Normal 2 116 3 2" xfId="16232"/>
    <cellStyle name="Normal 2 116 3 2 2" xfId="24279"/>
    <cellStyle name="Normal 2 116 3 3" xfId="24280"/>
    <cellStyle name="Normal 2 116 4" xfId="16233"/>
    <cellStyle name="Normal 2 116 4 2" xfId="24281"/>
    <cellStyle name="Normal 2 116 5" xfId="24282"/>
    <cellStyle name="Normal 2 117" xfId="4850"/>
    <cellStyle name="Normal 2 117 2" xfId="4851"/>
    <cellStyle name="Normal 2 117 2 2" xfId="4852"/>
    <cellStyle name="Normal 2 117 2 2 2" xfId="16234"/>
    <cellStyle name="Normal 2 117 2 2 2 2" xfId="24283"/>
    <cellStyle name="Normal 2 117 2 2 3" xfId="24284"/>
    <cellStyle name="Normal 2 117 2 3" xfId="16235"/>
    <cellStyle name="Normal 2 117 2 3 2" xfId="24285"/>
    <cellStyle name="Normal 2 117 2 4" xfId="24286"/>
    <cellStyle name="Normal 2 117 3" xfId="4853"/>
    <cellStyle name="Normal 2 117 3 2" xfId="16236"/>
    <cellStyle name="Normal 2 117 3 2 2" xfId="24287"/>
    <cellStyle name="Normal 2 117 3 3" xfId="24288"/>
    <cellStyle name="Normal 2 117 4" xfId="16237"/>
    <cellStyle name="Normal 2 117 4 2" xfId="24289"/>
    <cellStyle name="Normal 2 117 5" xfId="24290"/>
    <cellStyle name="Normal 2 118" xfId="4854"/>
    <cellStyle name="Normal 2 118 2" xfId="4855"/>
    <cellStyle name="Normal 2 118 2 2" xfId="4856"/>
    <cellStyle name="Normal 2 118 2 2 2" xfId="16238"/>
    <cellStyle name="Normal 2 118 2 2 2 2" xfId="24291"/>
    <cellStyle name="Normal 2 118 2 2 3" xfId="24292"/>
    <cellStyle name="Normal 2 118 2 3" xfId="16239"/>
    <cellStyle name="Normal 2 118 2 3 2" xfId="24293"/>
    <cellStyle name="Normal 2 118 2 4" xfId="24294"/>
    <cellStyle name="Normal 2 118 3" xfId="4857"/>
    <cellStyle name="Normal 2 118 3 2" xfId="16240"/>
    <cellStyle name="Normal 2 118 3 2 2" xfId="24295"/>
    <cellStyle name="Normal 2 118 3 3" xfId="24296"/>
    <cellStyle name="Normal 2 118 4" xfId="16241"/>
    <cellStyle name="Normal 2 118 4 2" xfId="24297"/>
    <cellStyle name="Normal 2 118 5" xfId="24298"/>
    <cellStyle name="Normal 2 119" xfId="4858"/>
    <cellStyle name="Normal 2 119 2" xfId="4859"/>
    <cellStyle name="Normal 2 119 2 2" xfId="4860"/>
    <cellStyle name="Normal 2 119 2 2 2" xfId="16242"/>
    <cellStyle name="Normal 2 119 2 2 2 2" xfId="24299"/>
    <cellStyle name="Normal 2 119 2 2 3" xfId="24300"/>
    <cellStyle name="Normal 2 119 2 3" xfId="16243"/>
    <cellStyle name="Normal 2 119 2 3 2" xfId="24301"/>
    <cellStyle name="Normal 2 119 2 4" xfId="24302"/>
    <cellStyle name="Normal 2 119 3" xfId="4861"/>
    <cellStyle name="Normal 2 119 3 2" xfId="16244"/>
    <cellStyle name="Normal 2 119 3 2 2" xfId="24303"/>
    <cellStyle name="Normal 2 119 3 3" xfId="24304"/>
    <cellStyle name="Normal 2 119 4" xfId="16245"/>
    <cellStyle name="Normal 2 119 4 2" xfId="24305"/>
    <cellStyle name="Normal 2 119 5" xfId="24306"/>
    <cellStyle name="Normal 2 12" xfId="4862"/>
    <cellStyle name="Normal 2 12 2" xfId="4863"/>
    <cellStyle name="Normal 2 12 2 2" xfId="4864"/>
    <cellStyle name="Normal 2 12 2 2 2" xfId="16246"/>
    <cellStyle name="Normal 2 12 2 2 2 2" xfId="24307"/>
    <cellStyle name="Normal 2 12 2 2 3" xfId="24308"/>
    <cellStyle name="Normal 2 12 2 3" xfId="16247"/>
    <cellStyle name="Normal 2 12 2 3 2" xfId="24309"/>
    <cellStyle name="Normal 2 12 2 4" xfId="24310"/>
    <cellStyle name="Normal 2 12 3" xfId="4865"/>
    <cellStyle name="Normal 2 12 3 2" xfId="4866"/>
    <cellStyle name="Normal 2 12 3 2 2" xfId="16248"/>
    <cellStyle name="Normal 2 12 3 2 2 2" xfId="24311"/>
    <cellStyle name="Normal 2 12 3 2 3" xfId="24312"/>
    <cellStyle name="Normal 2 12 3 3" xfId="16249"/>
    <cellStyle name="Normal 2 12 3 3 2" xfId="24313"/>
    <cellStyle name="Normal 2 12 3 4" xfId="24314"/>
    <cellStyle name="Normal 2 12 4" xfId="4867"/>
    <cellStyle name="Normal 2 12 4 2" xfId="16250"/>
    <cellStyle name="Normal 2 12 4 2 2" xfId="24315"/>
    <cellStyle name="Normal 2 12 4 3" xfId="24316"/>
    <cellStyle name="Normal 2 12 5" xfId="16251"/>
    <cellStyle name="Normal 2 12 5 2" xfId="24317"/>
    <cellStyle name="Normal 2 12 6" xfId="24318"/>
    <cellStyle name="Normal 2 120" xfId="4868"/>
    <cellStyle name="Normal 2 120 2" xfId="4869"/>
    <cellStyle name="Normal 2 120 2 2" xfId="4870"/>
    <cellStyle name="Normal 2 120 2 2 2" xfId="16252"/>
    <cellStyle name="Normal 2 120 2 2 2 2" xfId="24319"/>
    <cellStyle name="Normal 2 120 2 2 3" xfId="24320"/>
    <cellStyle name="Normal 2 120 2 3" xfId="16253"/>
    <cellStyle name="Normal 2 120 2 3 2" xfId="24321"/>
    <cellStyle name="Normal 2 120 2 4" xfId="24322"/>
    <cellStyle name="Normal 2 120 3" xfId="4871"/>
    <cellStyle name="Normal 2 120 3 2" xfId="16254"/>
    <cellStyle name="Normal 2 120 3 2 2" xfId="24323"/>
    <cellStyle name="Normal 2 120 3 3" xfId="24324"/>
    <cellStyle name="Normal 2 120 4" xfId="16255"/>
    <cellStyle name="Normal 2 120 4 2" xfId="24325"/>
    <cellStyle name="Normal 2 120 5" xfId="24326"/>
    <cellStyle name="Normal 2 121" xfId="4872"/>
    <cellStyle name="Normal 2 121 2" xfId="4873"/>
    <cellStyle name="Normal 2 121 2 2" xfId="4874"/>
    <cellStyle name="Normal 2 121 2 2 2" xfId="16256"/>
    <cellStyle name="Normal 2 121 2 2 2 2" xfId="24327"/>
    <cellStyle name="Normal 2 121 2 2 3" xfId="24328"/>
    <cellStyle name="Normal 2 121 2 3" xfId="16257"/>
    <cellStyle name="Normal 2 121 2 3 2" xfId="24329"/>
    <cellStyle name="Normal 2 121 2 4" xfId="24330"/>
    <cellStyle name="Normal 2 121 3" xfId="4875"/>
    <cellStyle name="Normal 2 121 3 2" xfId="16258"/>
    <cellStyle name="Normal 2 121 3 2 2" xfId="24331"/>
    <cellStyle name="Normal 2 121 3 3" xfId="24332"/>
    <cellStyle name="Normal 2 121 4" xfId="16259"/>
    <cellStyle name="Normal 2 121 4 2" xfId="24333"/>
    <cellStyle name="Normal 2 121 5" xfId="24334"/>
    <cellStyle name="Normal 2 122" xfId="4876"/>
    <cellStyle name="Normal 2 122 2" xfId="4877"/>
    <cellStyle name="Normal 2 122 2 2" xfId="4878"/>
    <cellStyle name="Normal 2 122 2 2 2" xfId="16260"/>
    <cellStyle name="Normal 2 122 2 2 2 2" xfId="24335"/>
    <cellStyle name="Normal 2 122 2 2 3" xfId="24336"/>
    <cellStyle name="Normal 2 122 2 3" xfId="16261"/>
    <cellStyle name="Normal 2 122 2 3 2" xfId="24337"/>
    <cellStyle name="Normal 2 122 2 4" xfId="24338"/>
    <cellStyle name="Normal 2 122 3" xfId="4879"/>
    <cellStyle name="Normal 2 122 3 2" xfId="16262"/>
    <cellStyle name="Normal 2 122 3 2 2" xfId="24339"/>
    <cellStyle name="Normal 2 122 3 3" xfId="24340"/>
    <cellStyle name="Normal 2 122 4" xfId="16263"/>
    <cellStyle name="Normal 2 122 4 2" xfId="24341"/>
    <cellStyle name="Normal 2 122 5" xfId="24342"/>
    <cellStyle name="Normal 2 123" xfId="4880"/>
    <cellStyle name="Normal 2 123 2" xfId="4881"/>
    <cellStyle name="Normal 2 123 2 2" xfId="4882"/>
    <cellStyle name="Normal 2 123 2 2 2" xfId="16264"/>
    <cellStyle name="Normal 2 123 2 2 2 2" xfId="24343"/>
    <cellStyle name="Normal 2 123 2 2 3" xfId="24344"/>
    <cellStyle name="Normal 2 123 2 3" xfId="16265"/>
    <cellStyle name="Normal 2 123 2 3 2" xfId="24345"/>
    <cellStyle name="Normal 2 123 2 4" xfId="24346"/>
    <cellStyle name="Normal 2 123 3" xfId="4883"/>
    <cellStyle name="Normal 2 123 3 2" xfId="16266"/>
    <cellStyle name="Normal 2 123 3 2 2" xfId="24347"/>
    <cellStyle name="Normal 2 123 3 3" xfId="24348"/>
    <cellStyle name="Normal 2 123 4" xfId="16267"/>
    <cellStyle name="Normal 2 123 4 2" xfId="24349"/>
    <cellStyle name="Normal 2 123 5" xfId="24350"/>
    <cellStyle name="Normal 2 124" xfId="4884"/>
    <cellStyle name="Normal 2 124 2" xfId="4885"/>
    <cellStyle name="Normal 2 124 2 2" xfId="4886"/>
    <cellStyle name="Normal 2 124 2 2 2" xfId="16268"/>
    <cellStyle name="Normal 2 124 2 2 2 2" xfId="24351"/>
    <cellStyle name="Normal 2 124 2 2 3" xfId="24352"/>
    <cellStyle name="Normal 2 124 2 3" xfId="16269"/>
    <cellStyle name="Normal 2 124 2 3 2" xfId="24353"/>
    <cellStyle name="Normal 2 124 2 4" xfId="24354"/>
    <cellStyle name="Normal 2 124 3" xfId="4887"/>
    <cellStyle name="Normal 2 124 3 2" xfId="16270"/>
    <cellStyle name="Normal 2 124 3 2 2" xfId="24355"/>
    <cellStyle name="Normal 2 124 3 3" xfId="24356"/>
    <cellStyle name="Normal 2 124 4" xfId="16271"/>
    <cellStyle name="Normal 2 124 4 2" xfId="24357"/>
    <cellStyle name="Normal 2 124 5" xfId="24358"/>
    <cellStyle name="Normal 2 125" xfId="4888"/>
    <cellStyle name="Normal 2 125 2" xfId="4889"/>
    <cellStyle name="Normal 2 125 2 2" xfId="4890"/>
    <cellStyle name="Normal 2 125 2 2 2" xfId="16272"/>
    <cellStyle name="Normal 2 125 2 2 2 2" xfId="24359"/>
    <cellStyle name="Normal 2 125 2 2 3" xfId="24360"/>
    <cellStyle name="Normal 2 125 2 3" xfId="16273"/>
    <cellStyle name="Normal 2 125 2 3 2" xfId="24361"/>
    <cellStyle name="Normal 2 125 2 4" xfId="24362"/>
    <cellStyle name="Normal 2 125 3" xfId="4891"/>
    <cellStyle name="Normal 2 125 3 2" xfId="16274"/>
    <cellStyle name="Normal 2 125 3 2 2" xfId="24363"/>
    <cellStyle name="Normal 2 125 3 3" xfId="24364"/>
    <cellStyle name="Normal 2 125 4" xfId="16275"/>
    <cellStyle name="Normal 2 125 4 2" xfId="24365"/>
    <cellStyle name="Normal 2 125 5" xfId="24366"/>
    <cellStyle name="Normal 2 126" xfId="4892"/>
    <cellStyle name="Normal 2 126 2" xfId="4893"/>
    <cellStyle name="Normal 2 126 2 2" xfId="4894"/>
    <cellStyle name="Normal 2 126 2 2 2" xfId="16276"/>
    <cellStyle name="Normal 2 126 2 2 2 2" xfId="24367"/>
    <cellStyle name="Normal 2 126 2 2 3" xfId="24368"/>
    <cellStyle name="Normal 2 126 2 3" xfId="16277"/>
    <cellStyle name="Normal 2 126 2 3 2" xfId="24369"/>
    <cellStyle name="Normal 2 126 2 4" xfId="24370"/>
    <cellStyle name="Normal 2 126 3" xfId="4895"/>
    <cellStyle name="Normal 2 126 3 2" xfId="16278"/>
    <cellStyle name="Normal 2 126 3 2 2" xfId="24371"/>
    <cellStyle name="Normal 2 126 3 3" xfId="24372"/>
    <cellStyle name="Normal 2 126 4" xfId="16279"/>
    <cellStyle name="Normal 2 126 4 2" xfId="24373"/>
    <cellStyle name="Normal 2 126 5" xfId="24374"/>
    <cellStyle name="Normal 2 127" xfId="4896"/>
    <cellStyle name="Normal 2 127 2" xfId="4897"/>
    <cellStyle name="Normal 2 127 2 2" xfId="4898"/>
    <cellStyle name="Normal 2 127 2 2 2" xfId="16280"/>
    <cellStyle name="Normal 2 127 2 2 2 2" xfId="24375"/>
    <cellStyle name="Normal 2 127 2 2 3" xfId="24376"/>
    <cellStyle name="Normal 2 127 2 3" xfId="16281"/>
    <cellStyle name="Normal 2 127 2 3 2" xfId="24377"/>
    <cellStyle name="Normal 2 127 2 4" xfId="24378"/>
    <cellStyle name="Normal 2 127 3" xfId="4899"/>
    <cellStyle name="Normal 2 127 3 2" xfId="16282"/>
    <cellStyle name="Normal 2 127 3 2 2" xfId="24379"/>
    <cellStyle name="Normal 2 127 3 3" xfId="24380"/>
    <cellStyle name="Normal 2 127 4" xfId="16283"/>
    <cellStyle name="Normal 2 127 4 2" xfId="24381"/>
    <cellStyle name="Normal 2 127 5" xfId="24382"/>
    <cellStyle name="Normal 2 128" xfId="4900"/>
    <cellStyle name="Normal 2 128 2" xfId="4901"/>
    <cellStyle name="Normal 2 128 2 2" xfId="4902"/>
    <cellStyle name="Normal 2 128 2 2 2" xfId="16284"/>
    <cellStyle name="Normal 2 128 2 2 2 2" xfId="24383"/>
    <cellStyle name="Normal 2 128 2 2 3" xfId="24384"/>
    <cellStyle name="Normal 2 128 2 3" xfId="16285"/>
    <cellStyle name="Normal 2 128 2 3 2" xfId="24385"/>
    <cellStyle name="Normal 2 128 2 4" xfId="24386"/>
    <cellStyle name="Normal 2 128 3" xfId="4903"/>
    <cellStyle name="Normal 2 128 3 2" xfId="16286"/>
    <cellStyle name="Normal 2 128 3 2 2" xfId="24387"/>
    <cellStyle name="Normal 2 128 3 3" xfId="24388"/>
    <cellStyle name="Normal 2 128 4" xfId="16287"/>
    <cellStyle name="Normal 2 128 4 2" xfId="24389"/>
    <cellStyle name="Normal 2 128 5" xfId="24390"/>
    <cellStyle name="Normal 2 129" xfId="4904"/>
    <cellStyle name="Normal 2 129 2" xfId="4905"/>
    <cellStyle name="Normal 2 129 2 2" xfId="4906"/>
    <cellStyle name="Normal 2 129 2 2 2" xfId="16288"/>
    <cellStyle name="Normal 2 129 2 2 2 2" xfId="24391"/>
    <cellStyle name="Normal 2 129 2 2 3" xfId="24392"/>
    <cellStyle name="Normal 2 129 2 3" xfId="16289"/>
    <cellStyle name="Normal 2 129 2 3 2" xfId="24393"/>
    <cellStyle name="Normal 2 129 2 4" xfId="24394"/>
    <cellStyle name="Normal 2 129 3" xfId="4907"/>
    <cellStyle name="Normal 2 129 3 2" xfId="16290"/>
    <cellStyle name="Normal 2 129 3 2 2" xfId="24395"/>
    <cellStyle name="Normal 2 129 3 3" xfId="24396"/>
    <cellStyle name="Normal 2 129 4" xfId="16291"/>
    <cellStyle name="Normal 2 129 4 2" xfId="24397"/>
    <cellStyle name="Normal 2 129 5" xfId="24398"/>
    <cellStyle name="Normal 2 13" xfId="4908"/>
    <cellStyle name="Normal 2 13 2" xfId="4909"/>
    <cellStyle name="Normal 2 13 2 2" xfId="4910"/>
    <cellStyle name="Normal 2 13 2 2 2" xfId="16292"/>
    <cellStyle name="Normal 2 13 2 2 2 2" xfId="24399"/>
    <cellStyle name="Normal 2 13 2 2 3" xfId="24400"/>
    <cellStyle name="Normal 2 13 2 3" xfId="16293"/>
    <cellStyle name="Normal 2 13 2 3 2" xfId="24401"/>
    <cellStyle name="Normal 2 13 2 4" xfId="24402"/>
    <cellStyle name="Normal 2 13 3" xfId="4911"/>
    <cellStyle name="Normal 2 13 3 2" xfId="4912"/>
    <cellStyle name="Normal 2 13 3 2 2" xfId="16294"/>
    <cellStyle name="Normal 2 13 3 2 2 2" xfId="24403"/>
    <cellStyle name="Normal 2 13 3 2 3" xfId="24404"/>
    <cellStyle name="Normal 2 13 3 3" xfId="16295"/>
    <cellStyle name="Normal 2 13 3 3 2" xfId="24405"/>
    <cellStyle name="Normal 2 13 3 4" xfId="24406"/>
    <cellStyle name="Normal 2 13 4" xfId="4913"/>
    <cellStyle name="Normal 2 13 4 2" xfId="16296"/>
    <cellStyle name="Normal 2 13 4 2 2" xfId="24407"/>
    <cellStyle name="Normal 2 13 4 3" xfId="24408"/>
    <cellStyle name="Normal 2 13 5" xfId="16297"/>
    <cellStyle name="Normal 2 13 5 2" xfId="24409"/>
    <cellStyle name="Normal 2 13 6" xfId="24410"/>
    <cellStyle name="Normal 2 130" xfId="4914"/>
    <cellStyle name="Normal 2 130 2" xfId="4915"/>
    <cellStyle name="Normal 2 130 2 2" xfId="4916"/>
    <cellStyle name="Normal 2 130 2 2 2" xfId="16298"/>
    <cellStyle name="Normal 2 130 2 2 2 2" xfId="24411"/>
    <cellStyle name="Normal 2 130 2 2 3" xfId="24412"/>
    <cellStyle name="Normal 2 130 2 3" xfId="16299"/>
    <cellStyle name="Normal 2 130 2 3 2" xfId="24413"/>
    <cellStyle name="Normal 2 130 2 4" xfId="24414"/>
    <cellStyle name="Normal 2 130 3" xfId="4917"/>
    <cellStyle name="Normal 2 130 3 2" xfId="16300"/>
    <cellStyle name="Normal 2 130 3 2 2" xfId="24415"/>
    <cellStyle name="Normal 2 130 3 3" xfId="24416"/>
    <cellStyle name="Normal 2 130 4" xfId="16301"/>
    <cellStyle name="Normal 2 130 4 2" xfId="24417"/>
    <cellStyle name="Normal 2 130 5" xfId="24418"/>
    <cellStyle name="Normal 2 131" xfId="4918"/>
    <cellStyle name="Normal 2 131 2" xfId="4919"/>
    <cellStyle name="Normal 2 131 2 2" xfId="4920"/>
    <cellStyle name="Normal 2 131 2 2 2" xfId="16302"/>
    <cellStyle name="Normal 2 131 2 2 2 2" xfId="24419"/>
    <cellStyle name="Normal 2 131 2 2 3" xfId="24420"/>
    <cellStyle name="Normal 2 131 2 3" xfId="16303"/>
    <cellStyle name="Normal 2 131 2 3 2" xfId="24421"/>
    <cellStyle name="Normal 2 131 2 4" xfId="24422"/>
    <cellStyle name="Normal 2 131 3" xfId="4921"/>
    <cellStyle name="Normal 2 131 3 2" xfId="16304"/>
    <cellStyle name="Normal 2 131 3 2 2" xfId="24423"/>
    <cellStyle name="Normal 2 131 3 3" xfId="24424"/>
    <cellStyle name="Normal 2 131 4" xfId="16305"/>
    <cellStyle name="Normal 2 131 4 2" xfId="24425"/>
    <cellStyle name="Normal 2 131 5" xfId="24426"/>
    <cellStyle name="Normal 2 132" xfId="4922"/>
    <cellStyle name="Normal 2 132 2" xfId="4923"/>
    <cellStyle name="Normal 2 132 2 2" xfId="4924"/>
    <cellStyle name="Normal 2 132 2 2 2" xfId="16306"/>
    <cellStyle name="Normal 2 132 2 2 2 2" xfId="24427"/>
    <cellStyle name="Normal 2 132 2 2 3" xfId="24428"/>
    <cellStyle name="Normal 2 132 2 3" xfId="16307"/>
    <cellStyle name="Normal 2 132 2 3 2" xfId="24429"/>
    <cellStyle name="Normal 2 132 2 4" xfId="24430"/>
    <cellStyle name="Normal 2 132 3" xfId="4925"/>
    <cellStyle name="Normal 2 132 3 2" xfId="16308"/>
    <cellStyle name="Normal 2 132 3 2 2" xfId="24431"/>
    <cellStyle name="Normal 2 132 3 3" xfId="24432"/>
    <cellStyle name="Normal 2 132 4" xfId="16309"/>
    <cellStyle name="Normal 2 132 4 2" xfId="24433"/>
    <cellStyle name="Normal 2 132 5" xfId="24434"/>
    <cellStyle name="Normal 2 133" xfId="4926"/>
    <cellStyle name="Normal 2 133 2" xfId="4927"/>
    <cellStyle name="Normal 2 133 2 2" xfId="4928"/>
    <cellStyle name="Normal 2 133 2 2 2" xfId="16310"/>
    <cellStyle name="Normal 2 133 2 2 2 2" xfId="24435"/>
    <cellStyle name="Normal 2 133 2 2 3" xfId="24436"/>
    <cellStyle name="Normal 2 133 2 3" xfId="16311"/>
    <cellStyle name="Normal 2 133 2 3 2" xfId="24437"/>
    <cellStyle name="Normal 2 133 2 4" xfId="24438"/>
    <cellStyle name="Normal 2 133 3" xfId="4929"/>
    <cellStyle name="Normal 2 133 3 2" xfId="16312"/>
    <cellStyle name="Normal 2 133 3 2 2" xfId="24439"/>
    <cellStyle name="Normal 2 133 3 3" xfId="24440"/>
    <cellStyle name="Normal 2 133 4" xfId="16313"/>
    <cellStyle name="Normal 2 133 4 2" xfId="24441"/>
    <cellStyle name="Normal 2 133 5" xfId="24442"/>
    <cellStyle name="Normal 2 134" xfId="4930"/>
    <cellStyle name="Normal 2 134 2" xfId="4931"/>
    <cellStyle name="Normal 2 134 2 2" xfId="4932"/>
    <cellStyle name="Normal 2 134 2 2 2" xfId="16314"/>
    <cellStyle name="Normal 2 134 2 2 2 2" xfId="24443"/>
    <cellStyle name="Normal 2 134 2 2 3" xfId="24444"/>
    <cellStyle name="Normal 2 134 2 3" xfId="16315"/>
    <cellStyle name="Normal 2 134 2 3 2" xfId="24445"/>
    <cellStyle name="Normal 2 134 2 4" xfId="24446"/>
    <cellStyle name="Normal 2 134 3" xfId="4933"/>
    <cellStyle name="Normal 2 134 3 2" xfId="16316"/>
    <cellStyle name="Normal 2 134 3 2 2" xfId="24447"/>
    <cellStyle name="Normal 2 134 3 3" xfId="24448"/>
    <cellStyle name="Normal 2 134 4" xfId="16317"/>
    <cellStyle name="Normal 2 134 4 2" xfId="24449"/>
    <cellStyle name="Normal 2 134 5" xfId="24450"/>
    <cellStyle name="Normal 2 135" xfId="4934"/>
    <cellStyle name="Normal 2 135 2" xfId="4935"/>
    <cellStyle name="Normal 2 135 2 2" xfId="4936"/>
    <cellStyle name="Normal 2 135 2 2 2" xfId="16318"/>
    <cellStyle name="Normal 2 135 2 2 2 2" xfId="24451"/>
    <cellStyle name="Normal 2 135 2 2 3" xfId="24452"/>
    <cellStyle name="Normal 2 135 2 3" xfId="16319"/>
    <cellStyle name="Normal 2 135 2 3 2" xfId="24453"/>
    <cellStyle name="Normal 2 135 2 4" xfId="24454"/>
    <cellStyle name="Normal 2 135 3" xfId="4937"/>
    <cellStyle name="Normal 2 135 3 2" xfId="16320"/>
    <cellStyle name="Normal 2 135 3 2 2" xfId="24455"/>
    <cellStyle name="Normal 2 135 3 3" xfId="24456"/>
    <cellStyle name="Normal 2 135 4" xfId="16321"/>
    <cellStyle name="Normal 2 135 4 2" xfId="24457"/>
    <cellStyle name="Normal 2 135 5" xfId="24458"/>
    <cellStyle name="Normal 2 136" xfId="4938"/>
    <cellStyle name="Normal 2 136 2" xfId="4939"/>
    <cellStyle name="Normal 2 136 2 2" xfId="4940"/>
    <cellStyle name="Normal 2 136 2 2 2" xfId="16322"/>
    <cellStyle name="Normal 2 136 2 2 2 2" xfId="24459"/>
    <cellStyle name="Normal 2 136 2 2 3" xfId="24460"/>
    <cellStyle name="Normal 2 136 2 3" xfId="16323"/>
    <cellStyle name="Normal 2 136 2 3 2" xfId="24461"/>
    <cellStyle name="Normal 2 136 2 4" xfId="24462"/>
    <cellStyle name="Normal 2 136 3" xfId="4941"/>
    <cellStyle name="Normal 2 136 3 2" xfId="16324"/>
    <cellStyle name="Normal 2 136 3 2 2" xfId="24463"/>
    <cellStyle name="Normal 2 136 3 3" xfId="24464"/>
    <cellStyle name="Normal 2 136 4" xfId="16325"/>
    <cellStyle name="Normal 2 136 4 2" xfId="24465"/>
    <cellStyle name="Normal 2 136 5" xfId="24466"/>
    <cellStyle name="Normal 2 137" xfId="4942"/>
    <cellStyle name="Normal 2 137 2" xfId="4943"/>
    <cellStyle name="Normal 2 137 2 2" xfId="4944"/>
    <cellStyle name="Normal 2 137 2 2 2" xfId="16326"/>
    <cellStyle name="Normal 2 137 2 2 2 2" xfId="24467"/>
    <cellStyle name="Normal 2 137 2 2 3" xfId="24468"/>
    <cellStyle name="Normal 2 137 2 3" xfId="16327"/>
    <cellStyle name="Normal 2 137 2 3 2" xfId="24469"/>
    <cellStyle name="Normal 2 137 2 4" xfId="24470"/>
    <cellStyle name="Normal 2 137 3" xfId="4945"/>
    <cellStyle name="Normal 2 137 3 2" xfId="16328"/>
    <cellStyle name="Normal 2 137 3 2 2" xfId="24471"/>
    <cellStyle name="Normal 2 137 3 3" xfId="24472"/>
    <cellStyle name="Normal 2 137 4" xfId="16329"/>
    <cellStyle name="Normal 2 137 4 2" xfId="24473"/>
    <cellStyle name="Normal 2 137 5" xfId="24474"/>
    <cellStyle name="Normal 2 138" xfId="4946"/>
    <cellStyle name="Normal 2 138 2" xfId="4947"/>
    <cellStyle name="Normal 2 138 2 2" xfId="4948"/>
    <cellStyle name="Normal 2 138 2 2 2" xfId="16330"/>
    <cellStyle name="Normal 2 138 2 2 2 2" xfId="24475"/>
    <cellStyle name="Normal 2 138 2 2 3" xfId="24476"/>
    <cellStyle name="Normal 2 138 2 3" xfId="16331"/>
    <cellStyle name="Normal 2 138 2 3 2" xfId="24477"/>
    <cellStyle name="Normal 2 138 2 4" xfId="24478"/>
    <cellStyle name="Normal 2 138 3" xfId="4949"/>
    <cellStyle name="Normal 2 138 3 2" xfId="16332"/>
    <cellStyle name="Normal 2 138 3 2 2" xfId="24479"/>
    <cellStyle name="Normal 2 138 3 3" xfId="24480"/>
    <cellStyle name="Normal 2 138 4" xfId="16333"/>
    <cellStyle name="Normal 2 138 4 2" xfId="24481"/>
    <cellStyle name="Normal 2 138 5" xfId="24482"/>
    <cellStyle name="Normal 2 139" xfId="4950"/>
    <cellStyle name="Normal 2 139 2" xfId="4951"/>
    <cellStyle name="Normal 2 139 2 2" xfId="4952"/>
    <cellStyle name="Normal 2 139 2 2 2" xfId="16334"/>
    <cellStyle name="Normal 2 139 2 2 2 2" xfId="24483"/>
    <cellStyle name="Normal 2 139 2 2 3" xfId="24484"/>
    <cellStyle name="Normal 2 139 2 3" xfId="16335"/>
    <cellStyle name="Normal 2 139 2 3 2" xfId="24485"/>
    <cellStyle name="Normal 2 139 2 4" xfId="24486"/>
    <cellStyle name="Normal 2 139 3" xfId="4953"/>
    <cellStyle name="Normal 2 139 3 2" xfId="16336"/>
    <cellStyle name="Normal 2 139 3 2 2" xfId="24487"/>
    <cellStyle name="Normal 2 139 3 3" xfId="24488"/>
    <cellStyle name="Normal 2 139 4" xfId="16337"/>
    <cellStyle name="Normal 2 139 4 2" xfId="24489"/>
    <cellStyle name="Normal 2 139 5" xfId="24490"/>
    <cellStyle name="Normal 2 14" xfId="4954"/>
    <cellStyle name="Normal 2 14 2" xfId="4955"/>
    <cellStyle name="Normal 2 14 2 2" xfId="4956"/>
    <cellStyle name="Normal 2 14 2 2 2" xfId="16338"/>
    <cellStyle name="Normal 2 14 2 2 2 2" xfId="24491"/>
    <cellStyle name="Normal 2 14 2 2 3" xfId="24492"/>
    <cellStyle name="Normal 2 14 2 3" xfId="16339"/>
    <cellStyle name="Normal 2 14 2 3 2" xfId="24493"/>
    <cellStyle name="Normal 2 14 2 4" xfId="24494"/>
    <cellStyle name="Normal 2 14 3" xfId="4957"/>
    <cellStyle name="Normal 2 14 3 2" xfId="4958"/>
    <cellStyle name="Normal 2 14 3 2 2" xfId="16340"/>
    <cellStyle name="Normal 2 14 3 2 2 2" xfId="24495"/>
    <cellStyle name="Normal 2 14 3 2 3" xfId="24496"/>
    <cellStyle name="Normal 2 14 3 3" xfId="16341"/>
    <cellStyle name="Normal 2 14 3 3 2" xfId="24497"/>
    <cellStyle name="Normal 2 14 3 4" xfId="24498"/>
    <cellStyle name="Normal 2 14 4" xfId="4959"/>
    <cellStyle name="Normal 2 14 4 2" xfId="16342"/>
    <cellStyle name="Normal 2 14 4 2 2" xfId="24499"/>
    <cellStyle name="Normal 2 14 4 3" xfId="24500"/>
    <cellStyle name="Normal 2 14 5" xfId="16343"/>
    <cellStyle name="Normal 2 14 5 2" xfId="24501"/>
    <cellStyle name="Normal 2 14 6" xfId="24502"/>
    <cellStyle name="Normal 2 140" xfId="4960"/>
    <cellStyle name="Normal 2 140 2" xfId="4961"/>
    <cellStyle name="Normal 2 140 2 2" xfId="4962"/>
    <cellStyle name="Normal 2 140 2 2 2" xfId="16344"/>
    <cellStyle name="Normal 2 140 2 2 2 2" xfId="24503"/>
    <cellStyle name="Normal 2 140 2 2 3" xfId="24504"/>
    <cellStyle name="Normal 2 140 2 3" xfId="16345"/>
    <cellStyle name="Normal 2 140 2 3 2" xfId="24505"/>
    <cellStyle name="Normal 2 140 2 4" xfId="24506"/>
    <cellStyle name="Normal 2 140 3" xfId="4963"/>
    <cellStyle name="Normal 2 140 3 2" xfId="16346"/>
    <cellStyle name="Normal 2 140 3 2 2" xfId="24507"/>
    <cellStyle name="Normal 2 140 3 3" xfId="24508"/>
    <cellStyle name="Normal 2 140 4" xfId="16347"/>
    <cellStyle name="Normal 2 140 4 2" xfId="24509"/>
    <cellStyle name="Normal 2 140 5" xfId="24510"/>
    <cellStyle name="Normal 2 141" xfId="4964"/>
    <cellStyle name="Normal 2 142" xfId="4965"/>
    <cellStyle name="Normal 2 142 2" xfId="4966"/>
    <cellStyle name="Normal 2 142 2 2" xfId="16348"/>
    <cellStyle name="Normal 2 142 2 2 2" xfId="24511"/>
    <cellStyle name="Normal 2 142 2 3" xfId="24512"/>
    <cellStyle name="Normal 2 142 3" xfId="16349"/>
    <cellStyle name="Normal 2 142 3 2" xfId="24513"/>
    <cellStyle name="Normal 2 142 4" xfId="24514"/>
    <cellStyle name="Normal 2 143" xfId="4967"/>
    <cellStyle name="Normal 2 144" xfId="4968"/>
    <cellStyle name="Normal 2 144 2" xfId="16350"/>
    <cellStyle name="Normal 2 144 2 2" xfId="24515"/>
    <cellStyle name="Normal 2 144 3" xfId="24516"/>
    <cellStyle name="Normal 2 145" xfId="16351"/>
    <cellStyle name="Normal 2 145 2" xfId="24517"/>
    <cellStyle name="Normal 2 15" xfId="4969"/>
    <cellStyle name="Normal 2 15 2" xfId="4970"/>
    <cellStyle name="Normal 2 15 2 2" xfId="4971"/>
    <cellStyle name="Normal 2 15 2 2 2" xfId="16352"/>
    <cellStyle name="Normal 2 15 2 2 2 2" xfId="24518"/>
    <cellStyle name="Normal 2 15 2 2 3" xfId="24519"/>
    <cellStyle name="Normal 2 15 2 3" xfId="16353"/>
    <cellStyle name="Normal 2 15 2 3 2" xfId="24520"/>
    <cellStyle name="Normal 2 15 2 4" xfId="24521"/>
    <cellStyle name="Normal 2 15 3" xfId="4972"/>
    <cellStyle name="Normal 2 15 3 2" xfId="4973"/>
    <cellStyle name="Normal 2 15 3 2 2" xfId="16354"/>
    <cellStyle name="Normal 2 15 3 2 2 2" xfId="24522"/>
    <cellStyle name="Normal 2 15 3 2 3" xfId="24523"/>
    <cellStyle name="Normal 2 15 3 3" xfId="16355"/>
    <cellStyle name="Normal 2 15 3 3 2" xfId="24524"/>
    <cellStyle name="Normal 2 15 3 4" xfId="24525"/>
    <cellStyle name="Normal 2 15 4" xfId="4974"/>
    <cellStyle name="Normal 2 15 4 2" xfId="16356"/>
    <cellStyle name="Normal 2 15 4 2 2" xfId="24526"/>
    <cellStyle name="Normal 2 15 4 3" xfId="24527"/>
    <cellStyle name="Normal 2 15 5" xfId="16357"/>
    <cellStyle name="Normal 2 15 5 2" xfId="24528"/>
    <cellStyle name="Normal 2 15 6" xfId="24529"/>
    <cellStyle name="Normal 2 16" xfId="4975"/>
    <cellStyle name="Normal 2 16 2" xfId="4976"/>
    <cellStyle name="Normal 2 16 2 2" xfId="4977"/>
    <cellStyle name="Normal 2 16 2 2 2" xfId="16358"/>
    <cellStyle name="Normal 2 16 2 2 2 2" xfId="24530"/>
    <cellStyle name="Normal 2 16 2 2 3" xfId="24531"/>
    <cellStyle name="Normal 2 16 2 3" xfId="16359"/>
    <cellStyle name="Normal 2 16 2 3 2" xfId="24532"/>
    <cellStyle name="Normal 2 16 2 4" xfId="24533"/>
    <cellStyle name="Normal 2 16 3" xfId="4978"/>
    <cellStyle name="Normal 2 16 3 2" xfId="4979"/>
    <cellStyle name="Normal 2 16 3 2 2" xfId="16360"/>
    <cellStyle name="Normal 2 16 3 2 2 2" xfId="24534"/>
    <cellStyle name="Normal 2 16 3 2 3" xfId="24535"/>
    <cellStyle name="Normal 2 16 3 3" xfId="16361"/>
    <cellStyle name="Normal 2 16 3 3 2" xfId="24536"/>
    <cellStyle name="Normal 2 16 3 4" xfId="24537"/>
    <cellStyle name="Normal 2 16 4" xfId="4980"/>
    <cellStyle name="Normal 2 16 4 2" xfId="16362"/>
    <cellStyle name="Normal 2 16 4 2 2" xfId="24538"/>
    <cellStyle name="Normal 2 16 4 3" xfId="24539"/>
    <cellStyle name="Normal 2 16 5" xfId="16363"/>
    <cellStyle name="Normal 2 16 5 2" xfId="24540"/>
    <cellStyle name="Normal 2 16 6" xfId="24541"/>
    <cellStyle name="Normal 2 17" xfId="4981"/>
    <cellStyle name="Normal 2 17 2" xfId="4982"/>
    <cellStyle name="Normal 2 17 2 2" xfId="4983"/>
    <cellStyle name="Normal 2 17 2 2 2" xfId="16364"/>
    <cellStyle name="Normal 2 17 2 2 2 2" xfId="24542"/>
    <cellStyle name="Normal 2 17 2 2 3" xfId="24543"/>
    <cellStyle name="Normal 2 17 2 3" xfId="16365"/>
    <cellStyle name="Normal 2 17 2 3 2" xfId="24544"/>
    <cellStyle name="Normal 2 17 2 4" xfId="24545"/>
    <cellStyle name="Normal 2 17 3" xfId="4984"/>
    <cellStyle name="Normal 2 17 3 2" xfId="4985"/>
    <cellStyle name="Normal 2 17 3 2 2" xfId="16366"/>
    <cellStyle name="Normal 2 17 3 2 2 2" xfId="24546"/>
    <cellStyle name="Normal 2 17 3 2 3" xfId="24547"/>
    <cellStyle name="Normal 2 17 3 3" xfId="16367"/>
    <cellStyle name="Normal 2 17 3 3 2" xfId="24548"/>
    <cellStyle name="Normal 2 17 3 4" xfId="24549"/>
    <cellStyle name="Normal 2 17 4" xfId="4986"/>
    <cellStyle name="Normal 2 17 4 2" xfId="16368"/>
    <cellStyle name="Normal 2 17 4 2 2" xfId="24550"/>
    <cellStyle name="Normal 2 17 4 3" xfId="24551"/>
    <cellStyle name="Normal 2 17 5" xfId="16369"/>
    <cellStyle name="Normal 2 17 5 2" xfId="24552"/>
    <cellStyle name="Normal 2 17 6" xfId="24553"/>
    <cellStyle name="Normal 2 18" xfId="4987"/>
    <cellStyle name="Normal 2 18 2" xfId="4988"/>
    <cellStyle name="Normal 2 18 2 2" xfId="4989"/>
    <cellStyle name="Normal 2 18 2 2 2" xfId="16370"/>
    <cellStyle name="Normal 2 18 2 2 2 2" xfId="24554"/>
    <cellStyle name="Normal 2 18 2 2 3" xfId="24555"/>
    <cellStyle name="Normal 2 18 2 3" xfId="16371"/>
    <cellStyle name="Normal 2 18 2 3 2" xfId="24556"/>
    <cellStyle name="Normal 2 18 2 4" xfId="24557"/>
    <cellStyle name="Normal 2 18 3" xfId="4990"/>
    <cellStyle name="Normal 2 18 3 2" xfId="4991"/>
    <cellStyle name="Normal 2 18 3 2 2" xfId="16372"/>
    <cellStyle name="Normal 2 18 3 2 2 2" xfId="24558"/>
    <cellStyle name="Normal 2 18 3 2 3" xfId="24559"/>
    <cellStyle name="Normal 2 18 3 3" xfId="16373"/>
    <cellStyle name="Normal 2 18 3 3 2" xfId="24560"/>
    <cellStyle name="Normal 2 18 3 4" xfId="24561"/>
    <cellStyle name="Normal 2 18 4" xfId="4992"/>
    <cellStyle name="Normal 2 18 4 2" xfId="16374"/>
    <cellStyle name="Normal 2 18 4 2 2" xfId="24562"/>
    <cellStyle name="Normal 2 18 4 3" xfId="24563"/>
    <cellStyle name="Normal 2 18 5" xfId="16375"/>
    <cellStyle name="Normal 2 18 5 2" xfId="24564"/>
    <cellStyle name="Normal 2 18 6" xfId="24565"/>
    <cellStyle name="Normal 2 19" xfId="4993"/>
    <cellStyle name="Normal 2 19 2" xfId="4994"/>
    <cellStyle name="Normal 2 19 2 2" xfId="4995"/>
    <cellStyle name="Normal 2 19 2 2 2" xfId="16376"/>
    <cellStyle name="Normal 2 19 2 2 2 2" xfId="24566"/>
    <cellStyle name="Normal 2 19 2 2 3" xfId="24567"/>
    <cellStyle name="Normal 2 19 2 3" xfId="16377"/>
    <cellStyle name="Normal 2 19 2 3 2" xfId="24568"/>
    <cellStyle name="Normal 2 19 2 4" xfId="24569"/>
    <cellStyle name="Normal 2 19 3" xfId="4996"/>
    <cellStyle name="Normal 2 19 3 2" xfId="4997"/>
    <cellStyle name="Normal 2 19 3 2 2" xfId="16378"/>
    <cellStyle name="Normal 2 19 3 2 2 2" xfId="24570"/>
    <cellStyle name="Normal 2 19 3 2 3" xfId="24571"/>
    <cellStyle name="Normal 2 19 3 3" xfId="16379"/>
    <cellStyle name="Normal 2 19 3 3 2" xfId="24572"/>
    <cellStyle name="Normal 2 19 3 4" xfId="24573"/>
    <cellStyle name="Normal 2 19 4" xfId="4998"/>
    <cellStyle name="Normal 2 19 4 2" xfId="16380"/>
    <cellStyle name="Normal 2 19 4 2 2" xfId="24574"/>
    <cellStyle name="Normal 2 19 4 3" xfId="24575"/>
    <cellStyle name="Normal 2 19 5" xfId="16381"/>
    <cellStyle name="Normal 2 19 5 2" xfId="24576"/>
    <cellStyle name="Normal 2 19 6" xfId="24577"/>
    <cellStyle name="Normal 2 2" xfId="34"/>
    <cellStyle name="Normal 2 2 10" xfId="4999"/>
    <cellStyle name="Normal 2 2 10 2" xfId="5000"/>
    <cellStyle name="Normal 2 2 10 2 2" xfId="5001"/>
    <cellStyle name="Normal 2 2 10 2 2 2" xfId="16382"/>
    <cellStyle name="Normal 2 2 10 2 2 2 2" xfId="24578"/>
    <cellStyle name="Normal 2 2 10 2 2 3" xfId="24579"/>
    <cellStyle name="Normal 2 2 10 2 3" xfId="16383"/>
    <cellStyle name="Normal 2 2 10 2 3 2" xfId="24580"/>
    <cellStyle name="Normal 2 2 10 2 4" xfId="24581"/>
    <cellStyle name="Normal 2 2 10 3" xfId="5002"/>
    <cellStyle name="Normal 2 2 10 3 2" xfId="5003"/>
    <cellStyle name="Normal 2 2 10 3 2 2" xfId="16384"/>
    <cellStyle name="Normal 2 2 10 3 2 2 2" xfId="24582"/>
    <cellStyle name="Normal 2 2 10 3 2 3" xfId="24583"/>
    <cellStyle name="Normal 2 2 10 3 3" xfId="16385"/>
    <cellStyle name="Normal 2 2 10 3 3 2" xfId="24584"/>
    <cellStyle name="Normal 2 2 10 3 4" xfId="24585"/>
    <cellStyle name="Normal 2 2 10 4" xfId="5004"/>
    <cellStyle name="Normal 2 2 10 4 2" xfId="16386"/>
    <cellStyle name="Normal 2 2 10 4 2 2" xfId="24586"/>
    <cellStyle name="Normal 2 2 10 4 3" xfId="24587"/>
    <cellStyle name="Normal 2 2 10 5" xfId="16387"/>
    <cellStyle name="Normal 2 2 10 5 2" xfId="24588"/>
    <cellStyle name="Normal 2 2 10 6" xfId="24589"/>
    <cellStyle name="Normal 2 2 100" xfId="5005"/>
    <cellStyle name="Normal 2 2 100 2" xfId="5006"/>
    <cellStyle name="Normal 2 2 100 2 2" xfId="5007"/>
    <cellStyle name="Normal 2 2 100 2 2 2" xfId="16388"/>
    <cellStyle name="Normal 2 2 100 2 2 2 2" xfId="24590"/>
    <cellStyle name="Normal 2 2 100 2 2 3" xfId="24591"/>
    <cellStyle name="Normal 2 2 100 2 3" xfId="16389"/>
    <cellStyle name="Normal 2 2 100 2 3 2" xfId="24592"/>
    <cellStyle name="Normal 2 2 100 2 4" xfId="24593"/>
    <cellStyle name="Normal 2 2 100 3" xfId="5008"/>
    <cellStyle name="Normal 2 2 100 3 2" xfId="16390"/>
    <cellStyle name="Normal 2 2 100 3 2 2" xfId="24594"/>
    <cellStyle name="Normal 2 2 100 3 3" xfId="24595"/>
    <cellStyle name="Normal 2 2 100 4" xfId="16391"/>
    <cellStyle name="Normal 2 2 100 4 2" xfId="24596"/>
    <cellStyle name="Normal 2 2 100 5" xfId="24597"/>
    <cellStyle name="Normal 2 2 101" xfId="5009"/>
    <cellStyle name="Normal 2 2 101 2" xfId="5010"/>
    <cellStyle name="Normal 2 2 101 2 2" xfId="5011"/>
    <cellStyle name="Normal 2 2 101 2 2 2" xfId="16392"/>
    <cellStyle name="Normal 2 2 101 2 2 2 2" xfId="24598"/>
    <cellStyle name="Normal 2 2 101 2 2 3" xfId="24599"/>
    <cellStyle name="Normal 2 2 101 2 3" xfId="16393"/>
    <cellStyle name="Normal 2 2 101 2 3 2" xfId="24600"/>
    <cellStyle name="Normal 2 2 101 2 4" xfId="24601"/>
    <cellStyle name="Normal 2 2 101 3" xfId="5012"/>
    <cellStyle name="Normal 2 2 101 3 2" xfId="16394"/>
    <cellStyle name="Normal 2 2 101 3 2 2" xfId="24602"/>
    <cellStyle name="Normal 2 2 101 3 3" xfId="24603"/>
    <cellStyle name="Normal 2 2 101 4" xfId="16395"/>
    <cellStyle name="Normal 2 2 101 4 2" xfId="24604"/>
    <cellStyle name="Normal 2 2 101 5" xfId="24605"/>
    <cellStyle name="Normal 2 2 102" xfId="5013"/>
    <cellStyle name="Normal 2 2 102 2" xfId="5014"/>
    <cellStyle name="Normal 2 2 102 2 2" xfId="5015"/>
    <cellStyle name="Normal 2 2 102 2 2 2" xfId="16396"/>
    <cellStyle name="Normal 2 2 102 2 2 2 2" xfId="24606"/>
    <cellStyle name="Normal 2 2 102 2 2 3" xfId="24607"/>
    <cellStyle name="Normal 2 2 102 2 3" xfId="16397"/>
    <cellStyle name="Normal 2 2 102 2 3 2" xfId="24608"/>
    <cellStyle name="Normal 2 2 102 2 4" xfId="24609"/>
    <cellStyle name="Normal 2 2 102 3" xfId="5016"/>
    <cellStyle name="Normal 2 2 102 3 2" xfId="16398"/>
    <cellStyle name="Normal 2 2 102 3 2 2" xfId="24610"/>
    <cellStyle name="Normal 2 2 102 3 3" xfId="24611"/>
    <cellStyle name="Normal 2 2 102 4" xfId="16399"/>
    <cellStyle name="Normal 2 2 102 4 2" xfId="24612"/>
    <cellStyle name="Normal 2 2 102 5" xfId="24613"/>
    <cellStyle name="Normal 2 2 103" xfId="5017"/>
    <cellStyle name="Normal 2 2 103 2" xfId="5018"/>
    <cellStyle name="Normal 2 2 103 2 2" xfId="5019"/>
    <cellStyle name="Normal 2 2 103 2 2 2" xfId="16400"/>
    <cellStyle name="Normal 2 2 103 2 2 2 2" xfId="24614"/>
    <cellStyle name="Normal 2 2 103 2 2 3" xfId="24615"/>
    <cellStyle name="Normal 2 2 103 2 3" xfId="16401"/>
    <cellStyle name="Normal 2 2 103 2 3 2" xfId="24616"/>
    <cellStyle name="Normal 2 2 103 2 4" xfId="24617"/>
    <cellStyle name="Normal 2 2 103 3" xfId="5020"/>
    <cellStyle name="Normal 2 2 103 3 2" xfId="16402"/>
    <cellStyle name="Normal 2 2 103 3 2 2" xfId="24618"/>
    <cellStyle name="Normal 2 2 103 3 3" xfId="24619"/>
    <cellStyle name="Normal 2 2 103 4" xfId="16403"/>
    <cellStyle name="Normal 2 2 103 4 2" xfId="24620"/>
    <cellStyle name="Normal 2 2 103 5" xfId="24621"/>
    <cellStyle name="Normal 2 2 104" xfId="5021"/>
    <cellStyle name="Normal 2 2 104 2" xfId="5022"/>
    <cellStyle name="Normal 2 2 104 2 2" xfId="5023"/>
    <cellStyle name="Normal 2 2 104 2 2 2" xfId="16404"/>
    <cellStyle name="Normal 2 2 104 2 2 2 2" xfId="24622"/>
    <cellStyle name="Normal 2 2 104 2 2 3" xfId="24623"/>
    <cellStyle name="Normal 2 2 104 2 3" xfId="16405"/>
    <cellStyle name="Normal 2 2 104 2 3 2" xfId="24624"/>
    <cellStyle name="Normal 2 2 104 2 4" xfId="24625"/>
    <cellStyle name="Normal 2 2 104 3" xfId="5024"/>
    <cellStyle name="Normal 2 2 104 3 2" xfId="16406"/>
    <cellStyle name="Normal 2 2 104 3 2 2" xfId="24626"/>
    <cellStyle name="Normal 2 2 104 3 3" xfId="24627"/>
    <cellStyle name="Normal 2 2 104 4" xfId="16407"/>
    <cellStyle name="Normal 2 2 104 4 2" xfId="24628"/>
    <cellStyle name="Normal 2 2 104 5" xfId="24629"/>
    <cellStyle name="Normal 2 2 105" xfId="5025"/>
    <cellStyle name="Normal 2 2 105 2" xfId="5026"/>
    <cellStyle name="Normal 2 2 105 2 2" xfId="5027"/>
    <cellStyle name="Normal 2 2 105 2 2 2" xfId="16408"/>
    <cellStyle name="Normal 2 2 105 2 2 2 2" xfId="24630"/>
    <cellStyle name="Normal 2 2 105 2 2 3" xfId="24631"/>
    <cellStyle name="Normal 2 2 105 2 3" xfId="16409"/>
    <cellStyle name="Normal 2 2 105 2 3 2" xfId="24632"/>
    <cellStyle name="Normal 2 2 105 2 4" xfId="24633"/>
    <cellStyle name="Normal 2 2 105 3" xfId="5028"/>
    <cellStyle name="Normal 2 2 105 3 2" xfId="16410"/>
    <cellStyle name="Normal 2 2 105 3 2 2" xfId="24634"/>
    <cellStyle name="Normal 2 2 105 3 3" xfId="24635"/>
    <cellStyle name="Normal 2 2 105 4" xfId="16411"/>
    <cellStyle name="Normal 2 2 105 4 2" xfId="24636"/>
    <cellStyle name="Normal 2 2 105 5" xfId="24637"/>
    <cellStyle name="Normal 2 2 106" xfId="5029"/>
    <cellStyle name="Normal 2 2 106 2" xfId="5030"/>
    <cellStyle name="Normal 2 2 106 2 2" xfId="5031"/>
    <cellStyle name="Normal 2 2 106 2 2 2" xfId="16412"/>
    <cellStyle name="Normal 2 2 106 2 2 2 2" xfId="24638"/>
    <cellStyle name="Normal 2 2 106 2 2 3" xfId="24639"/>
    <cellStyle name="Normal 2 2 106 2 3" xfId="16413"/>
    <cellStyle name="Normal 2 2 106 2 3 2" xfId="24640"/>
    <cellStyle name="Normal 2 2 106 2 4" xfId="24641"/>
    <cellStyle name="Normal 2 2 106 3" xfId="5032"/>
    <cellStyle name="Normal 2 2 106 3 2" xfId="16414"/>
    <cellStyle name="Normal 2 2 106 3 2 2" xfId="24642"/>
    <cellStyle name="Normal 2 2 106 3 3" xfId="24643"/>
    <cellStyle name="Normal 2 2 106 4" xfId="16415"/>
    <cellStyle name="Normal 2 2 106 4 2" xfId="24644"/>
    <cellStyle name="Normal 2 2 106 5" xfId="24645"/>
    <cellStyle name="Normal 2 2 107" xfId="5033"/>
    <cellStyle name="Normal 2 2 107 2" xfId="5034"/>
    <cellStyle name="Normal 2 2 107 2 2" xfId="5035"/>
    <cellStyle name="Normal 2 2 107 2 2 2" xfId="16416"/>
    <cellStyle name="Normal 2 2 107 2 2 2 2" xfId="24646"/>
    <cellStyle name="Normal 2 2 107 2 2 3" xfId="24647"/>
    <cellStyle name="Normal 2 2 107 2 3" xfId="16417"/>
    <cellStyle name="Normal 2 2 107 2 3 2" xfId="24648"/>
    <cellStyle name="Normal 2 2 107 2 4" xfId="24649"/>
    <cellStyle name="Normal 2 2 107 3" xfId="5036"/>
    <cellStyle name="Normal 2 2 107 3 2" xfId="16418"/>
    <cellStyle name="Normal 2 2 107 3 2 2" xfId="24650"/>
    <cellStyle name="Normal 2 2 107 3 3" xfId="24651"/>
    <cellStyle name="Normal 2 2 107 4" xfId="16419"/>
    <cellStyle name="Normal 2 2 107 4 2" xfId="24652"/>
    <cellStyle name="Normal 2 2 107 5" xfId="24653"/>
    <cellStyle name="Normal 2 2 108" xfId="5037"/>
    <cellStyle name="Normal 2 2 108 2" xfId="5038"/>
    <cellStyle name="Normal 2 2 108 2 2" xfId="5039"/>
    <cellStyle name="Normal 2 2 108 2 2 2" xfId="16420"/>
    <cellStyle name="Normal 2 2 108 2 2 2 2" xfId="24654"/>
    <cellStyle name="Normal 2 2 108 2 2 3" xfId="24655"/>
    <cellStyle name="Normal 2 2 108 2 3" xfId="16421"/>
    <cellStyle name="Normal 2 2 108 2 3 2" xfId="24656"/>
    <cellStyle name="Normal 2 2 108 2 4" xfId="24657"/>
    <cellStyle name="Normal 2 2 108 3" xfId="5040"/>
    <cellStyle name="Normal 2 2 108 3 2" xfId="16422"/>
    <cellStyle name="Normal 2 2 108 3 2 2" xfId="24658"/>
    <cellStyle name="Normal 2 2 108 3 3" xfId="24659"/>
    <cellStyle name="Normal 2 2 108 4" xfId="16423"/>
    <cellStyle name="Normal 2 2 108 4 2" xfId="24660"/>
    <cellStyle name="Normal 2 2 108 5" xfId="24661"/>
    <cellStyle name="Normal 2 2 109" xfId="5041"/>
    <cellStyle name="Normal 2 2 109 2" xfId="5042"/>
    <cellStyle name="Normal 2 2 109 2 2" xfId="5043"/>
    <cellStyle name="Normal 2 2 109 2 2 2" xfId="16424"/>
    <cellStyle name="Normal 2 2 109 2 2 2 2" xfId="24662"/>
    <cellStyle name="Normal 2 2 109 2 2 3" xfId="24663"/>
    <cellStyle name="Normal 2 2 109 2 3" xfId="16425"/>
    <cellStyle name="Normal 2 2 109 2 3 2" xfId="24664"/>
    <cellStyle name="Normal 2 2 109 2 4" xfId="24665"/>
    <cellStyle name="Normal 2 2 109 3" xfId="5044"/>
    <cellStyle name="Normal 2 2 109 3 2" xfId="16426"/>
    <cellStyle name="Normal 2 2 109 3 2 2" xfId="24666"/>
    <cellStyle name="Normal 2 2 109 3 3" xfId="24667"/>
    <cellStyle name="Normal 2 2 109 4" xfId="16427"/>
    <cellStyle name="Normal 2 2 109 4 2" xfId="24668"/>
    <cellStyle name="Normal 2 2 109 5" xfId="24669"/>
    <cellStyle name="Normal 2 2 11" xfId="5045"/>
    <cellStyle name="Normal 2 2 11 2" xfId="5046"/>
    <cellStyle name="Normal 2 2 11 2 2" xfId="5047"/>
    <cellStyle name="Normal 2 2 11 2 2 2" xfId="16428"/>
    <cellStyle name="Normal 2 2 11 2 2 2 2" xfId="24670"/>
    <cellStyle name="Normal 2 2 11 2 2 3" xfId="24671"/>
    <cellStyle name="Normal 2 2 11 2 3" xfId="16429"/>
    <cellStyle name="Normal 2 2 11 2 3 2" xfId="24672"/>
    <cellStyle name="Normal 2 2 11 2 4" xfId="24673"/>
    <cellStyle name="Normal 2 2 11 3" xfId="5048"/>
    <cellStyle name="Normal 2 2 11 3 2" xfId="5049"/>
    <cellStyle name="Normal 2 2 11 3 2 2" xfId="16430"/>
    <cellStyle name="Normal 2 2 11 3 2 2 2" xfId="24674"/>
    <cellStyle name="Normal 2 2 11 3 2 3" xfId="24675"/>
    <cellStyle name="Normal 2 2 11 3 3" xfId="16431"/>
    <cellStyle name="Normal 2 2 11 3 3 2" xfId="24676"/>
    <cellStyle name="Normal 2 2 11 3 4" xfId="24677"/>
    <cellStyle name="Normal 2 2 11 4" xfId="5050"/>
    <cellStyle name="Normal 2 2 11 4 2" xfId="16432"/>
    <cellStyle name="Normal 2 2 11 4 2 2" xfId="24678"/>
    <cellStyle name="Normal 2 2 11 4 3" xfId="24679"/>
    <cellStyle name="Normal 2 2 11 5" xfId="16433"/>
    <cellStyle name="Normal 2 2 11 5 2" xfId="24680"/>
    <cellStyle name="Normal 2 2 11 6" xfId="24681"/>
    <cellStyle name="Normal 2 2 110" xfId="5051"/>
    <cellStyle name="Normal 2 2 110 2" xfId="5052"/>
    <cellStyle name="Normal 2 2 110 2 2" xfId="5053"/>
    <cellStyle name="Normal 2 2 110 2 2 2" xfId="16434"/>
    <cellStyle name="Normal 2 2 110 2 2 2 2" xfId="24682"/>
    <cellStyle name="Normal 2 2 110 2 2 3" xfId="24683"/>
    <cellStyle name="Normal 2 2 110 2 3" xfId="16435"/>
    <cellStyle name="Normal 2 2 110 2 3 2" xfId="24684"/>
    <cellStyle name="Normal 2 2 110 2 4" xfId="24685"/>
    <cellStyle name="Normal 2 2 110 3" xfId="5054"/>
    <cellStyle name="Normal 2 2 110 3 2" xfId="16436"/>
    <cellStyle name="Normal 2 2 110 3 2 2" xfId="24686"/>
    <cellStyle name="Normal 2 2 110 3 3" xfId="24687"/>
    <cellStyle name="Normal 2 2 110 4" xfId="16437"/>
    <cellStyle name="Normal 2 2 110 4 2" xfId="24688"/>
    <cellStyle name="Normal 2 2 110 5" xfId="24689"/>
    <cellStyle name="Normal 2 2 111" xfId="5055"/>
    <cellStyle name="Normal 2 2 111 2" xfId="5056"/>
    <cellStyle name="Normal 2 2 111 2 2" xfId="5057"/>
    <cellStyle name="Normal 2 2 111 2 2 2" xfId="16438"/>
    <cellStyle name="Normal 2 2 111 2 2 2 2" xfId="24690"/>
    <cellStyle name="Normal 2 2 111 2 2 3" xfId="24691"/>
    <cellStyle name="Normal 2 2 111 2 3" xfId="16439"/>
    <cellStyle name="Normal 2 2 111 2 3 2" xfId="24692"/>
    <cellStyle name="Normal 2 2 111 2 4" xfId="24693"/>
    <cellStyle name="Normal 2 2 111 3" xfId="5058"/>
    <cellStyle name="Normal 2 2 111 3 2" xfId="16440"/>
    <cellStyle name="Normal 2 2 111 3 2 2" xfId="24694"/>
    <cellStyle name="Normal 2 2 111 3 3" xfId="24695"/>
    <cellStyle name="Normal 2 2 111 4" xfId="16441"/>
    <cellStyle name="Normal 2 2 111 4 2" xfId="24696"/>
    <cellStyle name="Normal 2 2 111 5" xfId="24697"/>
    <cellStyle name="Normal 2 2 112" xfId="5059"/>
    <cellStyle name="Normal 2 2 112 2" xfId="5060"/>
    <cellStyle name="Normal 2 2 112 2 2" xfId="5061"/>
    <cellStyle name="Normal 2 2 112 2 2 2" xfId="16442"/>
    <cellStyle name="Normal 2 2 112 2 2 2 2" xfId="24698"/>
    <cellStyle name="Normal 2 2 112 2 2 3" xfId="24699"/>
    <cellStyle name="Normal 2 2 112 2 3" xfId="16443"/>
    <cellStyle name="Normal 2 2 112 2 3 2" xfId="24700"/>
    <cellStyle name="Normal 2 2 112 2 4" xfId="24701"/>
    <cellStyle name="Normal 2 2 112 3" xfId="5062"/>
    <cellStyle name="Normal 2 2 112 3 2" xfId="16444"/>
    <cellStyle name="Normal 2 2 112 3 2 2" xfId="24702"/>
    <cellStyle name="Normal 2 2 112 3 3" xfId="24703"/>
    <cellStyle name="Normal 2 2 112 4" xfId="16445"/>
    <cellStyle name="Normal 2 2 112 4 2" xfId="24704"/>
    <cellStyle name="Normal 2 2 112 5" xfId="24705"/>
    <cellStyle name="Normal 2 2 113" xfId="5063"/>
    <cellStyle name="Normal 2 2 113 2" xfId="5064"/>
    <cellStyle name="Normal 2 2 113 2 2" xfId="5065"/>
    <cellStyle name="Normal 2 2 113 2 2 2" xfId="16446"/>
    <cellStyle name="Normal 2 2 113 2 2 2 2" xfId="24706"/>
    <cellStyle name="Normal 2 2 113 2 2 3" xfId="24707"/>
    <cellStyle name="Normal 2 2 113 2 3" xfId="16447"/>
    <cellStyle name="Normal 2 2 113 2 3 2" xfId="24708"/>
    <cellStyle name="Normal 2 2 113 2 4" xfId="24709"/>
    <cellStyle name="Normal 2 2 113 3" xfId="5066"/>
    <cellStyle name="Normal 2 2 113 3 2" xfId="16448"/>
    <cellStyle name="Normal 2 2 113 3 2 2" xfId="24710"/>
    <cellStyle name="Normal 2 2 113 3 3" xfId="24711"/>
    <cellStyle name="Normal 2 2 113 4" xfId="16449"/>
    <cellStyle name="Normal 2 2 113 4 2" xfId="24712"/>
    <cellStyle name="Normal 2 2 113 5" xfId="24713"/>
    <cellStyle name="Normal 2 2 114" xfId="5067"/>
    <cellStyle name="Normal 2 2 114 2" xfId="5068"/>
    <cellStyle name="Normal 2 2 114 2 2" xfId="5069"/>
    <cellStyle name="Normal 2 2 114 2 2 2" xfId="16450"/>
    <cellStyle name="Normal 2 2 114 2 2 2 2" xfId="24714"/>
    <cellStyle name="Normal 2 2 114 2 2 3" xfId="24715"/>
    <cellStyle name="Normal 2 2 114 2 3" xfId="16451"/>
    <cellStyle name="Normal 2 2 114 2 3 2" xfId="24716"/>
    <cellStyle name="Normal 2 2 114 2 4" xfId="24717"/>
    <cellStyle name="Normal 2 2 114 3" xfId="5070"/>
    <cellStyle name="Normal 2 2 114 3 2" xfId="16452"/>
    <cellStyle name="Normal 2 2 114 3 2 2" xfId="24718"/>
    <cellStyle name="Normal 2 2 114 3 3" xfId="24719"/>
    <cellStyle name="Normal 2 2 114 4" xfId="16453"/>
    <cellStyle name="Normal 2 2 114 4 2" xfId="24720"/>
    <cellStyle name="Normal 2 2 114 5" xfId="24721"/>
    <cellStyle name="Normal 2 2 115" xfId="5071"/>
    <cellStyle name="Normal 2 2 115 2" xfId="5072"/>
    <cellStyle name="Normal 2 2 115 2 2" xfId="5073"/>
    <cellStyle name="Normal 2 2 115 2 2 2" xfId="16454"/>
    <cellStyle name="Normal 2 2 115 2 2 2 2" xfId="24722"/>
    <cellStyle name="Normal 2 2 115 2 2 3" xfId="24723"/>
    <cellStyle name="Normal 2 2 115 2 3" xfId="16455"/>
    <cellStyle name="Normal 2 2 115 2 3 2" xfId="24724"/>
    <cellStyle name="Normal 2 2 115 2 4" xfId="24725"/>
    <cellStyle name="Normal 2 2 115 3" xfId="5074"/>
    <cellStyle name="Normal 2 2 115 3 2" xfId="16456"/>
    <cellStyle name="Normal 2 2 115 3 2 2" xfId="24726"/>
    <cellStyle name="Normal 2 2 115 3 3" xfId="24727"/>
    <cellStyle name="Normal 2 2 115 4" xfId="16457"/>
    <cellStyle name="Normal 2 2 115 4 2" xfId="24728"/>
    <cellStyle name="Normal 2 2 115 5" xfId="24729"/>
    <cellStyle name="Normal 2 2 116" xfId="5075"/>
    <cellStyle name="Normal 2 2 116 2" xfId="5076"/>
    <cellStyle name="Normal 2 2 116 2 2" xfId="5077"/>
    <cellStyle name="Normal 2 2 116 2 2 2" xfId="16458"/>
    <cellStyle name="Normal 2 2 116 2 2 2 2" xfId="24730"/>
    <cellStyle name="Normal 2 2 116 2 2 3" xfId="24731"/>
    <cellStyle name="Normal 2 2 116 2 3" xfId="16459"/>
    <cellStyle name="Normal 2 2 116 2 3 2" xfId="24732"/>
    <cellStyle name="Normal 2 2 116 2 4" xfId="24733"/>
    <cellStyle name="Normal 2 2 116 3" xfId="5078"/>
    <cellStyle name="Normal 2 2 116 3 2" xfId="16460"/>
    <cellStyle name="Normal 2 2 116 3 2 2" xfId="24734"/>
    <cellStyle name="Normal 2 2 116 3 3" xfId="24735"/>
    <cellStyle name="Normal 2 2 116 4" xfId="16461"/>
    <cellStyle name="Normal 2 2 116 4 2" xfId="24736"/>
    <cellStyle name="Normal 2 2 116 5" xfId="24737"/>
    <cellStyle name="Normal 2 2 117" xfId="5079"/>
    <cellStyle name="Normal 2 2 117 2" xfId="5080"/>
    <cellStyle name="Normal 2 2 117 2 2" xfId="5081"/>
    <cellStyle name="Normal 2 2 117 2 2 2" xfId="16462"/>
    <cellStyle name="Normal 2 2 117 2 2 2 2" xfId="24738"/>
    <cellStyle name="Normal 2 2 117 2 2 3" xfId="24739"/>
    <cellStyle name="Normal 2 2 117 2 3" xfId="16463"/>
    <cellStyle name="Normal 2 2 117 2 3 2" xfId="24740"/>
    <cellStyle name="Normal 2 2 117 2 4" xfId="24741"/>
    <cellStyle name="Normal 2 2 117 3" xfId="5082"/>
    <cellStyle name="Normal 2 2 117 3 2" xfId="16464"/>
    <cellStyle name="Normal 2 2 117 3 2 2" xfId="24742"/>
    <cellStyle name="Normal 2 2 117 3 3" xfId="24743"/>
    <cellStyle name="Normal 2 2 117 4" xfId="16465"/>
    <cellStyle name="Normal 2 2 117 4 2" xfId="24744"/>
    <cellStyle name="Normal 2 2 117 5" xfId="24745"/>
    <cellStyle name="Normal 2 2 118" xfId="5083"/>
    <cellStyle name="Normal 2 2 118 2" xfId="5084"/>
    <cellStyle name="Normal 2 2 118 2 2" xfId="5085"/>
    <cellStyle name="Normal 2 2 118 2 2 2" xfId="16466"/>
    <cellStyle name="Normal 2 2 118 2 2 2 2" xfId="24746"/>
    <cellStyle name="Normal 2 2 118 2 2 3" xfId="24747"/>
    <cellStyle name="Normal 2 2 118 2 3" xfId="16467"/>
    <cellStyle name="Normal 2 2 118 2 3 2" xfId="24748"/>
    <cellStyle name="Normal 2 2 118 2 4" xfId="24749"/>
    <cellStyle name="Normal 2 2 118 3" xfId="5086"/>
    <cellStyle name="Normal 2 2 118 3 2" xfId="16468"/>
    <cellStyle name="Normal 2 2 118 3 2 2" xfId="24750"/>
    <cellStyle name="Normal 2 2 118 3 3" xfId="24751"/>
    <cellStyle name="Normal 2 2 118 4" xfId="16469"/>
    <cellStyle name="Normal 2 2 118 4 2" xfId="24752"/>
    <cellStyle name="Normal 2 2 118 5" xfId="24753"/>
    <cellStyle name="Normal 2 2 119" xfId="5087"/>
    <cellStyle name="Normal 2 2 119 2" xfId="5088"/>
    <cellStyle name="Normal 2 2 119 2 2" xfId="5089"/>
    <cellStyle name="Normal 2 2 119 2 2 2" xfId="16470"/>
    <cellStyle name="Normal 2 2 119 2 2 2 2" xfId="24754"/>
    <cellStyle name="Normal 2 2 119 2 2 3" xfId="24755"/>
    <cellStyle name="Normal 2 2 119 2 3" xfId="16471"/>
    <cellStyle name="Normal 2 2 119 2 3 2" xfId="24756"/>
    <cellStyle name="Normal 2 2 119 2 4" xfId="24757"/>
    <cellStyle name="Normal 2 2 119 3" xfId="5090"/>
    <cellStyle name="Normal 2 2 119 3 2" xfId="16472"/>
    <cellStyle name="Normal 2 2 119 3 2 2" xfId="24758"/>
    <cellStyle name="Normal 2 2 119 3 3" xfId="24759"/>
    <cellStyle name="Normal 2 2 119 4" xfId="16473"/>
    <cellStyle name="Normal 2 2 119 4 2" xfId="24760"/>
    <cellStyle name="Normal 2 2 119 5" xfId="24761"/>
    <cellStyle name="Normal 2 2 12" xfId="5091"/>
    <cellStyle name="Normal 2 2 12 2" xfId="5092"/>
    <cellStyle name="Normal 2 2 12 2 2" xfId="5093"/>
    <cellStyle name="Normal 2 2 12 2 2 2" xfId="16474"/>
    <cellStyle name="Normal 2 2 12 2 2 2 2" xfId="24762"/>
    <cellStyle name="Normal 2 2 12 2 2 3" xfId="24763"/>
    <cellStyle name="Normal 2 2 12 2 3" xfId="16475"/>
    <cellStyle name="Normal 2 2 12 2 3 2" xfId="24764"/>
    <cellStyle name="Normal 2 2 12 2 4" xfId="24765"/>
    <cellStyle name="Normal 2 2 12 3" xfId="5094"/>
    <cellStyle name="Normal 2 2 12 3 2" xfId="5095"/>
    <cellStyle name="Normal 2 2 12 3 2 2" xfId="16476"/>
    <cellStyle name="Normal 2 2 12 3 2 2 2" xfId="24766"/>
    <cellStyle name="Normal 2 2 12 3 2 3" xfId="24767"/>
    <cellStyle name="Normal 2 2 12 3 3" xfId="16477"/>
    <cellStyle name="Normal 2 2 12 3 3 2" xfId="24768"/>
    <cellStyle name="Normal 2 2 12 3 4" xfId="24769"/>
    <cellStyle name="Normal 2 2 12 4" xfId="5096"/>
    <cellStyle name="Normal 2 2 12 4 2" xfId="16478"/>
    <cellStyle name="Normal 2 2 12 4 2 2" xfId="24770"/>
    <cellStyle name="Normal 2 2 12 4 3" xfId="24771"/>
    <cellStyle name="Normal 2 2 12 5" xfId="16479"/>
    <cellStyle name="Normal 2 2 12 5 2" xfId="24772"/>
    <cellStyle name="Normal 2 2 12 6" xfId="24773"/>
    <cellStyle name="Normal 2 2 120" xfId="5097"/>
    <cellStyle name="Normal 2 2 120 2" xfId="5098"/>
    <cellStyle name="Normal 2 2 120 2 2" xfId="5099"/>
    <cellStyle name="Normal 2 2 120 2 2 2" xfId="16480"/>
    <cellStyle name="Normal 2 2 120 2 2 2 2" xfId="24774"/>
    <cellStyle name="Normal 2 2 120 2 2 3" xfId="24775"/>
    <cellStyle name="Normal 2 2 120 2 3" xfId="16481"/>
    <cellStyle name="Normal 2 2 120 2 3 2" xfId="24776"/>
    <cellStyle name="Normal 2 2 120 2 4" xfId="24777"/>
    <cellStyle name="Normal 2 2 120 3" xfId="5100"/>
    <cellStyle name="Normal 2 2 120 3 2" xfId="16482"/>
    <cellStyle name="Normal 2 2 120 3 2 2" xfId="24778"/>
    <cellStyle name="Normal 2 2 120 3 3" xfId="24779"/>
    <cellStyle name="Normal 2 2 120 4" xfId="16483"/>
    <cellStyle name="Normal 2 2 120 4 2" xfId="24780"/>
    <cellStyle name="Normal 2 2 120 5" xfId="24781"/>
    <cellStyle name="Normal 2 2 121" xfId="5101"/>
    <cellStyle name="Normal 2 2 121 2" xfId="5102"/>
    <cellStyle name="Normal 2 2 121 2 2" xfId="5103"/>
    <cellStyle name="Normal 2 2 121 2 2 2" xfId="16484"/>
    <cellStyle name="Normal 2 2 121 2 2 2 2" xfId="24782"/>
    <cellStyle name="Normal 2 2 121 2 2 3" xfId="24783"/>
    <cellStyle name="Normal 2 2 121 2 3" xfId="16485"/>
    <cellStyle name="Normal 2 2 121 2 3 2" xfId="24784"/>
    <cellStyle name="Normal 2 2 121 2 4" xfId="24785"/>
    <cellStyle name="Normal 2 2 121 3" xfId="5104"/>
    <cellStyle name="Normal 2 2 121 3 2" xfId="16486"/>
    <cellStyle name="Normal 2 2 121 3 2 2" xfId="24786"/>
    <cellStyle name="Normal 2 2 121 3 3" xfId="24787"/>
    <cellStyle name="Normal 2 2 121 4" xfId="16487"/>
    <cellStyle name="Normal 2 2 121 4 2" xfId="24788"/>
    <cellStyle name="Normal 2 2 121 5" xfId="24789"/>
    <cellStyle name="Normal 2 2 122" xfId="5105"/>
    <cellStyle name="Normal 2 2 122 2" xfId="5106"/>
    <cellStyle name="Normal 2 2 122 2 2" xfId="5107"/>
    <cellStyle name="Normal 2 2 122 2 2 2" xfId="16488"/>
    <cellStyle name="Normal 2 2 122 2 2 2 2" xfId="24790"/>
    <cellStyle name="Normal 2 2 122 2 2 3" xfId="24791"/>
    <cellStyle name="Normal 2 2 122 2 3" xfId="16489"/>
    <cellStyle name="Normal 2 2 122 2 3 2" xfId="24792"/>
    <cellStyle name="Normal 2 2 122 2 4" xfId="24793"/>
    <cellStyle name="Normal 2 2 122 3" xfId="5108"/>
    <cellStyle name="Normal 2 2 122 3 2" xfId="16490"/>
    <cellStyle name="Normal 2 2 122 3 2 2" xfId="24794"/>
    <cellStyle name="Normal 2 2 122 3 3" xfId="24795"/>
    <cellStyle name="Normal 2 2 122 4" xfId="16491"/>
    <cellStyle name="Normal 2 2 122 4 2" xfId="24796"/>
    <cellStyle name="Normal 2 2 122 5" xfId="24797"/>
    <cellStyle name="Normal 2 2 123" xfId="5109"/>
    <cellStyle name="Normal 2 2 123 2" xfId="5110"/>
    <cellStyle name="Normal 2 2 123 2 2" xfId="5111"/>
    <cellStyle name="Normal 2 2 123 2 2 2" xfId="16492"/>
    <cellStyle name="Normal 2 2 123 2 2 2 2" xfId="24798"/>
    <cellStyle name="Normal 2 2 123 2 2 3" xfId="24799"/>
    <cellStyle name="Normal 2 2 123 2 3" xfId="16493"/>
    <cellStyle name="Normal 2 2 123 2 3 2" xfId="24800"/>
    <cellStyle name="Normal 2 2 123 2 4" xfId="24801"/>
    <cellStyle name="Normal 2 2 123 3" xfId="5112"/>
    <cellStyle name="Normal 2 2 123 3 2" xfId="16494"/>
    <cellStyle name="Normal 2 2 123 3 2 2" xfId="24802"/>
    <cellStyle name="Normal 2 2 123 3 3" xfId="24803"/>
    <cellStyle name="Normal 2 2 123 4" xfId="16495"/>
    <cellStyle name="Normal 2 2 123 4 2" xfId="24804"/>
    <cellStyle name="Normal 2 2 123 5" xfId="24805"/>
    <cellStyle name="Normal 2 2 124" xfId="5113"/>
    <cellStyle name="Normal 2 2 124 2" xfId="5114"/>
    <cellStyle name="Normal 2 2 124 2 2" xfId="5115"/>
    <cellStyle name="Normal 2 2 124 2 2 2" xfId="16496"/>
    <cellStyle name="Normal 2 2 124 2 2 2 2" xfId="24806"/>
    <cellStyle name="Normal 2 2 124 2 2 3" xfId="24807"/>
    <cellStyle name="Normal 2 2 124 2 3" xfId="16497"/>
    <cellStyle name="Normal 2 2 124 2 3 2" xfId="24808"/>
    <cellStyle name="Normal 2 2 124 2 4" xfId="24809"/>
    <cellStyle name="Normal 2 2 124 3" xfId="5116"/>
    <cellStyle name="Normal 2 2 124 3 2" xfId="16498"/>
    <cellStyle name="Normal 2 2 124 3 2 2" xfId="24810"/>
    <cellStyle name="Normal 2 2 124 3 3" xfId="24811"/>
    <cellStyle name="Normal 2 2 124 4" xfId="16499"/>
    <cellStyle name="Normal 2 2 124 4 2" xfId="24812"/>
    <cellStyle name="Normal 2 2 124 5" xfId="24813"/>
    <cellStyle name="Normal 2 2 125" xfId="5117"/>
    <cellStyle name="Normal 2 2 125 2" xfId="5118"/>
    <cellStyle name="Normal 2 2 125 2 2" xfId="5119"/>
    <cellStyle name="Normal 2 2 125 2 2 2" xfId="16500"/>
    <cellStyle name="Normal 2 2 125 2 2 2 2" xfId="24814"/>
    <cellStyle name="Normal 2 2 125 2 2 3" xfId="24815"/>
    <cellStyle name="Normal 2 2 125 2 3" xfId="16501"/>
    <cellStyle name="Normal 2 2 125 2 3 2" xfId="24816"/>
    <cellStyle name="Normal 2 2 125 2 4" xfId="24817"/>
    <cellStyle name="Normal 2 2 125 3" xfId="5120"/>
    <cellStyle name="Normal 2 2 125 3 2" xfId="16502"/>
    <cellStyle name="Normal 2 2 125 3 2 2" xfId="24818"/>
    <cellStyle name="Normal 2 2 125 3 3" xfId="24819"/>
    <cellStyle name="Normal 2 2 125 4" xfId="16503"/>
    <cellStyle name="Normal 2 2 125 4 2" xfId="24820"/>
    <cellStyle name="Normal 2 2 125 5" xfId="24821"/>
    <cellStyle name="Normal 2 2 126" xfId="5121"/>
    <cellStyle name="Normal 2 2 126 2" xfId="5122"/>
    <cellStyle name="Normal 2 2 126 2 2" xfId="5123"/>
    <cellStyle name="Normal 2 2 126 2 2 2" xfId="16504"/>
    <cellStyle name="Normal 2 2 126 2 2 2 2" xfId="24822"/>
    <cellStyle name="Normal 2 2 126 2 2 3" xfId="24823"/>
    <cellStyle name="Normal 2 2 126 2 3" xfId="16505"/>
    <cellStyle name="Normal 2 2 126 2 3 2" xfId="24824"/>
    <cellStyle name="Normal 2 2 126 2 4" xfId="24825"/>
    <cellStyle name="Normal 2 2 126 3" xfId="5124"/>
    <cellStyle name="Normal 2 2 126 3 2" xfId="16506"/>
    <cellStyle name="Normal 2 2 126 3 2 2" xfId="24826"/>
    <cellStyle name="Normal 2 2 126 3 3" xfId="24827"/>
    <cellStyle name="Normal 2 2 126 4" xfId="16507"/>
    <cellStyle name="Normal 2 2 126 4 2" xfId="24828"/>
    <cellStyle name="Normal 2 2 126 5" xfId="24829"/>
    <cellStyle name="Normal 2 2 127" xfId="5125"/>
    <cellStyle name="Normal 2 2 127 2" xfId="5126"/>
    <cellStyle name="Normal 2 2 127 2 2" xfId="5127"/>
    <cellStyle name="Normal 2 2 127 2 2 2" xfId="16508"/>
    <cellStyle name="Normal 2 2 127 2 2 2 2" xfId="24830"/>
    <cellStyle name="Normal 2 2 127 2 2 3" xfId="24831"/>
    <cellStyle name="Normal 2 2 127 2 3" xfId="16509"/>
    <cellStyle name="Normal 2 2 127 2 3 2" xfId="24832"/>
    <cellStyle name="Normal 2 2 127 2 4" xfId="24833"/>
    <cellStyle name="Normal 2 2 127 3" xfId="5128"/>
    <cellStyle name="Normal 2 2 127 3 2" xfId="16510"/>
    <cellStyle name="Normal 2 2 127 3 2 2" xfId="24834"/>
    <cellStyle name="Normal 2 2 127 3 3" xfId="24835"/>
    <cellStyle name="Normal 2 2 127 4" xfId="16511"/>
    <cellStyle name="Normal 2 2 127 4 2" xfId="24836"/>
    <cellStyle name="Normal 2 2 127 5" xfId="24837"/>
    <cellStyle name="Normal 2 2 128" xfId="5129"/>
    <cellStyle name="Normal 2 2 128 2" xfId="5130"/>
    <cellStyle name="Normal 2 2 128 2 2" xfId="5131"/>
    <cellStyle name="Normal 2 2 128 2 2 2" xfId="16512"/>
    <cellStyle name="Normal 2 2 128 2 2 2 2" xfId="24838"/>
    <cellStyle name="Normal 2 2 128 2 2 3" xfId="24839"/>
    <cellStyle name="Normal 2 2 128 2 3" xfId="16513"/>
    <cellStyle name="Normal 2 2 128 2 3 2" xfId="24840"/>
    <cellStyle name="Normal 2 2 128 2 4" xfId="24841"/>
    <cellStyle name="Normal 2 2 128 3" xfId="5132"/>
    <cellStyle name="Normal 2 2 128 3 2" xfId="16514"/>
    <cellStyle name="Normal 2 2 128 3 2 2" xfId="24842"/>
    <cellStyle name="Normal 2 2 128 3 3" xfId="24843"/>
    <cellStyle name="Normal 2 2 128 4" xfId="16515"/>
    <cellStyle name="Normal 2 2 128 4 2" xfId="24844"/>
    <cellStyle name="Normal 2 2 128 5" xfId="24845"/>
    <cellStyle name="Normal 2 2 129" xfId="5133"/>
    <cellStyle name="Normal 2 2 129 2" xfId="5134"/>
    <cellStyle name="Normal 2 2 129 2 2" xfId="5135"/>
    <cellStyle name="Normal 2 2 129 2 2 2" xfId="16516"/>
    <cellStyle name="Normal 2 2 129 2 2 2 2" xfId="24846"/>
    <cellStyle name="Normal 2 2 129 2 2 3" xfId="24847"/>
    <cellStyle name="Normal 2 2 129 2 3" xfId="16517"/>
    <cellStyle name="Normal 2 2 129 2 3 2" xfId="24848"/>
    <cellStyle name="Normal 2 2 129 2 4" xfId="24849"/>
    <cellStyle name="Normal 2 2 129 3" xfId="5136"/>
    <cellStyle name="Normal 2 2 129 3 2" xfId="16518"/>
    <cellStyle name="Normal 2 2 129 3 2 2" xfId="24850"/>
    <cellStyle name="Normal 2 2 129 3 3" xfId="24851"/>
    <cellStyle name="Normal 2 2 129 4" xfId="16519"/>
    <cellStyle name="Normal 2 2 129 4 2" xfId="24852"/>
    <cellStyle name="Normal 2 2 129 5" xfId="24853"/>
    <cellStyle name="Normal 2 2 13" xfId="5137"/>
    <cellStyle name="Normal 2 2 13 2" xfId="5138"/>
    <cellStyle name="Normal 2 2 13 2 2" xfId="5139"/>
    <cellStyle name="Normal 2 2 13 2 2 2" xfId="16520"/>
    <cellStyle name="Normal 2 2 13 2 2 2 2" xfId="24854"/>
    <cellStyle name="Normal 2 2 13 2 2 3" xfId="24855"/>
    <cellStyle name="Normal 2 2 13 2 3" xfId="16521"/>
    <cellStyle name="Normal 2 2 13 2 3 2" xfId="24856"/>
    <cellStyle name="Normal 2 2 13 2 4" xfId="24857"/>
    <cellStyle name="Normal 2 2 13 3" xfId="5140"/>
    <cellStyle name="Normal 2 2 13 3 2" xfId="5141"/>
    <cellStyle name="Normal 2 2 13 3 2 2" xfId="16522"/>
    <cellStyle name="Normal 2 2 13 3 2 2 2" xfId="24858"/>
    <cellStyle name="Normal 2 2 13 3 2 3" xfId="24859"/>
    <cellStyle name="Normal 2 2 13 3 3" xfId="16523"/>
    <cellStyle name="Normal 2 2 13 3 3 2" xfId="24860"/>
    <cellStyle name="Normal 2 2 13 3 4" xfId="24861"/>
    <cellStyle name="Normal 2 2 13 4" xfId="5142"/>
    <cellStyle name="Normal 2 2 13 4 2" xfId="16524"/>
    <cellStyle name="Normal 2 2 13 4 2 2" xfId="24862"/>
    <cellStyle name="Normal 2 2 13 4 3" xfId="24863"/>
    <cellStyle name="Normal 2 2 13 5" xfId="16525"/>
    <cellStyle name="Normal 2 2 13 5 2" xfId="24864"/>
    <cellStyle name="Normal 2 2 13 6" xfId="24865"/>
    <cellStyle name="Normal 2 2 130" xfId="5143"/>
    <cellStyle name="Normal 2 2 130 2" xfId="5144"/>
    <cellStyle name="Normal 2 2 130 2 2" xfId="5145"/>
    <cellStyle name="Normal 2 2 130 2 2 2" xfId="16526"/>
    <cellStyle name="Normal 2 2 130 2 2 2 2" xfId="24866"/>
    <cellStyle name="Normal 2 2 130 2 2 3" xfId="24867"/>
    <cellStyle name="Normal 2 2 130 2 3" xfId="16527"/>
    <cellStyle name="Normal 2 2 130 2 3 2" xfId="24868"/>
    <cellStyle name="Normal 2 2 130 2 4" xfId="24869"/>
    <cellStyle name="Normal 2 2 130 3" xfId="5146"/>
    <cellStyle name="Normal 2 2 130 3 2" xfId="16528"/>
    <cellStyle name="Normal 2 2 130 3 2 2" xfId="24870"/>
    <cellStyle name="Normal 2 2 130 3 3" xfId="24871"/>
    <cellStyle name="Normal 2 2 130 4" xfId="16529"/>
    <cellStyle name="Normal 2 2 130 4 2" xfId="24872"/>
    <cellStyle name="Normal 2 2 130 5" xfId="24873"/>
    <cellStyle name="Normal 2 2 131" xfId="5147"/>
    <cellStyle name="Normal 2 2 131 2" xfId="5148"/>
    <cellStyle name="Normal 2 2 131 2 2" xfId="5149"/>
    <cellStyle name="Normal 2 2 131 2 2 2" xfId="16530"/>
    <cellStyle name="Normal 2 2 131 2 2 2 2" xfId="24874"/>
    <cellStyle name="Normal 2 2 131 2 2 3" xfId="24875"/>
    <cellStyle name="Normal 2 2 131 2 3" xfId="16531"/>
    <cellStyle name="Normal 2 2 131 2 3 2" xfId="24876"/>
    <cellStyle name="Normal 2 2 131 2 4" xfId="24877"/>
    <cellStyle name="Normal 2 2 131 3" xfId="5150"/>
    <cellStyle name="Normal 2 2 131 3 2" xfId="16532"/>
    <cellStyle name="Normal 2 2 131 3 2 2" xfId="24878"/>
    <cellStyle name="Normal 2 2 131 3 3" xfId="24879"/>
    <cellStyle name="Normal 2 2 131 4" xfId="16533"/>
    <cellStyle name="Normal 2 2 131 4 2" xfId="24880"/>
    <cellStyle name="Normal 2 2 131 5" xfId="24881"/>
    <cellStyle name="Normal 2 2 132" xfId="5151"/>
    <cellStyle name="Normal 2 2 132 2" xfId="5152"/>
    <cellStyle name="Normal 2 2 132 2 2" xfId="5153"/>
    <cellStyle name="Normal 2 2 132 2 2 2" xfId="16534"/>
    <cellStyle name="Normal 2 2 132 2 2 2 2" xfId="24882"/>
    <cellStyle name="Normal 2 2 132 2 2 3" xfId="24883"/>
    <cellStyle name="Normal 2 2 132 2 3" xfId="16535"/>
    <cellStyle name="Normal 2 2 132 2 3 2" xfId="24884"/>
    <cellStyle name="Normal 2 2 132 2 4" xfId="24885"/>
    <cellStyle name="Normal 2 2 132 3" xfId="5154"/>
    <cellStyle name="Normal 2 2 132 3 2" xfId="16536"/>
    <cellStyle name="Normal 2 2 132 3 2 2" xfId="24886"/>
    <cellStyle name="Normal 2 2 132 3 3" xfId="24887"/>
    <cellStyle name="Normal 2 2 132 4" xfId="16537"/>
    <cellStyle name="Normal 2 2 132 4 2" xfId="24888"/>
    <cellStyle name="Normal 2 2 132 5" xfId="24889"/>
    <cellStyle name="Normal 2 2 133" xfId="5155"/>
    <cellStyle name="Normal 2 2 133 2" xfId="5156"/>
    <cellStyle name="Normal 2 2 133 2 2" xfId="5157"/>
    <cellStyle name="Normal 2 2 133 2 2 2" xfId="16538"/>
    <cellStyle name="Normal 2 2 133 2 2 2 2" xfId="24890"/>
    <cellStyle name="Normal 2 2 133 2 2 3" xfId="24891"/>
    <cellStyle name="Normal 2 2 133 2 3" xfId="16539"/>
    <cellStyle name="Normal 2 2 133 2 3 2" xfId="24892"/>
    <cellStyle name="Normal 2 2 133 2 4" xfId="24893"/>
    <cellStyle name="Normal 2 2 133 3" xfId="5158"/>
    <cellStyle name="Normal 2 2 133 3 2" xfId="16540"/>
    <cellStyle name="Normal 2 2 133 3 2 2" xfId="24894"/>
    <cellStyle name="Normal 2 2 133 3 3" xfId="24895"/>
    <cellStyle name="Normal 2 2 133 4" xfId="16541"/>
    <cellStyle name="Normal 2 2 133 4 2" xfId="24896"/>
    <cellStyle name="Normal 2 2 133 5" xfId="24897"/>
    <cellStyle name="Normal 2 2 134" xfId="5159"/>
    <cellStyle name="Normal 2 2 134 2" xfId="5160"/>
    <cellStyle name="Normal 2 2 134 2 2" xfId="5161"/>
    <cellStyle name="Normal 2 2 134 2 2 2" xfId="16542"/>
    <cellStyle name="Normal 2 2 134 2 2 2 2" xfId="24898"/>
    <cellStyle name="Normal 2 2 134 2 2 3" xfId="24899"/>
    <cellStyle name="Normal 2 2 134 2 3" xfId="16543"/>
    <cellStyle name="Normal 2 2 134 2 3 2" xfId="24900"/>
    <cellStyle name="Normal 2 2 134 2 4" xfId="24901"/>
    <cellStyle name="Normal 2 2 134 3" xfId="5162"/>
    <cellStyle name="Normal 2 2 134 3 2" xfId="16544"/>
    <cellStyle name="Normal 2 2 134 3 2 2" xfId="24902"/>
    <cellStyle name="Normal 2 2 134 3 3" xfId="24903"/>
    <cellStyle name="Normal 2 2 134 4" xfId="16545"/>
    <cellStyle name="Normal 2 2 134 4 2" xfId="24904"/>
    <cellStyle name="Normal 2 2 134 5" xfId="24905"/>
    <cellStyle name="Normal 2 2 135" xfId="5163"/>
    <cellStyle name="Normal 2 2 135 2" xfId="5164"/>
    <cellStyle name="Normal 2 2 135 2 2" xfId="5165"/>
    <cellStyle name="Normal 2 2 135 2 2 2" xfId="16546"/>
    <cellStyle name="Normal 2 2 135 2 2 2 2" xfId="24906"/>
    <cellStyle name="Normal 2 2 135 2 2 3" xfId="24907"/>
    <cellStyle name="Normal 2 2 135 2 3" xfId="16547"/>
    <cellStyle name="Normal 2 2 135 2 3 2" xfId="24908"/>
    <cellStyle name="Normal 2 2 135 2 4" xfId="24909"/>
    <cellStyle name="Normal 2 2 135 3" xfId="5166"/>
    <cellStyle name="Normal 2 2 135 3 2" xfId="16548"/>
    <cellStyle name="Normal 2 2 135 3 2 2" xfId="24910"/>
    <cellStyle name="Normal 2 2 135 3 3" xfId="24911"/>
    <cellStyle name="Normal 2 2 135 4" xfId="16549"/>
    <cellStyle name="Normal 2 2 135 4 2" xfId="24912"/>
    <cellStyle name="Normal 2 2 135 5" xfId="24913"/>
    <cellStyle name="Normal 2 2 136" xfId="5167"/>
    <cellStyle name="Normal 2 2 136 2" xfId="5168"/>
    <cellStyle name="Normal 2 2 136 2 2" xfId="5169"/>
    <cellStyle name="Normal 2 2 136 2 2 2" xfId="16550"/>
    <cellStyle name="Normal 2 2 136 2 2 2 2" xfId="24914"/>
    <cellStyle name="Normal 2 2 136 2 2 3" xfId="24915"/>
    <cellStyle name="Normal 2 2 136 2 3" xfId="16551"/>
    <cellStyle name="Normal 2 2 136 2 3 2" xfId="24916"/>
    <cellStyle name="Normal 2 2 136 2 4" xfId="24917"/>
    <cellStyle name="Normal 2 2 136 3" xfId="5170"/>
    <cellStyle name="Normal 2 2 136 3 2" xfId="16552"/>
    <cellStyle name="Normal 2 2 136 3 2 2" xfId="24918"/>
    <cellStyle name="Normal 2 2 136 3 3" xfId="24919"/>
    <cellStyle name="Normal 2 2 136 4" xfId="16553"/>
    <cellStyle name="Normal 2 2 136 4 2" xfId="24920"/>
    <cellStyle name="Normal 2 2 136 5" xfId="24921"/>
    <cellStyle name="Normal 2 2 137" xfId="5171"/>
    <cellStyle name="Normal 2 2 137 2" xfId="5172"/>
    <cellStyle name="Normal 2 2 137 2 2" xfId="5173"/>
    <cellStyle name="Normal 2 2 137 2 2 2" xfId="16554"/>
    <cellStyle name="Normal 2 2 137 2 2 2 2" xfId="24922"/>
    <cellStyle name="Normal 2 2 137 2 2 3" xfId="24923"/>
    <cellStyle name="Normal 2 2 137 2 3" xfId="16555"/>
    <cellStyle name="Normal 2 2 137 2 3 2" xfId="24924"/>
    <cellStyle name="Normal 2 2 137 2 4" xfId="24925"/>
    <cellStyle name="Normal 2 2 137 3" xfId="5174"/>
    <cellStyle name="Normal 2 2 137 3 2" xfId="16556"/>
    <cellStyle name="Normal 2 2 137 3 2 2" xfId="24926"/>
    <cellStyle name="Normal 2 2 137 3 3" xfId="24927"/>
    <cellStyle name="Normal 2 2 137 4" xfId="16557"/>
    <cellStyle name="Normal 2 2 137 4 2" xfId="24928"/>
    <cellStyle name="Normal 2 2 137 5" xfId="24929"/>
    <cellStyle name="Normal 2 2 138" xfId="5175"/>
    <cellStyle name="Normal 2 2 138 2" xfId="5176"/>
    <cellStyle name="Normal 2 2 138 2 2" xfId="5177"/>
    <cellStyle name="Normal 2 2 138 2 2 2" xfId="16558"/>
    <cellStyle name="Normal 2 2 138 2 2 2 2" xfId="24930"/>
    <cellStyle name="Normal 2 2 138 2 2 3" xfId="24931"/>
    <cellStyle name="Normal 2 2 138 2 3" xfId="16559"/>
    <cellStyle name="Normal 2 2 138 2 3 2" xfId="24932"/>
    <cellStyle name="Normal 2 2 138 2 4" xfId="24933"/>
    <cellStyle name="Normal 2 2 138 3" xfId="5178"/>
    <cellStyle name="Normal 2 2 138 3 2" xfId="16560"/>
    <cellStyle name="Normal 2 2 138 3 2 2" xfId="24934"/>
    <cellStyle name="Normal 2 2 138 3 3" xfId="24935"/>
    <cellStyle name="Normal 2 2 138 4" xfId="16561"/>
    <cellStyle name="Normal 2 2 138 4 2" xfId="24936"/>
    <cellStyle name="Normal 2 2 138 5" xfId="24937"/>
    <cellStyle name="Normal 2 2 139" xfId="5179"/>
    <cellStyle name="Normal 2 2 139 2" xfId="5180"/>
    <cellStyle name="Normal 2 2 139 2 2" xfId="5181"/>
    <cellStyle name="Normal 2 2 139 2 2 2" xfId="16562"/>
    <cellStyle name="Normal 2 2 139 2 2 2 2" xfId="24938"/>
    <cellStyle name="Normal 2 2 139 2 2 3" xfId="24939"/>
    <cellStyle name="Normal 2 2 139 2 3" xfId="16563"/>
    <cellStyle name="Normal 2 2 139 2 3 2" xfId="24940"/>
    <cellStyle name="Normal 2 2 139 2 4" xfId="24941"/>
    <cellStyle name="Normal 2 2 139 3" xfId="5182"/>
    <cellStyle name="Normal 2 2 139 3 2" xfId="16564"/>
    <cellStyle name="Normal 2 2 139 3 2 2" xfId="24942"/>
    <cellStyle name="Normal 2 2 139 3 3" xfId="24943"/>
    <cellStyle name="Normal 2 2 139 4" xfId="16565"/>
    <cellStyle name="Normal 2 2 139 4 2" xfId="24944"/>
    <cellStyle name="Normal 2 2 139 5" xfId="24945"/>
    <cellStyle name="Normal 2 2 14" xfId="5183"/>
    <cellStyle name="Normal 2 2 14 2" xfId="5184"/>
    <cellStyle name="Normal 2 2 14 2 2" xfId="5185"/>
    <cellStyle name="Normal 2 2 14 2 2 2" xfId="16566"/>
    <cellStyle name="Normal 2 2 14 2 2 2 2" xfId="24946"/>
    <cellStyle name="Normal 2 2 14 2 2 3" xfId="24947"/>
    <cellStyle name="Normal 2 2 14 2 3" xfId="16567"/>
    <cellStyle name="Normal 2 2 14 2 3 2" xfId="24948"/>
    <cellStyle name="Normal 2 2 14 2 4" xfId="24949"/>
    <cellStyle name="Normal 2 2 14 3" xfId="5186"/>
    <cellStyle name="Normal 2 2 14 3 2" xfId="5187"/>
    <cellStyle name="Normal 2 2 14 3 2 2" xfId="16568"/>
    <cellStyle name="Normal 2 2 14 3 2 2 2" xfId="24950"/>
    <cellStyle name="Normal 2 2 14 3 2 3" xfId="24951"/>
    <cellStyle name="Normal 2 2 14 3 3" xfId="16569"/>
    <cellStyle name="Normal 2 2 14 3 3 2" xfId="24952"/>
    <cellStyle name="Normal 2 2 14 3 4" xfId="24953"/>
    <cellStyle name="Normal 2 2 14 4" xfId="5188"/>
    <cellStyle name="Normal 2 2 14 4 2" xfId="16570"/>
    <cellStyle name="Normal 2 2 14 4 2 2" xfId="24954"/>
    <cellStyle name="Normal 2 2 14 4 3" xfId="24955"/>
    <cellStyle name="Normal 2 2 14 5" xfId="16571"/>
    <cellStyle name="Normal 2 2 14 5 2" xfId="24956"/>
    <cellStyle name="Normal 2 2 14 6" xfId="24957"/>
    <cellStyle name="Normal 2 2 140" xfId="5189"/>
    <cellStyle name="Normal 2 2 140 2" xfId="5190"/>
    <cellStyle name="Normal 2 2 140 2 2" xfId="5191"/>
    <cellStyle name="Normal 2 2 140 2 2 2" xfId="16572"/>
    <cellStyle name="Normal 2 2 140 2 2 2 2" xfId="24958"/>
    <cellStyle name="Normal 2 2 140 2 2 3" xfId="24959"/>
    <cellStyle name="Normal 2 2 140 2 3" xfId="16573"/>
    <cellStyle name="Normal 2 2 140 2 3 2" xfId="24960"/>
    <cellStyle name="Normal 2 2 140 2 4" xfId="24961"/>
    <cellStyle name="Normal 2 2 140 3" xfId="5192"/>
    <cellStyle name="Normal 2 2 140 3 2" xfId="16574"/>
    <cellStyle name="Normal 2 2 140 3 2 2" xfId="24962"/>
    <cellStyle name="Normal 2 2 140 3 3" xfId="24963"/>
    <cellStyle name="Normal 2 2 140 4" xfId="16575"/>
    <cellStyle name="Normal 2 2 140 4 2" xfId="24964"/>
    <cellStyle name="Normal 2 2 140 5" xfId="24965"/>
    <cellStyle name="Normal 2 2 141" xfId="5193"/>
    <cellStyle name="Normal 2 2 141 2" xfId="5194"/>
    <cellStyle name="Normal 2 2 141 2 2" xfId="5195"/>
    <cellStyle name="Normal 2 2 141 2 2 2" xfId="16576"/>
    <cellStyle name="Normal 2 2 141 2 2 2 2" xfId="24966"/>
    <cellStyle name="Normal 2 2 141 2 2 3" xfId="24967"/>
    <cellStyle name="Normal 2 2 141 2 3" xfId="16577"/>
    <cellStyle name="Normal 2 2 141 2 3 2" xfId="24968"/>
    <cellStyle name="Normal 2 2 141 2 4" xfId="24969"/>
    <cellStyle name="Normal 2 2 141 3" xfId="5196"/>
    <cellStyle name="Normal 2 2 141 3 2" xfId="16578"/>
    <cellStyle name="Normal 2 2 141 3 2 2" xfId="24970"/>
    <cellStyle name="Normal 2 2 141 3 3" xfId="24971"/>
    <cellStyle name="Normal 2 2 141 4" xfId="16579"/>
    <cellStyle name="Normal 2 2 141 4 2" xfId="24972"/>
    <cellStyle name="Normal 2 2 141 5" xfId="24973"/>
    <cellStyle name="Normal 2 2 142" xfId="5197"/>
    <cellStyle name="Normal 2 2 142 2" xfId="5198"/>
    <cellStyle name="Normal 2 2 142 2 2" xfId="5199"/>
    <cellStyle name="Normal 2 2 142 2 2 2" xfId="16580"/>
    <cellStyle name="Normal 2 2 142 2 2 2 2" xfId="24974"/>
    <cellStyle name="Normal 2 2 142 2 2 3" xfId="24975"/>
    <cellStyle name="Normal 2 2 142 2 3" xfId="16581"/>
    <cellStyle name="Normal 2 2 142 2 3 2" xfId="24976"/>
    <cellStyle name="Normal 2 2 142 2 4" xfId="24977"/>
    <cellStyle name="Normal 2 2 142 3" xfId="5200"/>
    <cellStyle name="Normal 2 2 142 3 2" xfId="16582"/>
    <cellStyle name="Normal 2 2 142 3 2 2" xfId="24978"/>
    <cellStyle name="Normal 2 2 142 3 3" xfId="24979"/>
    <cellStyle name="Normal 2 2 142 4" xfId="16583"/>
    <cellStyle name="Normal 2 2 142 4 2" xfId="24980"/>
    <cellStyle name="Normal 2 2 142 5" xfId="24981"/>
    <cellStyle name="Normal 2 2 143" xfId="5201"/>
    <cellStyle name="Normal 2 2 143 2" xfId="5202"/>
    <cellStyle name="Normal 2 2 143 2 2" xfId="5203"/>
    <cellStyle name="Normal 2 2 143 2 2 2" xfId="16584"/>
    <cellStyle name="Normal 2 2 143 2 2 2 2" xfId="24982"/>
    <cellStyle name="Normal 2 2 143 2 2 3" xfId="24983"/>
    <cellStyle name="Normal 2 2 143 2 3" xfId="16585"/>
    <cellStyle name="Normal 2 2 143 2 3 2" xfId="24984"/>
    <cellStyle name="Normal 2 2 143 2 4" xfId="24985"/>
    <cellStyle name="Normal 2 2 143 3" xfId="5204"/>
    <cellStyle name="Normal 2 2 143 3 2" xfId="16586"/>
    <cellStyle name="Normal 2 2 143 3 2 2" xfId="24986"/>
    <cellStyle name="Normal 2 2 143 3 3" xfId="24987"/>
    <cellStyle name="Normal 2 2 143 4" xfId="16587"/>
    <cellStyle name="Normal 2 2 143 4 2" xfId="24988"/>
    <cellStyle name="Normal 2 2 143 5" xfId="24989"/>
    <cellStyle name="Normal 2 2 144" xfId="5205"/>
    <cellStyle name="Normal 2 2 144 2" xfId="5206"/>
    <cellStyle name="Normal 2 2 144 2 2" xfId="5207"/>
    <cellStyle name="Normal 2 2 144 2 2 2" xfId="16588"/>
    <cellStyle name="Normal 2 2 144 2 2 2 2" xfId="24990"/>
    <cellStyle name="Normal 2 2 144 2 2 3" xfId="24991"/>
    <cellStyle name="Normal 2 2 144 2 3" xfId="16589"/>
    <cellStyle name="Normal 2 2 144 2 3 2" xfId="24992"/>
    <cellStyle name="Normal 2 2 144 2 4" xfId="24993"/>
    <cellStyle name="Normal 2 2 144 3" xfId="5208"/>
    <cellStyle name="Normal 2 2 144 3 2" xfId="16590"/>
    <cellStyle name="Normal 2 2 144 3 2 2" xfId="24994"/>
    <cellStyle name="Normal 2 2 144 3 3" xfId="24995"/>
    <cellStyle name="Normal 2 2 144 4" xfId="16591"/>
    <cellStyle name="Normal 2 2 144 4 2" xfId="24996"/>
    <cellStyle name="Normal 2 2 144 5" xfId="24997"/>
    <cellStyle name="Normal 2 2 145" xfId="5209"/>
    <cellStyle name="Normal 2 2 145 2" xfId="5210"/>
    <cellStyle name="Normal 2 2 145 2 2" xfId="5211"/>
    <cellStyle name="Normal 2 2 145 2 2 2" xfId="16592"/>
    <cellStyle name="Normal 2 2 145 2 2 2 2" xfId="24998"/>
    <cellStyle name="Normal 2 2 145 2 2 3" xfId="24999"/>
    <cellStyle name="Normal 2 2 145 2 3" xfId="16593"/>
    <cellStyle name="Normal 2 2 145 2 3 2" xfId="25000"/>
    <cellStyle name="Normal 2 2 145 2 4" xfId="25001"/>
    <cellStyle name="Normal 2 2 145 3" xfId="5212"/>
    <cellStyle name="Normal 2 2 145 3 2" xfId="16594"/>
    <cellStyle name="Normal 2 2 145 3 2 2" xfId="25002"/>
    <cellStyle name="Normal 2 2 145 3 3" xfId="25003"/>
    <cellStyle name="Normal 2 2 145 4" xfId="16595"/>
    <cellStyle name="Normal 2 2 145 4 2" xfId="25004"/>
    <cellStyle name="Normal 2 2 145 5" xfId="25005"/>
    <cellStyle name="Normal 2 2 146" xfId="5213"/>
    <cellStyle name="Normal 2 2 146 2" xfId="5214"/>
    <cellStyle name="Normal 2 2 146 2 2" xfId="5215"/>
    <cellStyle name="Normal 2 2 146 2 2 2" xfId="16596"/>
    <cellStyle name="Normal 2 2 146 2 2 2 2" xfId="25006"/>
    <cellStyle name="Normal 2 2 146 2 2 3" xfId="25007"/>
    <cellStyle name="Normal 2 2 146 2 3" xfId="16597"/>
    <cellStyle name="Normal 2 2 146 2 3 2" xfId="25008"/>
    <cellStyle name="Normal 2 2 146 2 4" xfId="25009"/>
    <cellStyle name="Normal 2 2 146 3" xfId="5216"/>
    <cellStyle name="Normal 2 2 146 3 2" xfId="16598"/>
    <cellStyle name="Normal 2 2 146 3 2 2" xfId="25010"/>
    <cellStyle name="Normal 2 2 146 3 3" xfId="25011"/>
    <cellStyle name="Normal 2 2 146 4" xfId="16599"/>
    <cellStyle name="Normal 2 2 146 4 2" xfId="25012"/>
    <cellStyle name="Normal 2 2 146 5" xfId="25013"/>
    <cellStyle name="Normal 2 2 147" xfId="5217"/>
    <cellStyle name="Normal 2 2 147 2" xfId="5218"/>
    <cellStyle name="Normal 2 2 147 2 2" xfId="5219"/>
    <cellStyle name="Normal 2 2 147 2 2 2" xfId="16600"/>
    <cellStyle name="Normal 2 2 147 2 2 2 2" xfId="25014"/>
    <cellStyle name="Normal 2 2 147 2 2 3" xfId="25015"/>
    <cellStyle name="Normal 2 2 147 2 3" xfId="16601"/>
    <cellStyle name="Normal 2 2 147 2 3 2" xfId="25016"/>
    <cellStyle name="Normal 2 2 147 2 4" xfId="25017"/>
    <cellStyle name="Normal 2 2 147 3" xfId="5220"/>
    <cellStyle name="Normal 2 2 147 3 2" xfId="16602"/>
    <cellStyle name="Normal 2 2 147 3 2 2" xfId="25018"/>
    <cellStyle name="Normal 2 2 147 3 3" xfId="25019"/>
    <cellStyle name="Normal 2 2 147 4" xfId="16603"/>
    <cellStyle name="Normal 2 2 147 4 2" xfId="25020"/>
    <cellStyle name="Normal 2 2 147 5" xfId="25021"/>
    <cellStyle name="Normal 2 2 148" xfId="5221"/>
    <cellStyle name="Normal 2 2 148 2" xfId="5222"/>
    <cellStyle name="Normal 2 2 148 2 2" xfId="5223"/>
    <cellStyle name="Normal 2 2 148 2 2 2" xfId="16604"/>
    <cellStyle name="Normal 2 2 148 2 2 2 2" xfId="25022"/>
    <cellStyle name="Normal 2 2 148 2 2 3" xfId="25023"/>
    <cellStyle name="Normal 2 2 148 2 3" xfId="16605"/>
    <cellStyle name="Normal 2 2 148 2 3 2" xfId="25024"/>
    <cellStyle name="Normal 2 2 148 2 4" xfId="25025"/>
    <cellStyle name="Normal 2 2 148 3" xfId="5224"/>
    <cellStyle name="Normal 2 2 148 3 2" xfId="16606"/>
    <cellStyle name="Normal 2 2 148 3 2 2" xfId="25026"/>
    <cellStyle name="Normal 2 2 148 3 3" xfId="25027"/>
    <cellStyle name="Normal 2 2 148 4" xfId="16607"/>
    <cellStyle name="Normal 2 2 148 4 2" xfId="25028"/>
    <cellStyle name="Normal 2 2 148 5" xfId="25029"/>
    <cellStyle name="Normal 2 2 149" xfId="5225"/>
    <cellStyle name="Normal 2 2 149 2" xfId="5226"/>
    <cellStyle name="Normal 2 2 149 2 2" xfId="5227"/>
    <cellStyle name="Normal 2 2 149 2 2 2" xfId="16608"/>
    <cellStyle name="Normal 2 2 149 2 2 2 2" xfId="25030"/>
    <cellStyle name="Normal 2 2 149 2 2 3" xfId="25031"/>
    <cellStyle name="Normal 2 2 149 2 3" xfId="16609"/>
    <cellStyle name="Normal 2 2 149 2 3 2" xfId="25032"/>
    <cellStyle name="Normal 2 2 149 2 4" xfId="25033"/>
    <cellStyle name="Normal 2 2 149 3" xfId="5228"/>
    <cellStyle name="Normal 2 2 149 3 2" xfId="16610"/>
    <cellStyle name="Normal 2 2 149 3 2 2" xfId="25034"/>
    <cellStyle name="Normal 2 2 149 3 3" xfId="25035"/>
    <cellStyle name="Normal 2 2 149 4" xfId="16611"/>
    <cellStyle name="Normal 2 2 149 4 2" xfId="25036"/>
    <cellStyle name="Normal 2 2 149 5" xfId="25037"/>
    <cellStyle name="Normal 2 2 15" xfId="5229"/>
    <cellStyle name="Normal 2 2 15 2" xfId="5230"/>
    <cellStyle name="Normal 2 2 15 2 2" xfId="5231"/>
    <cellStyle name="Normal 2 2 15 2 2 2" xfId="16612"/>
    <cellStyle name="Normal 2 2 15 2 2 2 2" xfId="25038"/>
    <cellStyle name="Normal 2 2 15 2 2 3" xfId="25039"/>
    <cellStyle name="Normal 2 2 15 2 3" xfId="16613"/>
    <cellStyle name="Normal 2 2 15 2 3 2" xfId="25040"/>
    <cellStyle name="Normal 2 2 15 2 4" xfId="25041"/>
    <cellStyle name="Normal 2 2 15 3" xfId="5232"/>
    <cellStyle name="Normal 2 2 15 3 2" xfId="5233"/>
    <cellStyle name="Normal 2 2 15 3 2 2" xfId="16614"/>
    <cellStyle name="Normal 2 2 15 3 2 2 2" xfId="25042"/>
    <cellStyle name="Normal 2 2 15 3 2 3" xfId="25043"/>
    <cellStyle name="Normal 2 2 15 3 3" xfId="16615"/>
    <cellStyle name="Normal 2 2 15 3 3 2" xfId="25044"/>
    <cellStyle name="Normal 2 2 15 3 4" xfId="25045"/>
    <cellStyle name="Normal 2 2 15 4" xfId="5234"/>
    <cellStyle name="Normal 2 2 15 4 2" xfId="16616"/>
    <cellStyle name="Normal 2 2 15 4 2 2" xfId="25046"/>
    <cellStyle name="Normal 2 2 15 4 3" xfId="25047"/>
    <cellStyle name="Normal 2 2 15 5" xfId="16617"/>
    <cellStyle name="Normal 2 2 15 5 2" xfId="25048"/>
    <cellStyle name="Normal 2 2 15 6" xfId="25049"/>
    <cellStyle name="Normal 2 2 150" xfId="5235"/>
    <cellStyle name="Normal 2 2 150 2" xfId="5236"/>
    <cellStyle name="Normal 2 2 150 2 2" xfId="5237"/>
    <cellStyle name="Normal 2 2 150 2 2 2" xfId="16618"/>
    <cellStyle name="Normal 2 2 150 2 2 2 2" xfId="25050"/>
    <cellStyle name="Normal 2 2 150 2 2 3" xfId="25051"/>
    <cellStyle name="Normal 2 2 150 2 3" xfId="16619"/>
    <cellStyle name="Normal 2 2 150 2 3 2" xfId="25052"/>
    <cellStyle name="Normal 2 2 150 2 4" xfId="25053"/>
    <cellStyle name="Normal 2 2 150 3" xfId="5238"/>
    <cellStyle name="Normal 2 2 150 3 2" xfId="16620"/>
    <cellStyle name="Normal 2 2 150 3 2 2" xfId="25054"/>
    <cellStyle name="Normal 2 2 150 3 3" xfId="25055"/>
    <cellStyle name="Normal 2 2 150 4" xfId="16621"/>
    <cellStyle name="Normal 2 2 150 4 2" xfId="25056"/>
    <cellStyle name="Normal 2 2 150 5" xfId="25057"/>
    <cellStyle name="Normal 2 2 151" xfId="5239"/>
    <cellStyle name="Normal 2 2 151 2" xfId="5240"/>
    <cellStyle name="Normal 2 2 151 2 2" xfId="5241"/>
    <cellStyle name="Normal 2 2 151 2 2 2" xfId="16622"/>
    <cellStyle name="Normal 2 2 151 2 2 2 2" xfId="25058"/>
    <cellStyle name="Normal 2 2 151 2 2 3" xfId="25059"/>
    <cellStyle name="Normal 2 2 151 2 3" xfId="16623"/>
    <cellStyle name="Normal 2 2 151 2 3 2" xfId="25060"/>
    <cellStyle name="Normal 2 2 151 2 4" xfId="25061"/>
    <cellStyle name="Normal 2 2 151 3" xfId="5242"/>
    <cellStyle name="Normal 2 2 151 3 2" xfId="16624"/>
    <cellStyle name="Normal 2 2 151 3 2 2" xfId="25062"/>
    <cellStyle name="Normal 2 2 151 3 3" xfId="25063"/>
    <cellStyle name="Normal 2 2 151 4" xfId="16625"/>
    <cellStyle name="Normal 2 2 151 4 2" xfId="25064"/>
    <cellStyle name="Normal 2 2 151 5" xfId="25065"/>
    <cellStyle name="Normal 2 2 152" xfId="5243"/>
    <cellStyle name="Normal 2 2 152 2" xfId="5244"/>
    <cellStyle name="Normal 2 2 152 2 2" xfId="5245"/>
    <cellStyle name="Normal 2 2 152 2 2 2" xfId="16626"/>
    <cellStyle name="Normal 2 2 152 2 2 2 2" xfId="25066"/>
    <cellStyle name="Normal 2 2 152 2 2 3" xfId="25067"/>
    <cellStyle name="Normal 2 2 152 2 3" xfId="16627"/>
    <cellStyle name="Normal 2 2 152 2 3 2" xfId="25068"/>
    <cellStyle name="Normal 2 2 152 2 4" xfId="25069"/>
    <cellStyle name="Normal 2 2 152 3" xfId="5246"/>
    <cellStyle name="Normal 2 2 152 3 2" xfId="16628"/>
    <cellStyle name="Normal 2 2 152 3 2 2" xfId="25070"/>
    <cellStyle name="Normal 2 2 152 3 3" xfId="25071"/>
    <cellStyle name="Normal 2 2 152 4" xfId="16629"/>
    <cellStyle name="Normal 2 2 152 4 2" xfId="25072"/>
    <cellStyle name="Normal 2 2 152 5" xfId="25073"/>
    <cellStyle name="Normal 2 2 153" xfId="5247"/>
    <cellStyle name="Normal 2 2 153 2" xfId="5248"/>
    <cellStyle name="Normal 2 2 153 2 2" xfId="5249"/>
    <cellStyle name="Normal 2 2 153 2 2 2" xfId="16630"/>
    <cellStyle name="Normal 2 2 153 2 2 2 2" xfId="25074"/>
    <cellStyle name="Normal 2 2 153 2 2 3" xfId="25075"/>
    <cellStyle name="Normal 2 2 153 2 3" xfId="16631"/>
    <cellStyle name="Normal 2 2 153 2 3 2" xfId="25076"/>
    <cellStyle name="Normal 2 2 153 2 4" xfId="25077"/>
    <cellStyle name="Normal 2 2 153 3" xfId="5250"/>
    <cellStyle name="Normal 2 2 153 3 2" xfId="16632"/>
    <cellStyle name="Normal 2 2 153 3 2 2" xfId="25078"/>
    <cellStyle name="Normal 2 2 153 3 3" xfId="25079"/>
    <cellStyle name="Normal 2 2 153 4" xfId="16633"/>
    <cellStyle name="Normal 2 2 153 4 2" xfId="25080"/>
    <cellStyle name="Normal 2 2 153 5" xfId="25081"/>
    <cellStyle name="Normal 2 2 154" xfId="5251"/>
    <cellStyle name="Normal 2 2 154 2" xfId="5252"/>
    <cellStyle name="Normal 2 2 154 2 2" xfId="5253"/>
    <cellStyle name="Normal 2 2 154 2 2 2" xfId="16634"/>
    <cellStyle name="Normal 2 2 154 2 2 2 2" xfId="25082"/>
    <cellStyle name="Normal 2 2 154 2 2 3" xfId="25083"/>
    <cellStyle name="Normal 2 2 154 2 3" xfId="16635"/>
    <cellStyle name="Normal 2 2 154 2 3 2" xfId="25084"/>
    <cellStyle name="Normal 2 2 154 2 4" xfId="25085"/>
    <cellStyle name="Normal 2 2 154 3" xfId="5254"/>
    <cellStyle name="Normal 2 2 154 3 2" xfId="16636"/>
    <cellStyle name="Normal 2 2 154 3 2 2" xfId="25086"/>
    <cellStyle name="Normal 2 2 154 3 3" xfId="25087"/>
    <cellStyle name="Normal 2 2 154 4" xfId="16637"/>
    <cellStyle name="Normal 2 2 154 4 2" xfId="25088"/>
    <cellStyle name="Normal 2 2 154 5" xfId="25089"/>
    <cellStyle name="Normal 2 2 155" xfId="5255"/>
    <cellStyle name="Normal 2 2 155 2" xfId="5256"/>
    <cellStyle name="Normal 2 2 155 2 2" xfId="16638"/>
    <cellStyle name="Normal 2 2 155 2 2 2" xfId="25090"/>
    <cellStyle name="Normal 2 2 155 2 3" xfId="25091"/>
    <cellStyle name="Normal 2 2 155 3" xfId="16639"/>
    <cellStyle name="Normal 2 2 155 3 2" xfId="25092"/>
    <cellStyle name="Normal 2 2 155 4" xfId="25093"/>
    <cellStyle name="Normal 2 2 156" xfId="33706"/>
    <cellStyle name="Normal 2 2 156 2" xfId="33746"/>
    <cellStyle name="Normal 2 2 156 2 2" xfId="33755"/>
    <cellStyle name="Normal 2 2 156 3" xfId="33758"/>
    <cellStyle name="Normal 2 2 157" xfId="33771"/>
    <cellStyle name="Normal 2 2 16" xfId="5257"/>
    <cellStyle name="Normal 2 2 16 2" xfId="5258"/>
    <cellStyle name="Normal 2 2 16 2 2" xfId="5259"/>
    <cellStyle name="Normal 2 2 16 2 2 2" xfId="16640"/>
    <cellStyle name="Normal 2 2 16 2 2 2 2" xfId="25094"/>
    <cellStyle name="Normal 2 2 16 2 2 3" xfId="25095"/>
    <cellStyle name="Normal 2 2 16 2 3" xfId="16641"/>
    <cellStyle name="Normal 2 2 16 2 3 2" xfId="25096"/>
    <cellStyle name="Normal 2 2 16 2 4" xfId="25097"/>
    <cellStyle name="Normal 2 2 16 3" xfId="5260"/>
    <cellStyle name="Normal 2 2 16 3 2" xfId="5261"/>
    <cellStyle name="Normal 2 2 16 3 2 2" xfId="16642"/>
    <cellStyle name="Normal 2 2 16 3 2 2 2" xfId="25098"/>
    <cellStyle name="Normal 2 2 16 3 2 3" xfId="25099"/>
    <cellStyle name="Normal 2 2 16 3 3" xfId="16643"/>
    <cellStyle name="Normal 2 2 16 3 3 2" xfId="25100"/>
    <cellStyle name="Normal 2 2 16 3 4" xfId="25101"/>
    <cellStyle name="Normal 2 2 16 4" xfId="5262"/>
    <cellStyle name="Normal 2 2 16 4 2" xfId="16644"/>
    <cellStyle name="Normal 2 2 16 4 2 2" xfId="25102"/>
    <cellStyle name="Normal 2 2 16 4 3" xfId="25103"/>
    <cellStyle name="Normal 2 2 16 5" xfId="16645"/>
    <cellStyle name="Normal 2 2 16 5 2" xfId="25104"/>
    <cellStyle name="Normal 2 2 16 6" xfId="25105"/>
    <cellStyle name="Normal 2 2 17" xfId="5263"/>
    <cellStyle name="Normal 2 2 17 2" xfId="5264"/>
    <cellStyle name="Normal 2 2 17 2 2" xfId="5265"/>
    <cellStyle name="Normal 2 2 17 2 2 2" xfId="16646"/>
    <cellStyle name="Normal 2 2 17 2 2 2 2" xfId="25106"/>
    <cellStyle name="Normal 2 2 17 2 2 3" xfId="25107"/>
    <cellStyle name="Normal 2 2 17 2 3" xfId="16647"/>
    <cellStyle name="Normal 2 2 17 2 3 2" xfId="25108"/>
    <cellStyle name="Normal 2 2 17 2 4" xfId="25109"/>
    <cellStyle name="Normal 2 2 17 3" xfId="5266"/>
    <cellStyle name="Normal 2 2 17 3 2" xfId="5267"/>
    <cellStyle name="Normal 2 2 17 3 2 2" xfId="16648"/>
    <cellStyle name="Normal 2 2 17 3 2 2 2" xfId="25110"/>
    <cellStyle name="Normal 2 2 17 3 2 3" xfId="25111"/>
    <cellStyle name="Normal 2 2 17 3 3" xfId="16649"/>
    <cellStyle name="Normal 2 2 17 3 3 2" xfId="25112"/>
    <cellStyle name="Normal 2 2 17 3 4" xfId="25113"/>
    <cellStyle name="Normal 2 2 17 4" xfId="5268"/>
    <cellStyle name="Normal 2 2 17 4 2" xfId="16650"/>
    <cellStyle name="Normal 2 2 17 4 2 2" xfId="25114"/>
    <cellStyle name="Normal 2 2 17 4 3" xfId="25115"/>
    <cellStyle name="Normal 2 2 17 5" xfId="16651"/>
    <cellStyle name="Normal 2 2 17 5 2" xfId="25116"/>
    <cellStyle name="Normal 2 2 17 6" xfId="25117"/>
    <cellStyle name="Normal 2 2 18" xfId="5269"/>
    <cellStyle name="Normal 2 2 18 2" xfId="5270"/>
    <cellStyle name="Normal 2 2 18 2 2" xfId="5271"/>
    <cellStyle name="Normal 2 2 18 2 2 2" xfId="16652"/>
    <cellStyle name="Normal 2 2 18 2 2 2 2" xfId="25118"/>
    <cellStyle name="Normal 2 2 18 2 2 3" xfId="25119"/>
    <cellStyle name="Normal 2 2 18 2 3" xfId="16653"/>
    <cellStyle name="Normal 2 2 18 2 3 2" xfId="25120"/>
    <cellStyle name="Normal 2 2 18 2 4" xfId="25121"/>
    <cellStyle name="Normal 2 2 18 3" xfId="5272"/>
    <cellStyle name="Normal 2 2 18 3 2" xfId="5273"/>
    <cellStyle name="Normal 2 2 18 3 2 2" xfId="16654"/>
    <cellStyle name="Normal 2 2 18 3 2 2 2" xfId="25122"/>
    <cellStyle name="Normal 2 2 18 3 2 3" xfId="25123"/>
    <cellStyle name="Normal 2 2 18 3 3" xfId="16655"/>
    <cellStyle name="Normal 2 2 18 3 3 2" xfId="25124"/>
    <cellStyle name="Normal 2 2 18 3 4" xfId="25125"/>
    <cellStyle name="Normal 2 2 18 4" xfId="5274"/>
    <cellStyle name="Normal 2 2 18 4 2" xfId="16656"/>
    <cellStyle name="Normal 2 2 18 4 2 2" xfId="25126"/>
    <cellStyle name="Normal 2 2 18 4 3" xfId="25127"/>
    <cellStyle name="Normal 2 2 18 5" xfId="16657"/>
    <cellStyle name="Normal 2 2 18 5 2" xfId="25128"/>
    <cellStyle name="Normal 2 2 18 6" xfId="25129"/>
    <cellStyle name="Normal 2 2 19" xfId="5275"/>
    <cellStyle name="Normal 2 2 19 2" xfId="5276"/>
    <cellStyle name="Normal 2 2 19 2 2" xfId="5277"/>
    <cellStyle name="Normal 2 2 19 2 2 2" xfId="16658"/>
    <cellStyle name="Normal 2 2 19 2 2 2 2" xfId="25130"/>
    <cellStyle name="Normal 2 2 19 2 2 3" xfId="25131"/>
    <cellStyle name="Normal 2 2 19 2 3" xfId="16659"/>
    <cellStyle name="Normal 2 2 19 2 3 2" xfId="25132"/>
    <cellStyle name="Normal 2 2 19 2 4" xfId="25133"/>
    <cellStyle name="Normal 2 2 19 3" xfId="5278"/>
    <cellStyle name="Normal 2 2 19 3 2" xfId="5279"/>
    <cellStyle name="Normal 2 2 19 3 2 2" xfId="16660"/>
    <cellStyle name="Normal 2 2 19 3 2 2 2" xfId="25134"/>
    <cellStyle name="Normal 2 2 19 3 2 3" xfId="25135"/>
    <cellStyle name="Normal 2 2 19 3 3" xfId="16661"/>
    <cellStyle name="Normal 2 2 19 3 3 2" xfId="25136"/>
    <cellStyle name="Normal 2 2 19 3 4" xfId="25137"/>
    <cellStyle name="Normal 2 2 19 4" xfId="5280"/>
    <cellStyle name="Normal 2 2 19 4 2" xfId="16662"/>
    <cellStyle name="Normal 2 2 19 4 2 2" xfId="25138"/>
    <cellStyle name="Normal 2 2 19 4 3" xfId="25139"/>
    <cellStyle name="Normal 2 2 19 5" xfId="16663"/>
    <cellStyle name="Normal 2 2 19 5 2" xfId="25140"/>
    <cellStyle name="Normal 2 2 19 6" xfId="25141"/>
    <cellStyle name="Normal 2 2 2" xfId="35"/>
    <cellStyle name="Normal 2 2 2 10" xfId="5281"/>
    <cellStyle name="Normal 2 2 2 10 2" xfId="5282"/>
    <cellStyle name="Normal 2 2 2 10 3" xfId="16664"/>
    <cellStyle name="Normal 2 2 2 10 4" xfId="16665"/>
    <cellStyle name="Normal 2 2 2 10 4 2" xfId="25142"/>
    <cellStyle name="Normal 2 2 2 100" xfId="5283"/>
    <cellStyle name="Normal 2 2 2 100 2" xfId="16666"/>
    <cellStyle name="Normal 2 2 2 101" xfId="5284"/>
    <cellStyle name="Normal 2 2 2 101 2" xfId="16667"/>
    <cellStyle name="Normal 2 2 2 102" xfId="5285"/>
    <cellStyle name="Normal 2 2 2 102 2" xfId="16668"/>
    <cellStyle name="Normal 2 2 2 103" xfId="5286"/>
    <cellStyle name="Normal 2 2 2 103 2" xfId="16669"/>
    <cellStyle name="Normal 2 2 2 104" xfId="5287"/>
    <cellStyle name="Normal 2 2 2 104 2" xfId="16670"/>
    <cellStyle name="Normal 2 2 2 105" xfId="5288"/>
    <cellStyle name="Normal 2 2 2 105 2" xfId="16671"/>
    <cellStyle name="Normal 2 2 2 106" xfId="5289"/>
    <cellStyle name="Normal 2 2 2 106 2" xfId="16672"/>
    <cellStyle name="Normal 2 2 2 107" xfId="5290"/>
    <cellStyle name="Normal 2 2 2 107 2" xfId="16673"/>
    <cellStyle name="Normal 2 2 2 108" xfId="5291"/>
    <cellStyle name="Normal 2 2 2 108 2" xfId="16674"/>
    <cellStyle name="Normal 2 2 2 109" xfId="5292"/>
    <cellStyle name="Normal 2 2 2 109 2" xfId="16675"/>
    <cellStyle name="Normal 2 2 2 11" xfId="5293"/>
    <cellStyle name="Normal 2 2 2 11 2" xfId="5294"/>
    <cellStyle name="Normal 2 2 2 11 3" xfId="16676"/>
    <cellStyle name="Normal 2 2 2 11 4" xfId="16677"/>
    <cellStyle name="Normal 2 2 2 110" xfId="5295"/>
    <cellStyle name="Normal 2 2 2 110 2" xfId="16678"/>
    <cellStyle name="Normal 2 2 2 111" xfId="5296"/>
    <cellStyle name="Normal 2 2 2 111 2" xfId="16679"/>
    <cellStyle name="Normal 2 2 2 112" xfId="5297"/>
    <cellStyle name="Normal 2 2 2 112 2" xfId="16680"/>
    <cellStyle name="Normal 2 2 2 113" xfId="5298"/>
    <cellStyle name="Normal 2 2 2 113 2" xfId="16681"/>
    <cellStyle name="Normal 2 2 2 114" xfId="5299"/>
    <cellStyle name="Normal 2 2 2 114 2" xfId="16682"/>
    <cellStyle name="Normal 2 2 2 115" xfId="5300"/>
    <cellStyle name="Normal 2 2 2 115 2" xfId="16683"/>
    <cellStyle name="Normal 2 2 2 116" xfId="5301"/>
    <cellStyle name="Normal 2 2 2 116 2" xfId="16684"/>
    <cellStyle name="Normal 2 2 2 117" xfId="5302"/>
    <cellStyle name="Normal 2 2 2 117 2" xfId="16685"/>
    <cellStyle name="Normal 2 2 2 118" xfId="5303"/>
    <cellStyle name="Normal 2 2 2 118 2" xfId="16686"/>
    <cellStyle name="Normal 2 2 2 119" xfId="5304"/>
    <cellStyle name="Normal 2 2 2 119 2" xfId="16687"/>
    <cellStyle name="Normal 2 2 2 12" xfId="5305"/>
    <cellStyle name="Normal 2 2 2 12 2" xfId="5306"/>
    <cellStyle name="Normal 2 2 2 12 3" xfId="16688"/>
    <cellStyle name="Normal 2 2 2 120" xfId="5307"/>
    <cellStyle name="Normal 2 2 2 120 2" xfId="16689"/>
    <cellStyle name="Normal 2 2 2 121" xfId="5308"/>
    <cellStyle name="Normal 2 2 2 121 2" xfId="16690"/>
    <cellStyle name="Normal 2 2 2 122" xfId="5309"/>
    <cellStyle name="Normal 2 2 2 122 2" xfId="16691"/>
    <cellStyle name="Normal 2 2 2 123" xfId="5310"/>
    <cellStyle name="Normal 2 2 2 123 2" xfId="16692"/>
    <cellStyle name="Normal 2 2 2 124" xfId="5311"/>
    <cellStyle name="Normal 2 2 2 124 2" xfId="16693"/>
    <cellStyle name="Normal 2 2 2 125" xfId="5312"/>
    <cellStyle name="Normal 2 2 2 125 2" xfId="16694"/>
    <cellStyle name="Normal 2 2 2 126" xfId="5313"/>
    <cellStyle name="Normal 2 2 2 126 2" xfId="16695"/>
    <cellStyle name="Normal 2 2 2 127" xfId="5314"/>
    <cellStyle name="Normal 2 2 2 127 2" xfId="16696"/>
    <cellStyle name="Normal 2 2 2 128" xfId="5315"/>
    <cellStyle name="Normal 2 2 2 128 2" xfId="16697"/>
    <cellStyle name="Normal 2 2 2 129" xfId="5316"/>
    <cellStyle name="Normal 2 2 2 129 2" xfId="16698"/>
    <cellStyle name="Normal 2 2 2 13" xfId="5317"/>
    <cellStyle name="Normal 2 2 2 13 2" xfId="5318"/>
    <cellStyle name="Normal 2 2 2 13 3" xfId="16699"/>
    <cellStyle name="Normal 2 2 2 130" xfId="5319"/>
    <cellStyle name="Normal 2 2 2 130 2" xfId="16700"/>
    <cellStyle name="Normal 2 2 2 131" xfId="5320"/>
    <cellStyle name="Normal 2 2 2 131 2" xfId="16701"/>
    <cellStyle name="Normal 2 2 2 132" xfId="5321"/>
    <cellStyle name="Normal 2 2 2 132 2" xfId="16702"/>
    <cellStyle name="Normal 2 2 2 133" xfId="5322"/>
    <cellStyle name="Normal 2 2 2 133 2" xfId="16703"/>
    <cellStyle name="Normal 2 2 2 134" xfId="5323"/>
    <cellStyle name="Normal 2 2 2 134 2" xfId="16704"/>
    <cellStyle name="Normal 2 2 2 135" xfId="5324"/>
    <cellStyle name="Normal 2 2 2 135 2" xfId="16705"/>
    <cellStyle name="Normal 2 2 2 136" xfId="5325"/>
    <cellStyle name="Normal 2 2 2 136 2" xfId="16706"/>
    <cellStyle name="Normal 2 2 2 137" xfId="5326"/>
    <cellStyle name="Normal 2 2 2 137 2" xfId="16707"/>
    <cellStyle name="Normal 2 2 2 138" xfId="5327"/>
    <cellStyle name="Normal 2 2 2 138 2" xfId="16708"/>
    <cellStyle name="Normal 2 2 2 139" xfId="5328"/>
    <cellStyle name="Normal 2 2 2 139 2" xfId="16709"/>
    <cellStyle name="Normal 2 2 2 14" xfId="5329"/>
    <cellStyle name="Normal 2 2 2 14 2" xfId="5330"/>
    <cellStyle name="Normal 2 2 2 14 3" xfId="16710"/>
    <cellStyle name="Normal 2 2 2 140" xfId="5331"/>
    <cellStyle name="Normal 2 2 2 140 2" xfId="16711"/>
    <cellStyle name="Normal 2 2 2 141" xfId="5332"/>
    <cellStyle name="Normal 2 2 2 141 2" xfId="16712"/>
    <cellStyle name="Normal 2 2 2 142" xfId="5333"/>
    <cellStyle name="Normal 2 2 2 142 2" xfId="16713"/>
    <cellStyle name="Normal 2 2 2 143" xfId="5334"/>
    <cellStyle name="Normal 2 2 2 143 2" xfId="16714"/>
    <cellStyle name="Normal 2 2 2 144" xfId="5335"/>
    <cellStyle name="Normal 2 2 2 144 2" xfId="16715"/>
    <cellStyle name="Normal 2 2 2 145" xfId="5336"/>
    <cellStyle name="Normal 2 2 2 146" xfId="5337"/>
    <cellStyle name="Normal 2 2 2 146 2" xfId="16716"/>
    <cellStyle name="Normal 2 2 2 147" xfId="5338"/>
    <cellStyle name="Normal 2 2 2 147 2" xfId="5339"/>
    <cellStyle name="Normal 2 2 2 147 2 2" xfId="16717"/>
    <cellStyle name="Normal 2 2 2 147 2 2 2" xfId="25143"/>
    <cellStyle name="Normal 2 2 2 147 2 3" xfId="25144"/>
    <cellStyle name="Normal 2 2 2 147 3" xfId="16718"/>
    <cellStyle name="Normal 2 2 2 147 3 2" xfId="25145"/>
    <cellStyle name="Normal 2 2 2 147 4" xfId="25146"/>
    <cellStyle name="Normal 2 2 2 148" xfId="5340"/>
    <cellStyle name="Normal 2 2 2 148 2" xfId="5341"/>
    <cellStyle name="Normal 2 2 2 148 2 2" xfId="16719"/>
    <cellStyle name="Normal 2 2 2 148 2 2 2" xfId="25147"/>
    <cellStyle name="Normal 2 2 2 148 2 3" xfId="25148"/>
    <cellStyle name="Normal 2 2 2 148 3" xfId="16720"/>
    <cellStyle name="Normal 2 2 2 148 3 2" xfId="25149"/>
    <cellStyle name="Normal 2 2 2 148 4" xfId="25150"/>
    <cellStyle name="Normal 2 2 2 149" xfId="5342"/>
    <cellStyle name="Normal 2 2 2 149 2" xfId="5343"/>
    <cellStyle name="Normal 2 2 2 149 2 2" xfId="16721"/>
    <cellStyle name="Normal 2 2 2 149 2 2 2" xfId="25151"/>
    <cellStyle name="Normal 2 2 2 149 2 3" xfId="25152"/>
    <cellStyle name="Normal 2 2 2 149 3" xfId="16722"/>
    <cellStyle name="Normal 2 2 2 149 3 2" xfId="25153"/>
    <cellStyle name="Normal 2 2 2 149 4" xfId="25154"/>
    <cellStyle name="Normal 2 2 2 15" xfId="5344"/>
    <cellStyle name="Normal 2 2 2 15 2" xfId="5345"/>
    <cellStyle name="Normal 2 2 2 15 3" xfId="16723"/>
    <cellStyle name="Normal 2 2 2 150" xfId="5346"/>
    <cellStyle name="Normal 2 2 2 150 2" xfId="5347"/>
    <cellStyle name="Normal 2 2 2 150 2 2" xfId="16724"/>
    <cellStyle name="Normal 2 2 2 150 2 2 2" xfId="25155"/>
    <cellStyle name="Normal 2 2 2 150 2 3" xfId="25156"/>
    <cellStyle name="Normal 2 2 2 150 3" xfId="16725"/>
    <cellStyle name="Normal 2 2 2 150 3 2" xfId="25157"/>
    <cellStyle name="Normal 2 2 2 150 4" xfId="25158"/>
    <cellStyle name="Normal 2 2 2 151" xfId="5348"/>
    <cellStyle name="Normal 2 2 2 152" xfId="33628"/>
    <cellStyle name="Normal 2 2 2 152 2" xfId="33673"/>
    <cellStyle name="Normal 2 2 2 152 2 2" xfId="33703"/>
    <cellStyle name="Normal 2 2 2 152 2 2 2" xfId="33727"/>
    <cellStyle name="Normal 2 2 2 152 2 2 2 2" xfId="33735"/>
    <cellStyle name="Normal 2 2 2 152 3" xfId="33773"/>
    <cellStyle name="Normal 2 2 2 153" xfId="33687"/>
    <cellStyle name="Normal 2 2 2 16" xfId="5349"/>
    <cellStyle name="Normal 2 2 2 16 2" xfId="5350"/>
    <cellStyle name="Normal 2 2 2 16 3" xfId="16726"/>
    <cellStyle name="Normal 2 2 2 17" xfId="5351"/>
    <cellStyle name="Normal 2 2 2 17 2" xfId="5352"/>
    <cellStyle name="Normal 2 2 2 17 3" xfId="16727"/>
    <cellStyle name="Normal 2 2 2 18" xfId="5353"/>
    <cellStyle name="Normal 2 2 2 18 2" xfId="5354"/>
    <cellStyle name="Normal 2 2 2 18 3" xfId="16728"/>
    <cellStyle name="Normal 2 2 2 19" xfId="5355"/>
    <cellStyle name="Normal 2 2 2 19 2" xfId="5356"/>
    <cellStyle name="Normal 2 2 2 19 3" xfId="16729"/>
    <cellStyle name="Normal 2 2 2 2" xfId="36"/>
    <cellStyle name="Normal 2 2 2 2 10" xfId="5357"/>
    <cellStyle name="Normal 2 2 2 2 10 2" xfId="5358"/>
    <cellStyle name="Normal 2 2 2 2 10 2 2" xfId="5359"/>
    <cellStyle name="Normal 2 2 2 2 10 2 2 2" xfId="16730"/>
    <cellStyle name="Normal 2 2 2 2 10 2 2 2 2" xfId="25159"/>
    <cellStyle name="Normal 2 2 2 2 10 2 2 3" xfId="25160"/>
    <cellStyle name="Normal 2 2 2 2 10 2 3" xfId="16731"/>
    <cellStyle name="Normal 2 2 2 2 10 2 3 2" xfId="25161"/>
    <cellStyle name="Normal 2 2 2 2 10 2 4" xfId="25162"/>
    <cellStyle name="Normal 2 2 2 2 10 3" xfId="5360"/>
    <cellStyle name="Normal 2 2 2 2 10 3 2" xfId="5361"/>
    <cellStyle name="Normal 2 2 2 2 10 3 2 2" xfId="16732"/>
    <cellStyle name="Normal 2 2 2 2 10 3 2 2 2" xfId="25163"/>
    <cellStyle name="Normal 2 2 2 2 10 3 2 3" xfId="25164"/>
    <cellStyle name="Normal 2 2 2 2 10 3 3" xfId="16733"/>
    <cellStyle name="Normal 2 2 2 2 10 3 3 2" xfId="25165"/>
    <cellStyle name="Normal 2 2 2 2 10 3 4" xfId="25166"/>
    <cellStyle name="Normal 2 2 2 2 10 4" xfId="5362"/>
    <cellStyle name="Normal 2 2 2 2 10 4 2" xfId="16734"/>
    <cellStyle name="Normal 2 2 2 2 10 4 2 2" xfId="25167"/>
    <cellStyle name="Normal 2 2 2 2 10 4 3" xfId="25168"/>
    <cellStyle name="Normal 2 2 2 2 10 5" xfId="16735"/>
    <cellStyle name="Normal 2 2 2 2 10 5 2" xfId="25169"/>
    <cellStyle name="Normal 2 2 2 2 10 6" xfId="25170"/>
    <cellStyle name="Normal 2 2 2 2 100" xfId="5363"/>
    <cellStyle name="Normal 2 2 2 2 100 2" xfId="5364"/>
    <cellStyle name="Normal 2 2 2 2 100 2 2" xfId="5365"/>
    <cellStyle name="Normal 2 2 2 2 100 2 2 2" xfId="16736"/>
    <cellStyle name="Normal 2 2 2 2 100 2 2 2 2" xfId="25171"/>
    <cellStyle name="Normal 2 2 2 2 100 2 2 3" xfId="25172"/>
    <cellStyle name="Normal 2 2 2 2 100 2 3" xfId="16737"/>
    <cellStyle name="Normal 2 2 2 2 100 2 3 2" xfId="25173"/>
    <cellStyle name="Normal 2 2 2 2 100 2 4" xfId="25174"/>
    <cellStyle name="Normal 2 2 2 2 100 3" xfId="5366"/>
    <cellStyle name="Normal 2 2 2 2 100 3 2" xfId="16738"/>
    <cellStyle name="Normal 2 2 2 2 100 3 2 2" xfId="25175"/>
    <cellStyle name="Normal 2 2 2 2 100 3 3" xfId="25176"/>
    <cellStyle name="Normal 2 2 2 2 100 4" xfId="16739"/>
    <cellStyle name="Normal 2 2 2 2 100 4 2" xfId="25177"/>
    <cellStyle name="Normal 2 2 2 2 100 5" xfId="25178"/>
    <cellStyle name="Normal 2 2 2 2 101" xfId="5367"/>
    <cellStyle name="Normal 2 2 2 2 101 2" xfId="5368"/>
    <cellStyle name="Normal 2 2 2 2 101 2 2" xfId="5369"/>
    <cellStyle name="Normal 2 2 2 2 101 2 2 2" xfId="16740"/>
    <cellStyle name="Normal 2 2 2 2 101 2 2 2 2" xfId="25179"/>
    <cellStyle name="Normal 2 2 2 2 101 2 2 3" xfId="25180"/>
    <cellStyle name="Normal 2 2 2 2 101 2 3" xfId="16741"/>
    <cellStyle name="Normal 2 2 2 2 101 2 3 2" xfId="25181"/>
    <cellStyle name="Normal 2 2 2 2 101 2 4" xfId="25182"/>
    <cellStyle name="Normal 2 2 2 2 101 3" xfId="5370"/>
    <cellStyle name="Normal 2 2 2 2 101 3 2" xfId="16742"/>
    <cellStyle name="Normal 2 2 2 2 101 3 2 2" xfId="25183"/>
    <cellStyle name="Normal 2 2 2 2 101 3 3" xfId="25184"/>
    <cellStyle name="Normal 2 2 2 2 101 4" xfId="16743"/>
    <cellStyle name="Normal 2 2 2 2 101 4 2" xfId="25185"/>
    <cellStyle name="Normal 2 2 2 2 101 5" xfId="25186"/>
    <cellStyle name="Normal 2 2 2 2 102" xfId="5371"/>
    <cellStyle name="Normal 2 2 2 2 102 2" xfId="5372"/>
    <cellStyle name="Normal 2 2 2 2 102 2 2" xfId="5373"/>
    <cellStyle name="Normal 2 2 2 2 102 2 2 2" xfId="16744"/>
    <cellStyle name="Normal 2 2 2 2 102 2 2 2 2" xfId="25187"/>
    <cellStyle name="Normal 2 2 2 2 102 2 2 3" xfId="25188"/>
    <cellStyle name="Normal 2 2 2 2 102 2 3" xfId="16745"/>
    <cellStyle name="Normal 2 2 2 2 102 2 3 2" xfId="25189"/>
    <cellStyle name="Normal 2 2 2 2 102 2 4" xfId="25190"/>
    <cellStyle name="Normal 2 2 2 2 102 3" xfId="5374"/>
    <cellStyle name="Normal 2 2 2 2 102 3 2" xfId="16746"/>
    <cellStyle name="Normal 2 2 2 2 102 3 2 2" xfId="25191"/>
    <cellStyle name="Normal 2 2 2 2 102 3 3" xfId="25192"/>
    <cellStyle name="Normal 2 2 2 2 102 4" xfId="16747"/>
    <cellStyle name="Normal 2 2 2 2 102 4 2" xfId="25193"/>
    <cellStyle name="Normal 2 2 2 2 102 5" xfId="25194"/>
    <cellStyle name="Normal 2 2 2 2 103" xfId="5375"/>
    <cellStyle name="Normal 2 2 2 2 103 2" xfId="5376"/>
    <cellStyle name="Normal 2 2 2 2 103 2 2" xfId="5377"/>
    <cellStyle name="Normal 2 2 2 2 103 2 2 2" xfId="16748"/>
    <cellStyle name="Normal 2 2 2 2 103 2 2 2 2" xfId="25195"/>
    <cellStyle name="Normal 2 2 2 2 103 2 2 3" xfId="25196"/>
    <cellStyle name="Normal 2 2 2 2 103 2 3" xfId="16749"/>
    <cellStyle name="Normal 2 2 2 2 103 2 3 2" xfId="25197"/>
    <cellStyle name="Normal 2 2 2 2 103 2 4" xfId="25198"/>
    <cellStyle name="Normal 2 2 2 2 103 3" xfId="5378"/>
    <cellStyle name="Normal 2 2 2 2 103 3 2" xfId="16750"/>
    <cellStyle name="Normal 2 2 2 2 103 3 2 2" xfId="25199"/>
    <cellStyle name="Normal 2 2 2 2 103 3 3" xfId="25200"/>
    <cellStyle name="Normal 2 2 2 2 103 4" xfId="16751"/>
    <cellStyle name="Normal 2 2 2 2 103 4 2" xfId="25201"/>
    <cellStyle name="Normal 2 2 2 2 103 5" xfId="25202"/>
    <cellStyle name="Normal 2 2 2 2 104" xfId="5379"/>
    <cellStyle name="Normal 2 2 2 2 104 2" xfId="5380"/>
    <cellStyle name="Normal 2 2 2 2 104 2 2" xfId="5381"/>
    <cellStyle name="Normal 2 2 2 2 104 2 2 2" xfId="16752"/>
    <cellStyle name="Normal 2 2 2 2 104 2 2 2 2" xfId="25203"/>
    <cellStyle name="Normal 2 2 2 2 104 2 2 3" xfId="25204"/>
    <cellStyle name="Normal 2 2 2 2 104 2 3" xfId="16753"/>
    <cellStyle name="Normal 2 2 2 2 104 2 3 2" xfId="25205"/>
    <cellStyle name="Normal 2 2 2 2 104 2 4" xfId="25206"/>
    <cellStyle name="Normal 2 2 2 2 104 3" xfId="5382"/>
    <cellStyle name="Normal 2 2 2 2 104 3 2" xfId="16754"/>
    <cellStyle name="Normal 2 2 2 2 104 3 2 2" xfId="25207"/>
    <cellStyle name="Normal 2 2 2 2 104 3 3" xfId="25208"/>
    <cellStyle name="Normal 2 2 2 2 104 4" xfId="16755"/>
    <cellStyle name="Normal 2 2 2 2 104 4 2" xfId="25209"/>
    <cellStyle name="Normal 2 2 2 2 104 5" xfId="25210"/>
    <cellStyle name="Normal 2 2 2 2 105" xfId="5383"/>
    <cellStyle name="Normal 2 2 2 2 105 2" xfId="5384"/>
    <cellStyle name="Normal 2 2 2 2 105 2 2" xfId="5385"/>
    <cellStyle name="Normal 2 2 2 2 105 2 2 2" xfId="16756"/>
    <cellStyle name="Normal 2 2 2 2 105 2 2 2 2" xfId="25211"/>
    <cellStyle name="Normal 2 2 2 2 105 2 2 3" xfId="25212"/>
    <cellStyle name="Normal 2 2 2 2 105 2 3" xfId="16757"/>
    <cellStyle name="Normal 2 2 2 2 105 2 3 2" xfId="25213"/>
    <cellStyle name="Normal 2 2 2 2 105 2 4" xfId="25214"/>
    <cellStyle name="Normal 2 2 2 2 105 3" xfId="5386"/>
    <cellStyle name="Normal 2 2 2 2 105 3 2" xfId="16758"/>
    <cellStyle name="Normal 2 2 2 2 105 3 2 2" xfId="25215"/>
    <cellStyle name="Normal 2 2 2 2 105 3 3" xfId="25216"/>
    <cellStyle name="Normal 2 2 2 2 105 4" xfId="16759"/>
    <cellStyle name="Normal 2 2 2 2 105 4 2" xfId="25217"/>
    <cellStyle name="Normal 2 2 2 2 105 5" xfId="25218"/>
    <cellStyle name="Normal 2 2 2 2 106" xfId="5387"/>
    <cellStyle name="Normal 2 2 2 2 106 2" xfId="5388"/>
    <cellStyle name="Normal 2 2 2 2 106 2 2" xfId="5389"/>
    <cellStyle name="Normal 2 2 2 2 106 2 2 2" xfId="16760"/>
    <cellStyle name="Normal 2 2 2 2 106 2 2 2 2" xfId="25219"/>
    <cellStyle name="Normal 2 2 2 2 106 2 2 3" xfId="25220"/>
    <cellStyle name="Normal 2 2 2 2 106 2 3" xfId="16761"/>
    <cellStyle name="Normal 2 2 2 2 106 2 3 2" xfId="25221"/>
    <cellStyle name="Normal 2 2 2 2 106 2 4" xfId="25222"/>
    <cellStyle name="Normal 2 2 2 2 106 3" xfId="5390"/>
    <cellStyle name="Normal 2 2 2 2 106 3 2" xfId="16762"/>
    <cellStyle name="Normal 2 2 2 2 106 3 2 2" xfId="25223"/>
    <cellStyle name="Normal 2 2 2 2 106 3 3" xfId="25224"/>
    <cellStyle name="Normal 2 2 2 2 106 4" xfId="16763"/>
    <cellStyle name="Normal 2 2 2 2 106 4 2" xfId="25225"/>
    <cellStyle name="Normal 2 2 2 2 106 5" xfId="25226"/>
    <cellStyle name="Normal 2 2 2 2 107" xfId="5391"/>
    <cellStyle name="Normal 2 2 2 2 107 2" xfId="5392"/>
    <cellStyle name="Normal 2 2 2 2 107 2 2" xfId="5393"/>
    <cellStyle name="Normal 2 2 2 2 107 2 2 2" xfId="16764"/>
    <cellStyle name="Normal 2 2 2 2 107 2 2 2 2" xfId="25227"/>
    <cellStyle name="Normal 2 2 2 2 107 2 2 3" xfId="25228"/>
    <cellStyle name="Normal 2 2 2 2 107 2 3" xfId="16765"/>
    <cellStyle name="Normal 2 2 2 2 107 2 3 2" xfId="25229"/>
    <cellStyle name="Normal 2 2 2 2 107 2 4" xfId="25230"/>
    <cellStyle name="Normal 2 2 2 2 107 3" xfId="5394"/>
    <cellStyle name="Normal 2 2 2 2 107 3 2" xfId="16766"/>
    <cellStyle name="Normal 2 2 2 2 107 3 2 2" xfId="25231"/>
    <cellStyle name="Normal 2 2 2 2 107 3 3" xfId="25232"/>
    <cellStyle name="Normal 2 2 2 2 107 4" xfId="16767"/>
    <cellStyle name="Normal 2 2 2 2 107 4 2" xfId="25233"/>
    <cellStyle name="Normal 2 2 2 2 107 5" xfId="25234"/>
    <cellStyle name="Normal 2 2 2 2 108" xfId="5395"/>
    <cellStyle name="Normal 2 2 2 2 108 2" xfId="5396"/>
    <cellStyle name="Normal 2 2 2 2 108 2 2" xfId="5397"/>
    <cellStyle name="Normal 2 2 2 2 108 2 2 2" xfId="16768"/>
    <cellStyle name="Normal 2 2 2 2 108 2 2 2 2" xfId="25235"/>
    <cellStyle name="Normal 2 2 2 2 108 2 2 3" xfId="25236"/>
    <cellStyle name="Normal 2 2 2 2 108 2 3" xfId="16769"/>
    <cellStyle name="Normal 2 2 2 2 108 2 3 2" xfId="25237"/>
    <cellStyle name="Normal 2 2 2 2 108 2 4" xfId="25238"/>
    <cellStyle name="Normal 2 2 2 2 108 3" xfId="5398"/>
    <cellStyle name="Normal 2 2 2 2 108 3 2" xfId="16770"/>
    <cellStyle name="Normal 2 2 2 2 108 3 2 2" xfId="25239"/>
    <cellStyle name="Normal 2 2 2 2 108 3 3" xfId="25240"/>
    <cellStyle name="Normal 2 2 2 2 108 4" xfId="16771"/>
    <cellStyle name="Normal 2 2 2 2 108 4 2" xfId="25241"/>
    <cellStyle name="Normal 2 2 2 2 108 5" xfId="25242"/>
    <cellStyle name="Normal 2 2 2 2 109" xfId="5399"/>
    <cellStyle name="Normal 2 2 2 2 109 2" xfId="5400"/>
    <cellStyle name="Normal 2 2 2 2 109 2 2" xfId="5401"/>
    <cellStyle name="Normal 2 2 2 2 109 2 2 2" xfId="16772"/>
    <cellStyle name="Normal 2 2 2 2 109 2 2 2 2" xfId="25243"/>
    <cellStyle name="Normal 2 2 2 2 109 2 2 3" xfId="25244"/>
    <cellStyle name="Normal 2 2 2 2 109 2 3" xfId="16773"/>
    <cellStyle name="Normal 2 2 2 2 109 2 3 2" xfId="25245"/>
    <cellStyle name="Normal 2 2 2 2 109 2 4" xfId="25246"/>
    <cellStyle name="Normal 2 2 2 2 109 3" xfId="5402"/>
    <cellStyle name="Normal 2 2 2 2 109 3 2" xfId="16774"/>
    <cellStyle name="Normal 2 2 2 2 109 3 2 2" xfId="25247"/>
    <cellStyle name="Normal 2 2 2 2 109 3 3" xfId="25248"/>
    <cellStyle name="Normal 2 2 2 2 109 4" xfId="16775"/>
    <cellStyle name="Normal 2 2 2 2 109 4 2" xfId="25249"/>
    <cellStyle name="Normal 2 2 2 2 109 5" xfId="25250"/>
    <cellStyle name="Normal 2 2 2 2 11" xfId="5403"/>
    <cellStyle name="Normal 2 2 2 2 11 2" xfId="5404"/>
    <cellStyle name="Normal 2 2 2 2 11 2 2" xfId="5405"/>
    <cellStyle name="Normal 2 2 2 2 11 2 2 2" xfId="16776"/>
    <cellStyle name="Normal 2 2 2 2 11 2 2 2 2" xfId="25251"/>
    <cellStyle name="Normal 2 2 2 2 11 2 2 3" xfId="25252"/>
    <cellStyle name="Normal 2 2 2 2 11 2 3" xfId="16777"/>
    <cellStyle name="Normal 2 2 2 2 11 2 3 2" xfId="25253"/>
    <cellStyle name="Normal 2 2 2 2 11 2 4" xfId="25254"/>
    <cellStyle name="Normal 2 2 2 2 11 3" xfId="5406"/>
    <cellStyle name="Normal 2 2 2 2 11 3 2" xfId="5407"/>
    <cellStyle name="Normal 2 2 2 2 11 3 2 2" xfId="16778"/>
    <cellStyle name="Normal 2 2 2 2 11 3 2 2 2" xfId="25255"/>
    <cellStyle name="Normal 2 2 2 2 11 3 2 3" xfId="25256"/>
    <cellStyle name="Normal 2 2 2 2 11 3 3" xfId="16779"/>
    <cellStyle name="Normal 2 2 2 2 11 3 3 2" xfId="25257"/>
    <cellStyle name="Normal 2 2 2 2 11 3 4" xfId="25258"/>
    <cellStyle name="Normal 2 2 2 2 11 4" xfId="5408"/>
    <cellStyle name="Normal 2 2 2 2 11 4 2" xfId="16780"/>
    <cellStyle name="Normal 2 2 2 2 11 4 2 2" xfId="25259"/>
    <cellStyle name="Normal 2 2 2 2 11 4 3" xfId="25260"/>
    <cellStyle name="Normal 2 2 2 2 11 5" xfId="16781"/>
    <cellStyle name="Normal 2 2 2 2 11 5 2" xfId="25261"/>
    <cellStyle name="Normal 2 2 2 2 11 6" xfId="25262"/>
    <cellStyle name="Normal 2 2 2 2 110" xfId="5409"/>
    <cellStyle name="Normal 2 2 2 2 110 2" xfId="5410"/>
    <cellStyle name="Normal 2 2 2 2 110 2 2" xfId="5411"/>
    <cellStyle name="Normal 2 2 2 2 110 2 2 2" xfId="16782"/>
    <cellStyle name="Normal 2 2 2 2 110 2 2 2 2" xfId="25263"/>
    <cellStyle name="Normal 2 2 2 2 110 2 2 3" xfId="25264"/>
    <cellStyle name="Normal 2 2 2 2 110 2 3" xfId="16783"/>
    <cellStyle name="Normal 2 2 2 2 110 2 3 2" xfId="25265"/>
    <cellStyle name="Normal 2 2 2 2 110 2 4" xfId="25266"/>
    <cellStyle name="Normal 2 2 2 2 110 3" xfId="5412"/>
    <cellStyle name="Normal 2 2 2 2 110 3 2" xfId="16784"/>
    <cellStyle name="Normal 2 2 2 2 110 3 2 2" xfId="25267"/>
    <cellStyle name="Normal 2 2 2 2 110 3 3" xfId="25268"/>
    <cellStyle name="Normal 2 2 2 2 110 4" xfId="16785"/>
    <cellStyle name="Normal 2 2 2 2 110 4 2" xfId="25269"/>
    <cellStyle name="Normal 2 2 2 2 110 5" xfId="25270"/>
    <cellStyle name="Normal 2 2 2 2 111" xfId="5413"/>
    <cellStyle name="Normal 2 2 2 2 111 2" xfId="5414"/>
    <cellStyle name="Normal 2 2 2 2 111 2 2" xfId="5415"/>
    <cellStyle name="Normal 2 2 2 2 111 2 2 2" xfId="16786"/>
    <cellStyle name="Normal 2 2 2 2 111 2 2 2 2" xfId="25271"/>
    <cellStyle name="Normal 2 2 2 2 111 2 2 3" xfId="25272"/>
    <cellStyle name="Normal 2 2 2 2 111 2 3" xfId="16787"/>
    <cellStyle name="Normal 2 2 2 2 111 2 3 2" xfId="25273"/>
    <cellStyle name="Normal 2 2 2 2 111 2 4" xfId="25274"/>
    <cellStyle name="Normal 2 2 2 2 111 3" xfId="5416"/>
    <cellStyle name="Normal 2 2 2 2 111 3 2" xfId="16788"/>
    <cellStyle name="Normal 2 2 2 2 111 3 2 2" xfId="25275"/>
    <cellStyle name="Normal 2 2 2 2 111 3 3" xfId="25276"/>
    <cellStyle name="Normal 2 2 2 2 111 4" xfId="16789"/>
    <cellStyle name="Normal 2 2 2 2 111 4 2" xfId="25277"/>
    <cellStyle name="Normal 2 2 2 2 111 5" xfId="25278"/>
    <cellStyle name="Normal 2 2 2 2 112" xfId="5417"/>
    <cellStyle name="Normal 2 2 2 2 112 2" xfId="5418"/>
    <cellStyle name="Normal 2 2 2 2 112 2 2" xfId="5419"/>
    <cellStyle name="Normal 2 2 2 2 112 2 2 2" xfId="16790"/>
    <cellStyle name="Normal 2 2 2 2 112 2 2 2 2" xfId="25279"/>
    <cellStyle name="Normal 2 2 2 2 112 2 2 3" xfId="25280"/>
    <cellStyle name="Normal 2 2 2 2 112 2 3" xfId="16791"/>
    <cellStyle name="Normal 2 2 2 2 112 2 3 2" xfId="25281"/>
    <cellStyle name="Normal 2 2 2 2 112 2 4" xfId="25282"/>
    <cellStyle name="Normal 2 2 2 2 112 3" xfId="5420"/>
    <cellStyle name="Normal 2 2 2 2 112 3 2" xfId="16792"/>
    <cellStyle name="Normal 2 2 2 2 112 3 2 2" xfId="25283"/>
    <cellStyle name="Normal 2 2 2 2 112 3 3" xfId="25284"/>
    <cellStyle name="Normal 2 2 2 2 112 4" xfId="16793"/>
    <cellStyle name="Normal 2 2 2 2 112 4 2" xfId="25285"/>
    <cellStyle name="Normal 2 2 2 2 112 5" xfId="25286"/>
    <cellStyle name="Normal 2 2 2 2 113" xfId="5421"/>
    <cellStyle name="Normal 2 2 2 2 113 2" xfId="5422"/>
    <cellStyle name="Normal 2 2 2 2 113 2 2" xfId="5423"/>
    <cellStyle name="Normal 2 2 2 2 113 2 2 2" xfId="16794"/>
    <cellStyle name="Normal 2 2 2 2 113 2 2 2 2" xfId="25287"/>
    <cellStyle name="Normal 2 2 2 2 113 2 2 3" xfId="25288"/>
    <cellStyle name="Normal 2 2 2 2 113 2 3" xfId="16795"/>
    <cellStyle name="Normal 2 2 2 2 113 2 3 2" xfId="25289"/>
    <cellStyle name="Normal 2 2 2 2 113 2 4" xfId="25290"/>
    <cellStyle name="Normal 2 2 2 2 113 3" xfId="5424"/>
    <cellStyle name="Normal 2 2 2 2 113 3 2" xfId="16796"/>
    <cellStyle name="Normal 2 2 2 2 113 3 2 2" xfId="25291"/>
    <cellStyle name="Normal 2 2 2 2 113 3 3" xfId="25292"/>
    <cellStyle name="Normal 2 2 2 2 113 4" xfId="16797"/>
    <cellStyle name="Normal 2 2 2 2 113 4 2" xfId="25293"/>
    <cellStyle name="Normal 2 2 2 2 113 5" xfId="25294"/>
    <cellStyle name="Normal 2 2 2 2 114" xfId="5425"/>
    <cellStyle name="Normal 2 2 2 2 114 2" xfId="5426"/>
    <cellStyle name="Normal 2 2 2 2 114 2 2" xfId="5427"/>
    <cellStyle name="Normal 2 2 2 2 114 2 2 2" xfId="16798"/>
    <cellStyle name="Normal 2 2 2 2 114 2 2 2 2" xfId="25295"/>
    <cellStyle name="Normal 2 2 2 2 114 2 2 3" xfId="25296"/>
    <cellStyle name="Normal 2 2 2 2 114 2 3" xfId="16799"/>
    <cellStyle name="Normal 2 2 2 2 114 2 3 2" xfId="25297"/>
    <cellStyle name="Normal 2 2 2 2 114 2 4" xfId="25298"/>
    <cellStyle name="Normal 2 2 2 2 114 3" xfId="5428"/>
    <cellStyle name="Normal 2 2 2 2 114 3 2" xfId="16800"/>
    <cellStyle name="Normal 2 2 2 2 114 3 2 2" xfId="25299"/>
    <cellStyle name="Normal 2 2 2 2 114 3 3" xfId="25300"/>
    <cellStyle name="Normal 2 2 2 2 114 4" xfId="16801"/>
    <cellStyle name="Normal 2 2 2 2 114 4 2" xfId="25301"/>
    <cellStyle name="Normal 2 2 2 2 114 5" xfId="25302"/>
    <cellStyle name="Normal 2 2 2 2 115" xfId="5429"/>
    <cellStyle name="Normal 2 2 2 2 115 2" xfId="5430"/>
    <cellStyle name="Normal 2 2 2 2 115 2 2" xfId="5431"/>
    <cellStyle name="Normal 2 2 2 2 115 2 2 2" xfId="16802"/>
    <cellStyle name="Normal 2 2 2 2 115 2 2 2 2" xfId="25303"/>
    <cellStyle name="Normal 2 2 2 2 115 2 2 3" xfId="25304"/>
    <cellStyle name="Normal 2 2 2 2 115 2 3" xfId="16803"/>
    <cellStyle name="Normal 2 2 2 2 115 2 3 2" xfId="25305"/>
    <cellStyle name="Normal 2 2 2 2 115 2 4" xfId="25306"/>
    <cellStyle name="Normal 2 2 2 2 115 3" xfId="5432"/>
    <cellStyle name="Normal 2 2 2 2 115 3 2" xfId="16804"/>
    <cellStyle name="Normal 2 2 2 2 115 3 2 2" xfId="25307"/>
    <cellStyle name="Normal 2 2 2 2 115 3 3" xfId="25308"/>
    <cellStyle name="Normal 2 2 2 2 115 4" xfId="16805"/>
    <cellStyle name="Normal 2 2 2 2 115 4 2" xfId="25309"/>
    <cellStyle name="Normal 2 2 2 2 115 5" xfId="25310"/>
    <cellStyle name="Normal 2 2 2 2 116" xfId="5433"/>
    <cellStyle name="Normal 2 2 2 2 116 2" xfId="5434"/>
    <cellStyle name="Normal 2 2 2 2 116 2 2" xfId="5435"/>
    <cellStyle name="Normal 2 2 2 2 116 2 2 2" xfId="16806"/>
    <cellStyle name="Normal 2 2 2 2 116 2 2 2 2" xfId="25311"/>
    <cellStyle name="Normal 2 2 2 2 116 2 2 3" xfId="25312"/>
    <cellStyle name="Normal 2 2 2 2 116 2 3" xfId="16807"/>
    <cellStyle name="Normal 2 2 2 2 116 2 3 2" xfId="25313"/>
    <cellStyle name="Normal 2 2 2 2 116 2 4" xfId="25314"/>
    <cellStyle name="Normal 2 2 2 2 116 3" xfId="5436"/>
    <cellStyle name="Normal 2 2 2 2 116 3 2" xfId="16808"/>
    <cellStyle name="Normal 2 2 2 2 116 3 2 2" xfId="25315"/>
    <cellStyle name="Normal 2 2 2 2 116 3 3" xfId="25316"/>
    <cellStyle name="Normal 2 2 2 2 116 4" xfId="16809"/>
    <cellStyle name="Normal 2 2 2 2 116 4 2" xfId="25317"/>
    <cellStyle name="Normal 2 2 2 2 116 5" xfId="25318"/>
    <cellStyle name="Normal 2 2 2 2 117" xfId="5437"/>
    <cellStyle name="Normal 2 2 2 2 117 2" xfId="5438"/>
    <cellStyle name="Normal 2 2 2 2 117 2 2" xfId="5439"/>
    <cellStyle name="Normal 2 2 2 2 117 2 2 2" xfId="16810"/>
    <cellStyle name="Normal 2 2 2 2 117 2 2 2 2" xfId="25319"/>
    <cellStyle name="Normal 2 2 2 2 117 2 2 3" xfId="25320"/>
    <cellStyle name="Normal 2 2 2 2 117 2 3" xfId="16811"/>
    <cellStyle name="Normal 2 2 2 2 117 2 3 2" xfId="25321"/>
    <cellStyle name="Normal 2 2 2 2 117 2 4" xfId="25322"/>
    <cellStyle name="Normal 2 2 2 2 117 3" xfId="5440"/>
    <cellStyle name="Normal 2 2 2 2 117 3 2" xfId="16812"/>
    <cellStyle name="Normal 2 2 2 2 117 3 2 2" xfId="25323"/>
    <cellStyle name="Normal 2 2 2 2 117 3 3" xfId="25324"/>
    <cellStyle name="Normal 2 2 2 2 117 4" xfId="16813"/>
    <cellStyle name="Normal 2 2 2 2 117 4 2" xfId="25325"/>
    <cellStyle name="Normal 2 2 2 2 117 5" xfId="25326"/>
    <cellStyle name="Normal 2 2 2 2 118" xfId="5441"/>
    <cellStyle name="Normal 2 2 2 2 118 2" xfId="5442"/>
    <cellStyle name="Normal 2 2 2 2 118 2 2" xfId="5443"/>
    <cellStyle name="Normal 2 2 2 2 118 2 2 2" xfId="16814"/>
    <cellStyle name="Normal 2 2 2 2 118 2 2 2 2" xfId="25327"/>
    <cellStyle name="Normal 2 2 2 2 118 2 2 3" xfId="25328"/>
    <cellStyle name="Normal 2 2 2 2 118 2 3" xfId="16815"/>
    <cellStyle name="Normal 2 2 2 2 118 2 3 2" xfId="25329"/>
    <cellStyle name="Normal 2 2 2 2 118 2 4" xfId="25330"/>
    <cellStyle name="Normal 2 2 2 2 118 3" xfId="5444"/>
    <cellStyle name="Normal 2 2 2 2 118 3 2" xfId="16816"/>
    <cellStyle name="Normal 2 2 2 2 118 3 2 2" xfId="25331"/>
    <cellStyle name="Normal 2 2 2 2 118 3 3" xfId="25332"/>
    <cellStyle name="Normal 2 2 2 2 118 4" xfId="16817"/>
    <cellStyle name="Normal 2 2 2 2 118 4 2" xfId="25333"/>
    <cellStyle name="Normal 2 2 2 2 118 5" xfId="25334"/>
    <cellStyle name="Normal 2 2 2 2 119" xfId="5445"/>
    <cellStyle name="Normal 2 2 2 2 119 2" xfId="5446"/>
    <cellStyle name="Normal 2 2 2 2 119 2 2" xfId="5447"/>
    <cellStyle name="Normal 2 2 2 2 119 2 2 2" xfId="16818"/>
    <cellStyle name="Normal 2 2 2 2 119 2 2 2 2" xfId="25335"/>
    <cellStyle name="Normal 2 2 2 2 119 2 2 3" xfId="25336"/>
    <cellStyle name="Normal 2 2 2 2 119 2 3" xfId="16819"/>
    <cellStyle name="Normal 2 2 2 2 119 2 3 2" xfId="25337"/>
    <cellStyle name="Normal 2 2 2 2 119 2 4" xfId="25338"/>
    <cellStyle name="Normal 2 2 2 2 119 3" xfId="5448"/>
    <cellStyle name="Normal 2 2 2 2 119 3 2" xfId="16820"/>
    <cellStyle name="Normal 2 2 2 2 119 3 2 2" xfId="25339"/>
    <cellStyle name="Normal 2 2 2 2 119 3 3" xfId="25340"/>
    <cellStyle name="Normal 2 2 2 2 119 4" xfId="16821"/>
    <cellStyle name="Normal 2 2 2 2 119 4 2" xfId="25341"/>
    <cellStyle name="Normal 2 2 2 2 119 5" xfId="25342"/>
    <cellStyle name="Normal 2 2 2 2 12" xfId="5449"/>
    <cellStyle name="Normal 2 2 2 2 12 2" xfId="5450"/>
    <cellStyle name="Normal 2 2 2 2 12 2 2" xfId="5451"/>
    <cellStyle name="Normal 2 2 2 2 12 2 2 2" xfId="16822"/>
    <cellStyle name="Normal 2 2 2 2 12 2 2 2 2" xfId="25343"/>
    <cellStyle name="Normal 2 2 2 2 12 2 2 3" xfId="25344"/>
    <cellStyle name="Normal 2 2 2 2 12 2 3" xfId="16823"/>
    <cellStyle name="Normal 2 2 2 2 12 2 3 2" xfId="25345"/>
    <cellStyle name="Normal 2 2 2 2 12 2 4" xfId="25346"/>
    <cellStyle name="Normal 2 2 2 2 12 3" xfId="5452"/>
    <cellStyle name="Normal 2 2 2 2 12 3 2" xfId="5453"/>
    <cellStyle name="Normal 2 2 2 2 12 3 2 2" xfId="16824"/>
    <cellStyle name="Normal 2 2 2 2 12 3 2 2 2" xfId="25347"/>
    <cellStyle name="Normal 2 2 2 2 12 3 2 3" xfId="25348"/>
    <cellStyle name="Normal 2 2 2 2 12 3 3" xfId="16825"/>
    <cellStyle name="Normal 2 2 2 2 12 3 3 2" xfId="25349"/>
    <cellStyle name="Normal 2 2 2 2 12 3 4" xfId="25350"/>
    <cellStyle name="Normal 2 2 2 2 12 4" xfId="5454"/>
    <cellStyle name="Normal 2 2 2 2 12 4 2" xfId="16826"/>
    <cellStyle name="Normal 2 2 2 2 12 4 2 2" xfId="25351"/>
    <cellStyle name="Normal 2 2 2 2 12 4 3" xfId="25352"/>
    <cellStyle name="Normal 2 2 2 2 12 5" xfId="16827"/>
    <cellStyle name="Normal 2 2 2 2 12 5 2" xfId="25353"/>
    <cellStyle name="Normal 2 2 2 2 12 6" xfId="25354"/>
    <cellStyle name="Normal 2 2 2 2 120" xfId="5455"/>
    <cellStyle name="Normal 2 2 2 2 120 2" xfId="5456"/>
    <cellStyle name="Normal 2 2 2 2 120 2 2" xfId="5457"/>
    <cellStyle name="Normal 2 2 2 2 120 2 2 2" xfId="16828"/>
    <cellStyle name="Normal 2 2 2 2 120 2 2 2 2" xfId="25355"/>
    <cellStyle name="Normal 2 2 2 2 120 2 2 3" xfId="25356"/>
    <cellStyle name="Normal 2 2 2 2 120 2 3" xfId="16829"/>
    <cellStyle name="Normal 2 2 2 2 120 2 3 2" xfId="25357"/>
    <cellStyle name="Normal 2 2 2 2 120 2 4" xfId="25358"/>
    <cellStyle name="Normal 2 2 2 2 120 3" xfId="5458"/>
    <cellStyle name="Normal 2 2 2 2 120 3 2" xfId="16830"/>
    <cellStyle name="Normal 2 2 2 2 120 3 2 2" xfId="25359"/>
    <cellStyle name="Normal 2 2 2 2 120 3 3" xfId="25360"/>
    <cellStyle name="Normal 2 2 2 2 120 4" xfId="16831"/>
    <cellStyle name="Normal 2 2 2 2 120 4 2" xfId="25361"/>
    <cellStyle name="Normal 2 2 2 2 120 5" xfId="25362"/>
    <cellStyle name="Normal 2 2 2 2 121" xfId="5459"/>
    <cellStyle name="Normal 2 2 2 2 121 2" xfId="5460"/>
    <cellStyle name="Normal 2 2 2 2 121 2 2" xfId="5461"/>
    <cellStyle name="Normal 2 2 2 2 121 2 2 2" xfId="16832"/>
    <cellStyle name="Normal 2 2 2 2 121 2 2 2 2" xfId="25363"/>
    <cellStyle name="Normal 2 2 2 2 121 2 2 3" xfId="25364"/>
    <cellStyle name="Normal 2 2 2 2 121 2 3" xfId="16833"/>
    <cellStyle name="Normal 2 2 2 2 121 2 3 2" xfId="25365"/>
    <cellStyle name="Normal 2 2 2 2 121 2 4" xfId="25366"/>
    <cellStyle name="Normal 2 2 2 2 121 3" xfId="5462"/>
    <cellStyle name="Normal 2 2 2 2 121 3 2" xfId="16834"/>
    <cellStyle name="Normal 2 2 2 2 121 3 2 2" xfId="25367"/>
    <cellStyle name="Normal 2 2 2 2 121 3 3" xfId="25368"/>
    <cellStyle name="Normal 2 2 2 2 121 4" xfId="16835"/>
    <cellStyle name="Normal 2 2 2 2 121 4 2" xfId="25369"/>
    <cellStyle name="Normal 2 2 2 2 121 5" xfId="25370"/>
    <cellStyle name="Normal 2 2 2 2 122" xfId="5463"/>
    <cellStyle name="Normal 2 2 2 2 122 2" xfId="5464"/>
    <cellStyle name="Normal 2 2 2 2 122 2 2" xfId="5465"/>
    <cellStyle name="Normal 2 2 2 2 122 2 2 2" xfId="16836"/>
    <cellStyle name="Normal 2 2 2 2 122 2 2 2 2" xfId="25371"/>
    <cellStyle name="Normal 2 2 2 2 122 2 2 3" xfId="25372"/>
    <cellStyle name="Normal 2 2 2 2 122 2 3" xfId="16837"/>
    <cellStyle name="Normal 2 2 2 2 122 2 3 2" xfId="25373"/>
    <cellStyle name="Normal 2 2 2 2 122 2 4" xfId="25374"/>
    <cellStyle name="Normal 2 2 2 2 122 3" xfId="5466"/>
    <cellStyle name="Normal 2 2 2 2 122 3 2" xfId="16838"/>
    <cellStyle name="Normal 2 2 2 2 122 3 2 2" xfId="25375"/>
    <cellStyle name="Normal 2 2 2 2 122 3 3" xfId="25376"/>
    <cellStyle name="Normal 2 2 2 2 122 4" xfId="16839"/>
    <cellStyle name="Normal 2 2 2 2 122 4 2" xfId="25377"/>
    <cellStyle name="Normal 2 2 2 2 122 5" xfId="25378"/>
    <cellStyle name="Normal 2 2 2 2 123" xfId="5467"/>
    <cellStyle name="Normal 2 2 2 2 123 2" xfId="5468"/>
    <cellStyle name="Normal 2 2 2 2 123 2 2" xfId="5469"/>
    <cellStyle name="Normal 2 2 2 2 123 2 2 2" xfId="16840"/>
    <cellStyle name="Normal 2 2 2 2 123 2 2 2 2" xfId="25379"/>
    <cellStyle name="Normal 2 2 2 2 123 2 2 3" xfId="25380"/>
    <cellStyle name="Normal 2 2 2 2 123 2 3" xfId="16841"/>
    <cellStyle name="Normal 2 2 2 2 123 2 3 2" xfId="25381"/>
    <cellStyle name="Normal 2 2 2 2 123 2 4" xfId="25382"/>
    <cellStyle name="Normal 2 2 2 2 123 3" xfId="5470"/>
    <cellStyle name="Normal 2 2 2 2 123 3 2" xfId="16842"/>
    <cellStyle name="Normal 2 2 2 2 123 3 2 2" xfId="25383"/>
    <cellStyle name="Normal 2 2 2 2 123 3 3" xfId="25384"/>
    <cellStyle name="Normal 2 2 2 2 123 4" xfId="16843"/>
    <cellStyle name="Normal 2 2 2 2 123 4 2" xfId="25385"/>
    <cellStyle name="Normal 2 2 2 2 123 5" xfId="25386"/>
    <cellStyle name="Normal 2 2 2 2 124" xfId="5471"/>
    <cellStyle name="Normal 2 2 2 2 124 2" xfId="5472"/>
    <cellStyle name="Normal 2 2 2 2 124 2 2" xfId="5473"/>
    <cellStyle name="Normal 2 2 2 2 124 2 2 2" xfId="16844"/>
    <cellStyle name="Normal 2 2 2 2 124 2 2 2 2" xfId="25387"/>
    <cellStyle name="Normal 2 2 2 2 124 2 2 3" xfId="25388"/>
    <cellStyle name="Normal 2 2 2 2 124 2 3" xfId="16845"/>
    <cellStyle name="Normal 2 2 2 2 124 2 3 2" xfId="25389"/>
    <cellStyle name="Normal 2 2 2 2 124 2 4" xfId="25390"/>
    <cellStyle name="Normal 2 2 2 2 124 3" xfId="5474"/>
    <cellStyle name="Normal 2 2 2 2 124 3 2" xfId="16846"/>
    <cellStyle name="Normal 2 2 2 2 124 3 2 2" xfId="25391"/>
    <cellStyle name="Normal 2 2 2 2 124 3 3" xfId="25392"/>
    <cellStyle name="Normal 2 2 2 2 124 4" xfId="16847"/>
    <cellStyle name="Normal 2 2 2 2 124 4 2" xfId="25393"/>
    <cellStyle name="Normal 2 2 2 2 124 5" xfId="25394"/>
    <cellStyle name="Normal 2 2 2 2 125" xfId="5475"/>
    <cellStyle name="Normal 2 2 2 2 125 2" xfId="5476"/>
    <cellStyle name="Normal 2 2 2 2 125 2 2" xfId="5477"/>
    <cellStyle name="Normal 2 2 2 2 125 2 2 2" xfId="16848"/>
    <cellStyle name="Normal 2 2 2 2 125 2 2 2 2" xfId="25395"/>
    <cellStyle name="Normal 2 2 2 2 125 2 2 3" xfId="25396"/>
    <cellStyle name="Normal 2 2 2 2 125 2 3" xfId="16849"/>
    <cellStyle name="Normal 2 2 2 2 125 2 3 2" xfId="25397"/>
    <cellStyle name="Normal 2 2 2 2 125 2 4" xfId="25398"/>
    <cellStyle name="Normal 2 2 2 2 125 3" xfId="5478"/>
    <cellStyle name="Normal 2 2 2 2 125 3 2" xfId="16850"/>
    <cellStyle name="Normal 2 2 2 2 125 3 2 2" xfId="25399"/>
    <cellStyle name="Normal 2 2 2 2 125 3 3" xfId="25400"/>
    <cellStyle name="Normal 2 2 2 2 125 4" xfId="16851"/>
    <cellStyle name="Normal 2 2 2 2 125 4 2" xfId="25401"/>
    <cellStyle name="Normal 2 2 2 2 125 5" xfId="25402"/>
    <cellStyle name="Normal 2 2 2 2 126" xfId="5479"/>
    <cellStyle name="Normal 2 2 2 2 126 2" xfId="5480"/>
    <cellStyle name="Normal 2 2 2 2 126 2 2" xfId="5481"/>
    <cellStyle name="Normal 2 2 2 2 126 2 2 2" xfId="16852"/>
    <cellStyle name="Normal 2 2 2 2 126 2 2 2 2" xfId="25403"/>
    <cellStyle name="Normal 2 2 2 2 126 2 2 3" xfId="25404"/>
    <cellStyle name="Normal 2 2 2 2 126 2 3" xfId="16853"/>
    <cellStyle name="Normal 2 2 2 2 126 2 3 2" xfId="25405"/>
    <cellStyle name="Normal 2 2 2 2 126 2 4" xfId="25406"/>
    <cellStyle name="Normal 2 2 2 2 126 3" xfId="5482"/>
    <cellStyle name="Normal 2 2 2 2 126 3 2" xfId="16854"/>
    <cellStyle name="Normal 2 2 2 2 126 3 2 2" xfId="25407"/>
    <cellStyle name="Normal 2 2 2 2 126 3 3" xfId="25408"/>
    <cellStyle name="Normal 2 2 2 2 126 4" xfId="16855"/>
    <cellStyle name="Normal 2 2 2 2 126 4 2" xfId="25409"/>
    <cellStyle name="Normal 2 2 2 2 126 5" xfId="25410"/>
    <cellStyle name="Normal 2 2 2 2 127" xfId="5483"/>
    <cellStyle name="Normal 2 2 2 2 127 2" xfId="5484"/>
    <cellStyle name="Normal 2 2 2 2 127 2 2" xfId="5485"/>
    <cellStyle name="Normal 2 2 2 2 127 2 2 2" xfId="16856"/>
    <cellStyle name="Normal 2 2 2 2 127 2 2 2 2" xfId="25411"/>
    <cellStyle name="Normal 2 2 2 2 127 2 2 3" xfId="25412"/>
    <cellStyle name="Normal 2 2 2 2 127 2 3" xfId="16857"/>
    <cellStyle name="Normal 2 2 2 2 127 2 3 2" xfId="25413"/>
    <cellStyle name="Normal 2 2 2 2 127 2 4" xfId="25414"/>
    <cellStyle name="Normal 2 2 2 2 127 3" xfId="5486"/>
    <cellStyle name="Normal 2 2 2 2 127 3 2" xfId="16858"/>
    <cellStyle name="Normal 2 2 2 2 127 3 2 2" xfId="25415"/>
    <cellStyle name="Normal 2 2 2 2 127 3 3" xfId="25416"/>
    <cellStyle name="Normal 2 2 2 2 127 4" xfId="16859"/>
    <cellStyle name="Normal 2 2 2 2 127 4 2" xfId="25417"/>
    <cellStyle name="Normal 2 2 2 2 127 5" xfId="25418"/>
    <cellStyle name="Normal 2 2 2 2 128" xfId="5487"/>
    <cellStyle name="Normal 2 2 2 2 128 2" xfId="5488"/>
    <cellStyle name="Normal 2 2 2 2 128 2 2" xfId="5489"/>
    <cellStyle name="Normal 2 2 2 2 128 2 2 2" xfId="16860"/>
    <cellStyle name="Normal 2 2 2 2 128 2 2 2 2" xfId="25419"/>
    <cellStyle name="Normal 2 2 2 2 128 2 2 3" xfId="25420"/>
    <cellStyle name="Normal 2 2 2 2 128 2 3" xfId="16861"/>
    <cellStyle name="Normal 2 2 2 2 128 2 3 2" xfId="25421"/>
    <cellStyle name="Normal 2 2 2 2 128 2 4" xfId="25422"/>
    <cellStyle name="Normal 2 2 2 2 128 3" xfId="5490"/>
    <cellStyle name="Normal 2 2 2 2 128 3 2" xfId="16862"/>
    <cellStyle name="Normal 2 2 2 2 128 3 2 2" xfId="25423"/>
    <cellStyle name="Normal 2 2 2 2 128 3 3" xfId="25424"/>
    <cellStyle name="Normal 2 2 2 2 128 4" xfId="16863"/>
    <cellStyle name="Normal 2 2 2 2 128 4 2" xfId="25425"/>
    <cellStyle name="Normal 2 2 2 2 128 5" xfId="25426"/>
    <cellStyle name="Normal 2 2 2 2 129" xfId="5491"/>
    <cellStyle name="Normal 2 2 2 2 129 2" xfId="5492"/>
    <cellStyle name="Normal 2 2 2 2 129 2 2" xfId="5493"/>
    <cellStyle name="Normal 2 2 2 2 129 2 2 2" xfId="16864"/>
    <cellStyle name="Normal 2 2 2 2 129 2 2 2 2" xfId="25427"/>
    <cellStyle name="Normal 2 2 2 2 129 2 2 3" xfId="25428"/>
    <cellStyle name="Normal 2 2 2 2 129 2 3" xfId="16865"/>
    <cellStyle name="Normal 2 2 2 2 129 2 3 2" xfId="25429"/>
    <cellStyle name="Normal 2 2 2 2 129 2 4" xfId="25430"/>
    <cellStyle name="Normal 2 2 2 2 129 3" xfId="5494"/>
    <cellStyle name="Normal 2 2 2 2 129 3 2" xfId="16866"/>
    <cellStyle name="Normal 2 2 2 2 129 3 2 2" xfId="25431"/>
    <cellStyle name="Normal 2 2 2 2 129 3 3" xfId="25432"/>
    <cellStyle name="Normal 2 2 2 2 129 4" xfId="16867"/>
    <cellStyle name="Normal 2 2 2 2 129 4 2" xfId="25433"/>
    <cellStyle name="Normal 2 2 2 2 129 5" xfId="25434"/>
    <cellStyle name="Normal 2 2 2 2 13" xfId="5495"/>
    <cellStyle name="Normal 2 2 2 2 13 2" xfId="5496"/>
    <cellStyle name="Normal 2 2 2 2 13 2 2" xfId="5497"/>
    <cellStyle name="Normal 2 2 2 2 13 2 2 2" xfId="16868"/>
    <cellStyle name="Normal 2 2 2 2 13 2 2 2 2" xfId="25435"/>
    <cellStyle name="Normal 2 2 2 2 13 2 2 3" xfId="25436"/>
    <cellStyle name="Normal 2 2 2 2 13 2 3" xfId="16869"/>
    <cellStyle name="Normal 2 2 2 2 13 2 3 2" xfId="25437"/>
    <cellStyle name="Normal 2 2 2 2 13 2 4" xfId="25438"/>
    <cellStyle name="Normal 2 2 2 2 13 3" xfId="5498"/>
    <cellStyle name="Normal 2 2 2 2 13 3 2" xfId="5499"/>
    <cellStyle name="Normal 2 2 2 2 13 3 2 2" xfId="16870"/>
    <cellStyle name="Normal 2 2 2 2 13 3 2 2 2" xfId="25439"/>
    <cellStyle name="Normal 2 2 2 2 13 3 2 3" xfId="25440"/>
    <cellStyle name="Normal 2 2 2 2 13 3 3" xfId="16871"/>
    <cellStyle name="Normal 2 2 2 2 13 3 3 2" xfId="25441"/>
    <cellStyle name="Normal 2 2 2 2 13 3 4" xfId="25442"/>
    <cellStyle name="Normal 2 2 2 2 13 4" xfId="5500"/>
    <cellStyle name="Normal 2 2 2 2 13 4 2" xfId="16872"/>
    <cellStyle name="Normal 2 2 2 2 13 4 2 2" xfId="25443"/>
    <cellStyle name="Normal 2 2 2 2 13 4 3" xfId="25444"/>
    <cellStyle name="Normal 2 2 2 2 13 5" xfId="16873"/>
    <cellStyle name="Normal 2 2 2 2 13 5 2" xfId="25445"/>
    <cellStyle name="Normal 2 2 2 2 13 6" xfId="25446"/>
    <cellStyle name="Normal 2 2 2 2 130" xfId="5501"/>
    <cellStyle name="Normal 2 2 2 2 130 2" xfId="5502"/>
    <cellStyle name="Normal 2 2 2 2 130 2 2" xfId="5503"/>
    <cellStyle name="Normal 2 2 2 2 130 2 2 2" xfId="16874"/>
    <cellStyle name="Normal 2 2 2 2 130 2 2 2 2" xfId="25447"/>
    <cellStyle name="Normal 2 2 2 2 130 2 2 3" xfId="25448"/>
    <cellStyle name="Normal 2 2 2 2 130 2 3" xfId="16875"/>
    <cellStyle name="Normal 2 2 2 2 130 2 3 2" xfId="25449"/>
    <cellStyle name="Normal 2 2 2 2 130 2 4" xfId="25450"/>
    <cellStyle name="Normal 2 2 2 2 130 3" xfId="5504"/>
    <cellStyle name="Normal 2 2 2 2 130 3 2" xfId="16876"/>
    <cellStyle name="Normal 2 2 2 2 130 3 2 2" xfId="25451"/>
    <cellStyle name="Normal 2 2 2 2 130 3 3" xfId="25452"/>
    <cellStyle name="Normal 2 2 2 2 130 4" xfId="16877"/>
    <cellStyle name="Normal 2 2 2 2 130 4 2" xfId="25453"/>
    <cellStyle name="Normal 2 2 2 2 130 5" xfId="25454"/>
    <cellStyle name="Normal 2 2 2 2 131" xfId="5505"/>
    <cellStyle name="Normal 2 2 2 2 131 2" xfId="5506"/>
    <cellStyle name="Normal 2 2 2 2 131 2 2" xfId="5507"/>
    <cellStyle name="Normal 2 2 2 2 131 2 2 2" xfId="16878"/>
    <cellStyle name="Normal 2 2 2 2 131 2 2 2 2" xfId="25455"/>
    <cellStyle name="Normal 2 2 2 2 131 2 2 3" xfId="25456"/>
    <cellStyle name="Normal 2 2 2 2 131 2 3" xfId="16879"/>
    <cellStyle name="Normal 2 2 2 2 131 2 3 2" xfId="25457"/>
    <cellStyle name="Normal 2 2 2 2 131 2 4" xfId="25458"/>
    <cellStyle name="Normal 2 2 2 2 131 3" xfId="5508"/>
    <cellStyle name="Normal 2 2 2 2 131 3 2" xfId="16880"/>
    <cellStyle name="Normal 2 2 2 2 131 3 2 2" xfId="25459"/>
    <cellStyle name="Normal 2 2 2 2 131 3 3" xfId="25460"/>
    <cellStyle name="Normal 2 2 2 2 131 4" xfId="16881"/>
    <cellStyle name="Normal 2 2 2 2 131 4 2" xfId="25461"/>
    <cellStyle name="Normal 2 2 2 2 131 5" xfId="25462"/>
    <cellStyle name="Normal 2 2 2 2 132" xfId="5509"/>
    <cellStyle name="Normal 2 2 2 2 132 2" xfId="5510"/>
    <cellStyle name="Normal 2 2 2 2 132 2 2" xfId="5511"/>
    <cellStyle name="Normal 2 2 2 2 132 2 2 2" xfId="16882"/>
    <cellStyle name="Normal 2 2 2 2 132 2 2 2 2" xfId="25463"/>
    <cellStyle name="Normal 2 2 2 2 132 2 2 3" xfId="25464"/>
    <cellStyle name="Normal 2 2 2 2 132 2 3" xfId="16883"/>
    <cellStyle name="Normal 2 2 2 2 132 2 3 2" xfId="25465"/>
    <cellStyle name="Normal 2 2 2 2 132 2 4" xfId="25466"/>
    <cellStyle name="Normal 2 2 2 2 132 3" xfId="5512"/>
    <cellStyle name="Normal 2 2 2 2 132 3 2" xfId="16884"/>
    <cellStyle name="Normal 2 2 2 2 132 3 2 2" xfId="25467"/>
    <cellStyle name="Normal 2 2 2 2 132 3 3" xfId="25468"/>
    <cellStyle name="Normal 2 2 2 2 132 4" xfId="16885"/>
    <cellStyle name="Normal 2 2 2 2 132 4 2" xfId="25469"/>
    <cellStyle name="Normal 2 2 2 2 132 5" xfId="25470"/>
    <cellStyle name="Normal 2 2 2 2 133" xfId="5513"/>
    <cellStyle name="Normal 2 2 2 2 133 2" xfId="5514"/>
    <cellStyle name="Normal 2 2 2 2 133 2 2" xfId="5515"/>
    <cellStyle name="Normal 2 2 2 2 133 2 2 2" xfId="16886"/>
    <cellStyle name="Normal 2 2 2 2 133 2 2 2 2" xfId="25471"/>
    <cellStyle name="Normal 2 2 2 2 133 2 2 3" xfId="25472"/>
    <cellStyle name="Normal 2 2 2 2 133 2 3" xfId="16887"/>
    <cellStyle name="Normal 2 2 2 2 133 2 3 2" xfId="25473"/>
    <cellStyle name="Normal 2 2 2 2 133 2 4" xfId="25474"/>
    <cellStyle name="Normal 2 2 2 2 133 3" xfId="5516"/>
    <cellStyle name="Normal 2 2 2 2 133 3 2" xfId="16888"/>
    <cellStyle name="Normal 2 2 2 2 133 3 2 2" xfId="25475"/>
    <cellStyle name="Normal 2 2 2 2 133 3 3" xfId="25476"/>
    <cellStyle name="Normal 2 2 2 2 133 4" xfId="16889"/>
    <cellStyle name="Normal 2 2 2 2 133 4 2" xfId="25477"/>
    <cellStyle name="Normal 2 2 2 2 133 5" xfId="25478"/>
    <cellStyle name="Normal 2 2 2 2 134" xfId="5517"/>
    <cellStyle name="Normal 2 2 2 2 134 2" xfId="5518"/>
    <cellStyle name="Normal 2 2 2 2 134 2 2" xfId="5519"/>
    <cellStyle name="Normal 2 2 2 2 134 2 2 2" xfId="16890"/>
    <cellStyle name="Normal 2 2 2 2 134 2 2 2 2" xfId="25479"/>
    <cellStyle name="Normal 2 2 2 2 134 2 2 3" xfId="25480"/>
    <cellStyle name="Normal 2 2 2 2 134 2 3" xfId="16891"/>
    <cellStyle name="Normal 2 2 2 2 134 2 3 2" xfId="25481"/>
    <cellStyle name="Normal 2 2 2 2 134 2 4" xfId="25482"/>
    <cellStyle name="Normal 2 2 2 2 134 3" xfId="5520"/>
    <cellStyle name="Normal 2 2 2 2 134 3 2" xfId="16892"/>
    <cellStyle name="Normal 2 2 2 2 134 3 2 2" xfId="25483"/>
    <cellStyle name="Normal 2 2 2 2 134 3 3" xfId="25484"/>
    <cellStyle name="Normal 2 2 2 2 134 4" xfId="16893"/>
    <cellStyle name="Normal 2 2 2 2 134 4 2" xfId="25485"/>
    <cellStyle name="Normal 2 2 2 2 134 5" xfId="25486"/>
    <cellStyle name="Normal 2 2 2 2 135" xfId="5521"/>
    <cellStyle name="Normal 2 2 2 2 135 2" xfId="5522"/>
    <cellStyle name="Normal 2 2 2 2 135 2 2" xfId="5523"/>
    <cellStyle name="Normal 2 2 2 2 135 2 2 2" xfId="16894"/>
    <cellStyle name="Normal 2 2 2 2 135 2 2 2 2" xfId="25487"/>
    <cellStyle name="Normal 2 2 2 2 135 2 2 3" xfId="25488"/>
    <cellStyle name="Normal 2 2 2 2 135 2 3" xfId="16895"/>
    <cellStyle name="Normal 2 2 2 2 135 2 3 2" xfId="25489"/>
    <cellStyle name="Normal 2 2 2 2 135 2 4" xfId="25490"/>
    <cellStyle name="Normal 2 2 2 2 135 3" xfId="5524"/>
    <cellStyle name="Normal 2 2 2 2 135 3 2" xfId="16896"/>
    <cellStyle name="Normal 2 2 2 2 135 3 2 2" xfId="25491"/>
    <cellStyle name="Normal 2 2 2 2 135 3 3" xfId="25492"/>
    <cellStyle name="Normal 2 2 2 2 135 4" xfId="16897"/>
    <cellStyle name="Normal 2 2 2 2 135 4 2" xfId="25493"/>
    <cellStyle name="Normal 2 2 2 2 135 5" xfId="25494"/>
    <cellStyle name="Normal 2 2 2 2 136" xfId="5525"/>
    <cellStyle name="Normal 2 2 2 2 136 2" xfId="5526"/>
    <cellStyle name="Normal 2 2 2 2 136 2 2" xfId="5527"/>
    <cellStyle name="Normal 2 2 2 2 136 2 2 2" xfId="16898"/>
    <cellStyle name="Normal 2 2 2 2 136 2 2 2 2" xfId="25495"/>
    <cellStyle name="Normal 2 2 2 2 136 2 2 3" xfId="25496"/>
    <cellStyle name="Normal 2 2 2 2 136 2 3" xfId="16899"/>
    <cellStyle name="Normal 2 2 2 2 136 2 3 2" xfId="25497"/>
    <cellStyle name="Normal 2 2 2 2 136 2 4" xfId="25498"/>
    <cellStyle name="Normal 2 2 2 2 136 3" xfId="5528"/>
    <cellStyle name="Normal 2 2 2 2 136 3 2" xfId="16900"/>
    <cellStyle name="Normal 2 2 2 2 136 3 2 2" xfId="25499"/>
    <cellStyle name="Normal 2 2 2 2 136 3 3" xfId="25500"/>
    <cellStyle name="Normal 2 2 2 2 136 4" xfId="16901"/>
    <cellStyle name="Normal 2 2 2 2 136 4 2" xfId="25501"/>
    <cellStyle name="Normal 2 2 2 2 136 5" xfId="25502"/>
    <cellStyle name="Normal 2 2 2 2 137" xfId="5529"/>
    <cellStyle name="Normal 2 2 2 2 137 2" xfId="5530"/>
    <cellStyle name="Normal 2 2 2 2 137 2 2" xfId="5531"/>
    <cellStyle name="Normal 2 2 2 2 137 2 2 2" xfId="16902"/>
    <cellStyle name="Normal 2 2 2 2 137 2 2 2 2" xfId="25503"/>
    <cellStyle name="Normal 2 2 2 2 137 2 2 3" xfId="25504"/>
    <cellStyle name="Normal 2 2 2 2 137 2 3" xfId="16903"/>
    <cellStyle name="Normal 2 2 2 2 137 2 3 2" xfId="25505"/>
    <cellStyle name="Normal 2 2 2 2 137 2 4" xfId="25506"/>
    <cellStyle name="Normal 2 2 2 2 137 3" xfId="5532"/>
    <cellStyle name="Normal 2 2 2 2 137 3 2" xfId="16904"/>
    <cellStyle name="Normal 2 2 2 2 137 3 2 2" xfId="25507"/>
    <cellStyle name="Normal 2 2 2 2 137 3 3" xfId="25508"/>
    <cellStyle name="Normal 2 2 2 2 137 4" xfId="16905"/>
    <cellStyle name="Normal 2 2 2 2 137 4 2" xfId="25509"/>
    <cellStyle name="Normal 2 2 2 2 137 5" xfId="25510"/>
    <cellStyle name="Normal 2 2 2 2 138" xfId="5533"/>
    <cellStyle name="Normal 2 2 2 2 138 2" xfId="5534"/>
    <cellStyle name="Normal 2 2 2 2 138 2 2" xfId="5535"/>
    <cellStyle name="Normal 2 2 2 2 138 2 2 2" xfId="16906"/>
    <cellStyle name="Normal 2 2 2 2 138 2 2 2 2" xfId="25511"/>
    <cellStyle name="Normal 2 2 2 2 138 2 2 3" xfId="25512"/>
    <cellStyle name="Normal 2 2 2 2 138 2 3" xfId="16907"/>
    <cellStyle name="Normal 2 2 2 2 138 2 3 2" xfId="25513"/>
    <cellStyle name="Normal 2 2 2 2 138 2 4" xfId="25514"/>
    <cellStyle name="Normal 2 2 2 2 138 3" xfId="5536"/>
    <cellStyle name="Normal 2 2 2 2 138 3 2" xfId="16908"/>
    <cellStyle name="Normal 2 2 2 2 138 3 2 2" xfId="25515"/>
    <cellStyle name="Normal 2 2 2 2 138 3 3" xfId="25516"/>
    <cellStyle name="Normal 2 2 2 2 138 4" xfId="16909"/>
    <cellStyle name="Normal 2 2 2 2 138 4 2" xfId="25517"/>
    <cellStyle name="Normal 2 2 2 2 138 5" xfId="25518"/>
    <cellStyle name="Normal 2 2 2 2 139" xfId="5537"/>
    <cellStyle name="Normal 2 2 2 2 139 2" xfId="5538"/>
    <cellStyle name="Normal 2 2 2 2 139 2 2" xfId="5539"/>
    <cellStyle name="Normal 2 2 2 2 139 2 2 2" xfId="16910"/>
    <cellStyle name="Normal 2 2 2 2 139 2 2 2 2" xfId="25519"/>
    <cellStyle name="Normal 2 2 2 2 139 2 2 3" xfId="25520"/>
    <cellStyle name="Normal 2 2 2 2 139 2 3" xfId="16911"/>
    <cellStyle name="Normal 2 2 2 2 139 2 3 2" xfId="25521"/>
    <cellStyle name="Normal 2 2 2 2 139 2 4" xfId="25522"/>
    <cellStyle name="Normal 2 2 2 2 139 3" xfId="5540"/>
    <cellStyle name="Normal 2 2 2 2 139 3 2" xfId="16912"/>
    <cellStyle name="Normal 2 2 2 2 139 3 2 2" xfId="25523"/>
    <cellStyle name="Normal 2 2 2 2 139 3 3" xfId="25524"/>
    <cellStyle name="Normal 2 2 2 2 139 4" xfId="16913"/>
    <cellStyle name="Normal 2 2 2 2 139 4 2" xfId="25525"/>
    <cellStyle name="Normal 2 2 2 2 139 5" xfId="25526"/>
    <cellStyle name="Normal 2 2 2 2 14" xfId="5541"/>
    <cellStyle name="Normal 2 2 2 2 14 2" xfId="5542"/>
    <cellStyle name="Normal 2 2 2 2 14 2 2" xfId="5543"/>
    <cellStyle name="Normal 2 2 2 2 14 2 2 2" xfId="16914"/>
    <cellStyle name="Normal 2 2 2 2 14 2 2 2 2" xfId="25527"/>
    <cellStyle name="Normal 2 2 2 2 14 2 2 3" xfId="25528"/>
    <cellStyle name="Normal 2 2 2 2 14 2 3" xfId="16915"/>
    <cellStyle name="Normal 2 2 2 2 14 2 3 2" xfId="25529"/>
    <cellStyle name="Normal 2 2 2 2 14 2 4" xfId="25530"/>
    <cellStyle name="Normal 2 2 2 2 14 3" xfId="5544"/>
    <cellStyle name="Normal 2 2 2 2 14 3 2" xfId="5545"/>
    <cellStyle name="Normal 2 2 2 2 14 3 2 2" xfId="16916"/>
    <cellStyle name="Normal 2 2 2 2 14 3 2 2 2" xfId="25531"/>
    <cellStyle name="Normal 2 2 2 2 14 3 2 3" xfId="25532"/>
    <cellStyle name="Normal 2 2 2 2 14 3 3" xfId="16917"/>
    <cellStyle name="Normal 2 2 2 2 14 3 3 2" xfId="25533"/>
    <cellStyle name="Normal 2 2 2 2 14 3 4" xfId="25534"/>
    <cellStyle name="Normal 2 2 2 2 14 4" xfId="5546"/>
    <cellStyle name="Normal 2 2 2 2 14 4 2" xfId="16918"/>
    <cellStyle name="Normal 2 2 2 2 14 4 2 2" xfId="25535"/>
    <cellStyle name="Normal 2 2 2 2 14 4 3" xfId="25536"/>
    <cellStyle name="Normal 2 2 2 2 14 5" xfId="16919"/>
    <cellStyle name="Normal 2 2 2 2 14 5 2" xfId="25537"/>
    <cellStyle name="Normal 2 2 2 2 14 6" xfId="25538"/>
    <cellStyle name="Normal 2 2 2 2 140" xfId="5547"/>
    <cellStyle name="Normal 2 2 2 2 140 2" xfId="5548"/>
    <cellStyle name="Normal 2 2 2 2 140 2 2" xfId="5549"/>
    <cellStyle name="Normal 2 2 2 2 140 2 2 2" xfId="16920"/>
    <cellStyle name="Normal 2 2 2 2 140 2 2 2 2" xfId="25539"/>
    <cellStyle name="Normal 2 2 2 2 140 2 2 3" xfId="25540"/>
    <cellStyle name="Normal 2 2 2 2 140 2 3" xfId="16921"/>
    <cellStyle name="Normal 2 2 2 2 140 2 3 2" xfId="25541"/>
    <cellStyle name="Normal 2 2 2 2 140 2 4" xfId="25542"/>
    <cellStyle name="Normal 2 2 2 2 140 3" xfId="5550"/>
    <cellStyle name="Normal 2 2 2 2 140 3 2" xfId="16922"/>
    <cellStyle name="Normal 2 2 2 2 140 3 2 2" xfId="25543"/>
    <cellStyle name="Normal 2 2 2 2 140 3 3" xfId="25544"/>
    <cellStyle name="Normal 2 2 2 2 140 4" xfId="16923"/>
    <cellStyle name="Normal 2 2 2 2 140 4 2" xfId="25545"/>
    <cellStyle name="Normal 2 2 2 2 140 5" xfId="25546"/>
    <cellStyle name="Normal 2 2 2 2 141" xfId="5551"/>
    <cellStyle name="Normal 2 2 2 2 141 2" xfId="5552"/>
    <cellStyle name="Normal 2 2 2 2 141 2 2" xfId="5553"/>
    <cellStyle name="Normal 2 2 2 2 141 2 2 2" xfId="16924"/>
    <cellStyle name="Normal 2 2 2 2 141 2 2 2 2" xfId="25547"/>
    <cellStyle name="Normal 2 2 2 2 141 2 2 3" xfId="25548"/>
    <cellStyle name="Normal 2 2 2 2 141 2 3" xfId="16925"/>
    <cellStyle name="Normal 2 2 2 2 141 2 3 2" xfId="25549"/>
    <cellStyle name="Normal 2 2 2 2 141 2 4" xfId="25550"/>
    <cellStyle name="Normal 2 2 2 2 141 3" xfId="5554"/>
    <cellStyle name="Normal 2 2 2 2 141 3 2" xfId="16926"/>
    <cellStyle name="Normal 2 2 2 2 141 3 2 2" xfId="25551"/>
    <cellStyle name="Normal 2 2 2 2 141 3 3" xfId="25552"/>
    <cellStyle name="Normal 2 2 2 2 141 4" xfId="16927"/>
    <cellStyle name="Normal 2 2 2 2 141 4 2" xfId="25553"/>
    <cellStyle name="Normal 2 2 2 2 141 5" xfId="25554"/>
    <cellStyle name="Normal 2 2 2 2 142" xfId="5555"/>
    <cellStyle name="Normal 2 2 2 2 142 2" xfId="5556"/>
    <cellStyle name="Normal 2 2 2 2 142 2 2" xfId="5557"/>
    <cellStyle name="Normal 2 2 2 2 142 2 2 2" xfId="16928"/>
    <cellStyle name="Normal 2 2 2 2 142 2 2 2 2" xfId="25555"/>
    <cellStyle name="Normal 2 2 2 2 142 2 2 3" xfId="25556"/>
    <cellStyle name="Normal 2 2 2 2 142 2 3" xfId="16929"/>
    <cellStyle name="Normal 2 2 2 2 142 2 3 2" xfId="25557"/>
    <cellStyle name="Normal 2 2 2 2 142 2 4" xfId="25558"/>
    <cellStyle name="Normal 2 2 2 2 142 3" xfId="5558"/>
    <cellStyle name="Normal 2 2 2 2 142 3 2" xfId="16930"/>
    <cellStyle name="Normal 2 2 2 2 142 3 2 2" xfId="25559"/>
    <cellStyle name="Normal 2 2 2 2 142 3 3" xfId="25560"/>
    <cellStyle name="Normal 2 2 2 2 142 4" xfId="16931"/>
    <cellStyle name="Normal 2 2 2 2 142 4 2" xfId="25561"/>
    <cellStyle name="Normal 2 2 2 2 142 5" xfId="25562"/>
    <cellStyle name="Normal 2 2 2 2 143" xfId="5559"/>
    <cellStyle name="Normal 2 2 2 2 143 2" xfId="5560"/>
    <cellStyle name="Normal 2 2 2 2 143 2 2" xfId="5561"/>
    <cellStyle name="Normal 2 2 2 2 143 2 2 2" xfId="16932"/>
    <cellStyle name="Normal 2 2 2 2 143 2 2 2 2" xfId="25563"/>
    <cellStyle name="Normal 2 2 2 2 143 2 2 3" xfId="25564"/>
    <cellStyle name="Normal 2 2 2 2 143 2 3" xfId="16933"/>
    <cellStyle name="Normal 2 2 2 2 143 2 3 2" xfId="25565"/>
    <cellStyle name="Normal 2 2 2 2 143 2 4" xfId="25566"/>
    <cellStyle name="Normal 2 2 2 2 143 3" xfId="5562"/>
    <cellStyle name="Normal 2 2 2 2 143 3 2" xfId="16934"/>
    <cellStyle name="Normal 2 2 2 2 143 3 2 2" xfId="25567"/>
    <cellStyle name="Normal 2 2 2 2 143 3 3" xfId="25568"/>
    <cellStyle name="Normal 2 2 2 2 143 4" xfId="16935"/>
    <cellStyle name="Normal 2 2 2 2 143 4 2" xfId="25569"/>
    <cellStyle name="Normal 2 2 2 2 143 5" xfId="25570"/>
    <cellStyle name="Normal 2 2 2 2 144" xfId="5563"/>
    <cellStyle name="Normal 2 2 2 2 144 2" xfId="5564"/>
    <cellStyle name="Normal 2 2 2 2 144 2 2" xfId="16936"/>
    <cellStyle name="Normal 2 2 2 2 144 2 2 2" xfId="25571"/>
    <cellStyle name="Normal 2 2 2 2 144 2 3" xfId="25572"/>
    <cellStyle name="Normal 2 2 2 2 144 3" xfId="16937"/>
    <cellStyle name="Normal 2 2 2 2 144 3 2" xfId="25573"/>
    <cellStyle name="Normal 2 2 2 2 144 4" xfId="25574"/>
    <cellStyle name="Normal 2 2 2 2 145" xfId="5565"/>
    <cellStyle name="Normal 2 2 2 2 145 2" xfId="16938"/>
    <cellStyle name="Normal 2 2 2 2 145 2 2" xfId="25575"/>
    <cellStyle name="Normal 2 2 2 2 145 3" xfId="25576"/>
    <cellStyle name="Normal 2 2 2 2 146" xfId="16939"/>
    <cellStyle name="Normal 2 2 2 2 146 2" xfId="25577"/>
    <cellStyle name="Normal 2 2 2 2 147" xfId="25578"/>
    <cellStyle name="Normal 2 2 2 2 15" xfId="5566"/>
    <cellStyle name="Normal 2 2 2 2 15 2" xfId="5567"/>
    <cellStyle name="Normal 2 2 2 2 15 2 2" xfId="5568"/>
    <cellStyle name="Normal 2 2 2 2 15 2 2 2" xfId="16940"/>
    <cellStyle name="Normal 2 2 2 2 15 2 2 2 2" xfId="25579"/>
    <cellStyle name="Normal 2 2 2 2 15 2 2 3" xfId="25580"/>
    <cellStyle name="Normal 2 2 2 2 15 2 3" xfId="16941"/>
    <cellStyle name="Normal 2 2 2 2 15 2 3 2" xfId="25581"/>
    <cellStyle name="Normal 2 2 2 2 15 2 4" xfId="25582"/>
    <cellStyle name="Normal 2 2 2 2 15 3" xfId="5569"/>
    <cellStyle name="Normal 2 2 2 2 15 3 2" xfId="5570"/>
    <cellStyle name="Normal 2 2 2 2 15 3 2 2" xfId="16942"/>
    <cellStyle name="Normal 2 2 2 2 15 3 2 2 2" xfId="25583"/>
    <cellStyle name="Normal 2 2 2 2 15 3 2 3" xfId="25584"/>
    <cellStyle name="Normal 2 2 2 2 15 3 3" xfId="16943"/>
    <cellStyle name="Normal 2 2 2 2 15 3 3 2" xfId="25585"/>
    <cellStyle name="Normal 2 2 2 2 15 3 4" xfId="25586"/>
    <cellStyle name="Normal 2 2 2 2 15 4" xfId="5571"/>
    <cellStyle name="Normal 2 2 2 2 15 4 2" xfId="16944"/>
    <cellStyle name="Normal 2 2 2 2 15 4 2 2" xfId="25587"/>
    <cellStyle name="Normal 2 2 2 2 15 4 3" xfId="25588"/>
    <cellStyle name="Normal 2 2 2 2 15 5" xfId="16945"/>
    <cellStyle name="Normal 2 2 2 2 15 5 2" xfId="25589"/>
    <cellStyle name="Normal 2 2 2 2 15 6" xfId="25590"/>
    <cellStyle name="Normal 2 2 2 2 16" xfId="5572"/>
    <cellStyle name="Normal 2 2 2 2 16 2" xfId="5573"/>
    <cellStyle name="Normal 2 2 2 2 16 2 2" xfId="5574"/>
    <cellStyle name="Normal 2 2 2 2 16 2 2 2" xfId="16946"/>
    <cellStyle name="Normal 2 2 2 2 16 2 2 2 2" xfId="25591"/>
    <cellStyle name="Normal 2 2 2 2 16 2 2 3" xfId="25592"/>
    <cellStyle name="Normal 2 2 2 2 16 2 3" xfId="16947"/>
    <cellStyle name="Normal 2 2 2 2 16 2 3 2" xfId="25593"/>
    <cellStyle name="Normal 2 2 2 2 16 2 4" xfId="25594"/>
    <cellStyle name="Normal 2 2 2 2 16 3" xfId="5575"/>
    <cellStyle name="Normal 2 2 2 2 16 3 2" xfId="5576"/>
    <cellStyle name="Normal 2 2 2 2 16 3 2 2" xfId="16948"/>
    <cellStyle name="Normal 2 2 2 2 16 3 2 2 2" xfId="25595"/>
    <cellStyle name="Normal 2 2 2 2 16 3 2 3" xfId="25596"/>
    <cellStyle name="Normal 2 2 2 2 16 3 3" xfId="16949"/>
    <cellStyle name="Normal 2 2 2 2 16 3 3 2" xfId="25597"/>
    <cellStyle name="Normal 2 2 2 2 16 3 4" xfId="25598"/>
    <cellStyle name="Normal 2 2 2 2 16 4" xfId="5577"/>
    <cellStyle name="Normal 2 2 2 2 16 4 2" xfId="16950"/>
    <cellStyle name="Normal 2 2 2 2 16 4 2 2" xfId="25599"/>
    <cellStyle name="Normal 2 2 2 2 16 4 3" xfId="25600"/>
    <cellStyle name="Normal 2 2 2 2 16 5" xfId="16951"/>
    <cellStyle name="Normal 2 2 2 2 16 5 2" xfId="25601"/>
    <cellStyle name="Normal 2 2 2 2 16 6" xfId="25602"/>
    <cellStyle name="Normal 2 2 2 2 17" xfId="5578"/>
    <cellStyle name="Normal 2 2 2 2 17 2" xfId="5579"/>
    <cellStyle name="Normal 2 2 2 2 17 2 2" xfId="5580"/>
    <cellStyle name="Normal 2 2 2 2 17 2 2 2" xfId="16952"/>
    <cellStyle name="Normal 2 2 2 2 17 2 2 2 2" xfId="25603"/>
    <cellStyle name="Normal 2 2 2 2 17 2 2 3" xfId="25604"/>
    <cellStyle name="Normal 2 2 2 2 17 2 3" xfId="16953"/>
    <cellStyle name="Normal 2 2 2 2 17 2 3 2" xfId="25605"/>
    <cellStyle name="Normal 2 2 2 2 17 2 4" xfId="25606"/>
    <cellStyle name="Normal 2 2 2 2 17 3" xfId="5581"/>
    <cellStyle name="Normal 2 2 2 2 17 3 2" xfId="5582"/>
    <cellStyle name="Normal 2 2 2 2 17 3 2 2" xfId="16954"/>
    <cellStyle name="Normal 2 2 2 2 17 3 2 2 2" xfId="25607"/>
    <cellStyle name="Normal 2 2 2 2 17 3 2 3" xfId="25608"/>
    <cellStyle name="Normal 2 2 2 2 17 3 3" xfId="16955"/>
    <cellStyle name="Normal 2 2 2 2 17 3 3 2" xfId="25609"/>
    <cellStyle name="Normal 2 2 2 2 17 3 4" xfId="25610"/>
    <cellStyle name="Normal 2 2 2 2 17 4" xfId="5583"/>
    <cellStyle name="Normal 2 2 2 2 17 4 2" xfId="16956"/>
    <cellStyle name="Normal 2 2 2 2 17 4 2 2" xfId="25611"/>
    <cellStyle name="Normal 2 2 2 2 17 4 3" xfId="25612"/>
    <cellStyle name="Normal 2 2 2 2 17 5" xfId="16957"/>
    <cellStyle name="Normal 2 2 2 2 17 5 2" xfId="25613"/>
    <cellStyle name="Normal 2 2 2 2 17 6" xfId="25614"/>
    <cellStyle name="Normal 2 2 2 2 18" xfId="5584"/>
    <cellStyle name="Normal 2 2 2 2 18 2" xfId="5585"/>
    <cellStyle name="Normal 2 2 2 2 18 2 2" xfId="5586"/>
    <cellStyle name="Normal 2 2 2 2 18 2 2 2" xfId="16958"/>
    <cellStyle name="Normal 2 2 2 2 18 2 2 2 2" xfId="25615"/>
    <cellStyle name="Normal 2 2 2 2 18 2 2 3" xfId="25616"/>
    <cellStyle name="Normal 2 2 2 2 18 2 3" xfId="16959"/>
    <cellStyle name="Normal 2 2 2 2 18 2 3 2" xfId="25617"/>
    <cellStyle name="Normal 2 2 2 2 18 2 4" xfId="25618"/>
    <cellStyle name="Normal 2 2 2 2 18 3" xfId="5587"/>
    <cellStyle name="Normal 2 2 2 2 18 3 2" xfId="5588"/>
    <cellStyle name="Normal 2 2 2 2 18 3 2 2" xfId="16960"/>
    <cellStyle name="Normal 2 2 2 2 18 3 2 2 2" xfId="25619"/>
    <cellStyle name="Normal 2 2 2 2 18 3 2 3" xfId="25620"/>
    <cellStyle name="Normal 2 2 2 2 18 3 3" xfId="16961"/>
    <cellStyle name="Normal 2 2 2 2 18 3 3 2" xfId="25621"/>
    <cellStyle name="Normal 2 2 2 2 18 3 4" xfId="25622"/>
    <cellStyle name="Normal 2 2 2 2 18 4" xfId="5589"/>
    <cellStyle name="Normal 2 2 2 2 18 4 2" xfId="16962"/>
    <cellStyle name="Normal 2 2 2 2 18 4 2 2" xfId="25623"/>
    <cellStyle name="Normal 2 2 2 2 18 4 3" xfId="25624"/>
    <cellStyle name="Normal 2 2 2 2 18 5" xfId="16963"/>
    <cellStyle name="Normal 2 2 2 2 18 5 2" xfId="25625"/>
    <cellStyle name="Normal 2 2 2 2 18 6" xfId="25626"/>
    <cellStyle name="Normal 2 2 2 2 19" xfId="5590"/>
    <cellStyle name="Normal 2 2 2 2 19 2" xfId="5591"/>
    <cellStyle name="Normal 2 2 2 2 19 2 2" xfId="5592"/>
    <cellStyle name="Normal 2 2 2 2 19 2 2 2" xfId="16964"/>
    <cellStyle name="Normal 2 2 2 2 19 2 2 2 2" xfId="25627"/>
    <cellStyle name="Normal 2 2 2 2 19 2 2 3" xfId="25628"/>
    <cellStyle name="Normal 2 2 2 2 19 2 3" xfId="16965"/>
    <cellStyle name="Normal 2 2 2 2 19 2 3 2" xfId="25629"/>
    <cellStyle name="Normal 2 2 2 2 19 2 4" xfId="25630"/>
    <cellStyle name="Normal 2 2 2 2 19 3" xfId="5593"/>
    <cellStyle name="Normal 2 2 2 2 19 3 2" xfId="5594"/>
    <cellStyle name="Normal 2 2 2 2 19 3 2 2" xfId="16966"/>
    <cellStyle name="Normal 2 2 2 2 19 3 2 2 2" xfId="25631"/>
    <cellStyle name="Normal 2 2 2 2 19 3 2 3" xfId="25632"/>
    <cellStyle name="Normal 2 2 2 2 19 3 3" xfId="16967"/>
    <cellStyle name="Normal 2 2 2 2 19 3 3 2" xfId="25633"/>
    <cellStyle name="Normal 2 2 2 2 19 3 4" xfId="25634"/>
    <cellStyle name="Normal 2 2 2 2 19 4" xfId="5595"/>
    <cellStyle name="Normal 2 2 2 2 19 4 2" xfId="16968"/>
    <cellStyle name="Normal 2 2 2 2 19 4 2 2" xfId="25635"/>
    <cellStyle name="Normal 2 2 2 2 19 4 3" xfId="25636"/>
    <cellStyle name="Normal 2 2 2 2 19 5" xfId="16969"/>
    <cellStyle name="Normal 2 2 2 2 19 5 2" xfId="25637"/>
    <cellStyle name="Normal 2 2 2 2 19 6" xfId="25638"/>
    <cellStyle name="Normal 2 2 2 2 2" xfId="37"/>
    <cellStyle name="Normal 2 2 2 2 2 2" xfId="5596"/>
    <cellStyle name="Normal 2 2 2 2 2 2 2" xfId="5597"/>
    <cellStyle name="Normal 2 2 2 2 2 2 2 2" xfId="5598"/>
    <cellStyle name="Normal 2 2 2 2 2 2 2 2 2" xfId="16970"/>
    <cellStyle name="Normal 2 2 2 2 2 2 2 2 2 2" xfId="25639"/>
    <cellStyle name="Normal 2 2 2 2 2 2 2 2 3" xfId="25640"/>
    <cellStyle name="Normal 2 2 2 2 2 2 2 3" xfId="16971"/>
    <cellStyle name="Normal 2 2 2 2 2 2 2 3 2" xfId="25641"/>
    <cellStyle name="Normal 2 2 2 2 2 2 2 4" xfId="25642"/>
    <cellStyle name="Normal 2 2 2 2 2 2 3" xfId="5599"/>
    <cellStyle name="Normal 2 2 2 2 2 2 3 2" xfId="16972"/>
    <cellStyle name="Normal 2 2 2 2 2 2 3 2 2" xfId="25643"/>
    <cellStyle name="Normal 2 2 2 2 2 2 3 3" xfId="25644"/>
    <cellStyle name="Normal 2 2 2 2 2 2 4" xfId="16973"/>
    <cellStyle name="Normal 2 2 2 2 2 2 4 2" xfId="25645"/>
    <cellStyle name="Normal 2 2 2 2 2 2 5" xfId="25646"/>
    <cellStyle name="Normal 2 2 2 2 2 3" xfId="5600"/>
    <cellStyle name="Normal 2 2 2 2 2 3 2" xfId="5601"/>
    <cellStyle name="Normal 2 2 2 2 2 3 2 2" xfId="5602"/>
    <cellStyle name="Normal 2 2 2 2 2 3 2 2 2" xfId="16974"/>
    <cellStyle name="Normal 2 2 2 2 2 3 2 2 2 2" xfId="25647"/>
    <cellStyle name="Normal 2 2 2 2 2 3 2 2 3" xfId="25648"/>
    <cellStyle name="Normal 2 2 2 2 2 3 2 3" xfId="16975"/>
    <cellStyle name="Normal 2 2 2 2 2 3 2 3 2" xfId="25649"/>
    <cellStyle name="Normal 2 2 2 2 2 3 2 4" xfId="25650"/>
    <cellStyle name="Normal 2 2 2 2 2 3 3" xfId="5603"/>
    <cellStyle name="Normal 2 2 2 2 2 3 3 2" xfId="16976"/>
    <cellStyle name="Normal 2 2 2 2 2 3 3 2 2" xfId="25651"/>
    <cellStyle name="Normal 2 2 2 2 2 3 3 3" xfId="25652"/>
    <cellStyle name="Normal 2 2 2 2 2 3 4" xfId="16977"/>
    <cellStyle name="Normal 2 2 2 2 2 3 4 2" xfId="25653"/>
    <cellStyle name="Normal 2 2 2 2 2 3 5" xfId="25654"/>
    <cellStyle name="Normal 2 2 2 2 2 4" xfId="5604"/>
    <cellStyle name="Normal 2 2 2 2 2 4 2" xfId="5605"/>
    <cellStyle name="Normal 2 2 2 2 2 4 2 2" xfId="16978"/>
    <cellStyle name="Normal 2 2 2 2 2 4 2 2 2" xfId="25655"/>
    <cellStyle name="Normal 2 2 2 2 2 4 2 3" xfId="25656"/>
    <cellStyle name="Normal 2 2 2 2 2 4 3" xfId="16979"/>
    <cellStyle name="Normal 2 2 2 2 2 4 3 2" xfId="25657"/>
    <cellStyle name="Normal 2 2 2 2 2 4 4" xfId="25658"/>
    <cellStyle name="Normal 2 2 2 2 2 5" xfId="5606"/>
    <cellStyle name="Normal 2 2 2 2 2 5 2" xfId="16980"/>
    <cellStyle name="Normal 2 2 2 2 2 5 2 2" xfId="25659"/>
    <cellStyle name="Normal 2 2 2 2 2 5 3" xfId="25660"/>
    <cellStyle name="Normal 2 2 2 2 2 6" xfId="16981"/>
    <cellStyle name="Normal 2 2 2 2 2 6 2" xfId="25661"/>
    <cellStyle name="Normal 2 2 2 2 2 7" xfId="25662"/>
    <cellStyle name="Normal 2 2 2 2 20" xfId="5607"/>
    <cellStyle name="Normal 2 2 2 2 20 2" xfId="5608"/>
    <cellStyle name="Normal 2 2 2 2 20 2 2" xfId="5609"/>
    <cellStyle name="Normal 2 2 2 2 20 2 2 2" xfId="16982"/>
    <cellStyle name="Normal 2 2 2 2 20 2 2 2 2" xfId="25663"/>
    <cellStyle name="Normal 2 2 2 2 20 2 2 3" xfId="25664"/>
    <cellStyle name="Normal 2 2 2 2 20 2 3" xfId="16983"/>
    <cellStyle name="Normal 2 2 2 2 20 2 3 2" xfId="25665"/>
    <cellStyle name="Normal 2 2 2 2 20 2 4" xfId="25666"/>
    <cellStyle name="Normal 2 2 2 2 20 3" xfId="5610"/>
    <cellStyle name="Normal 2 2 2 2 20 3 2" xfId="5611"/>
    <cellStyle name="Normal 2 2 2 2 20 3 2 2" xfId="16984"/>
    <cellStyle name="Normal 2 2 2 2 20 3 2 2 2" xfId="25667"/>
    <cellStyle name="Normal 2 2 2 2 20 3 2 3" xfId="25668"/>
    <cellStyle name="Normal 2 2 2 2 20 3 3" xfId="16985"/>
    <cellStyle name="Normal 2 2 2 2 20 3 3 2" xfId="25669"/>
    <cellStyle name="Normal 2 2 2 2 20 3 4" xfId="25670"/>
    <cellStyle name="Normal 2 2 2 2 20 4" xfId="5612"/>
    <cellStyle name="Normal 2 2 2 2 20 4 2" xfId="16986"/>
    <cellStyle name="Normal 2 2 2 2 20 4 2 2" xfId="25671"/>
    <cellStyle name="Normal 2 2 2 2 20 4 3" xfId="25672"/>
    <cellStyle name="Normal 2 2 2 2 20 5" xfId="16987"/>
    <cellStyle name="Normal 2 2 2 2 20 5 2" xfId="25673"/>
    <cellStyle name="Normal 2 2 2 2 20 6" xfId="25674"/>
    <cellStyle name="Normal 2 2 2 2 21" xfId="5613"/>
    <cellStyle name="Normal 2 2 2 2 21 2" xfId="5614"/>
    <cellStyle name="Normal 2 2 2 2 21 2 2" xfId="5615"/>
    <cellStyle name="Normal 2 2 2 2 21 2 2 2" xfId="16988"/>
    <cellStyle name="Normal 2 2 2 2 21 2 2 2 2" xfId="25675"/>
    <cellStyle name="Normal 2 2 2 2 21 2 2 3" xfId="25676"/>
    <cellStyle name="Normal 2 2 2 2 21 2 3" xfId="16989"/>
    <cellStyle name="Normal 2 2 2 2 21 2 3 2" xfId="25677"/>
    <cellStyle name="Normal 2 2 2 2 21 2 4" xfId="25678"/>
    <cellStyle name="Normal 2 2 2 2 21 3" xfId="5616"/>
    <cellStyle name="Normal 2 2 2 2 21 3 2" xfId="5617"/>
    <cellStyle name="Normal 2 2 2 2 21 3 2 2" xfId="16990"/>
    <cellStyle name="Normal 2 2 2 2 21 3 2 2 2" xfId="25679"/>
    <cellStyle name="Normal 2 2 2 2 21 3 2 3" xfId="25680"/>
    <cellStyle name="Normal 2 2 2 2 21 3 3" xfId="16991"/>
    <cellStyle name="Normal 2 2 2 2 21 3 3 2" xfId="25681"/>
    <cellStyle name="Normal 2 2 2 2 21 3 4" xfId="25682"/>
    <cellStyle name="Normal 2 2 2 2 21 4" xfId="5618"/>
    <cellStyle name="Normal 2 2 2 2 21 4 2" xfId="16992"/>
    <cellStyle name="Normal 2 2 2 2 21 4 2 2" xfId="25683"/>
    <cellStyle name="Normal 2 2 2 2 21 4 3" xfId="25684"/>
    <cellStyle name="Normal 2 2 2 2 21 5" xfId="16993"/>
    <cellStyle name="Normal 2 2 2 2 21 5 2" xfId="25685"/>
    <cellStyle name="Normal 2 2 2 2 21 6" xfId="25686"/>
    <cellStyle name="Normal 2 2 2 2 22" xfId="5619"/>
    <cellStyle name="Normal 2 2 2 2 22 2" xfId="5620"/>
    <cellStyle name="Normal 2 2 2 2 22 2 2" xfId="5621"/>
    <cellStyle name="Normal 2 2 2 2 22 2 2 2" xfId="16994"/>
    <cellStyle name="Normal 2 2 2 2 22 2 2 2 2" xfId="25687"/>
    <cellStyle name="Normal 2 2 2 2 22 2 2 3" xfId="25688"/>
    <cellStyle name="Normal 2 2 2 2 22 2 3" xfId="16995"/>
    <cellStyle name="Normal 2 2 2 2 22 2 3 2" xfId="25689"/>
    <cellStyle name="Normal 2 2 2 2 22 2 4" xfId="25690"/>
    <cellStyle name="Normal 2 2 2 2 22 3" xfId="5622"/>
    <cellStyle name="Normal 2 2 2 2 22 3 2" xfId="5623"/>
    <cellStyle name="Normal 2 2 2 2 22 3 2 2" xfId="16996"/>
    <cellStyle name="Normal 2 2 2 2 22 3 2 2 2" xfId="25691"/>
    <cellStyle name="Normal 2 2 2 2 22 3 2 3" xfId="25692"/>
    <cellStyle name="Normal 2 2 2 2 22 3 3" xfId="16997"/>
    <cellStyle name="Normal 2 2 2 2 22 3 3 2" xfId="25693"/>
    <cellStyle name="Normal 2 2 2 2 22 3 4" xfId="25694"/>
    <cellStyle name="Normal 2 2 2 2 22 4" xfId="5624"/>
    <cellStyle name="Normal 2 2 2 2 22 4 2" xfId="16998"/>
    <cellStyle name="Normal 2 2 2 2 22 4 2 2" xfId="25695"/>
    <cellStyle name="Normal 2 2 2 2 22 4 3" xfId="25696"/>
    <cellStyle name="Normal 2 2 2 2 22 5" xfId="16999"/>
    <cellStyle name="Normal 2 2 2 2 22 5 2" xfId="25697"/>
    <cellStyle name="Normal 2 2 2 2 22 6" xfId="25698"/>
    <cellStyle name="Normal 2 2 2 2 23" xfId="5625"/>
    <cellStyle name="Normal 2 2 2 2 23 2" xfId="5626"/>
    <cellStyle name="Normal 2 2 2 2 23 2 2" xfId="5627"/>
    <cellStyle name="Normal 2 2 2 2 23 2 2 2" xfId="17000"/>
    <cellStyle name="Normal 2 2 2 2 23 2 2 2 2" xfId="25699"/>
    <cellStyle name="Normal 2 2 2 2 23 2 2 3" xfId="25700"/>
    <cellStyle name="Normal 2 2 2 2 23 2 3" xfId="17001"/>
    <cellStyle name="Normal 2 2 2 2 23 2 3 2" xfId="25701"/>
    <cellStyle name="Normal 2 2 2 2 23 2 4" xfId="25702"/>
    <cellStyle name="Normal 2 2 2 2 23 3" xfId="5628"/>
    <cellStyle name="Normal 2 2 2 2 23 3 2" xfId="5629"/>
    <cellStyle name="Normal 2 2 2 2 23 3 2 2" xfId="17002"/>
    <cellStyle name="Normal 2 2 2 2 23 3 2 2 2" xfId="25703"/>
    <cellStyle name="Normal 2 2 2 2 23 3 2 3" xfId="25704"/>
    <cellStyle name="Normal 2 2 2 2 23 3 3" xfId="17003"/>
    <cellStyle name="Normal 2 2 2 2 23 3 3 2" xfId="25705"/>
    <cellStyle name="Normal 2 2 2 2 23 3 4" xfId="25706"/>
    <cellStyle name="Normal 2 2 2 2 23 4" xfId="5630"/>
    <cellStyle name="Normal 2 2 2 2 23 4 2" xfId="17004"/>
    <cellStyle name="Normal 2 2 2 2 23 4 2 2" xfId="25707"/>
    <cellStyle name="Normal 2 2 2 2 23 4 3" xfId="25708"/>
    <cellStyle name="Normal 2 2 2 2 23 5" xfId="17005"/>
    <cellStyle name="Normal 2 2 2 2 23 5 2" xfId="25709"/>
    <cellStyle name="Normal 2 2 2 2 23 6" xfId="25710"/>
    <cellStyle name="Normal 2 2 2 2 24" xfId="5631"/>
    <cellStyle name="Normal 2 2 2 2 24 2" xfId="5632"/>
    <cellStyle name="Normal 2 2 2 2 24 2 2" xfId="5633"/>
    <cellStyle name="Normal 2 2 2 2 24 2 2 2" xfId="17006"/>
    <cellStyle name="Normal 2 2 2 2 24 2 2 2 2" xfId="25711"/>
    <cellStyle name="Normal 2 2 2 2 24 2 2 3" xfId="25712"/>
    <cellStyle name="Normal 2 2 2 2 24 2 3" xfId="17007"/>
    <cellStyle name="Normal 2 2 2 2 24 2 3 2" xfId="25713"/>
    <cellStyle name="Normal 2 2 2 2 24 2 4" xfId="25714"/>
    <cellStyle name="Normal 2 2 2 2 24 3" xfId="5634"/>
    <cellStyle name="Normal 2 2 2 2 24 3 2" xfId="5635"/>
    <cellStyle name="Normal 2 2 2 2 24 3 2 2" xfId="17008"/>
    <cellStyle name="Normal 2 2 2 2 24 3 2 2 2" xfId="25715"/>
    <cellStyle name="Normal 2 2 2 2 24 3 2 3" xfId="25716"/>
    <cellStyle name="Normal 2 2 2 2 24 3 3" xfId="17009"/>
    <cellStyle name="Normal 2 2 2 2 24 3 3 2" xfId="25717"/>
    <cellStyle name="Normal 2 2 2 2 24 3 4" xfId="25718"/>
    <cellStyle name="Normal 2 2 2 2 24 4" xfId="5636"/>
    <cellStyle name="Normal 2 2 2 2 24 4 2" xfId="17010"/>
    <cellStyle name="Normal 2 2 2 2 24 4 2 2" xfId="25719"/>
    <cellStyle name="Normal 2 2 2 2 24 4 3" xfId="25720"/>
    <cellStyle name="Normal 2 2 2 2 24 5" xfId="17011"/>
    <cellStyle name="Normal 2 2 2 2 24 5 2" xfId="25721"/>
    <cellStyle name="Normal 2 2 2 2 24 6" xfId="25722"/>
    <cellStyle name="Normal 2 2 2 2 25" xfId="5637"/>
    <cellStyle name="Normal 2 2 2 2 25 2" xfId="5638"/>
    <cellStyle name="Normal 2 2 2 2 25 2 2" xfId="5639"/>
    <cellStyle name="Normal 2 2 2 2 25 2 2 2" xfId="17012"/>
    <cellStyle name="Normal 2 2 2 2 25 2 2 2 2" xfId="25723"/>
    <cellStyle name="Normal 2 2 2 2 25 2 2 3" xfId="25724"/>
    <cellStyle name="Normal 2 2 2 2 25 2 3" xfId="17013"/>
    <cellStyle name="Normal 2 2 2 2 25 2 3 2" xfId="25725"/>
    <cellStyle name="Normal 2 2 2 2 25 2 4" xfId="25726"/>
    <cellStyle name="Normal 2 2 2 2 25 3" xfId="5640"/>
    <cellStyle name="Normal 2 2 2 2 25 3 2" xfId="5641"/>
    <cellStyle name="Normal 2 2 2 2 25 3 2 2" xfId="17014"/>
    <cellStyle name="Normal 2 2 2 2 25 3 2 2 2" xfId="25727"/>
    <cellStyle name="Normal 2 2 2 2 25 3 2 3" xfId="25728"/>
    <cellStyle name="Normal 2 2 2 2 25 3 3" xfId="17015"/>
    <cellStyle name="Normal 2 2 2 2 25 3 3 2" xfId="25729"/>
    <cellStyle name="Normal 2 2 2 2 25 3 4" xfId="25730"/>
    <cellStyle name="Normal 2 2 2 2 25 4" xfId="5642"/>
    <cellStyle name="Normal 2 2 2 2 25 4 2" xfId="17016"/>
    <cellStyle name="Normal 2 2 2 2 25 4 2 2" xfId="25731"/>
    <cellStyle name="Normal 2 2 2 2 25 4 3" xfId="25732"/>
    <cellStyle name="Normal 2 2 2 2 25 5" xfId="17017"/>
    <cellStyle name="Normal 2 2 2 2 25 5 2" xfId="25733"/>
    <cellStyle name="Normal 2 2 2 2 25 6" xfId="25734"/>
    <cellStyle name="Normal 2 2 2 2 26" xfId="5643"/>
    <cellStyle name="Normal 2 2 2 2 26 2" xfId="5644"/>
    <cellStyle name="Normal 2 2 2 2 26 2 2" xfId="5645"/>
    <cellStyle name="Normal 2 2 2 2 26 2 2 2" xfId="17018"/>
    <cellStyle name="Normal 2 2 2 2 26 2 2 2 2" xfId="25735"/>
    <cellStyle name="Normal 2 2 2 2 26 2 2 3" xfId="25736"/>
    <cellStyle name="Normal 2 2 2 2 26 2 3" xfId="17019"/>
    <cellStyle name="Normal 2 2 2 2 26 2 3 2" xfId="25737"/>
    <cellStyle name="Normal 2 2 2 2 26 2 4" xfId="25738"/>
    <cellStyle name="Normal 2 2 2 2 26 3" xfId="5646"/>
    <cellStyle name="Normal 2 2 2 2 26 3 2" xfId="5647"/>
    <cellStyle name="Normal 2 2 2 2 26 3 2 2" xfId="17020"/>
    <cellStyle name="Normal 2 2 2 2 26 3 2 2 2" xfId="25739"/>
    <cellStyle name="Normal 2 2 2 2 26 3 2 3" xfId="25740"/>
    <cellStyle name="Normal 2 2 2 2 26 3 3" xfId="17021"/>
    <cellStyle name="Normal 2 2 2 2 26 3 3 2" xfId="25741"/>
    <cellStyle name="Normal 2 2 2 2 26 3 4" xfId="25742"/>
    <cellStyle name="Normal 2 2 2 2 26 4" xfId="5648"/>
    <cellStyle name="Normal 2 2 2 2 26 4 2" xfId="17022"/>
    <cellStyle name="Normal 2 2 2 2 26 4 2 2" xfId="25743"/>
    <cellStyle name="Normal 2 2 2 2 26 4 3" xfId="25744"/>
    <cellStyle name="Normal 2 2 2 2 26 5" xfId="17023"/>
    <cellStyle name="Normal 2 2 2 2 26 5 2" xfId="25745"/>
    <cellStyle name="Normal 2 2 2 2 26 6" xfId="25746"/>
    <cellStyle name="Normal 2 2 2 2 27" xfId="5649"/>
    <cellStyle name="Normal 2 2 2 2 27 2" xfId="5650"/>
    <cellStyle name="Normal 2 2 2 2 27 2 2" xfId="5651"/>
    <cellStyle name="Normal 2 2 2 2 27 2 2 2" xfId="17024"/>
    <cellStyle name="Normal 2 2 2 2 27 2 2 2 2" xfId="25747"/>
    <cellStyle name="Normal 2 2 2 2 27 2 2 3" xfId="25748"/>
    <cellStyle name="Normal 2 2 2 2 27 2 3" xfId="17025"/>
    <cellStyle name="Normal 2 2 2 2 27 2 3 2" xfId="25749"/>
    <cellStyle name="Normal 2 2 2 2 27 2 4" xfId="25750"/>
    <cellStyle name="Normal 2 2 2 2 27 3" xfId="5652"/>
    <cellStyle name="Normal 2 2 2 2 27 3 2" xfId="5653"/>
    <cellStyle name="Normal 2 2 2 2 27 3 2 2" xfId="17026"/>
    <cellStyle name="Normal 2 2 2 2 27 3 2 2 2" xfId="25751"/>
    <cellStyle name="Normal 2 2 2 2 27 3 2 3" xfId="25752"/>
    <cellStyle name="Normal 2 2 2 2 27 3 3" xfId="17027"/>
    <cellStyle name="Normal 2 2 2 2 27 3 3 2" xfId="25753"/>
    <cellStyle name="Normal 2 2 2 2 27 3 4" xfId="25754"/>
    <cellStyle name="Normal 2 2 2 2 27 4" xfId="5654"/>
    <cellStyle name="Normal 2 2 2 2 27 4 2" xfId="17028"/>
    <cellStyle name="Normal 2 2 2 2 27 4 2 2" xfId="25755"/>
    <cellStyle name="Normal 2 2 2 2 27 4 3" xfId="25756"/>
    <cellStyle name="Normal 2 2 2 2 27 5" xfId="17029"/>
    <cellStyle name="Normal 2 2 2 2 27 5 2" xfId="25757"/>
    <cellStyle name="Normal 2 2 2 2 27 6" xfId="25758"/>
    <cellStyle name="Normal 2 2 2 2 28" xfId="5655"/>
    <cellStyle name="Normal 2 2 2 2 28 2" xfId="5656"/>
    <cellStyle name="Normal 2 2 2 2 28 2 2" xfId="5657"/>
    <cellStyle name="Normal 2 2 2 2 28 2 2 2" xfId="17030"/>
    <cellStyle name="Normal 2 2 2 2 28 2 2 2 2" xfId="25759"/>
    <cellStyle name="Normal 2 2 2 2 28 2 2 3" xfId="25760"/>
    <cellStyle name="Normal 2 2 2 2 28 2 3" xfId="17031"/>
    <cellStyle name="Normal 2 2 2 2 28 2 3 2" xfId="25761"/>
    <cellStyle name="Normal 2 2 2 2 28 2 4" xfId="25762"/>
    <cellStyle name="Normal 2 2 2 2 28 3" xfId="5658"/>
    <cellStyle name="Normal 2 2 2 2 28 3 2" xfId="5659"/>
    <cellStyle name="Normal 2 2 2 2 28 3 2 2" xfId="17032"/>
    <cellStyle name="Normal 2 2 2 2 28 3 2 2 2" xfId="25763"/>
    <cellStyle name="Normal 2 2 2 2 28 3 2 3" xfId="25764"/>
    <cellStyle name="Normal 2 2 2 2 28 3 3" xfId="17033"/>
    <cellStyle name="Normal 2 2 2 2 28 3 3 2" xfId="25765"/>
    <cellStyle name="Normal 2 2 2 2 28 3 4" xfId="25766"/>
    <cellStyle name="Normal 2 2 2 2 28 4" xfId="5660"/>
    <cellStyle name="Normal 2 2 2 2 28 4 2" xfId="17034"/>
    <cellStyle name="Normal 2 2 2 2 28 4 2 2" xfId="25767"/>
    <cellStyle name="Normal 2 2 2 2 28 4 3" xfId="25768"/>
    <cellStyle name="Normal 2 2 2 2 28 5" xfId="17035"/>
    <cellStyle name="Normal 2 2 2 2 28 5 2" xfId="25769"/>
    <cellStyle name="Normal 2 2 2 2 28 6" xfId="25770"/>
    <cellStyle name="Normal 2 2 2 2 29" xfId="5661"/>
    <cellStyle name="Normal 2 2 2 2 29 2" xfId="5662"/>
    <cellStyle name="Normal 2 2 2 2 29 2 2" xfId="5663"/>
    <cellStyle name="Normal 2 2 2 2 29 2 2 2" xfId="17036"/>
    <cellStyle name="Normal 2 2 2 2 29 2 2 2 2" xfId="25771"/>
    <cellStyle name="Normal 2 2 2 2 29 2 2 3" xfId="25772"/>
    <cellStyle name="Normal 2 2 2 2 29 2 3" xfId="17037"/>
    <cellStyle name="Normal 2 2 2 2 29 2 3 2" xfId="25773"/>
    <cellStyle name="Normal 2 2 2 2 29 2 4" xfId="25774"/>
    <cellStyle name="Normal 2 2 2 2 29 3" xfId="5664"/>
    <cellStyle name="Normal 2 2 2 2 29 3 2" xfId="5665"/>
    <cellStyle name="Normal 2 2 2 2 29 3 2 2" xfId="17038"/>
    <cellStyle name="Normal 2 2 2 2 29 3 2 2 2" xfId="25775"/>
    <cellStyle name="Normal 2 2 2 2 29 3 2 3" xfId="25776"/>
    <cellStyle name="Normal 2 2 2 2 29 3 3" xfId="17039"/>
    <cellStyle name="Normal 2 2 2 2 29 3 3 2" xfId="25777"/>
    <cellStyle name="Normal 2 2 2 2 29 3 4" xfId="25778"/>
    <cellStyle name="Normal 2 2 2 2 29 4" xfId="5666"/>
    <cellStyle name="Normal 2 2 2 2 29 4 2" xfId="17040"/>
    <cellStyle name="Normal 2 2 2 2 29 4 2 2" xfId="25779"/>
    <cellStyle name="Normal 2 2 2 2 29 4 3" xfId="25780"/>
    <cellStyle name="Normal 2 2 2 2 29 5" xfId="17041"/>
    <cellStyle name="Normal 2 2 2 2 29 5 2" xfId="25781"/>
    <cellStyle name="Normal 2 2 2 2 29 6" xfId="25782"/>
    <cellStyle name="Normal 2 2 2 2 3" xfId="5667"/>
    <cellStyle name="Normal 2 2 2 2 3 10" xfId="5668"/>
    <cellStyle name="Normal 2 2 2 2 3 10 2" xfId="5669"/>
    <cellStyle name="Normal 2 2 2 2 3 10 2 2" xfId="17042"/>
    <cellStyle name="Normal 2 2 2 2 3 10 2 2 2" xfId="25783"/>
    <cellStyle name="Normal 2 2 2 2 3 10 2 3" xfId="25784"/>
    <cellStyle name="Normal 2 2 2 2 3 10 3" xfId="17043"/>
    <cellStyle name="Normal 2 2 2 2 3 10 3 2" xfId="25785"/>
    <cellStyle name="Normal 2 2 2 2 3 10 4" xfId="25786"/>
    <cellStyle name="Normal 2 2 2 2 3 11" xfId="5670"/>
    <cellStyle name="Normal 2 2 2 2 3 11 2" xfId="17044"/>
    <cellStyle name="Normal 2 2 2 2 3 11 2 2" xfId="25787"/>
    <cellStyle name="Normal 2 2 2 2 3 11 3" xfId="25788"/>
    <cellStyle name="Normal 2 2 2 2 3 12" xfId="17045"/>
    <cellStyle name="Normal 2 2 2 2 3 12 2" xfId="25789"/>
    <cellStyle name="Normal 2 2 2 2 3 13" xfId="25790"/>
    <cellStyle name="Normal 2 2 2 2 3 2" xfId="5671"/>
    <cellStyle name="Normal 2 2 2 2 3 2 2" xfId="5672"/>
    <cellStyle name="Normal 2 2 2 2 3 2 3" xfId="5673"/>
    <cellStyle name="Normal 2 2 2 2 3 2 3 2" xfId="17046"/>
    <cellStyle name="Normal 2 2 2 2 3 2 3 2 2" xfId="25791"/>
    <cellStyle name="Normal 2 2 2 2 3 2 3 3" xfId="25792"/>
    <cellStyle name="Normal 2 2 2 2 3 2 4" xfId="17047"/>
    <cellStyle name="Normal 2 2 2 2 3 2 4 2" xfId="25793"/>
    <cellStyle name="Normal 2 2 2 2 3 2 5" xfId="25794"/>
    <cellStyle name="Normal 2 2 2 2 3 3" xfId="5674"/>
    <cellStyle name="Normal 2 2 2 2 3 4" xfId="5675"/>
    <cellStyle name="Normal 2 2 2 2 3 5" xfId="5676"/>
    <cellStyle name="Normal 2 2 2 2 3 6" xfId="5677"/>
    <cellStyle name="Normal 2 2 2 2 3 7" xfId="5678"/>
    <cellStyle name="Normal 2 2 2 2 3 8" xfId="5679"/>
    <cellStyle name="Normal 2 2 2 2 3 9" xfId="5680"/>
    <cellStyle name="Normal 2 2 2 2 30" xfId="5681"/>
    <cellStyle name="Normal 2 2 2 2 30 2" xfId="5682"/>
    <cellStyle name="Normal 2 2 2 2 30 2 2" xfId="5683"/>
    <cellStyle name="Normal 2 2 2 2 30 2 2 2" xfId="17048"/>
    <cellStyle name="Normal 2 2 2 2 30 2 2 2 2" xfId="25795"/>
    <cellStyle name="Normal 2 2 2 2 30 2 2 3" xfId="25796"/>
    <cellStyle name="Normal 2 2 2 2 30 2 3" xfId="17049"/>
    <cellStyle name="Normal 2 2 2 2 30 2 3 2" xfId="25797"/>
    <cellStyle name="Normal 2 2 2 2 30 2 4" xfId="25798"/>
    <cellStyle name="Normal 2 2 2 2 30 3" xfId="5684"/>
    <cellStyle name="Normal 2 2 2 2 30 3 2" xfId="5685"/>
    <cellStyle name="Normal 2 2 2 2 30 3 2 2" xfId="17050"/>
    <cellStyle name="Normal 2 2 2 2 30 3 2 2 2" xfId="25799"/>
    <cellStyle name="Normal 2 2 2 2 30 3 2 3" xfId="25800"/>
    <cellStyle name="Normal 2 2 2 2 30 3 3" xfId="17051"/>
    <cellStyle name="Normal 2 2 2 2 30 3 3 2" xfId="25801"/>
    <cellStyle name="Normal 2 2 2 2 30 3 4" xfId="25802"/>
    <cellStyle name="Normal 2 2 2 2 30 4" xfId="5686"/>
    <cellStyle name="Normal 2 2 2 2 30 4 2" xfId="17052"/>
    <cellStyle name="Normal 2 2 2 2 30 4 2 2" xfId="25803"/>
    <cellStyle name="Normal 2 2 2 2 30 4 3" xfId="25804"/>
    <cellStyle name="Normal 2 2 2 2 30 5" xfId="17053"/>
    <cellStyle name="Normal 2 2 2 2 30 5 2" xfId="25805"/>
    <cellStyle name="Normal 2 2 2 2 30 6" xfId="25806"/>
    <cellStyle name="Normal 2 2 2 2 31" xfId="5687"/>
    <cellStyle name="Normal 2 2 2 2 31 2" xfId="5688"/>
    <cellStyle name="Normal 2 2 2 2 31 2 2" xfId="5689"/>
    <cellStyle name="Normal 2 2 2 2 31 2 2 2" xfId="17054"/>
    <cellStyle name="Normal 2 2 2 2 31 2 2 2 2" xfId="25807"/>
    <cellStyle name="Normal 2 2 2 2 31 2 2 3" xfId="25808"/>
    <cellStyle name="Normal 2 2 2 2 31 2 3" xfId="17055"/>
    <cellStyle name="Normal 2 2 2 2 31 2 3 2" xfId="25809"/>
    <cellStyle name="Normal 2 2 2 2 31 2 4" xfId="25810"/>
    <cellStyle name="Normal 2 2 2 2 31 3" xfId="5690"/>
    <cellStyle name="Normal 2 2 2 2 31 3 2" xfId="5691"/>
    <cellStyle name="Normal 2 2 2 2 31 3 2 2" xfId="17056"/>
    <cellStyle name="Normal 2 2 2 2 31 3 2 2 2" xfId="25811"/>
    <cellStyle name="Normal 2 2 2 2 31 3 2 3" xfId="25812"/>
    <cellStyle name="Normal 2 2 2 2 31 3 3" xfId="17057"/>
    <cellStyle name="Normal 2 2 2 2 31 3 3 2" xfId="25813"/>
    <cellStyle name="Normal 2 2 2 2 31 3 4" xfId="25814"/>
    <cellStyle name="Normal 2 2 2 2 31 4" xfId="5692"/>
    <cellStyle name="Normal 2 2 2 2 31 4 2" xfId="17058"/>
    <cellStyle name="Normal 2 2 2 2 31 4 2 2" xfId="25815"/>
    <cellStyle name="Normal 2 2 2 2 31 4 3" xfId="25816"/>
    <cellStyle name="Normal 2 2 2 2 31 5" xfId="17059"/>
    <cellStyle name="Normal 2 2 2 2 31 5 2" xfId="25817"/>
    <cellStyle name="Normal 2 2 2 2 31 6" xfId="25818"/>
    <cellStyle name="Normal 2 2 2 2 32" xfId="5693"/>
    <cellStyle name="Normal 2 2 2 2 32 2" xfId="5694"/>
    <cellStyle name="Normal 2 2 2 2 32 2 2" xfId="5695"/>
    <cellStyle name="Normal 2 2 2 2 32 2 2 2" xfId="17060"/>
    <cellStyle name="Normal 2 2 2 2 32 2 2 2 2" xfId="25819"/>
    <cellStyle name="Normal 2 2 2 2 32 2 2 3" xfId="25820"/>
    <cellStyle name="Normal 2 2 2 2 32 2 3" xfId="17061"/>
    <cellStyle name="Normal 2 2 2 2 32 2 3 2" xfId="25821"/>
    <cellStyle name="Normal 2 2 2 2 32 2 4" xfId="25822"/>
    <cellStyle name="Normal 2 2 2 2 32 3" xfId="5696"/>
    <cellStyle name="Normal 2 2 2 2 32 3 2" xfId="5697"/>
    <cellStyle name="Normal 2 2 2 2 32 3 2 2" xfId="17062"/>
    <cellStyle name="Normal 2 2 2 2 32 3 2 2 2" xfId="25823"/>
    <cellStyle name="Normal 2 2 2 2 32 3 2 3" xfId="25824"/>
    <cellStyle name="Normal 2 2 2 2 32 3 3" xfId="17063"/>
    <cellStyle name="Normal 2 2 2 2 32 3 3 2" xfId="25825"/>
    <cellStyle name="Normal 2 2 2 2 32 3 4" xfId="25826"/>
    <cellStyle name="Normal 2 2 2 2 32 4" xfId="5698"/>
    <cellStyle name="Normal 2 2 2 2 32 4 2" xfId="17064"/>
    <cellStyle name="Normal 2 2 2 2 32 4 2 2" xfId="25827"/>
    <cellStyle name="Normal 2 2 2 2 32 4 3" xfId="25828"/>
    <cellStyle name="Normal 2 2 2 2 32 5" xfId="17065"/>
    <cellStyle name="Normal 2 2 2 2 32 5 2" xfId="25829"/>
    <cellStyle name="Normal 2 2 2 2 32 6" xfId="25830"/>
    <cellStyle name="Normal 2 2 2 2 33" xfId="5699"/>
    <cellStyle name="Normal 2 2 2 2 33 2" xfId="5700"/>
    <cellStyle name="Normal 2 2 2 2 33 2 2" xfId="5701"/>
    <cellStyle name="Normal 2 2 2 2 33 2 2 2" xfId="17066"/>
    <cellStyle name="Normal 2 2 2 2 33 2 2 2 2" xfId="25831"/>
    <cellStyle name="Normal 2 2 2 2 33 2 2 3" xfId="25832"/>
    <cellStyle name="Normal 2 2 2 2 33 2 3" xfId="17067"/>
    <cellStyle name="Normal 2 2 2 2 33 2 3 2" xfId="25833"/>
    <cellStyle name="Normal 2 2 2 2 33 2 4" xfId="25834"/>
    <cellStyle name="Normal 2 2 2 2 33 3" xfId="5702"/>
    <cellStyle name="Normal 2 2 2 2 33 3 2" xfId="5703"/>
    <cellStyle name="Normal 2 2 2 2 33 3 2 2" xfId="17068"/>
    <cellStyle name="Normal 2 2 2 2 33 3 2 2 2" xfId="25835"/>
    <cellStyle name="Normal 2 2 2 2 33 3 2 3" xfId="25836"/>
    <cellStyle name="Normal 2 2 2 2 33 3 3" xfId="17069"/>
    <cellStyle name="Normal 2 2 2 2 33 3 3 2" xfId="25837"/>
    <cellStyle name="Normal 2 2 2 2 33 3 4" xfId="25838"/>
    <cellStyle name="Normal 2 2 2 2 33 4" xfId="5704"/>
    <cellStyle name="Normal 2 2 2 2 33 4 2" xfId="17070"/>
    <cellStyle name="Normal 2 2 2 2 33 4 2 2" xfId="25839"/>
    <cellStyle name="Normal 2 2 2 2 33 4 3" xfId="25840"/>
    <cellStyle name="Normal 2 2 2 2 33 5" xfId="17071"/>
    <cellStyle name="Normal 2 2 2 2 33 5 2" xfId="25841"/>
    <cellStyle name="Normal 2 2 2 2 33 6" xfId="25842"/>
    <cellStyle name="Normal 2 2 2 2 34" xfId="5705"/>
    <cellStyle name="Normal 2 2 2 2 34 2" xfId="5706"/>
    <cellStyle name="Normal 2 2 2 2 34 2 2" xfId="5707"/>
    <cellStyle name="Normal 2 2 2 2 34 2 2 2" xfId="17072"/>
    <cellStyle name="Normal 2 2 2 2 34 2 2 2 2" xfId="25843"/>
    <cellStyle name="Normal 2 2 2 2 34 2 2 3" xfId="25844"/>
    <cellStyle name="Normal 2 2 2 2 34 2 3" xfId="17073"/>
    <cellStyle name="Normal 2 2 2 2 34 2 3 2" xfId="25845"/>
    <cellStyle name="Normal 2 2 2 2 34 2 4" xfId="25846"/>
    <cellStyle name="Normal 2 2 2 2 34 3" xfId="5708"/>
    <cellStyle name="Normal 2 2 2 2 34 3 2" xfId="5709"/>
    <cellStyle name="Normal 2 2 2 2 34 3 2 2" xfId="17074"/>
    <cellStyle name="Normal 2 2 2 2 34 3 2 2 2" xfId="25847"/>
    <cellStyle name="Normal 2 2 2 2 34 3 2 3" xfId="25848"/>
    <cellStyle name="Normal 2 2 2 2 34 3 3" xfId="17075"/>
    <cellStyle name="Normal 2 2 2 2 34 3 3 2" xfId="25849"/>
    <cellStyle name="Normal 2 2 2 2 34 3 4" xfId="25850"/>
    <cellStyle name="Normal 2 2 2 2 34 4" xfId="5710"/>
    <cellStyle name="Normal 2 2 2 2 34 4 2" xfId="17076"/>
    <cellStyle name="Normal 2 2 2 2 34 4 2 2" xfId="25851"/>
    <cellStyle name="Normal 2 2 2 2 34 4 3" xfId="25852"/>
    <cellStyle name="Normal 2 2 2 2 34 5" xfId="17077"/>
    <cellStyle name="Normal 2 2 2 2 34 5 2" xfId="25853"/>
    <cellStyle name="Normal 2 2 2 2 34 6" xfId="25854"/>
    <cellStyle name="Normal 2 2 2 2 35" xfId="5711"/>
    <cellStyle name="Normal 2 2 2 2 35 2" xfId="5712"/>
    <cellStyle name="Normal 2 2 2 2 35 2 2" xfId="5713"/>
    <cellStyle name="Normal 2 2 2 2 35 2 2 2" xfId="17078"/>
    <cellStyle name="Normal 2 2 2 2 35 2 2 2 2" xfId="25855"/>
    <cellStyle name="Normal 2 2 2 2 35 2 2 3" xfId="25856"/>
    <cellStyle name="Normal 2 2 2 2 35 2 3" xfId="17079"/>
    <cellStyle name="Normal 2 2 2 2 35 2 3 2" xfId="25857"/>
    <cellStyle name="Normal 2 2 2 2 35 2 4" xfId="25858"/>
    <cellStyle name="Normal 2 2 2 2 35 3" xfId="5714"/>
    <cellStyle name="Normal 2 2 2 2 35 3 2" xfId="5715"/>
    <cellStyle name="Normal 2 2 2 2 35 3 2 2" xfId="17080"/>
    <cellStyle name="Normal 2 2 2 2 35 3 2 2 2" xfId="25859"/>
    <cellStyle name="Normal 2 2 2 2 35 3 2 3" xfId="25860"/>
    <cellStyle name="Normal 2 2 2 2 35 3 3" xfId="17081"/>
    <cellStyle name="Normal 2 2 2 2 35 3 3 2" xfId="25861"/>
    <cellStyle name="Normal 2 2 2 2 35 3 4" xfId="25862"/>
    <cellStyle name="Normal 2 2 2 2 35 4" xfId="5716"/>
    <cellStyle name="Normal 2 2 2 2 35 4 2" xfId="17082"/>
    <cellStyle name="Normal 2 2 2 2 35 4 2 2" xfId="25863"/>
    <cellStyle name="Normal 2 2 2 2 35 4 3" xfId="25864"/>
    <cellStyle name="Normal 2 2 2 2 35 5" xfId="17083"/>
    <cellStyle name="Normal 2 2 2 2 35 5 2" xfId="25865"/>
    <cellStyle name="Normal 2 2 2 2 35 6" xfId="25866"/>
    <cellStyle name="Normal 2 2 2 2 36" xfId="5717"/>
    <cellStyle name="Normal 2 2 2 2 36 2" xfId="5718"/>
    <cellStyle name="Normal 2 2 2 2 36 2 2" xfId="5719"/>
    <cellStyle name="Normal 2 2 2 2 36 2 2 2" xfId="17084"/>
    <cellStyle name="Normal 2 2 2 2 36 2 2 2 2" xfId="25867"/>
    <cellStyle name="Normal 2 2 2 2 36 2 2 3" xfId="25868"/>
    <cellStyle name="Normal 2 2 2 2 36 2 3" xfId="17085"/>
    <cellStyle name="Normal 2 2 2 2 36 2 3 2" xfId="25869"/>
    <cellStyle name="Normal 2 2 2 2 36 2 4" xfId="25870"/>
    <cellStyle name="Normal 2 2 2 2 36 3" xfId="5720"/>
    <cellStyle name="Normal 2 2 2 2 36 3 2" xfId="5721"/>
    <cellStyle name="Normal 2 2 2 2 36 3 2 2" xfId="17086"/>
    <cellStyle name="Normal 2 2 2 2 36 3 2 2 2" xfId="25871"/>
    <cellStyle name="Normal 2 2 2 2 36 3 2 3" xfId="25872"/>
    <cellStyle name="Normal 2 2 2 2 36 3 3" xfId="17087"/>
    <cellStyle name="Normal 2 2 2 2 36 3 3 2" xfId="25873"/>
    <cellStyle name="Normal 2 2 2 2 36 3 4" xfId="25874"/>
    <cellStyle name="Normal 2 2 2 2 36 4" xfId="5722"/>
    <cellStyle name="Normal 2 2 2 2 36 4 2" xfId="17088"/>
    <cellStyle name="Normal 2 2 2 2 36 4 2 2" xfId="25875"/>
    <cellStyle name="Normal 2 2 2 2 36 4 3" xfId="25876"/>
    <cellStyle name="Normal 2 2 2 2 36 5" xfId="17089"/>
    <cellStyle name="Normal 2 2 2 2 36 5 2" xfId="25877"/>
    <cellStyle name="Normal 2 2 2 2 36 6" xfId="25878"/>
    <cellStyle name="Normal 2 2 2 2 37" xfId="5723"/>
    <cellStyle name="Normal 2 2 2 2 37 2" xfId="5724"/>
    <cellStyle name="Normal 2 2 2 2 37 2 2" xfId="5725"/>
    <cellStyle name="Normal 2 2 2 2 37 2 2 2" xfId="17090"/>
    <cellStyle name="Normal 2 2 2 2 37 2 2 2 2" xfId="25879"/>
    <cellStyle name="Normal 2 2 2 2 37 2 2 3" xfId="25880"/>
    <cellStyle name="Normal 2 2 2 2 37 2 3" xfId="17091"/>
    <cellStyle name="Normal 2 2 2 2 37 2 3 2" xfId="25881"/>
    <cellStyle name="Normal 2 2 2 2 37 2 4" xfId="25882"/>
    <cellStyle name="Normal 2 2 2 2 37 3" xfId="5726"/>
    <cellStyle name="Normal 2 2 2 2 37 3 2" xfId="5727"/>
    <cellStyle name="Normal 2 2 2 2 37 3 2 2" xfId="17092"/>
    <cellStyle name="Normal 2 2 2 2 37 3 2 2 2" xfId="25883"/>
    <cellStyle name="Normal 2 2 2 2 37 3 2 3" xfId="25884"/>
    <cellStyle name="Normal 2 2 2 2 37 3 3" xfId="17093"/>
    <cellStyle name="Normal 2 2 2 2 37 3 3 2" xfId="25885"/>
    <cellStyle name="Normal 2 2 2 2 37 3 4" xfId="25886"/>
    <cellStyle name="Normal 2 2 2 2 37 4" xfId="5728"/>
    <cellStyle name="Normal 2 2 2 2 37 4 2" xfId="17094"/>
    <cellStyle name="Normal 2 2 2 2 37 4 2 2" xfId="25887"/>
    <cellStyle name="Normal 2 2 2 2 37 4 3" xfId="25888"/>
    <cellStyle name="Normal 2 2 2 2 37 5" xfId="17095"/>
    <cellStyle name="Normal 2 2 2 2 37 5 2" xfId="25889"/>
    <cellStyle name="Normal 2 2 2 2 37 6" xfId="25890"/>
    <cellStyle name="Normal 2 2 2 2 38" xfId="5729"/>
    <cellStyle name="Normal 2 2 2 2 38 2" xfId="5730"/>
    <cellStyle name="Normal 2 2 2 2 38 2 2" xfId="5731"/>
    <cellStyle name="Normal 2 2 2 2 38 2 2 2" xfId="17096"/>
    <cellStyle name="Normal 2 2 2 2 38 2 2 2 2" xfId="25891"/>
    <cellStyle name="Normal 2 2 2 2 38 2 2 3" xfId="25892"/>
    <cellStyle name="Normal 2 2 2 2 38 2 3" xfId="17097"/>
    <cellStyle name="Normal 2 2 2 2 38 2 3 2" xfId="25893"/>
    <cellStyle name="Normal 2 2 2 2 38 2 4" xfId="25894"/>
    <cellStyle name="Normal 2 2 2 2 38 3" xfId="5732"/>
    <cellStyle name="Normal 2 2 2 2 38 3 2" xfId="5733"/>
    <cellStyle name="Normal 2 2 2 2 38 3 2 2" xfId="17098"/>
    <cellStyle name="Normal 2 2 2 2 38 3 2 2 2" xfId="25895"/>
    <cellStyle name="Normal 2 2 2 2 38 3 2 3" xfId="25896"/>
    <cellStyle name="Normal 2 2 2 2 38 3 3" xfId="17099"/>
    <cellStyle name="Normal 2 2 2 2 38 3 3 2" xfId="25897"/>
    <cellStyle name="Normal 2 2 2 2 38 3 4" xfId="25898"/>
    <cellStyle name="Normal 2 2 2 2 38 4" xfId="5734"/>
    <cellStyle name="Normal 2 2 2 2 38 4 2" xfId="17100"/>
    <cellStyle name="Normal 2 2 2 2 38 4 2 2" xfId="25899"/>
    <cellStyle name="Normal 2 2 2 2 38 4 3" xfId="25900"/>
    <cellStyle name="Normal 2 2 2 2 38 5" xfId="17101"/>
    <cellStyle name="Normal 2 2 2 2 38 5 2" xfId="25901"/>
    <cellStyle name="Normal 2 2 2 2 38 6" xfId="25902"/>
    <cellStyle name="Normal 2 2 2 2 39" xfId="5735"/>
    <cellStyle name="Normal 2 2 2 2 39 2" xfId="5736"/>
    <cellStyle name="Normal 2 2 2 2 39 2 2" xfId="5737"/>
    <cellStyle name="Normal 2 2 2 2 39 2 2 2" xfId="17102"/>
    <cellStyle name="Normal 2 2 2 2 39 2 2 2 2" xfId="25903"/>
    <cellStyle name="Normal 2 2 2 2 39 2 2 3" xfId="25904"/>
    <cellStyle name="Normal 2 2 2 2 39 2 3" xfId="17103"/>
    <cellStyle name="Normal 2 2 2 2 39 2 3 2" xfId="25905"/>
    <cellStyle name="Normal 2 2 2 2 39 2 4" xfId="25906"/>
    <cellStyle name="Normal 2 2 2 2 39 3" xfId="5738"/>
    <cellStyle name="Normal 2 2 2 2 39 3 2" xfId="5739"/>
    <cellStyle name="Normal 2 2 2 2 39 3 2 2" xfId="17104"/>
    <cellStyle name="Normal 2 2 2 2 39 3 2 2 2" xfId="25907"/>
    <cellStyle name="Normal 2 2 2 2 39 3 2 3" xfId="25908"/>
    <cellStyle name="Normal 2 2 2 2 39 3 3" xfId="17105"/>
    <cellStyle name="Normal 2 2 2 2 39 3 3 2" xfId="25909"/>
    <cellStyle name="Normal 2 2 2 2 39 3 4" xfId="25910"/>
    <cellStyle name="Normal 2 2 2 2 39 4" xfId="5740"/>
    <cellStyle name="Normal 2 2 2 2 39 4 2" xfId="17106"/>
    <cellStyle name="Normal 2 2 2 2 39 4 2 2" xfId="25911"/>
    <cellStyle name="Normal 2 2 2 2 39 4 3" xfId="25912"/>
    <cellStyle name="Normal 2 2 2 2 39 5" xfId="17107"/>
    <cellStyle name="Normal 2 2 2 2 39 5 2" xfId="25913"/>
    <cellStyle name="Normal 2 2 2 2 39 6" xfId="25914"/>
    <cellStyle name="Normal 2 2 2 2 4" xfId="5741"/>
    <cellStyle name="Normal 2 2 2 2 4 2" xfId="5742"/>
    <cellStyle name="Normal 2 2 2 2 4 2 2" xfId="5743"/>
    <cellStyle name="Normal 2 2 2 2 4 2 2 2" xfId="17108"/>
    <cellStyle name="Normal 2 2 2 2 4 2 2 2 2" xfId="25915"/>
    <cellStyle name="Normal 2 2 2 2 4 2 2 3" xfId="25916"/>
    <cellStyle name="Normal 2 2 2 2 4 2 3" xfId="17109"/>
    <cellStyle name="Normal 2 2 2 2 4 2 3 2" xfId="25917"/>
    <cellStyle name="Normal 2 2 2 2 4 2 4" xfId="25918"/>
    <cellStyle name="Normal 2 2 2 2 4 3" xfId="5744"/>
    <cellStyle name="Normal 2 2 2 2 4 3 2" xfId="5745"/>
    <cellStyle name="Normal 2 2 2 2 4 3 2 2" xfId="17110"/>
    <cellStyle name="Normal 2 2 2 2 4 3 2 2 2" xfId="25919"/>
    <cellStyle name="Normal 2 2 2 2 4 3 2 3" xfId="25920"/>
    <cellStyle name="Normal 2 2 2 2 4 3 3" xfId="17111"/>
    <cellStyle name="Normal 2 2 2 2 4 3 3 2" xfId="25921"/>
    <cellStyle name="Normal 2 2 2 2 4 3 4" xfId="25922"/>
    <cellStyle name="Normal 2 2 2 2 4 4" xfId="5746"/>
    <cellStyle name="Normal 2 2 2 2 4 4 2" xfId="17112"/>
    <cellStyle name="Normal 2 2 2 2 4 4 2 2" xfId="25923"/>
    <cellStyle name="Normal 2 2 2 2 4 4 3" xfId="25924"/>
    <cellStyle name="Normal 2 2 2 2 4 5" xfId="17113"/>
    <cellStyle name="Normal 2 2 2 2 4 5 2" xfId="25925"/>
    <cellStyle name="Normal 2 2 2 2 4 6" xfId="25926"/>
    <cellStyle name="Normal 2 2 2 2 40" xfId="5747"/>
    <cellStyle name="Normal 2 2 2 2 40 2" xfId="5748"/>
    <cellStyle name="Normal 2 2 2 2 40 2 2" xfId="5749"/>
    <cellStyle name="Normal 2 2 2 2 40 2 2 2" xfId="17114"/>
    <cellStyle name="Normal 2 2 2 2 40 2 2 2 2" xfId="25927"/>
    <cellStyle name="Normal 2 2 2 2 40 2 2 3" xfId="25928"/>
    <cellStyle name="Normal 2 2 2 2 40 2 3" xfId="17115"/>
    <cellStyle name="Normal 2 2 2 2 40 2 3 2" xfId="25929"/>
    <cellStyle name="Normal 2 2 2 2 40 2 4" xfId="25930"/>
    <cellStyle name="Normal 2 2 2 2 40 3" xfId="5750"/>
    <cellStyle name="Normal 2 2 2 2 40 3 2" xfId="5751"/>
    <cellStyle name="Normal 2 2 2 2 40 3 2 2" xfId="17116"/>
    <cellStyle name="Normal 2 2 2 2 40 3 2 2 2" xfId="25931"/>
    <cellStyle name="Normal 2 2 2 2 40 3 2 3" xfId="25932"/>
    <cellStyle name="Normal 2 2 2 2 40 3 3" xfId="17117"/>
    <cellStyle name="Normal 2 2 2 2 40 3 3 2" xfId="25933"/>
    <cellStyle name="Normal 2 2 2 2 40 3 4" xfId="25934"/>
    <cellStyle name="Normal 2 2 2 2 40 4" xfId="5752"/>
    <cellStyle name="Normal 2 2 2 2 40 4 2" xfId="17118"/>
    <cellStyle name="Normal 2 2 2 2 40 4 2 2" xfId="25935"/>
    <cellStyle name="Normal 2 2 2 2 40 4 3" xfId="25936"/>
    <cellStyle name="Normal 2 2 2 2 40 5" xfId="17119"/>
    <cellStyle name="Normal 2 2 2 2 40 5 2" xfId="25937"/>
    <cellStyle name="Normal 2 2 2 2 40 6" xfId="25938"/>
    <cellStyle name="Normal 2 2 2 2 41" xfId="5753"/>
    <cellStyle name="Normal 2 2 2 2 41 2" xfId="5754"/>
    <cellStyle name="Normal 2 2 2 2 41 2 2" xfId="5755"/>
    <cellStyle name="Normal 2 2 2 2 41 2 2 2" xfId="17120"/>
    <cellStyle name="Normal 2 2 2 2 41 2 2 2 2" xfId="25939"/>
    <cellStyle name="Normal 2 2 2 2 41 2 2 3" xfId="25940"/>
    <cellStyle name="Normal 2 2 2 2 41 2 3" xfId="17121"/>
    <cellStyle name="Normal 2 2 2 2 41 2 3 2" xfId="25941"/>
    <cellStyle name="Normal 2 2 2 2 41 2 4" xfId="25942"/>
    <cellStyle name="Normal 2 2 2 2 41 3" xfId="5756"/>
    <cellStyle name="Normal 2 2 2 2 41 3 2" xfId="5757"/>
    <cellStyle name="Normal 2 2 2 2 41 3 2 2" xfId="17122"/>
    <cellStyle name="Normal 2 2 2 2 41 3 2 2 2" xfId="25943"/>
    <cellStyle name="Normal 2 2 2 2 41 3 2 3" xfId="25944"/>
    <cellStyle name="Normal 2 2 2 2 41 3 3" xfId="17123"/>
    <cellStyle name="Normal 2 2 2 2 41 3 3 2" xfId="25945"/>
    <cellStyle name="Normal 2 2 2 2 41 3 4" xfId="25946"/>
    <cellStyle name="Normal 2 2 2 2 41 4" xfId="5758"/>
    <cellStyle name="Normal 2 2 2 2 41 4 2" xfId="17124"/>
    <cellStyle name="Normal 2 2 2 2 41 4 2 2" xfId="25947"/>
    <cellStyle name="Normal 2 2 2 2 41 4 3" xfId="25948"/>
    <cellStyle name="Normal 2 2 2 2 41 5" xfId="17125"/>
    <cellStyle name="Normal 2 2 2 2 41 5 2" xfId="25949"/>
    <cellStyle name="Normal 2 2 2 2 41 6" xfId="25950"/>
    <cellStyle name="Normal 2 2 2 2 42" xfId="5759"/>
    <cellStyle name="Normal 2 2 2 2 42 2" xfId="5760"/>
    <cellStyle name="Normal 2 2 2 2 42 2 2" xfId="5761"/>
    <cellStyle name="Normal 2 2 2 2 42 2 2 2" xfId="17126"/>
    <cellStyle name="Normal 2 2 2 2 42 2 2 2 2" xfId="25951"/>
    <cellStyle name="Normal 2 2 2 2 42 2 2 3" xfId="25952"/>
    <cellStyle name="Normal 2 2 2 2 42 2 3" xfId="17127"/>
    <cellStyle name="Normal 2 2 2 2 42 2 3 2" xfId="25953"/>
    <cellStyle name="Normal 2 2 2 2 42 2 4" xfId="25954"/>
    <cellStyle name="Normal 2 2 2 2 42 3" xfId="5762"/>
    <cellStyle name="Normal 2 2 2 2 42 3 2" xfId="5763"/>
    <cellStyle name="Normal 2 2 2 2 42 3 2 2" xfId="17128"/>
    <cellStyle name="Normal 2 2 2 2 42 3 2 2 2" xfId="25955"/>
    <cellStyle name="Normal 2 2 2 2 42 3 2 3" xfId="25956"/>
    <cellStyle name="Normal 2 2 2 2 42 3 3" xfId="17129"/>
    <cellStyle name="Normal 2 2 2 2 42 3 3 2" xfId="25957"/>
    <cellStyle name="Normal 2 2 2 2 42 3 4" xfId="25958"/>
    <cellStyle name="Normal 2 2 2 2 42 4" xfId="5764"/>
    <cellStyle name="Normal 2 2 2 2 42 4 2" xfId="17130"/>
    <cellStyle name="Normal 2 2 2 2 42 4 2 2" xfId="25959"/>
    <cellStyle name="Normal 2 2 2 2 42 4 3" xfId="25960"/>
    <cellStyle name="Normal 2 2 2 2 42 5" xfId="17131"/>
    <cellStyle name="Normal 2 2 2 2 42 5 2" xfId="25961"/>
    <cellStyle name="Normal 2 2 2 2 42 6" xfId="25962"/>
    <cellStyle name="Normal 2 2 2 2 43" xfId="5765"/>
    <cellStyle name="Normal 2 2 2 2 43 2" xfId="5766"/>
    <cellStyle name="Normal 2 2 2 2 43 2 2" xfId="5767"/>
    <cellStyle name="Normal 2 2 2 2 43 2 2 2" xfId="17132"/>
    <cellStyle name="Normal 2 2 2 2 43 2 2 2 2" xfId="25963"/>
    <cellStyle name="Normal 2 2 2 2 43 2 2 3" xfId="25964"/>
    <cellStyle name="Normal 2 2 2 2 43 2 3" xfId="17133"/>
    <cellStyle name="Normal 2 2 2 2 43 2 3 2" xfId="25965"/>
    <cellStyle name="Normal 2 2 2 2 43 2 4" xfId="25966"/>
    <cellStyle name="Normal 2 2 2 2 43 3" xfId="5768"/>
    <cellStyle name="Normal 2 2 2 2 43 3 2" xfId="5769"/>
    <cellStyle name="Normal 2 2 2 2 43 3 2 2" xfId="17134"/>
    <cellStyle name="Normal 2 2 2 2 43 3 2 2 2" xfId="25967"/>
    <cellStyle name="Normal 2 2 2 2 43 3 2 3" xfId="25968"/>
    <cellStyle name="Normal 2 2 2 2 43 3 3" xfId="17135"/>
    <cellStyle name="Normal 2 2 2 2 43 3 3 2" xfId="25969"/>
    <cellStyle name="Normal 2 2 2 2 43 3 4" xfId="25970"/>
    <cellStyle name="Normal 2 2 2 2 43 4" xfId="5770"/>
    <cellStyle name="Normal 2 2 2 2 43 4 2" xfId="17136"/>
    <cellStyle name="Normal 2 2 2 2 43 4 2 2" xfId="25971"/>
    <cellStyle name="Normal 2 2 2 2 43 4 3" xfId="25972"/>
    <cellStyle name="Normal 2 2 2 2 43 5" xfId="17137"/>
    <cellStyle name="Normal 2 2 2 2 43 5 2" xfId="25973"/>
    <cellStyle name="Normal 2 2 2 2 43 6" xfId="25974"/>
    <cellStyle name="Normal 2 2 2 2 44" xfId="5771"/>
    <cellStyle name="Normal 2 2 2 2 44 2" xfId="5772"/>
    <cellStyle name="Normal 2 2 2 2 44 2 2" xfId="5773"/>
    <cellStyle name="Normal 2 2 2 2 44 2 2 2" xfId="17138"/>
    <cellStyle name="Normal 2 2 2 2 44 2 2 2 2" xfId="25975"/>
    <cellStyle name="Normal 2 2 2 2 44 2 2 3" xfId="25976"/>
    <cellStyle name="Normal 2 2 2 2 44 2 3" xfId="17139"/>
    <cellStyle name="Normal 2 2 2 2 44 2 3 2" xfId="25977"/>
    <cellStyle name="Normal 2 2 2 2 44 2 4" xfId="25978"/>
    <cellStyle name="Normal 2 2 2 2 44 3" xfId="5774"/>
    <cellStyle name="Normal 2 2 2 2 44 3 2" xfId="5775"/>
    <cellStyle name="Normal 2 2 2 2 44 3 2 2" xfId="17140"/>
    <cellStyle name="Normal 2 2 2 2 44 3 2 2 2" xfId="25979"/>
    <cellStyle name="Normal 2 2 2 2 44 3 2 3" xfId="25980"/>
    <cellStyle name="Normal 2 2 2 2 44 3 3" xfId="17141"/>
    <cellStyle name="Normal 2 2 2 2 44 3 3 2" xfId="25981"/>
    <cellStyle name="Normal 2 2 2 2 44 3 4" xfId="25982"/>
    <cellStyle name="Normal 2 2 2 2 44 4" xfId="5776"/>
    <cellStyle name="Normal 2 2 2 2 44 4 2" xfId="17142"/>
    <cellStyle name="Normal 2 2 2 2 44 4 2 2" xfId="25983"/>
    <cellStyle name="Normal 2 2 2 2 44 4 3" xfId="25984"/>
    <cellStyle name="Normal 2 2 2 2 44 5" xfId="17143"/>
    <cellStyle name="Normal 2 2 2 2 44 5 2" xfId="25985"/>
    <cellStyle name="Normal 2 2 2 2 44 6" xfId="25986"/>
    <cellStyle name="Normal 2 2 2 2 45" xfId="5777"/>
    <cellStyle name="Normal 2 2 2 2 45 2" xfId="5778"/>
    <cellStyle name="Normal 2 2 2 2 45 2 2" xfId="5779"/>
    <cellStyle name="Normal 2 2 2 2 45 2 2 2" xfId="17144"/>
    <cellStyle name="Normal 2 2 2 2 45 2 2 2 2" xfId="25987"/>
    <cellStyle name="Normal 2 2 2 2 45 2 2 3" xfId="25988"/>
    <cellStyle name="Normal 2 2 2 2 45 2 3" xfId="17145"/>
    <cellStyle name="Normal 2 2 2 2 45 2 3 2" xfId="25989"/>
    <cellStyle name="Normal 2 2 2 2 45 2 4" xfId="25990"/>
    <cellStyle name="Normal 2 2 2 2 45 3" xfId="5780"/>
    <cellStyle name="Normal 2 2 2 2 45 3 2" xfId="5781"/>
    <cellStyle name="Normal 2 2 2 2 45 3 2 2" xfId="17146"/>
    <cellStyle name="Normal 2 2 2 2 45 3 2 2 2" xfId="25991"/>
    <cellStyle name="Normal 2 2 2 2 45 3 2 3" xfId="25992"/>
    <cellStyle name="Normal 2 2 2 2 45 3 3" xfId="17147"/>
    <cellStyle name="Normal 2 2 2 2 45 3 3 2" xfId="25993"/>
    <cellStyle name="Normal 2 2 2 2 45 3 4" xfId="25994"/>
    <cellStyle name="Normal 2 2 2 2 45 4" xfId="5782"/>
    <cellStyle name="Normal 2 2 2 2 45 4 2" xfId="17148"/>
    <cellStyle name="Normal 2 2 2 2 45 4 2 2" xfId="25995"/>
    <cellStyle name="Normal 2 2 2 2 45 4 3" xfId="25996"/>
    <cellStyle name="Normal 2 2 2 2 45 5" xfId="17149"/>
    <cellStyle name="Normal 2 2 2 2 45 5 2" xfId="25997"/>
    <cellStyle name="Normal 2 2 2 2 45 6" xfId="25998"/>
    <cellStyle name="Normal 2 2 2 2 46" xfId="5783"/>
    <cellStyle name="Normal 2 2 2 2 46 2" xfId="5784"/>
    <cellStyle name="Normal 2 2 2 2 46 2 2" xfId="5785"/>
    <cellStyle name="Normal 2 2 2 2 46 2 2 2" xfId="17150"/>
    <cellStyle name="Normal 2 2 2 2 46 2 2 2 2" xfId="25999"/>
    <cellStyle name="Normal 2 2 2 2 46 2 2 3" xfId="26000"/>
    <cellStyle name="Normal 2 2 2 2 46 2 3" xfId="17151"/>
    <cellStyle name="Normal 2 2 2 2 46 2 3 2" xfId="26001"/>
    <cellStyle name="Normal 2 2 2 2 46 2 4" xfId="26002"/>
    <cellStyle name="Normal 2 2 2 2 46 3" xfId="5786"/>
    <cellStyle name="Normal 2 2 2 2 46 3 2" xfId="5787"/>
    <cellStyle name="Normal 2 2 2 2 46 3 2 2" xfId="17152"/>
    <cellStyle name="Normal 2 2 2 2 46 3 2 2 2" xfId="26003"/>
    <cellStyle name="Normal 2 2 2 2 46 3 2 3" xfId="26004"/>
    <cellStyle name="Normal 2 2 2 2 46 3 3" xfId="17153"/>
    <cellStyle name="Normal 2 2 2 2 46 3 3 2" xfId="26005"/>
    <cellStyle name="Normal 2 2 2 2 46 3 4" xfId="26006"/>
    <cellStyle name="Normal 2 2 2 2 46 4" xfId="5788"/>
    <cellStyle name="Normal 2 2 2 2 46 4 2" xfId="17154"/>
    <cellStyle name="Normal 2 2 2 2 46 4 2 2" xfId="26007"/>
    <cellStyle name="Normal 2 2 2 2 46 4 3" xfId="26008"/>
    <cellStyle name="Normal 2 2 2 2 46 5" xfId="17155"/>
    <cellStyle name="Normal 2 2 2 2 46 5 2" xfId="26009"/>
    <cellStyle name="Normal 2 2 2 2 46 6" xfId="26010"/>
    <cellStyle name="Normal 2 2 2 2 47" xfId="5789"/>
    <cellStyle name="Normal 2 2 2 2 47 2" xfId="5790"/>
    <cellStyle name="Normal 2 2 2 2 47 2 2" xfId="5791"/>
    <cellStyle name="Normal 2 2 2 2 47 2 2 2" xfId="17156"/>
    <cellStyle name="Normal 2 2 2 2 47 2 2 2 2" xfId="26011"/>
    <cellStyle name="Normal 2 2 2 2 47 2 2 3" xfId="26012"/>
    <cellStyle name="Normal 2 2 2 2 47 2 3" xfId="17157"/>
    <cellStyle name="Normal 2 2 2 2 47 2 3 2" xfId="26013"/>
    <cellStyle name="Normal 2 2 2 2 47 2 4" xfId="26014"/>
    <cellStyle name="Normal 2 2 2 2 47 3" xfId="5792"/>
    <cellStyle name="Normal 2 2 2 2 47 3 2" xfId="5793"/>
    <cellStyle name="Normal 2 2 2 2 47 3 2 2" xfId="17158"/>
    <cellStyle name="Normal 2 2 2 2 47 3 2 2 2" xfId="26015"/>
    <cellStyle name="Normal 2 2 2 2 47 3 2 3" xfId="26016"/>
    <cellStyle name="Normal 2 2 2 2 47 3 3" xfId="17159"/>
    <cellStyle name="Normal 2 2 2 2 47 3 3 2" xfId="26017"/>
    <cellStyle name="Normal 2 2 2 2 47 3 4" xfId="26018"/>
    <cellStyle name="Normal 2 2 2 2 47 4" xfId="5794"/>
    <cellStyle name="Normal 2 2 2 2 47 4 2" xfId="17160"/>
    <cellStyle name="Normal 2 2 2 2 47 4 2 2" xfId="26019"/>
    <cellStyle name="Normal 2 2 2 2 47 4 3" xfId="26020"/>
    <cellStyle name="Normal 2 2 2 2 47 5" xfId="17161"/>
    <cellStyle name="Normal 2 2 2 2 47 5 2" xfId="26021"/>
    <cellStyle name="Normal 2 2 2 2 47 6" xfId="26022"/>
    <cellStyle name="Normal 2 2 2 2 48" xfId="5795"/>
    <cellStyle name="Normal 2 2 2 2 48 2" xfId="5796"/>
    <cellStyle name="Normal 2 2 2 2 48 2 2" xfId="5797"/>
    <cellStyle name="Normal 2 2 2 2 48 2 2 2" xfId="17162"/>
    <cellStyle name="Normal 2 2 2 2 48 2 2 2 2" xfId="26023"/>
    <cellStyle name="Normal 2 2 2 2 48 2 2 3" xfId="26024"/>
    <cellStyle name="Normal 2 2 2 2 48 2 3" xfId="17163"/>
    <cellStyle name="Normal 2 2 2 2 48 2 3 2" xfId="26025"/>
    <cellStyle name="Normal 2 2 2 2 48 2 4" xfId="26026"/>
    <cellStyle name="Normal 2 2 2 2 48 3" xfId="5798"/>
    <cellStyle name="Normal 2 2 2 2 48 3 2" xfId="5799"/>
    <cellStyle name="Normal 2 2 2 2 48 3 2 2" xfId="17164"/>
    <cellStyle name="Normal 2 2 2 2 48 3 2 2 2" xfId="26027"/>
    <cellStyle name="Normal 2 2 2 2 48 3 2 3" xfId="26028"/>
    <cellStyle name="Normal 2 2 2 2 48 3 3" xfId="17165"/>
    <cellStyle name="Normal 2 2 2 2 48 3 3 2" xfId="26029"/>
    <cellStyle name="Normal 2 2 2 2 48 3 4" xfId="26030"/>
    <cellStyle name="Normal 2 2 2 2 48 4" xfId="5800"/>
    <cellStyle name="Normal 2 2 2 2 48 4 2" xfId="17166"/>
    <cellStyle name="Normal 2 2 2 2 48 4 2 2" xfId="26031"/>
    <cellStyle name="Normal 2 2 2 2 48 4 3" xfId="26032"/>
    <cellStyle name="Normal 2 2 2 2 48 5" xfId="17167"/>
    <cellStyle name="Normal 2 2 2 2 48 5 2" xfId="26033"/>
    <cellStyle name="Normal 2 2 2 2 48 6" xfId="26034"/>
    <cellStyle name="Normal 2 2 2 2 49" xfId="5801"/>
    <cellStyle name="Normal 2 2 2 2 49 2" xfId="5802"/>
    <cellStyle name="Normal 2 2 2 2 49 2 2" xfId="5803"/>
    <cellStyle name="Normal 2 2 2 2 49 2 2 2" xfId="17168"/>
    <cellStyle name="Normal 2 2 2 2 49 2 2 2 2" xfId="26035"/>
    <cellStyle name="Normal 2 2 2 2 49 2 2 3" xfId="26036"/>
    <cellStyle name="Normal 2 2 2 2 49 2 3" xfId="17169"/>
    <cellStyle name="Normal 2 2 2 2 49 2 3 2" xfId="26037"/>
    <cellStyle name="Normal 2 2 2 2 49 2 4" xfId="26038"/>
    <cellStyle name="Normal 2 2 2 2 49 3" xfId="5804"/>
    <cellStyle name="Normal 2 2 2 2 49 3 2" xfId="5805"/>
    <cellStyle name="Normal 2 2 2 2 49 3 2 2" xfId="17170"/>
    <cellStyle name="Normal 2 2 2 2 49 3 2 2 2" xfId="26039"/>
    <cellStyle name="Normal 2 2 2 2 49 3 2 3" xfId="26040"/>
    <cellStyle name="Normal 2 2 2 2 49 3 3" xfId="17171"/>
    <cellStyle name="Normal 2 2 2 2 49 3 3 2" xfId="26041"/>
    <cellStyle name="Normal 2 2 2 2 49 3 4" xfId="26042"/>
    <cellStyle name="Normal 2 2 2 2 49 4" xfId="5806"/>
    <cellStyle name="Normal 2 2 2 2 49 4 2" xfId="17172"/>
    <cellStyle name="Normal 2 2 2 2 49 4 2 2" xfId="26043"/>
    <cellStyle name="Normal 2 2 2 2 49 4 3" xfId="26044"/>
    <cellStyle name="Normal 2 2 2 2 49 5" xfId="17173"/>
    <cellStyle name="Normal 2 2 2 2 49 5 2" xfId="26045"/>
    <cellStyle name="Normal 2 2 2 2 49 6" xfId="26046"/>
    <cellStyle name="Normal 2 2 2 2 5" xfId="5807"/>
    <cellStyle name="Normal 2 2 2 2 5 2" xfId="5808"/>
    <cellStyle name="Normal 2 2 2 2 5 2 2" xfId="5809"/>
    <cellStyle name="Normal 2 2 2 2 5 2 2 2" xfId="17174"/>
    <cellStyle name="Normal 2 2 2 2 5 2 2 2 2" xfId="26047"/>
    <cellStyle name="Normal 2 2 2 2 5 2 2 3" xfId="26048"/>
    <cellStyle name="Normal 2 2 2 2 5 2 3" xfId="17175"/>
    <cellStyle name="Normal 2 2 2 2 5 2 3 2" xfId="26049"/>
    <cellStyle name="Normal 2 2 2 2 5 2 4" xfId="26050"/>
    <cellStyle name="Normal 2 2 2 2 5 3" xfId="5810"/>
    <cellStyle name="Normal 2 2 2 2 5 3 2" xfId="5811"/>
    <cellStyle name="Normal 2 2 2 2 5 3 2 2" xfId="17176"/>
    <cellStyle name="Normal 2 2 2 2 5 3 2 2 2" xfId="26051"/>
    <cellStyle name="Normal 2 2 2 2 5 3 2 3" xfId="26052"/>
    <cellStyle name="Normal 2 2 2 2 5 3 3" xfId="17177"/>
    <cellStyle name="Normal 2 2 2 2 5 3 3 2" xfId="26053"/>
    <cellStyle name="Normal 2 2 2 2 5 3 4" xfId="26054"/>
    <cellStyle name="Normal 2 2 2 2 5 4" xfId="5812"/>
    <cellStyle name="Normal 2 2 2 2 5 4 2" xfId="17178"/>
    <cellStyle name="Normal 2 2 2 2 5 4 2 2" xfId="26055"/>
    <cellStyle name="Normal 2 2 2 2 5 4 3" xfId="26056"/>
    <cellStyle name="Normal 2 2 2 2 5 5" xfId="17179"/>
    <cellStyle name="Normal 2 2 2 2 5 5 2" xfId="26057"/>
    <cellStyle name="Normal 2 2 2 2 5 6" xfId="26058"/>
    <cellStyle name="Normal 2 2 2 2 50" xfId="5813"/>
    <cellStyle name="Normal 2 2 2 2 50 2" xfId="5814"/>
    <cellStyle name="Normal 2 2 2 2 50 2 2" xfId="5815"/>
    <cellStyle name="Normal 2 2 2 2 50 2 2 2" xfId="17180"/>
    <cellStyle name="Normal 2 2 2 2 50 2 2 2 2" xfId="26059"/>
    <cellStyle name="Normal 2 2 2 2 50 2 2 3" xfId="26060"/>
    <cellStyle name="Normal 2 2 2 2 50 2 3" xfId="17181"/>
    <cellStyle name="Normal 2 2 2 2 50 2 3 2" xfId="26061"/>
    <cellStyle name="Normal 2 2 2 2 50 2 4" xfId="26062"/>
    <cellStyle name="Normal 2 2 2 2 50 3" xfId="5816"/>
    <cellStyle name="Normal 2 2 2 2 50 3 2" xfId="5817"/>
    <cellStyle name="Normal 2 2 2 2 50 3 2 2" xfId="17182"/>
    <cellStyle name="Normal 2 2 2 2 50 3 2 2 2" xfId="26063"/>
    <cellStyle name="Normal 2 2 2 2 50 3 2 3" xfId="26064"/>
    <cellStyle name="Normal 2 2 2 2 50 3 3" xfId="17183"/>
    <cellStyle name="Normal 2 2 2 2 50 3 3 2" xfId="26065"/>
    <cellStyle name="Normal 2 2 2 2 50 3 4" xfId="26066"/>
    <cellStyle name="Normal 2 2 2 2 50 4" xfId="5818"/>
    <cellStyle name="Normal 2 2 2 2 50 4 2" xfId="17184"/>
    <cellStyle name="Normal 2 2 2 2 50 4 2 2" xfId="26067"/>
    <cellStyle name="Normal 2 2 2 2 50 4 3" xfId="26068"/>
    <cellStyle name="Normal 2 2 2 2 50 5" xfId="17185"/>
    <cellStyle name="Normal 2 2 2 2 50 5 2" xfId="26069"/>
    <cellStyle name="Normal 2 2 2 2 50 6" xfId="26070"/>
    <cellStyle name="Normal 2 2 2 2 51" xfId="5819"/>
    <cellStyle name="Normal 2 2 2 2 51 2" xfId="5820"/>
    <cellStyle name="Normal 2 2 2 2 51 2 2" xfId="5821"/>
    <cellStyle name="Normal 2 2 2 2 51 2 2 2" xfId="17186"/>
    <cellStyle name="Normal 2 2 2 2 51 2 2 2 2" xfId="26071"/>
    <cellStyle name="Normal 2 2 2 2 51 2 2 3" xfId="26072"/>
    <cellStyle name="Normal 2 2 2 2 51 2 3" xfId="17187"/>
    <cellStyle name="Normal 2 2 2 2 51 2 3 2" xfId="26073"/>
    <cellStyle name="Normal 2 2 2 2 51 2 4" xfId="26074"/>
    <cellStyle name="Normal 2 2 2 2 51 3" xfId="5822"/>
    <cellStyle name="Normal 2 2 2 2 51 3 2" xfId="5823"/>
    <cellStyle name="Normal 2 2 2 2 51 3 2 2" xfId="17188"/>
    <cellStyle name="Normal 2 2 2 2 51 3 2 2 2" xfId="26075"/>
    <cellStyle name="Normal 2 2 2 2 51 3 2 3" xfId="26076"/>
    <cellStyle name="Normal 2 2 2 2 51 3 3" xfId="17189"/>
    <cellStyle name="Normal 2 2 2 2 51 3 3 2" xfId="26077"/>
    <cellStyle name="Normal 2 2 2 2 51 3 4" xfId="26078"/>
    <cellStyle name="Normal 2 2 2 2 51 4" xfId="5824"/>
    <cellStyle name="Normal 2 2 2 2 51 4 2" xfId="17190"/>
    <cellStyle name="Normal 2 2 2 2 51 4 2 2" xfId="26079"/>
    <cellStyle name="Normal 2 2 2 2 51 4 3" xfId="26080"/>
    <cellStyle name="Normal 2 2 2 2 51 5" xfId="17191"/>
    <cellStyle name="Normal 2 2 2 2 51 5 2" xfId="26081"/>
    <cellStyle name="Normal 2 2 2 2 51 6" xfId="26082"/>
    <cellStyle name="Normal 2 2 2 2 52" xfId="5825"/>
    <cellStyle name="Normal 2 2 2 2 52 2" xfId="5826"/>
    <cellStyle name="Normal 2 2 2 2 52 2 2" xfId="5827"/>
    <cellStyle name="Normal 2 2 2 2 52 2 2 2" xfId="17192"/>
    <cellStyle name="Normal 2 2 2 2 52 2 2 2 2" xfId="26083"/>
    <cellStyle name="Normal 2 2 2 2 52 2 2 3" xfId="26084"/>
    <cellStyle name="Normal 2 2 2 2 52 2 3" xfId="17193"/>
    <cellStyle name="Normal 2 2 2 2 52 2 3 2" xfId="26085"/>
    <cellStyle name="Normal 2 2 2 2 52 2 4" xfId="26086"/>
    <cellStyle name="Normal 2 2 2 2 52 3" xfId="5828"/>
    <cellStyle name="Normal 2 2 2 2 52 3 2" xfId="5829"/>
    <cellStyle name="Normal 2 2 2 2 52 3 2 2" xfId="17194"/>
    <cellStyle name="Normal 2 2 2 2 52 3 2 2 2" xfId="26087"/>
    <cellStyle name="Normal 2 2 2 2 52 3 2 3" xfId="26088"/>
    <cellStyle name="Normal 2 2 2 2 52 3 3" xfId="17195"/>
    <cellStyle name="Normal 2 2 2 2 52 3 3 2" xfId="26089"/>
    <cellStyle name="Normal 2 2 2 2 52 3 4" xfId="26090"/>
    <cellStyle name="Normal 2 2 2 2 52 4" xfId="5830"/>
    <cellStyle name="Normal 2 2 2 2 52 4 2" xfId="17196"/>
    <cellStyle name="Normal 2 2 2 2 52 4 2 2" xfId="26091"/>
    <cellStyle name="Normal 2 2 2 2 52 4 3" xfId="26092"/>
    <cellStyle name="Normal 2 2 2 2 52 5" xfId="17197"/>
    <cellStyle name="Normal 2 2 2 2 52 5 2" xfId="26093"/>
    <cellStyle name="Normal 2 2 2 2 52 6" xfId="26094"/>
    <cellStyle name="Normal 2 2 2 2 53" xfId="5831"/>
    <cellStyle name="Normal 2 2 2 2 53 2" xfId="5832"/>
    <cellStyle name="Normal 2 2 2 2 53 2 2" xfId="5833"/>
    <cellStyle name="Normal 2 2 2 2 53 2 2 2" xfId="17198"/>
    <cellStyle name="Normal 2 2 2 2 53 2 2 2 2" xfId="26095"/>
    <cellStyle name="Normal 2 2 2 2 53 2 2 3" xfId="26096"/>
    <cellStyle name="Normal 2 2 2 2 53 2 3" xfId="17199"/>
    <cellStyle name="Normal 2 2 2 2 53 2 3 2" xfId="26097"/>
    <cellStyle name="Normal 2 2 2 2 53 2 4" xfId="26098"/>
    <cellStyle name="Normal 2 2 2 2 53 3" xfId="5834"/>
    <cellStyle name="Normal 2 2 2 2 53 3 2" xfId="5835"/>
    <cellStyle name="Normal 2 2 2 2 53 3 2 2" xfId="17200"/>
    <cellStyle name="Normal 2 2 2 2 53 3 2 2 2" xfId="26099"/>
    <cellStyle name="Normal 2 2 2 2 53 3 2 3" xfId="26100"/>
    <cellStyle name="Normal 2 2 2 2 53 3 3" xfId="17201"/>
    <cellStyle name="Normal 2 2 2 2 53 3 3 2" xfId="26101"/>
    <cellStyle name="Normal 2 2 2 2 53 3 4" xfId="26102"/>
    <cellStyle name="Normal 2 2 2 2 53 4" xfId="5836"/>
    <cellStyle name="Normal 2 2 2 2 53 4 2" xfId="17202"/>
    <cellStyle name="Normal 2 2 2 2 53 4 2 2" xfId="26103"/>
    <cellStyle name="Normal 2 2 2 2 53 4 3" xfId="26104"/>
    <cellStyle name="Normal 2 2 2 2 53 5" xfId="17203"/>
    <cellStyle name="Normal 2 2 2 2 53 5 2" xfId="26105"/>
    <cellStyle name="Normal 2 2 2 2 53 6" xfId="26106"/>
    <cellStyle name="Normal 2 2 2 2 54" xfId="5837"/>
    <cellStyle name="Normal 2 2 2 2 54 2" xfId="5838"/>
    <cellStyle name="Normal 2 2 2 2 54 2 2" xfId="5839"/>
    <cellStyle name="Normal 2 2 2 2 54 2 2 2" xfId="17204"/>
    <cellStyle name="Normal 2 2 2 2 54 2 2 2 2" xfId="26107"/>
    <cellStyle name="Normal 2 2 2 2 54 2 2 3" xfId="26108"/>
    <cellStyle name="Normal 2 2 2 2 54 2 3" xfId="17205"/>
    <cellStyle name="Normal 2 2 2 2 54 2 3 2" xfId="26109"/>
    <cellStyle name="Normal 2 2 2 2 54 2 4" xfId="26110"/>
    <cellStyle name="Normal 2 2 2 2 54 3" xfId="5840"/>
    <cellStyle name="Normal 2 2 2 2 54 3 2" xfId="5841"/>
    <cellStyle name="Normal 2 2 2 2 54 3 2 2" xfId="17206"/>
    <cellStyle name="Normal 2 2 2 2 54 3 2 2 2" xfId="26111"/>
    <cellStyle name="Normal 2 2 2 2 54 3 2 3" xfId="26112"/>
    <cellStyle name="Normal 2 2 2 2 54 3 3" xfId="17207"/>
    <cellStyle name="Normal 2 2 2 2 54 3 3 2" xfId="26113"/>
    <cellStyle name="Normal 2 2 2 2 54 3 4" xfId="26114"/>
    <cellStyle name="Normal 2 2 2 2 54 4" xfId="5842"/>
    <cellStyle name="Normal 2 2 2 2 54 4 2" xfId="17208"/>
    <cellStyle name="Normal 2 2 2 2 54 4 2 2" xfId="26115"/>
    <cellStyle name="Normal 2 2 2 2 54 4 3" xfId="26116"/>
    <cellStyle name="Normal 2 2 2 2 54 5" xfId="17209"/>
    <cellStyle name="Normal 2 2 2 2 54 5 2" xfId="26117"/>
    <cellStyle name="Normal 2 2 2 2 54 6" xfId="26118"/>
    <cellStyle name="Normal 2 2 2 2 55" xfId="5843"/>
    <cellStyle name="Normal 2 2 2 2 55 2" xfId="5844"/>
    <cellStyle name="Normal 2 2 2 2 55 2 2" xfId="5845"/>
    <cellStyle name="Normal 2 2 2 2 55 2 2 2" xfId="17210"/>
    <cellStyle name="Normal 2 2 2 2 55 2 2 2 2" xfId="26119"/>
    <cellStyle name="Normal 2 2 2 2 55 2 2 3" xfId="26120"/>
    <cellStyle name="Normal 2 2 2 2 55 2 3" xfId="17211"/>
    <cellStyle name="Normal 2 2 2 2 55 2 3 2" xfId="26121"/>
    <cellStyle name="Normal 2 2 2 2 55 2 4" xfId="26122"/>
    <cellStyle name="Normal 2 2 2 2 55 3" xfId="5846"/>
    <cellStyle name="Normal 2 2 2 2 55 3 2" xfId="5847"/>
    <cellStyle name="Normal 2 2 2 2 55 3 2 2" xfId="17212"/>
    <cellStyle name="Normal 2 2 2 2 55 3 2 2 2" xfId="26123"/>
    <cellStyle name="Normal 2 2 2 2 55 3 2 3" xfId="26124"/>
    <cellStyle name="Normal 2 2 2 2 55 3 3" xfId="17213"/>
    <cellStyle name="Normal 2 2 2 2 55 3 3 2" xfId="26125"/>
    <cellStyle name="Normal 2 2 2 2 55 3 4" xfId="26126"/>
    <cellStyle name="Normal 2 2 2 2 55 4" xfId="5848"/>
    <cellStyle name="Normal 2 2 2 2 55 4 2" xfId="17214"/>
    <cellStyle name="Normal 2 2 2 2 55 4 2 2" xfId="26127"/>
    <cellStyle name="Normal 2 2 2 2 55 4 3" xfId="26128"/>
    <cellStyle name="Normal 2 2 2 2 55 5" xfId="17215"/>
    <cellStyle name="Normal 2 2 2 2 55 5 2" xfId="26129"/>
    <cellStyle name="Normal 2 2 2 2 55 6" xfId="26130"/>
    <cellStyle name="Normal 2 2 2 2 56" xfId="5849"/>
    <cellStyle name="Normal 2 2 2 2 56 2" xfId="5850"/>
    <cellStyle name="Normal 2 2 2 2 56 2 2" xfId="5851"/>
    <cellStyle name="Normal 2 2 2 2 56 2 2 2" xfId="17216"/>
    <cellStyle name="Normal 2 2 2 2 56 2 2 2 2" xfId="26131"/>
    <cellStyle name="Normal 2 2 2 2 56 2 2 3" xfId="26132"/>
    <cellStyle name="Normal 2 2 2 2 56 2 3" xfId="17217"/>
    <cellStyle name="Normal 2 2 2 2 56 2 3 2" xfId="26133"/>
    <cellStyle name="Normal 2 2 2 2 56 2 4" xfId="26134"/>
    <cellStyle name="Normal 2 2 2 2 56 3" xfId="5852"/>
    <cellStyle name="Normal 2 2 2 2 56 3 2" xfId="5853"/>
    <cellStyle name="Normal 2 2 2 2 56 3 2 2" xfId="17218"/>
    <cellStyle name="Normal 2 2 2 2 56 3 2 2 2" xfId="26135"/>
    <cellStyle name="Normal 2 2 2 2 56 3 2 3" xfId="26136"/>
    <cellStyle name="Normal 2 2 2 2 56 3 3" xfId="17219"/>
    <cellStyle name="Normal 2 2 2 2 56 3 3 2" xfId="26137"/>
    <cellStyle name="Normal 2 2 2 2 56 3 4" xfId="26138"/>
    <cellStyle name="Normal 2 2 2 2 56 4" xfId="5854"/>
    <cellStyle name="Normal 2 2 2 2 56 4 2" xfId="17220"/>
    <cellStyle name="Normal 2 2 2 2 56 4 2 2" xfId="26139"/>
    <cellStyle name="Normal 2 2 2 2 56 4 3" xfId="26140"/>
    <cellStyle name="Normal 2 2 2 2 56 5" xfId="17221"/>
    <cellStyle name="Normal 2 2 2 2 56 5 2" xfId="26141"/>
    <cellStyle name="Normal 2 2 2 2 56 6" xfId="26142"/>
    <cellStyle name="Normal 2 2 2 2 57" xfId="5855"/>
    <cellStyle name="Normal 2 2 2 2 57 2" xfId="5856"/>
    <cellStyle name="Normal 2 2 2 2 57 2 2" xfId="5857"/>
    <cellStyle name="Normal 2 2 2 2 57 2 2 2" xfId="17222"/>
    <cellStyle name="Normal 2 2 2 2 57 2 2 2 2" xfId="26143"/>
    <cellStyle name="Normal 2 2 2 2 57 2 2 3" xfId="26144"/>
    <cellStyle name="Normal 2 2 2 2 57 2 3" xfId="17223"/>
    <cellStyle name="Normal 2 2 2 2 57 2 3 2" xfId="26145"/>
    <cellStyle name="Normal 2 2 2 2 57 2 4" xfId="26146"/>
    <cellStyle name="Normal 2 2 2 2 57 3" xfId="5858"/>
    <cellStyle name="Normal 2 2 2 2 57 3 2" xfId="5859"/>
    <cellStyle name="Normal 2 2 2 2 57 3 2 2" xfId="17224"/>
    <cellStyle name="Normal 2 2 2 2 57 3 2 2 2" xfId="26147"/>
    <cellStyle name="Normal 2 2 2 2 57 3 2 3" xfId="26148"/>
    <cellStyle name="Normal 2 2 2 2 57 3 3" xfId="17225"/>
    <cellStyle name="Normal 2 2 2 2 57 3 3 2" xfId="26149"/>
    <cellStyle name="Normal 2 2 2 2 57 3 4" xfId="26150"/>
    <cellStyle name="Normal 2 2 2 2 57 4" xfId="5860"/>
    <cellStyle name="Normal 2 2 2 2 57 4 2" xfId="17226"/>
    <cellStyle name="Normal 2 2 2 2 57 4 2 2" xfId="26151"/>
    <cellStyle name="Normal 2 2 2 2 57 4 3" xfId="26152"/>
    <cellStyle name="Normal 2 2 2 2 57 5" xfId="17227"/>
    <cellStyle name="Normal 2 2 2 2 57 5 2" xfId="26153"/>
    <cellStyle name="Normal 2 2 2 2 57 6" xfId="26154"/>
    <cellStyle name="Normal 2 2 2 2 58" xfId="5861"/>
    <cellStyle name="Normal 2 2 2 2 58 2" xfId="5862"/>
    <cellStyle name="Normal 2 2 2 2 58 2 2" xfId="5863"/>
    <cellStyle name="Normal 2 2 2 2 58 2 2 2" xfId="17228"/>
    <cellStyle name="Normal 2 2 2 2 58 2 2 2 2" xfId="26155"/>
    <cellStyle name="Normal 2 2 2 2 58 2 2 3" xfId="26156"/>
    <cellStyle name="Normal 2 2 2 2 58 2 3" xfId="17229"/>
    <cellStyle name="Normal 2 2 2 2 58 2 3 2" xfId="26157"/>
    <cellStyle name="Normal 2 2 2 2 58 2 4" xfId="26158"/>
    <cellStyle name="Normal 2 2 2 2 58 3" xfId="5864"/>
    <cellStyle name="Normal 2 2 2 2 58 3 2" xfId="5865"/>
    <cellStyle name="Normal 2 2 2 2 58 3 2 2" xfId="17230"/>
    <cellStyle name="Normal 2 2 2 2 58 3 2 2 2" xfId="26159"/>
    <cellStyle name="Normal 2 2 2 2 58 3 2 3" xfId="26160"/>
    <cellStyle name="Normal 2 2 2 2 58 3 3" xfId="17231"/>
    <cellStyle name="Normal 2 2 2 2 58 3 3 2" xfId="26161"/>
    <cellStyle name="Normal 2 2 2 2 58 3 4" xfId="26162"/>
    <cellStyle name="Normal 2 2 2 2 58 4" xfId="5866"/>
    <cellStyle name="Normal 2 2 2 2 58 4 2" xfId="17232"/>
    <cellStyle name="Normal 2 2 2 2 58 4 2 2" xfId="26163"/>
    <cellStyle name="Normal 2 2 2 2 58 4 3" xfId="26164"/>
    <cellStyle name="Normal 2 2 2 2 58 5" xfId="17233"/>
    <cellStyle name="Normal 2 2 2 2 58 5 2" xfId="26165"/>
    <cellStyle name="Normal 2 2 2 2 58 6" xfId="26166"/>
    <cellStyle name="Normal 2 2 2 2 59" xfId="5867"/>
    <cellStyle name="Normal 2 2 2 2 59 2" xfId="5868"/>
    <cellStyle name="Normal 2 2 2 2 59 2 2" xfId="5869"/>
    <cellStyle name="Normal 2 2 2 2 59 2 2 2" xfId="17234"/>
    <cellStyle name="Normal 2 2 2 2 59 2 2 2 2" xfId="26167"/>
    <cellStyle name="Normal 2 2 2 2 59 2 2 3" xfId="26168"/>
    <cellStyle name="Normal 2 2 2 2 59 2 3" xfId="17235"/>
    <cellStyle name="Normal 2 2 2 2 59 2 3 2" xfId="26169"/>
    <cellStyle name="Normal 2 2 2 2 59 2 4" xfId="26170"/>
    <cellStyle name="Normal 2 2 2 2 59 3" xfId="5870"/>
    <cellStyle name="Normal 2 2 2 2 59 3 2" xfId="5871"/>
    <cellStyle name="Normal 2 2 2 2 59 3 2 2" xfId="17236"/>
    <cellStyle name="Normal 2 2 2 2 59 3 2 2 2" xfId="26171"/>
    <cellStyle name="Normal 2 2 2 2 59 3 2 3" xfId="26172"/>
    <cellStyle name="Normal 2 2 2 2 59 3 3" xfId="17237"/>
    <cellStyle name="Normal 2 2 2 2 59 3 3 2" xfId="26173"/>
    <cellStyle name="Normal 2 2 2 2 59 3 4" xfId="26174"/>
    <cellStyle name="Normal 2 2 2 2 59 4" xfId="5872"/>
    <cellStyle name="Normal 2 2 2 2 59 4 2" xfId="17238"/>
    <cellStyle name="Normal 2 2 2 2 59 4 2 2" xfId="26175"/>
    <cellStyle name="Normal 2 2 2 2 59 4 3" xfId="26176"/>
    <cellStyle name="Normal 2 2 2 2 59 5" xfId="17239"/>
    <cellStyle name="Normal 2 2 2 2 59 5 2" xfId="26177"/>
    <cellStyle name="Normal 2 2 2 2 59 6" xfId="26178"/>
    <cellStyle name="Normal 2 2 2 2 6" xfId="5873"/>
    <cellStyle name="Normal 2 2 2 2 6 2" xfId="5874"/>
    <cellStyle name="Normal 2 2 2 2 6 2 2" xfId="5875"/>
    <cellStyle name="Normal 2 2 2 2 6 2 2 2" xfId="17240"/>
    <cellStyle name="Normal 2 2 2 2 6 2 2 2 2" xfId="26179"/>
    <cellStyle name="Normal 2 2 2 2 6 2 2 3" xfId="26180"/>
    <cellStyle name="Normal 2 2 2 2 6 2 3" xfId="17241"/>
    <cellStyle name="Normal 2 2 2 2 6 2 3 2" xfId="26181"/>
    <cellStyle name="Normal 2 2 2 2 6 2 4" xfId="26182"/>
    <cellStyle name="Normal 2 2 2 2 6 3" xfId="5876"/>
    <cellStyle name="Normal 2 2 2 2 6 3 2" xfId="5877"/>
    <cellStyle name="Normal 2 2 2 2 6 3 2 2" xfId="17242"/>
    <cellStyle name="Normal 2 2 2 2 6 3 2 2 2" xfId="26183"/>
    <cellStyle name="Normal 2 2 2 2 6 3 2 3" xfId="26184"/>
    <cellStyle name="Normal 2 2 2 2 6 3 3" xfId="17243"/>
    <cellStyle name="Normal 2 2 2 2 6 3 3 2" xfId="26185"/>
    <cellStyle name="Normal 2 2 2 2 6 3 4" xfId="26186"/>
    <cellStyle name="Normal 2 2 2 2 6 4" xfId="5878"/>
    <cellStyle name="Normal 2 2 2 2 6 4 2" xfId="17244"/>
    <cellStyle name="Normal 2 2 2 2 6 4 2 2" xfId="26187"/>
    <cellStyle name="Normal 2 2 2 2 6 4 3" xfId="26188"/>
    <cellStyle name="Normal 2 2 2 2 6 5" xfId="17245"/>
    <cellStyle name="Normal 2 2 2 2 6 5 2" xfId="26189"/>
    <cellStyle name="Normal 2 2 2 2 6 6" xfId="26190"/>
    <cellStyle name="Normal 2 2 2 2 60" xfId="5879"/>
    <cellStyle name="Normal 2 2 2 2 60 2" xfId="5880"/>
    <cellStyle name="Normal 2 2 2 2 60 2 2" xfId="5881"/>
    <cellStyle name="Normal 2 2 2 2 60 2 2 2" xfId="17246"/>
    <cellStyle name="Normal 2 2 2 2 60 2 2 2 2" xfId="26191"/>
    <cellStyle name="Normal 2 2 2 2 60 2 2 3" xfId="26192"/>
    <cellStyle name="Normal 2 2 2 2 60 2 3" xfId="17247"/>
    <cellStyle name="Normal 2 2 2 2 60 2 3 2" xfId="26193"/>
    <cellStyle name="Normal 2 2 2 2 60 2 4" xfId="26194"/>
    <cellStyle name="Normal 2 2 2 2 60 3" xfId="5882"/>
    <cellStyle name="Normal 2 2 2 2 60 3 2" xfId="5883"/>
    <cellStyle name="Normal 2 2 2 2 60 3 2 2" xfId="17248"/>
    <cellStyle name="Normal 2 2 2 2 60 3 2 2 2" xfId="26195"/>
    <cellStyle name="Normal 2 2 2 2 60 3 2 3" xfId="26196"/>
    <cellStyle name="Normal 2 2 2 2 60 3 3" xfId="17249"/>
    <cellStyle name="Normal 2 2 2 2 60 3 3 2" xfId="26197"/>
    <cellStyle name="Normal 2 2 2 2 60 3 4" xfId="26198"/>
    <cellStyle name="Normal 2 2 2 2 60 4" xfId="5884"/>
    <cellStyle name="Normal 2 2 2 2 60 4 2" xfId="17250"/>
    <cellStyle name="Normal 2 2 2 2 60 4 2 2" xfId="26199"/>
    <cellStyle name="Normal 2 2 2 2 60 4 3" xfId="26200"/>
    <cellStyle name="Normal 2 2 2 2 60 5" xfId="17251"/>
    <cellStyle name="Normal 2 2 2 2 60 5 2" xfId="26201"/>
    <cellStyle name="Normal 2 2 2 2 60 6" xfId="26202"/>
    <cellStyle name="Normal 2 2 2 2 61" xfId="5885"/>
    <cellStyle name="Normal 2 2 2 2 61 2" xfId="5886"/>
    <cellStyle name="Normal 2 2 2 2 61 2 2" xfId="5887"/>
    <cellStyle name="Normal 2 2 2 2 61 2 2 2" xfId="17252"/>
    <cellStyle name="Normal 2 2 2 2 61 2 2 2 2" xfId="26203"/>
    <cellStyle name="Normal 2 2 2 2 61 2 2 3" xfId="26204"/>
    <cellStyle name="Normal 2 2 2 2 61 2 3" xfId="17253"/>
    <cellStyle name="Normal 2 2 2 2 61 2 3 2" xfId="26205"/>
    <cellStyle name="Normal 2 2 2 2 61 2 4" xfId="26206"/>
    <cellStyle name="Normal 2 2 2 2 61 3" xfId="5888"/>
    <cellStyle name="Normal 2 2 2 2 61 3 2" xfId="5889"/>
    <cellStyle name="Normal 2 2 2 2 61 3 2 2" xfId="17254"/>
    <cellStyle name="Normal 2 2 2 2 61 3 2 2 2" xfId="26207"/>
    <cellStyle name="Normal 2 2 2 2 61 3 2 3" xfId="26208"/>
    <cellStyle name="Normal 2 2 2 2 61 3 3" xfId="17255"/>
    <cellStyle name="Normal 2 2 2 2 61 3 3 2" xfId="26209"/>
    <cellStyle name="Normal 2 2 2 2 61 3 4" xfId="26210"/>
    <cellStyle name="Normal 2 2 2 2 61 4" xfId="5890"/>
    <cellStyle name="Normal 2 2 2 2 61 4 2" xfId="17256"/>
    <cellStyle name="Normal 2 2 2 2 61 4 2 2" xfId="26211"/>
    <cellStyle name="Normal 2 2 2 2 61 4 3" xfId="26212"/>
    <cellStyle name="Normal 2 2 2 2 61 5" xfId="17257"/>
    <cellStyle name="Normal 2 2 2 2 61 5 2" xfId="26213"/>
    <cellStyle name="Normal 2 2 2 2 61 6" xfId="26214"/>
    <cellStyle name="Normal 2 2 2 2 62" xfId="5891"/>
    <cellStyle name="Normal 2 2 2 2 62 2" xfId="5892"/>
    <cellStyle name="Normal 2 2 2 2 62 2 2" xfId="5893"/>
    <cellStyle name="Normal 2 2 2 2 62 2 2 2" xfId="17258"/>
    <cellStyle name="Normal 2 2 2 2 62 2 2 2 2" xfId="26215"/>
    <cellStyle name="Normal 2 2 2 2 62 2 2 3" xfId="26216"/>
    <cellStyle name="Normal 2 2 2 2 62 2 3" xfId="17259"/>
    <cellStyle name="Normal 2 2 2 2 62 2 3 2" xfId="26217"/>
    <cellStyle name="Normal 2 2 2 2 62 2 4" xfId="26218"/>
    <cellStyle name="Normal 2 2 2 2 62 3" xfId="5894"/>
    <cellStyle name="Normal 2 2 2 2 62 3 2" xfId="17260"/>
    <cellStyle name="Normal 2 2 2 2 62 3 2 2" xfId="26219"/>
    <cellStyle name="Normal 2 2 2 2 62 3 3" xfId="26220"/>
    <cellStyle name="Normal 2 2 2 2 62 4" xfId="17261"/>
    <cellStyle name="Normal 2 2 2 2 62 4 2" xfId="26221"/>
    <cellStyle name="Normal 2 2 2 2 62 5" xfId="26222"/>
    <cellStyle name="Normal 2 2 2 2 63" xfId="5895"/>
    <cellStyle name="Normal 2 2 2 2 63 2" xfId="5896"/>
    <cellStyle name="Normal 2 2 2 2 63 2 2" xfId="5897"/>
    <cellStyle name="Normal 2 2 2 2 63 2 2 2" xfId="17262"/>
    <cellStyle name="Normal 2 2 2 2 63 2 2 2 2" xfId="26223"/>
    <cellStyle name="Normal 2 2 2 2 63 2 2 3" xfId="26224"/>
    <cellStyle name="Normal 2 2 2 2 63 2 3" xfId="17263"/>
    <cellStyle name="Normal 2 2 2 2 63 2 3 2" xfId="26225"/>
    <cellStyle name="Normal 2 2 2 2 63 2 4" xfId="26226"/>
    <cellStyle name="Normal 2 2 2 2 63 3" xfId="5898"/>
    <cellStyle name="Normal 2 2 2 2 63 3 2" xfId="17264"/>
    <cellStyle name="Normal 2 2 2 2 63 3 2 2" xfId="26227"/>
    <cellStyle name="Normal 2 2 2 2 63 3 3" xfId="26228"/>
    <cellStyle name="Normal 2 2 2 2 63 4" xfId="17265"/>
    <cellStyle name="Normal 2 2 2 2 63 4 2" xfId="26229"/>
    <cellStyle name="Normal 2 2 2 2 63 5" xfId="26230"/>
    <cellStyle name="Normal 2 2 2 2 64" xfId="5899"/>
    <cellStyle name="Normal 2 2 2 2 64 2" xfId="5900"/>
    <cellStyle name="Normal 2 2 2 2 64 2 2" xfId="5901"/>
    <cellStyle name="Normal 2 2 2 2 64 2 2 2" xfId="17266"/>
    <cellStyle name="Normal 2 2 2 2 64 2 2 2 2" xfId="26231"/>
    <cellStyle name="Normal 2 2 2 2 64 2 2 3" xfId="26232"/>
    <cellStyle name="Normal 2 2 2 2 64 2 3" xfId="17267"/>
    <cellStyle name="Normal 2 2 2 2 64 2 3 2" xfId="26233"/>
    <cellStyle name="Normal 2 2 2 2 64 2 4" xfId="26234"/>
    <cellStyle name="Normal 2 2 2 2 64 3" xfId="5902"/>
    <cellStyle name="Normal 2 2 2 2 64 3 2" xfId="17268"/>
    <cellStyle name="Normal 2 2 2 2 64 3 2 2" xfId="26235"/>
    <cellStyle name="Normal 2 2 2 2 64 3 3" xfId="26236"/>
    <cellStyle name="Normal 2 2 2 2 64 4" xfId="17269"/>
    <cellStyle name="Normal 2 2 2 2 64 4 2" xfId="26237"/>
    <cellStyle name="Normal 2 2 2 2 64 5" xfId="26238"/>
    <cellStyle name="Normal 2 2 2 2 65" xfId="5903"/>
    <cellStyle name="Normal 2 2 2 2 65 2" xfId="5904"/>
    <cellStyle name="Normal 2 2 2 2 65 2 2" xfId="5905"/>
    <cellStyle name="Normal 2 2 2 2 65 2 2 2" xfId="17270"/>
    <cellStyle name="Normal 2 2 2 2 65 2 2 2 2" xfId="26239"/>
    <cellStyle name="Normal 2 2 2 2 65 2 2 3" xfId="26240"/>
    <cellStyle name="Normal 2 2 2 2 65 2 3" xfId="17271"/>
    <cellStyle name="Normal 2 2 2 2 65 2 3 2" xfId="26241"/>
    <cellStyle name="Normal 2 2 2 2 65 2 4" xfId="26242"/>
    <cellStyle name="Normal 2 2 2 2 65 3" xfId="5906"/>
    <cellStyle name="Normal 2 2 2 2 65 3 2" xfId="17272"/>
    <cellStyle name="Normal 2 2 2 2 65 3 2 2" xfId="26243"/>
    <cellStyle name="Normal 2 2 2 2 65 3 3" xfId="26244"/>
    <cellStyle name="Normal 2 2 2 2 65 4" xfId="17273"/>
    <cellStyle name="Normal 2 2 2 2 65 4 2" xfId="26245"/>
    <cellStyle name="Normal 2 2 2 2 65 5" xfId="26246"/>
    <cellStyle name="Normal 2 2 2 2 66" xfId="5907"/>
    <cellStyle name="Normal 2 2 2 2 66 2" xfId="5908"/>
    <cellStyle name="Normal 2 2 2 2 66 2 2" xfId="5909"/>
    <cellStyle name="Normal 2 2 2 2 66 2 2 2" xfId="17274"/>
    <cellStyle name="Normal 2 2 2 2 66 2 2 2 2" xfId="26247"/>
    <cellStyle name="Normal 2 2 2 2 66 2 2 3" xfId="26248"/>
    <cellStyle name="Normal 2 2 2 2 66 2 3" xfId="17275"/>
    <cellStyle name="Normal 2 2 2 2 66 2 3 2" xfId="26249"/>
    <cellStyle name="Normal 2 2 2 2 66 2 4" xfId="26250"/>
    <cellStyle name="Normal 2 2 2 2 66 3" xfId="5910"/>
    <cellStyle name="Normal 2 2 2 2 66 3 2" xfId="17276"/>
    <cellStyle name="Normal 2 2 2 2 66 3 2 2" xfId="26251"/>
    <cellStyle name="Normal 2 2 2 2 66 3 3" xfId="26252"/>
    <cellStyle name="Normal 2 2 2 2 66 4" xfId="17277"/>
    <cellStyle name="Normal 2 2 2 2 66 4 2" xfId="26253"/>
    <cellStyle name="Normal 2 2 2 2 66 5" xfId="26254"/>
    <cellStyle name="Normal 2 2 2 2 67" xfId="5911"/>
    <cellStyle name="Normal 2 2 2 2 67 2" xfId="5912"/>
    <cellStyle name="Normal 2 2 2 2 67 2 2" xfId="5913"/>
    <cellStyle name="Normal 2 2 2 2 67 2 2 2" xfId="17278"/>
    <cellStyle name="Normal 2 2 2 2 67 2 2 2 2" xfId="26255"/>
    <cellStyle name="Normal 2 2 2 2 67 2 2 3" xfId="26256"/>
    <cellStyle name="Normal 2 2 2 2 67 2 3" xfId="17279"/>
    <cellStyle name="Normal 2 2 2 2 67 2 3 2" xfId="26257"/>
    <cellStyle name="Normal 2 2 2 2 67 2 4" xfId="26258"/>
    <cellStyle name="Normal 2 2 2 2 67 3" xfId="5914"/>
    <cellStyle name="Normal 2 2 2 2 67 3 2" xfId="17280"/>
    <cellStyle name="Normal 2 2 2 2 67 3 2 2" xfId="26259"/>
    <cellStyle name="Normal 2 2 2 2 67 3 3" xfId="26260"/>
    <cellStyle name="Normal 2 2 2 2 67 4" xfId="17281"/>
    <cellStyle name="Normal 2 2 2 2 67 4 2" xfId="26261"/>
    <cellStyle name="Normal 2 2 2 2 67 5" xfId="26262"/>
    <cellStyle name="Normal 2 2 2 2 68" xfId="5915"/>
    <cellStyle name="Normal 2 2 2 2 68 2" xfId="5916"/>
    <cellStyle name="Normal 2 2 2 2 68 2 2" xfId="5917"/>
    <cellStyle name="Normal 2 2 2 2 68 2 2 2" xfId="17282"/>
    <cellStyle name="Normal 2 2 2 2 68 2 2 2 2" xfId="26263"/>
    <cellStyle name="Normal 2 2 2 2 68 2 2 3" xfId="26264"/>
    <cellStyle name="Normal 2 2 2 2 68 2 3" xfId="17283"/>
    <cellStyle name="Normal 2 2 2 2 68 2 3 2" xfId="26265"/>
    <cellStyle name="Normal 2 2 2 2 68 2 4" xfId="26266"/>
    <cellStyle name="Normal 2 2 2 2 68 3" xfId="5918"/>
    <cellStyle name="Normal 2 2 2 2 68 3 2" xfId="17284"/>
    <cellStyle name="Normal 2 2 2 2 68 3 2 2" xfId="26267"/>
    <cellStyle name="Normal 2 2 2 2 68 3 3" xfId="26268"/>
    <cellStyle name="Normal 2 2 2 2 68 4" xfId="17285"/>
    <cellStyle name="Normal 2 2 2 2 68 4 2" xfId="26269"/>
    <cellStyle name="Normal 2 2 2 2 68 5" xfId="26270"/>
    <cellStyle name="Normal 2 2 2 2 69" xfId="5919"/>
    <cellStyle name="Normal 2 2 2 2 69 2" xfId="5920"/>
    <cellStyle name="Normal 2 2 2 2 69 2 2" xfId="5921"/>
    <cellStyle name="Normal 2 2 2 2 69 2 2 2" xfId="17286"/>
    <cellStyle name="Normal 2 2 2 2 69 2 2 2 2" xfId="26271"/>
    <cellStyle name="Normal 2 2 2 2 69 2 2 3" xfId="26272"/>
    <cellStyle name="Normal 2 2 2 2 69 2 3" xfId="17287"/>
    <cellStyle name="Normal 2 2 2 2 69 2 3 2" xfId="26273"/>
    <cellStyle name="Normal 2 2 2 2 69 2 4" xfId="26274"/>
    <cellStyle name="Normal 2 2 2 2 69 3" xfId="5922"/>
    <cellStyle name="Normal 2 2 2 2 69 3 2" xfId="17288"/>
    <cellStyle name="Normal 2 2 2 2 69 3 2 2" xfId="26275"/>
    <cellStyle name="Normal 2 2 2 2 69 3 3" xfId="26276"/>
    <cellStyle name="Normal 2 2 2 2 69 4" xfId="17289"/>
    <cellStyle name="Normal 2 2 2 2 69 4 2" xfId="26277"/>
    <cellStyle name="Normal 2 2 2 2 69 5" xfId="26278"/>
    <cellStyle name="Normal 2 2 2 2 7" xfId="5923"/>
    <cellStyle name="Normal 2 2 2 2 7 2" xfId="5924"/>
    <cellStyle name="Normal 2 2 2 2 7 2 2" xfId="5925"/>
    <cellStyle name="Normal 2 2 2 2 7 2 2 2" xfId="17290"/>
    <cellStyle name="Normal 2 2 2 2 7 2 2 2 2" xfId="26279"/>
    <cellStyle name="Normal 2 2 2 2 7 2 2 3" xfId="26280"/>
    <cellStyle name="Normal 2 2 2 2 7 2 3" xfId="17291"/>
    <cellStyle name="Normal 2 2 2 2 7 2 3 2" xfId="26281"/>
    <cellStyle name="Normal 2 2 2 2 7 2 4" xfId="26282"/>
    <cellStyle name="Normal 2 2 2 2 7 3" xfId="5926"/>
    <cellStyle name="Normal 2 2 2 2 7 3 2" xfId="5927"/>
    <cellStyle name="Normal 2 2 2 2 7 3 2 2" xfId="17292"/>
    <cellStyle name="Normal 2 2 2 2 7 3 2 2 2" xfId="26283"/>
    <cellStyle name="Normal 2 2 2 2 7 3 2 3" xfId="26284"/>
    <cellStyle name="Normal 2 2 2 2 7 3 3" xfId="17293"/>
    <cellStyle name="Normal 2 2 2 2 7 3 3 2" xfId="26285"/>
    <cellStyle name="Normal 2 2 2 2 7 3 4" xfId="26286"/>
    <cellStyle name="Normal 2 2 2 2 7 4" xfId="5928"/>
    <cellStyle name="Normal 2 2 2 2 7 4 2" xfId="17294"/>
    <cellStyle name="Normal 2 2 2 2 7 4 2 2" xfId="26287"/>
    <cellStyle name="Normal 2 2 2 2 7 4 3" xfId="26288"/>
    <cellStyle name="Normal 2 2 2 2 7 5" xfId="17295"/>
    <cellStyle name="Normal 2 2 2 2 7 5 2" xfId="26289"/>
    <cellStyle name="Normal 2 2 2 2 7 6" xfId="26290"/>
    <cellStyle name="Normal 2 2 2 2 70" xfId="5929"/>
    <cellStyle name="Normal 2 2 2 2 70 2" xfId="5930"/>
    <cellStyle name="Normal 2 2 2 2 70 2 2" xfId="5931"/>
    <cellStyle name="Normal 2 2 2 2 70 2 2 2" xfId="17296"/>
    <cellStyle name="Normal 2 2 2 2 70 2 2 2 2" xfId="26291"/>
    <cellStyle name="Normal 2 2 2 2 70 2 2 3" xfId="26292"/>
    <cellStyle name="Normal 2 2 2 2 70 2 3" xfId="17297"/>
    <cellStyle name="Normal 2 2 2 2 70 2 3 2" xfId="26293"/>
    <cellStyle name="Normal 2 2 2 2 70 2 4" xfId="26294"/>
    <cellStyle name="Normal 2 2 2 2 70 3" xfId="5932"/>
    <cellStyle name="Normal 2 2 2 2 70 3 2" xfId="17298"/>
    <cellStyle name="Normal 2 2 2 2 70 3 2 2" xfId="26295"/>
    <cellStyle name="Normal 2 2 2 2 70 3 3" xfId="26296"/>
    <cellStyle name="Normal 2 2 2 2 70 4" xfId="17299"/>
    <cellStyle name="Normal 2 2 2 2 70 4 2" xfId="26297"/>
    <cellStyle name="Normal 2 2 2 2 70 5" xfId="26298"/>
    <cellStyle name="Normal 2 2 2 2 71" xfId="5933"/>
    <cellStyle name="Normal 2 2 2 2 71 2" xfId="5934"/>
    <cellStyle name="Normal 2 2 2 2 71 2 2" xfId="5935"/>
    <cellStyle name="Normal 2 2 2 2 71 2 2 2" xfId="17300"/>
    <cellStyle name="Normal 2 2 2 2 71 2 2 2 2" xfId="26299"/>
    <cellStyle name="Normal 2 2 2 2 71 2 2 3" xfId="26300"/>
    <cellStyle name="Normal 2 2 2 2 71 2 3" xfId="17301"/>
    <cellStyle name="Normal 2 2 2 2 71 2 3 2" xfId="26301"/>
    <cellStyle name="Normal 2 2 2 2 71 2 4" xfId="26302"/>
    <cellStyle name="Normal 2 2 2 2 71 3" xfId="5936"/>
    <cellStyle name="Normal 2 2 2 2 71 3 2" xfId="17302"/>
    <cellStyle name="Normal 2 2 2 2 71 3 2 2" xfId="26303"/>
    <cellStyle name="Normal 2 2 2 2 71 3 3" xfId="26304"/>
    <cellStyle name="Normal 2 2 2 2 71 4" xfId="17303"/>
    <cellStyle name="Normal 2 2 2 2 71 4 2" xfId="26305"/>
    <cellStyle name="Normal 2 2 2 2 71 5" xfId="26306"/>
    <cellStyle name="Normal 2 2 2 2 72" xfId="5937"/>
    <cellStyle name="Normal 2 2 2 2 72 2" xfId="5938"/>
    <cellStyle name="Normal 2 2 2 2 72 2 2" xfId="5939"/>
    <cellStyle name="Normal 2 2 2 2 72 2 2 2" xfId="17304"/>
    <cellStyle name="Normal 2 2 2 2 72 2 2 2 2" xfId="26307"/>
    <cellStyle name="Normal 2 2 2 2 72 2 2 3" xfId="26308"/>
    <cellStyle name="Normal 2 2 2 2 72 2 3" xfId="17305"/>
    <cellStyle name="Normal 2 2 2 2 72 2 3 2" xfId="26309"/>
    <cellStyle name="Normal 2 2 2 2 72 2 4" xfId="26310"/>
    <cellStyle name="Normal 2 2 2 2 72 3" xfId="5940"/>
    <cellStyle name="Normal 2 2 2 2 72 3 2" xfId="17306"/>
    <cellStyle name="Normal 2 2 2 2 72 3 2 2" xfId="26311"/>
    <cellStyle name="Normal 2 2 2 2 72 3 3" xfId="26312"/>
    <cellStyle name="Normal 2 2 2 2 72 4" xfId="17307"/>
    <cellStyle name="Normal 2 2 2 2 72 4 2" xfId="26313"/>
    <cellStyle name="Normal 2 2 2 2 72 5" xfId="26314"/>
    <cellStyle name="Normal 2 2 2 2 73" xfId="5941"/>
    <cellStyle name="Normal 2 2 2 2 73 2" xfId="5942"/>
    <cellStyle name="Normal 2 2 2 2 73 2 2" xfId="5943"/>
    <cellStyle name="Normal 2 2 2 2 73 2 2 2" xfId="17308"/>
    <cellStyle name="Normal 2 2 2 2 73 2 2 2 2" xfId="26315"/>
    <cellStyle name="Normal 2 2 2 2 73 2 2 3" xfId="26316"/>
    <cellStyle name="Normal 2 2 2 2 73 2 3" xfId="17309"/>
    <cellStyle name="Normal 2 2 2 2 73 2 3 2" xfId="26317"/>
    <cellStyle name="Normal 2 2 2 2 73 2 4" xfId="26318"/>
    <cellStyle name="Normal 2 2 2 2 73 3" xfId="5944"/>
    <cellStyle name="Normal 2 2 2 2 73 3 2" xfId="17310"/>
    <cellStyle name="Normal 2 2 2 2 73 3 2 2" xfId="26319"/>
    <cellStyle name="Normal 2 2 2 2 73 3 3" xfId="26320"/>
    <cellStyle name="Normal 2 2 2 2 73 4" xfId="17311"/>
    <cellStyle name="Normal 2 2 2 2 73 4 2" xfId="26321"/>
    <cellStyle name="Normal 2 2 2 2 73 5" xfId="26322"/>
    <cellStyle name="Normal 2 2 2 2 74" xfId="5945"/>
    <cellStyle name="Normal 2 2 2 2 74 2" xfId="5946"/>
    <cellStyle name="Normal 2 2 2 2 74 2 2" xfId="5947"/>
    <cellStyle name="Normal 2 2 2 2 74 2 2 2" xfId="17312"/>
    <cellStyle name="Normal 2 2 2 2 74 2 2 2 2" xfId="26323"/>
    <cellStyle name="Normal 2 2 2 2 74 2 2 3" xfId="26324"/>
    <cellStyle name="Normal 2 2 2 2 74 2 3" xfId="17313"/>
    <cellStyle name="Normal 2 2 2 2 74 2 3 2" xfId="26325"/>
    <cellStyle name="Normal 2 2 2 2 74 2 4" xfId="26326"/>
    <cellStyle name="Normal 2 2 2 2 74 3" xfId="5948"/>
    <cellStyle name="Normal 2 2 2 2 74 3 2" xfId="17314"/>
    <cellStyle name="Normal 2 2 2 2 74 3 2 2" xfId="26327"/>
    <cellStyle name="Normal 2 2 2 2 74 3 3" xfId="26328"/>
    <cellStyle name="Normal 2 2 2 2 74 4" xfId="17315"/>
    <cellStyle name="Normal 2 2 2 2 74 4 2" xfId="26329"/>
    <cellStyle name="Normal 2 2 2 2 74 5" xfId="26330"/>
    <cellStyle name="Normal 2 2 2 2 75" xfId="5949"/>
    <cellStyle name="Normal 2 2 2 2 75 2" xfId="5950"/>
    <cellStyle name="Normal 2 2 2 2 75 2 2" xfId="5951"/>
    <cellStyle name="Normal 2 2 2 2 75 2 2 2" xfId="17316"/>
    <cellStyle name="Normal 2 2 2 2 75 2 2 2 2" xfId="26331"/>
    <cellStyle name="Normal 2 2 2 2 75 2 2 3" xfId="26332"/>
    <cellStyle name="Normal 2 2 2 2 75 2 3" xfId="17317"/>
    <cellStyle name="Normal 2 2 2 2 75 2 3 2" xfId="26333"/>
    <cellStyle name="Normal 2 2 2 2 75 2 4" xfId="26334"/>
    <cellStyle name="Normal 2 2 2 2 75 3" xfId="5952"/>
    <cellStyle name="Normal 2 2 2 2 75 3 2" xfId="17318"/>
    <cellStyle name="Normal 2 2 2 2 75 3 2 2" xfId="26335"/>
    <cellStyle name="Normal 2 2 2 2 75 3 3" xfId="26336"/>
    <cellStyle name="Normal 2 2 2 2 75 4" xfId="17319"/>
    <cellStyle name="Normal 2 2 2 2 75 4 2" xfId="26337"/>
    <cellStyle name="Normal 2 2 2 2 75 5" xfId="26338"/>
    <cellStyle name="Normal 2 2 2 2 76" xfId="5953"/>
    <cellStyle name="Normal 2 2 2 2 76 2" xfId="5954"/>
    <cellStyle name="Normal 2 2 2 2 76 2 2" xfId="5955"/>
    <cellStyle name="Normal 2 2 2 2 76 2 2 2" xfId="17320"/>
    <cellStyle name="Normal 2 2 2 2 76 2 2 2 2" xfId="26339"/>
    <cellStyle name="Normal 2 2 2 2 76 2 2 3" xfId="26340"/>
    <cellStyle name="Normal 2 2 2 2 76 2 3" xfId="17321"/>
    <cellStyle name="Normal 2 2 2 2 76 2 3 2" xfId="26341"/>
    <cellStyle name="Normal 2 2 2 2 76 2 4" xfId="26342"/>
    <cellStyle name="Normal 2 2 2 2 76 3" xfId="5956"/>
    <cellStyle name="Normal 2 2 2 2 76 3 2" xfId="17322"/>
    <cellStyle name="Normal 2 2 2 2 76 3 2 2" xfId="26343"/>
    <cellStyle name="Normal 2 2 2 2 76 3 3" xfId="26344"/>
    <cellStyle name="Normal 2 2 2 2 76 4" xfId="17323"/>
    <cellStyle name="Normal 2 2 2 2 76 4 2" xfId="26345"/>
    <cellStyle name="Normal 2 2 2 2 76 5" xfId="26346"/>
    <cellStyle name="Normal 2 2 2 2 77" xfId="5957"/>
    <cellStyle name="Normal 2 2 2 2 77 2" xfId="5958"/>
    <cellStyle name="Normal 2 2 2 2 77 2 2" xfId="5959"/>
    <cellStyle name="Normal 2 2 2 2 77 2 2 2" xfId="17324"/>
    <cellStyle name="Normal 2 2 2 2 77 2 2 2 2" xfId="26347"/>
    <cellStyle name="Normal 2 2 2 2 77 2 2 3" xfId="26348"/>
    <cellStyle name="Normal 2 2 2 2 77 2 3" xfId="17325"/>
    <cellStyle name="Normal 2 2 2 2 77 2 3 2" xfId="26349"/>
    <cellStyle name="Normal 2 2 2 2 77 2 4" xfId="26350"/>
    <cellStyle name="Normal 2 2 2 2 77 3" xfId="5960"/>
    <cellStyle name="Normal 2 2 2 2 77 3 2" xfId="17326"/>
    <cellStyle name="Normal 2 2 2 2 77 3 2 2" xfId="26351"/>
    <cellStyle name="Normal 2 2 2 2 77 3 3" xfId="26352"/>
    <cellStyle name="Normal 2 2 2 2 77 4" xfId="17327"/>
    <cellStyle name="Normal 2 2 2 2 77 4 2" xfId="26353"/>
    <cellStyle name="Normal 2 2 2 2 77 5" xfId="26354"/>
    <cellStyle name="Normal 2 2 2 2 78" xfId="5961"/>
    <cellStyle name="Normal 2 2 2 2 78 2" xfId="5962"/>
    <cellStyle name="Normal 2 2 2 2 78 2 2" xfId="5963"/>
    <cellStyle name="Normal 2 2 2 2 78 2 2 2" xfId="17328"/>
    <cellStyle name="Normal 2 2 2 2 78 2 2 2 2" xfId="26355"/>
    <cellStyle name="Normal 2 2 2 2 78 2 2 3" xfId="26356"/>
    <cellStyle name="Normal 2 2 2 2 78 2 3" xfId="17329"/>
    <cellStyle name="Normal 2 2 2 2 78 2 3 2" xfId="26357"/>
    <cellStyle name="Normal 2 2 2 2 78 2 4" xfId="26358"/>
    <cellStyle name="Normal 2 2 2 2 78 3" xfId="5964"/>
    <cellStyle name="Normal 2 2 2 2 78 3 2" xfId="17330"/>
    <cellStyle name="Normal 2 2 2 2 78 3 2 2" xfId="26359"/>
    <cellStyle name="Normal 2 2 2 2 78 3 3" xfId="26360"/>
    <cellStyle name="Normal 2 2 2 2 78 4" xfId="17331"/>
    <cellStyle name="Normal 2 2 2 2 78 4 2" xfId="26361"/>
    <cellStyle name="Normal 2 2 2 2 78 5" xfId="26362"/>
    <cellStyle name="Normal 2 2 2 2 79" xfId="5965"/>
    <cellStyle name="Normal 2 2 2 2 79 2" xfId="5966"/>
    <cellStyle name="Normal 2 2 2 2 79 2 2" xfId="5967"/>
    <cellStyle name="Normal 2 2 2 2 79 2 2 2" xfId="17332"/>
    <cellStyle name="Normal 2 2 2 2 79 2 2 2 2" xfId="26363"/>
    <cellStyle name="Normal 2 2 2 2 79 2 2 3" xfId="26364"/>
    <cellStyle name="Normal 2 2 2 2 79 2 3" xfId="17333"/>
    <cellStyle name="Normal 2 2 2 2 79 2 3 2" xfId="26365"/>
    <cellStyle name="Normal 2 2 2 2 79 2 4" xfId="26366"/>
    <cellStyle name="Normal 2 2 2 2 79 3" xfId="5968"/>
    <cellStyle name="Normal 2 2 2 2 79 3 2" xfId="17334"/>
    <cellStyle name="Normal 2 2 2 2 79 3 2 2" xfId="26367"/>
    <cellStyle name="Normal 2 2 2 2 79 3 3" xfId="26368"/>
    <cellStyle name="Normal 2 2 2 2 79 4" xfId="17335"/>
    <cellStyle name="Normal 2 2 2 2 79 4 2" xfId="26369"/>
    <cellStyle name="Normal 2 2 2 2 79 5" xfId="26370"/>
    <cellStyle name="Normal 2 2 2 2 8" xfId="5969"/>
    <cellStyle name="Normal 2 2 2 2 8 2" xfId="5970"/>
    <cellStyle name="Normal 2 2 2 2 8 2 2" xfId="5971"/>
    <cellStyle name="Normal 2 2 2 2 8 2 2 2" xfId="17336"/>
    <cellStyle name="Normal 2 2 2 2 8 2 2 2 2" xfId="26371"/>
    <cellStyle name="Normal 2 2 2 2 8 2 2 3" xfId="26372"/>
    <cellStyle name="Normal 2 2 2 2 8 2 3" xfId="17337"/>
    <cellStyle name="Normal 2 2 2 2 8 2 3 2" xfId="26373"/>
    <cellStyle name="Normal 2 2 2 2 8 2 4" xfId="26374"/>
    <cellStyle name="Normal 2 2 2 2 8 3" xfId="5972"/>
    <cellStyle name="Normal 2 2 2 2 8 3 2" xfId="5973"/>
    <cellStyle name="Normal 2 2 2 2 8 3 2 2" xfId="17338"/>
    <cellStyle name="Normal 2 2 2 2 8 3 2 2 2" xfId="26375"/>
    <cellStyle name="Normal 2 2 2 2 8 3 2 3" xfId="26376"/>
    <cellStyle name="Normal 2 2 2 2 8 3 3" xfId="17339"/>
    <cellStyle name="Normal 2 2 2 2 8 3 3 2" xfId="26377"/>
    <cellStyle name="Normal 2 2 2 2 8 3 4" xfId="26378"/>
    <cellStyle name="Normal 2 2 2 2 8 4" xfId="5974"/>
    <cellStyle name="Normal 2 2 2 2 8 4 2" xfId="17340"/>
    <cellStyle name="Normal 2 2 2 2 8 4 2 2" xfId="26379"/>
    <cellStyle name="Normal 2 2 2 2 8 4 3" xfId="26380"/>
    <cellStyle name="Normal 2 2 2 2 8 5" xfId="17341"/>
    <cellStyle name="Normal 2 2 2 2 8 5 2" xfId="26381"/>
    <cellStyle name="Normal 2 2 2 2 8 6" xfId="26382"/>
    <cellStyle name="Normal 2 2 2 2 80" xfId="5975"/>
    <cellStyle name="Normal 2 2 2 2 80 2" xfId="5976"/>
    <cellStyle name="Normal 2 2 2 2 80 2 2" xfId="5977"/>
    <cellStyle name="Normal 2 2 2 2 80 2 2 2" xfId="17342"/>
    <cellStyle name="Normal 2 2 2 2 80 2 2 2 2" xfId="26383"/>
    <cellStyle name="Normal 2 2 2 2 80 2 2 3" xfId="26384"/>
    <cellStyle name="Normal 2 2 2 2 80 2 3" xfId="17343"/>
    <cellStyle name="Normal 2 2 2 2 80 2 3 2" xfId="26385"/>
    <cellStyle name="Normal 2 2 2 2 80 2 4" xfId="26386"/>
    <cellStyle name="Normal 2 2 2 2 80 3" xfId="5978"/>
    <cellStyle name="Normal 2 2 2 2 80 3 2" xfId="17344"/>
    <cellStyle name="Normal 2 2 2 2 80 3 2 2" xfId="26387"/>
    <cellStyle name="Normal 2 2 2 2 80 3 3" xfId="26388"/>
    <cellStyle name="Normal 2 2 2 2 80 4" xfId="17345"/>
    <cellStyle name="Normal 2 2 2 2 80 4 2" xfId="26389"/>
    <cellStyle name="Normal 2 2 2 2 80 5" xfId="26390"/>
    <cellStyle name="Normal 2 2 2 2 81" xfId="5979"/>
    <cellStyle name="Normal 2 2 2 2 81 2" xfId="5980"/>
    <cellStyle name="Normal 2 2 2 2 81 2 2" xfId="5981"/>
    <cellStyle name="Normal 2 2 2 2 81 2 2 2" xfId="17346"/>
    <cellStyle name="Normal 2 2 2 2 81 2 2 2 2" xfId="26391"/>
    <cellStyle name="Normal 2 2 2 2 81 2 2 3" xfId="26392"/>
    <cellStyle name="Normal 2 2 2 2 81 2 3" xfId="17347"/>
    <cellStyle name="Normal 2 2 2 2 81 2 3 2" xfId="26393"/>
    <cellStyle name="Normal 2 2 2 2 81 2 4" xfId="26394"/>
    <cellStyle name="Normal 2 2 2 2 81 3" xfId="5982"/>
    <cellStyle name="Normal 2 2 2 2 81 3 2" xfId="17348"/>
    <cellStyle name="Normal 2 2 2 2 81 3 2 2" xfId="26395"/>
    <cellStyle name="Normal 2 2 2 2 81 3 3" xfId="26396"/>
    <cellStyle name="Normal 2 2 2 2 81 4" xfId="17349"/>
    <cellStyle name="Normal 2 2 2 2 81 4 2" xfId="26397"/>
    <cellStyle name="Normal 2 2 2 2 81 5" xfId="26398"/>
    <cellStyle name="Normal 2 2 2 2 82" xfId="5983"/>
    <cellStyle name="Normal 2 2 2 2 82 2" xfId="5984"/>
    <cellStyle name="Normal 2 2 2 2 82 2 2" xfId="5985"/>
    <cellStyle name="Normal 2 2 2 2 82 2 2 2" xfId="17350"/>
    <cellStyle name="Normal 2 2 2 2 82 2 2 2 2" xfId="26399"/>
    <cellStyle name="Normal 2 2 2 2 82 2 2 3" xfId="26400"/>
    <cellStyle name="Normal 2 2 2 2 82 2 3" xfId="17351"/>
    <cellStyle name="Normal 2 2 2 2 82 2 3 2" xfId="26401"/>
    <cellStyle name="Normal 2 2 2 2 82 2 4" xfId="26402"/>
    <cellStyle name="Normal 2 2 2 2 82 3" xfId="5986"/>
    <cellStyle name="Normal 2 2 2 2 82 3 2" xfId="17352"/>
    <cellStyle name="Normal 2 2 2 2 82 3 2 2" xfId="26403"/>
    <cellStyle name="Normal 2 2 2 2 82 3 3" xfId="26404"/>
    <cellStyle name="Normal 2 2 2 2 82 4" xfId="17353"/>
    <cellStyle name="Normal 2 2 2 2 82 4 2" xfId="26405"/>
    <cellStyle name="Normal 2 2 2 2 82 5" xfId="26406"/>
    <cellStyle name="Normal 2 2 2 2 83" xfId="5987"/>
    <cellStyle name="Normal 2 2 2 2 83 2" xfId="5988"/>
    <cellStyle name="Normal 2 2 2 2 83 2 2" xfId="5989"/>
    <cellStyle name="Normal 2 2 2 2 83 2 2 2" xfId="17354"/>
    <cellStyle name="Normal 2 2 2 2 83 2 2 2 2" xfId="26407"/>
    <cellStyle name="Normal 2 2 2 2 83 2 2 3" xfId="26408"/>
    <cellStyle name="Normal 2 2 2 2 83 2 3" xfId="17355"/>
    <cellStyle name="Normal 2 2 2 2 83 2 3 2" xfId="26409"/>
    <cellStyle name="Normal 2 2 2 2 83 2 4" xfId="26410"/>
    <cellStyle name="Normal 2 2 2 2 83 3" xfId="5990"/>
    <cellStyle name="Normal 2 2 2 2 83 3 2" xfId="17356"/>
    <cellStyle name="Normal 2 2 2 2 83 3 2 2" xfId="26411"/>
    <cellStyle name="Normal 2 2 2 2 83 3 3" xfId="26412"/>
    <cellStyle name="Normal 2 2 2 2 83 4" xfId="17357"/>
    <cellStyle name="Normal 2 2 2 2 83 4 2" xfId="26413"/>
    <cellStyle name="Normal 2 2 2 2 83 5" xfId="26414"/>
    <cellStyle name="Normal 2 2 2 2 84" xfId="5991"/>
    <cellStyle name="Normal 2 2 2 2 84 2" xfId="5992"/>
    <cellStyle name="Normal 2 2 2 2 84 2 2" xfId="5993"/>
    <cellStyle name="Normal 2 2 2 2 84 2 2 2" xfId="17358"/>
    <cellStyle name="Normal 2 2 2 2 84 2 2 2 2" xfId="26415"/>
    <cellStyle name="Normal 2 2 2 2 84 2 2 3" xfId="26416"/>
    <cellStyle name="Normal 2 2 2 2 84 2 3" xfId="17359"/>
    <cellStyle name="Normal 2 2 2 2 84 2 3 2" xfId="26417"/>
    <cellStyle name="Normal 2 2 2 2 84 2 4" xfId="26418"/>
    <cellStyle name="Normal 2 2 2 2 84 3" xfId="5994"/>
    <cellStyle name="Normal 2 2 2 2 84 3 2" xfId="17360"/>
    <cellStyle name="Normal 2 2 2 2 84 3 2 2" xfId="26419"/>
    <cellStyle name="Normal 2 2 2 2 84 3 3" xfId="26420"/>
    <cellStyle name="Normal 2 2 2 2 84 4" xfId="17361"/>
    <cellStyle name="Normal 2 2 2 2 84 4 2" xfId="26421"/>
    <cellStyle name="Normal 2 2 2 2 84 5" xfId="26422"/>
    <cellStyle name="Normal 2 2 2 2 85" xfId="5995"/>
    <cellStyle name="Normal 2 2 2 2 85 2" xfId="5996"/>
    <cellStyle name="Normal 2 2 2 2 85 2 2" xfId="5997"/>
    <cellStyle name="Normal 2 2 2 2 85 2 2 2" xfId="17362"/>
    <cellStyle name="Normal 2 2 2 2 85 2 2 2 2" xfId="26423"/>
    <cellStyle name="Normal 2 2 2 2 85 2 2 3" xfId="26424"/>
    <cellStyle name="Normal 2 2 2 2 85 2 3" xfId="17363"/>
    <cellStyle name="Normal 2 2 2 2 85 2 3 2" xfId="26425"/>
    <cellStyle name="Normal 2 2 2 2 85 2 4" xfId="26426"/>
    <cellStyle name="Normal 2 2 2 2 85 3" xfId="5998"/>
    <cellStyle name="Normal 2 2 2 2 85 3 2" xfId="17364"/>
    <cellStyle name="Normal 2 2 2 2 85 3 2 2" xfId="26427"/>
    <cellStyle name="Normal 2 2 2 2 85 3 3" xfId="26428"/>
    <cellStyle name="Normal 2 2 2 2 85 4" xfId="17365"/>
    <cellStyle name="Normal 2 2 2 2 85 4 2" xfId="26429"/>
    <cellStyle name="Normal 2 2 2 2 85 5" xfId="26430"/>
    <cellStyle name="Normal 2 2 2 2 86" xfId="5999"/>
    <cellStyle name="Normal 2 2 2 2 86 2" xfId="6000"/>
    <cellStyle name="Normal 2 2 2 2 86 2 2" xfId="6001"/>
    <cellStyle name="Normal 2 2 2 2 86 2 2 2" xfId="17366"/>
    <cellStyle name="Normal 2 2 2 2 86 2 2 2 2" xfId="26431"/>
    <cellStyle name="Normal 2 2 2 2 86 2 2 3" xfId="26432"/>
    <cellStyle name="Normal 2 2 2 2 86 2 3" xfId="17367"/>
    <cellStyle name="Normal 2 2 2 2 86 2 3 2" xfId="26433"/>
    <cellStyle name="Normal 2 2 2 2 86 2 4" xfId="26434"/>
    <cellStyle name="Normal 2 2 2 2 86 3" xfId="6002"/>
    <cellStyle name="Normal 2 2 2 2 86 3 2" xfId="17368"/>
    <cellStyle name="Normal 2 2 2 2 86 3 2 2" xfId="26435"/>
    <cellStyle name="Normal 2 2 2 2 86 3 3" xfId="26436"/>
    <cellStyle name="Normal 2 2 2 2 86 4" xfId="17369"/>
    <cellStyle name="Normal 2 2 2 2 86 4 2" xfId="26437"/>
    <cellStyle name="Normal 2 2 2 2 86 5" xfId="26438"/>
    <cellStyle name="Normal 2 2 2 2 87" xfId="6003"/>
    <cellStyle name="Normal 2 2 2 2 87 2" xfId="6004"/>
    <cellStyle name="Normal 2 2 2 2 87 2 2" xfId="6005"/>
    <cellStyle name="Normal 2 2 2 2 87 2 2 2" xfId="17370"/>
    <cellStyle name="Normal 2 2 2 2 87 2 2 2 2" xfId="26439"/>
    <cellStyle name="Normal 2 2 2 2 87 2 2 3" xfId="26440"/>
    <cellStyle name="Normal 2 2 2 2 87 2 3" xfId="17371"/>
    <cellStyle name="Normal 2 2 2 2 87 2 3 2" xfId="26441"/>
    <cellStyle name="Normal 2 2 2 2 87 2 4" xfId="26442"/>
    <cellStyle name="Normal 2 2 2 2 87 3" xfId="6006"/>
    <cellStyle name="Normal 2 2 2 2 87 3 2" xfId="17372"/>
    <cellStyle name="Normal 2 2 2 2 87 3 2 2" xfId="26443"/>
    <cellStyle name="Normal 2 2 2 2 87 3 3" xfId="26444"/>
    <cellStyle name="Normal 2 2 2 2 87 4" xfId="17373"/>
    <cellStyle name="Normal 2 2 2 2 87 4 2" xfId="26445"/>
    <cellStyle name="Normal 2 2 2 2 87 5" xfId="26446"/>
    <cellStyle name="Normal 2 2 2 2 88" xfId="6007"/>
    <cellStyle name="Normal 2 2 2 2 88 2" xfId="6008"/>
    <cellStyle name="Normal 2 2 2 2 88 2 2" xfId="6009"/>
    <cellStyle name="Normal 2 2 2 2 88 2 2 2" xfId="17374"/>
    <cellStyle name="Normal 2 2 2 2 88 2 2 2 2" xfId="26447"/>
    <cellStyle name="Normal 2 2 2 2 88 2 2 3" xfId="26448"/>
    <cellStyle name="Normal 2 2 2 2 88 2 3" xfId="17375"/>
    <cellStyle name="Normal 2 2 2 2 88 2 3 2" xfId="26449"/>
    <cellStyle name="Normal 2 2 2 2 88 2 4" xfId="26450"/>
    <cellStyle name="Normal 2 2 2 2 88 3" xfId="6010"/>
    <cellStyle name="Normal 2 2 2 2 88 3 2" xfId="17376"/>
    <cellStyle name="Normal 2 2 2 2 88 3 2 2" xfId="26451"/>
    <cellStyle name="Normal 2 2 2 2 88 3 3" xfId="26452"/>
    <cellStyle name="Normal 2 2 2 2 88 4" xfId="17377"/>
    <cellStyle name="Normal 2 2 2 2 88 4 2" xfId="26453"/>
    <cellStyle name="Normal 2 2 2 2 88 5" xfId="26454"/>
    <cellStyle name="Normal 2 2 2 2 89" xfId="6011"/>
    <cellStyle name="Normal 2 2 2 2 89 2" xfId="6012"/>
    <cellStyle name="Normal 2 2 2 2 89 2 2" xfId="6013"/>
    <cellStyle name="Normal 2 2 2 2 89 2 2 2" xfId="17378"/>
    <cellStyle name="Normal 2 2 2 2 89 2 2 2 2" xfId="26455"/>
    <cellStyle name="Normal 2 2 2 2 89 2 2 3" xfId="26456"/>
    <cellStyle name="Normal 2 2 2 2 89 2 3" xfId="17379"/>
    <cellStyle name="Normal 2 2 2 2 89 2 3 2" xfId="26457"/>
    <cellStyle name="Normal 2 2 2 2 89 2 4" xfId="26458"/>
    <cellStyle name="Normal 2 2 2 2 89 3" xfId="6014"/>
    <cellStyle name="Normal 2 2 2 2 89 3 2" xfId="17380"/>
    <cellStyle name="Normal 2 2 2 2 89 3 2 2" xfId="26459"/>
    <cellStyle name="Normal 2 2 2 2 89 3 3" xfId="26460"/>
    <cellStyle name="Normal 2 2 2 2 89 4" xfId="17381"/>
    <cellStyle name="Normal 2 2 2 2 89 4 2" xfId="26461"/>
    <cellStyle name="Normal 2 2 2 2 89 5" xfId="26462"/>
    <cellStyle name="Normal 2 2 2 2 9" xfId="6015"/>
    <cellStyle name="Normal 2 2 2 2 9 2" xfId="6016"/>
    <cellStyle name="Normal 2 2 2 2 9 2 2" xfId="6017"/>
    <cellStyle name="Normal 2 2 2 2 9 2 2 2" xfId="17382"/>
    <cellStyle name="Normal 2 2 2 2 9 2 2 2 2" xfId="26463"/>
    <cellStyle name="Normal 2 2 2 2 9 2 2 3" xfId="26464"/>
    <cellStyle name="Normal 2 2 2 2 9 2 3" xfId="17383"/>
    <cellStyle name="Normal 2 2 2 2 9 2 3 2" xfId="26465"/>
    <cellStyle name="Normal 2 2 2 2 9 2 4" xfId="26466"/>
    <cellStyle name="Normal 2 2 2 2 9 3" xfId="6018"/>
    <cellStyle name="Normal 2 2 2 2 9 3 2" xfId="6019"/>
    <cellStyle name="Normal 2 2 2 2 9 3 2 2" xfId="17384"/>
    <cellStyle name="Normal 2 2 2 2 9 3 2 2 2" xfId="26467"/>
    <cellStyle name="Normal 2 2 2 2 9 3 2 3" xfId="26468"/>
    <cellStyle name="Normal 2 2 2 2 9 3 3" xfId="17385"/>
    <cellStyle name="Normal 2 2 2 2 9 3 3 2" xfId="26469"/>
    <cellStyle name="Normal 2 2 2 2 9 3 4" xfId="26470"/>
    <cellStyle name="Normal 2 2 2 2 9 4" xfId="6020"/>
    <cellStyle name="Normal 2 2 2 2 9 4 2" xfId="17386"/>
    <cellStyle name="Normal 2 2 2 2 9 4 2 2" xfId="26471"/>
    <cellStyle name="Normal 2 2 2 2 9 4 3" xfId="26472"/>
    <cellStyle name="Normal 2 2 2 2 9 5" xfId="17387"/>
    <cellStyle name="Normal 2 2 2 2 9 5 2" xfId="26473"/>
    <cellStyle name="Normal 2 2 2 2 9 6" xfId="26474"/>
    <cellStyle name="Normal 2 2 2 2 90" xfId="6021"/>
    <cellStyle name="Normal 2 2 2 2 90 2" xfId="6022"/>
    <cellStyle name="Normal 2 2 2 2 90 2 2" xfId="6023"/>
    <cellStyle name="Normal 2 2 2 2 90 2 2 2" xfId="17388"/>
    <cellStyle name="Normal 2 2 2 2 90 2 2 2 2" xfId="26475"/>
    <cellStyle name="Normal 2 2 2 2 90 2 2 3" xfId="26476"/>
    <cellStyle name="Normal 2 2 2 2 90 2 3" xfId="17389"/>
    <cellStyle name="Normal 2 2 2 2 90 2 3 2" xfId="26477"/>
    <cellStyle name="Normal 2 2 2 2 90 2 4" xfId="26478"/>
    <cellStyle name="Normal 2 2 2 2 90 3" xfId="6024"/>
    <cellStyle name="Normal 2 2 2 2 90 3 2" xfId="17390"/>
    <cellStyle name="Normal 2 2 2 2 90 3 2 2" xfId="26479"/>
    <cellStyle name="Normal 2 2 2 2 90 3 3" xfId="26480"/>
    <cellStyle name="Normal 2 2 2 2 90 4" xfId="17391"/>
    <cellStyle name="Normal 2 2 2 2 90 4 2" xfId="26481"/>
    <cellStyle name="Normal 2 2 2 2 90 5" xfId="26482"/>
    <cellStyle name="Normal 2 2 2 2 91" xfId="6025"/>
    <cellStyle name="Normal 2 2 2 2 91 2" xfId="6026"/>
    <cellStyle name="Normal 2 2 2 2 91 2 2" xfId="6027"/>
    <cellStyle name="Normal 2 2 2 2 91 2 2 2" xfId="17392"/>
    <cellStyle name="Normal 2 2 2 2 91 2 2 2 2" xfId="26483"/>
    <cellStyle name="Normal 2 2 2 2 91 2 2 3" xfId="26484"/>
    <cellStyle name="Normal 2 2 2 2 91 2 3" xfId="17393"/>
    <cellStyle name="Normal 2 2 2 2 91 2 3 2" xfId="26485"/>
    <cellStyle name="Normal 2 2 2 2 91 2 4" xfId="26486"/>
    <cellStyle name="Normal 2 2 2 2 91 3" xfId="6028"/>
    <cellStyle name="Normal 2 2 2 2 91 3 2" xfId="17394"/>
    <cellStyle name="Normal 2 2 2 2 91 3 2 2" xfId="26487"/>
    <cellStyle name="Normal 2 2 2 2 91 3 3" xfId="26488"/>
    <cellStyle name="Normal 2 2 2 2 91 4" xfId="17395"/>
    <cellStyle name="Normal 2 2 2 2 91 4 2" xfId="26489"/>
    <cellStyle name="Normal 2 2 2 2 91 5" xfId="26490"/>
    <cellStyle name="Normal 2 2 2 2 92" xfId="6029"/>
    <cellStyle name="Normal 2 2 2 2 92 2" xfId="6030"/>
    <cellStyle name="Normal 2 2 2 2 92 2 2" xfId="6031"/>
    <cellStyle name="Normal 2 2 2 2 92 2 2 2" xfId="17396"/>
    <cellStyle name="Normal 2 2 2 2 92 2 2 2 2" xfId="26491"/>
    <cellStyle name="Normal 2 2 2 2 92 2 2 3" xfId="26492"/>
    <cellStyle name="Normal 2 2 2 2 92 2 3" xfId="17397"/>
    <cellStyle name="Normal 2 2 2 2 92 2 3 2" xfId="26493"/>
    <cellStyle name="Normal 2 2 2 2 92 2 4" xfId="26494"/>
    <cellStyle name="Normal 2 2 2 2 92 3" xfId="6032"/>
    <cellStyle name="Normal 2 2 2 2 92 3 2" xfId="17398"/>
    <cellStyle name="Normal 2 2 2 2 92 3 2 2" xfId="26495"/>
    <cellStyle name="Normal 2 2 2 2 92 3 3" xfId="26496"/>
    <cellStyle name="Normal 2 2 2 2 92 4" xfId="17399"/>
    <cellStyle name="Normal 2 2 2 2 92 4 2" xfId="26497"/>
    <cellStyle name="Normal 2 2 2 2 92 5" xfId="26498"/>
    <cellStyle name="Normal 2 2 2 2 93" xfId="6033"/>
    <cellStyle name="Normal 2 2 2 2 93 2" xfId="6034"/>
    <cellStyle name="Normal 2 2 2 2 93 2 2" xfId="6035"/>
    <cellStyle name="Normal 2 2 2 2 93 2 2 2" xfId="17400"/>
    <cellStyle name="Normal 2 2 2 2 93 2 2 2 2" xfId="26499"/>
    <cellStyle name="Normal 2 2 2 2 93 2 2 3" xfId="26500"/>
    <cellStyle name="Normal 2 2 2 2 93 2 3" xfId="17401"/>
    <cellStyle name="Normal 2 2 2 2 93 2 3 2" xfId="26501"/>
    <cellStyle name="Normal 2 2 2 2 93 2 4" xfId="26502"/>
    <cellStyle name="Normal 2 2 2 2 93 3" xfId="6036"/>
    <cellStyle name="Normal 2 2 2 2 93 3 2" xfId="17402"/>
    <cellStyle name="Normal 2 2 2 2 93 3 2 2" xfId="26503"/>
    <cellStyle name="Normal 2 2 2 2 93 3 3" xfId="26504"/>
    <cellStyle name="Normal 2 2 2 2 93 4" xfId="17403"/>
    <cellStyle name="Normal 2 2 2 2 93 4 2" xfId="26505"/>
    <cellStyle name="Normal 2 2 2 2 93 5" xfId="26506"/>
    <cellStyle name="Normal 2 2 2 2 94" xfId="6037"/>
    <cellStyle name="Normal 2 2 2 2 94 2" xfId="6038"/>
    <cellStyle name="Normal 2 2 2 2 94 2 2" xfId="6039"/>
    <cellStyle name="Normal 2 2 2 2 94 2 2 2" xfId="17404"/>
    <cellStyle name="Normal 2 2 2 2 94 2 2 2 2" xfId="26507"/>
    <cellStyle name="Normal 2 2 2 2 94 2 2 3" xfId="26508"/>
    <cellStyle name="Normal 2 2 2 2 94 2 3" xfId="17405"/>
    <cellStyle name="Normal 2 2 2 2 94 2 3 2" xfId="26509"/>
    <cellStyle name="Normal 2 2 2 2 94 2 4" xfId="26510"/>
    <cellStyle name="Normal 2 2 2 2 94 3" xfId="6040"/>
    <cellStyle name="Normal 2 2 2 2 94 3 2" xfId="17406"/>
    <cellStyle name="Normal 2 2 2 2 94 3 2 2" xfId="26511"/>
    <cellStyle name="Normal 2 2 2 2 94 3 3" xfId="26512"/>
    <cellStyle name="Normal 2 2 2 2 94 4" xfId="17407"/>
    <cellStyle name="Normal 2 2 2 2 94 4 2" xfId="26513"/>
    <cellStyle name="Normal 2 2 2 2 94 5" xfId="26514"/>
    <cellStyle name="Normal 2 2 2 2 95" xfId="6041"/>
    <cellStyle name="Normal 2 2 2 2 95 2" xfId="6042"/>
    <cellStyle name="Normal 2 2 2 2 95 2 2" xfId="6043"/>
    <cellStyle name="Normal 2 2 2 2 95 2 2 2" xfId="17408"/>
    <cellStyle name="Normal 2 2 2 2 95 2 2 2 2" xfId="26515"/>
    <cellStyle name="Normal 2 2 2 2 95 2 2 3" xfId="26516"/>
    <cellStyle name="Normal 2 2 2 2 95 2 3" xfId="17409"/>
    <cellStyle name="Normal 2 2 2 2 95 2 3 2" xfId="26517"/>
    <cellStyle name="Normal 2 2 2 2 95 2 4" xfId="26518"/>
    <cellStyle name="Normal 2 2 2 2 95 3" xfId="6044"/>
    <cellStyle name="Normal 2 2 2 2 95 3 2" xfId="17410"/>
    <cellStyle name="Normal 2 2 2 2 95 3 2 2" xfId="26519"/>
    <cellStyle name="Normal 2 2 2 2 95 3 3" xfId="26520"/>
    <cellStyle name="Normal 2 2 2 2 95 4" xfId="17411"/>
    <cellStyle name="Normal 2 2 2 2 95 4 2" xfId="26521"/>
    <cellStyle name="Normal 2 2 2 2 95 5" xfId="26522"/>
    <cellStyle name="Normal 2 2 2 2 96" xfId="6045"/>
    <cellStyle name="Normal 2 2 2 2 96 2" xfId="6046"/>
    <cellStyle name="Normal 2 2 2 2 96 2 2" xfId="6047"/>
    <cellStyle name="Normal 2 2 2 2 96 2 2 2" xfId="17412"/>
    <cellStyle name="Normal 2 2 2 2 96 2 2 2 2" xfId="26523"/>
    <cellStyle name="Normal 2 2 2 2 96 2 2 3" xfId="26524"/>
    <cellStyle name="Normal 2 2 2 2 96 2 3" xfId="17413"/>
    <cellStyle name="Normal 2 2 2 2 96 2 3 2" xfId="26525"/>
    <cellStyle name="Normal 2 2 2 2 96 2 4" xfId="26526"/>
    <cellStyle name="Normal 2 2 2 2 96 3" xfId="6048"/>
    <cellStyle name="Normal 2 2 2 2 96 3 2" xfId="17414"/>
    <cellStyle name="Normal 2 2 2 2 96 3 2 2" xfId="26527"/>
    <cellStyle name="Normal 2 2 2 2 96 3 3" xfId="26528"/>
    <cellStyle name="Normal 2 2 2 2 96 4" xfId="17415"/>
    <cellStyle name="Normal 2 2 2 2 96 4 2" xfId="26529"/>
    <cellStyle name="Normal 2 2 2 2 96 5" xfId="26530"/>
    <cellStyle name="Normal 2 2 2 2 97" xfId="6049"/>
    <cellStyle name="Normal 2 2 2 2 97 2" xfId="6050"/>
    <cellStyle name="Normal 2 2 2 2 97 2 2" xfId="6051"/>
    <cellStyle name="Normal 2 2 2 2 97 2 2 2" xfId="17416"/>
    <cellStyle name="Normal 2 2 2 2 97 2 2 2 2" xfId="26531"/>
    <cellStyle name="Normal 2 2 2 2 97 2 2 3" xfId="26532"/>
    <cellStyle name="Normal 2 2 2 2 97 2 3" xfId="17417"/>
    <cellStyle name="Normal 2 2 2 2 97 2 3 2" xfId="26533"/>
    <cellStyle name="Normal 2 2 2 2 97 2 4" xfId="26534"/>
    <cellStyle name="Normal 2 2 2 2 97 3" xfId="6052"/>
    <cellStyle name="Normal 2 2 2 2 97 3 2" xfId="17418"/>
    <cellStyle name="Normal 2 2 2 2 97 3 2 2" xfId="26535"/>
    <cellStyle name="Normal 2 2 2 2 97 3 3" xfId="26536"/>
    <cellStyle name="Normal 2 2 2 2 97 4" xfId="17419"/>
    <cellStyle name="Normal 2 2 2 2 97 4 2" xfId="26537"/>
    <cellStyle name="Normal 2 2 2 2 97 5" xfId="26538"/>
    <cellStyle name="Normal 2 2 2 2 98" xfId="6053"/>
    <cellStyle name="Normal 2 2 2 2 98 2" xfId="6054"/>
    <cellStyle name="Normal 2 2 2 2 98 2 2" xfId="6055"/>
    <cellStyle name="Normal 2 2 2 2 98 2 2 2" xfId="17420"/>
    <cellStyle name="Normal 2 2 2 2 98 2 2 2 2" xfId="26539"/>
    <cellStyle name="Normal 2 2 2 2 98 2 2 3" xfId="26540"/>
    <cellStyle name="Normal 2 2 2 2 98 2 3" xfId="17421"/>
    <cellStyle name="Normal 2 2 2 2 98 2 3 2" xfId="26541"/>
    <cellStyle name="Normal 2 2 2 2 98 2 4" xfId="26542"/>
    <cellStyle name="Normal 2 2 2 2 98 3" xfId="6056"/>
    <cellStyle name="Normal 2 2 2 2 98 3 2" xfId="17422"/>
    <cellStyle name="Normal 2 2 2 2 98 3 2 2" xfId="26543"/>
    <cellStyle name="Normal 2 2 2 2 98 3 3" xfId="26544"/>
    <cellStyle name="Normal 2 2 2 2 98 4" xfId="17423"/>
    <cellStyle name="Normal 2 2 2 2 98 4 2" xfId="26545"/>
    <cellStyle name="Normal 2 2 2 2 98 5" xfId="26546"/>
    <cellStyle name="Normal 2 2 2 2 99" xfId="6057"/>
    <cellStyle name="Normal 2 2 2 2 99 2" xfId="6058"/>
    <cellStyle name="Normal 2 2 2 2 99 2 2" xfId="6059"/>
    <cellStyle name="Normal 2 2 2 2 99 2 2 2" xfId="17424"/>
    <cellStyle name="Normal 2 2 2 2 99 2 2 2 2" xfId="26547"/>
    <cellStyle name="Normal 2 2 2 2 99 2 2 3" xfId="26548"/>
    <cellStyle name="Normal 2 2 2 2 99 2 3" xfId="17425"/>
    <cellStyle name="Normal 2 2 2 2 99 2 3 2" xfId="26549"/>
    <cellStyle name="Normal 2 2 2 2 99 2 4" xfId="26550"/>
    <cellStyle name="Normal 2 2 2 2 99 3" xfId="6060"/>
    <cellStyle name="Normal 2 2 2 2 99 3 2" xfId="17426"/>
    <cellStyle name="Normal 2 2 2 2 99 3 2 2" xfId="26551"/>
    <cellStyle name="Normal 2 2 2 2 99 3 3" xfId="26552"/>
    <cellStyle name="Normal 2 2 2 2 99 4" xfId="17427"/>
    <cellStyle name="Normal 2 2 2 2 99 4 2" xfId="26553"/>
    <cellStyle name="Normal 2 2 2 2 99 5" xfId="26554"/>
    <cellStyle name="Normal 2 2 2 20" xfId="6061"/>
    <cellStyle name="Normal 2 2 2 20 2" xfId="6062"/>
    <cellStyle name="Normal 2 2 2 20 3" xfId="17428"/>
    <cellStyle name="Normal 2 2 2 21" xfId="6063"/>
    <cellStyle name="Normal 2 2 2 21 2" xfId="6064"/>
    <cellStyle name="Normal 2 2 2 21 3" xfId="17429"/>
    <cellStyle name="Normal 2 2 2 22" xfId="6065"/>
    <cellStyle name="Normal 2 2 2 22 2" xfId="6066"/>
    <cellStyle name="Normal 2 2 2 22 3" xfId="17430"/>
    <cellStyle name="Normal 2 2 2 23" xfId="6067"/>
    <cellStyle name="Normal 2 2 2 23 2" xfId="6068"/>
    <cellStyle name="Normal 2 2 2 23 3" xfId="17431"/>
    <cellStyle name="Normal 2 2 2 24" xfId="6069"/>
    <cellStyle name="Normal 2 2 2 24 2" xfId="6070"/>
    <cellStyle name="Normal 2 2 2 24 3" xfId="17432"/>
    <cellStyle name="Normal 2 2 2 25" xfId="6071"/>
    <cellStyle name="Normal 2 2 2 25 2" xfId="6072"/>
    <cellStyle name="Normal 2 2 2 25 3" xfId="17433"/>
    <cellStyle name="Normal 2 2 2 26" xfId="6073"/>
    <cellStyle name="Normal 2 2 2 26 2" xfId="6074"/>
    <cellStyle name="Normal 2 2 2 26 3" xfId="17434"/>
    <cellStyle name="Normal 2 2 2 27" xfId="6075"/>
    <cellStyle name="Normal 2 2 2 27 2" xfId="6076"/>
    <cellStyle name="Normal 2 2 2 27 3" xfId="17435"/>
    <cellStyle name="Normal 2 2 2 28" xfId="6077"/>
    <cellStyle name="Normal 2 2 2 28 2" xfId="6078"/>
    <cellStyle name="Normal 2 2 2 28 3" xfId="17436"/>
    <cellStyle name="Normal 2 2 2 29" xfId="6079"/>
    <cellStyle name="Normal 2 2 2 29 2" xfId="6080"/>
    <cellStyle name="Normal 2 2 2 29 3" xfId="17437"/>
    <cellStyle name="Normal 2 2 2 3" xfId="38"/>
    <cellStyle name="Normal 2 2 2 3 2" xfId="6081"/>
    <cellStyle name="Normal 2 2 2 3 2 2" xfId="6082"/>
    <cellStyle name="Normal 2 2 2 3 2 2 2" xfId="6083"/>
    <cellStyle name="Normal 2 2 2 3 2 2 2 2" xfId="17438"/>
    <cellStyle name="Normal 2 2 2 3 2 2 2 2 2" xfId="26555"/>
    <cellStyle name="Normal 2 2 2 3 2 2 2 3" xfId="26556"/>
    <cellStyle name="Normal 2 2 2 3 2 2 3" xfId="17439"/>
    <cellStyle name="Normal 2 2 2 3 2 2 3 2" xfId="26557"/>
    <cellStyle name="Normal 2 2 2 3 2 2 4" xfId="26558"/>
    <cellStyle name="Normal 2 2 2 3 2 3" xfId="6084"/>
    <cellStyle name="Normal 2 2 2 3 2 3 2" xfId="17440"/>
    <cellStyle name="Normal 2 2 2 3 2 3 2 2" xfId="26559"/>
    <cellStyle name="Normal 2 2 2 3 2 3 3" xfId="26560"/>
    <cellStyle name="Normal 2 2 2 3 2 4" xfId="17441"/>
    <cellStyle name="Normal 2 2 2 3 2 4 2" xfId="26561"/>
    <cellStyle name="Normal 2 2 2 3 2 5" xfId="26562"/>
    <cellStyle name="Normal 2 2 2 3 3" xfId="6085"/>
    <cellStyle name="Normal 2 2 2 3 3 2" xfId="6086"/>
    <cellStyle name="Normal 2 2 2 3 3 2 2" xfId="6087"/>
    <cellStyle name="Normal 2 2 2 3 3 2 2 2" xfId="17442"/>
    <cellStyle name="Normal 2 2 2 3 3 2 2 2 2" xfId="26563"/>
    <cellStyle name="Normal 2 2 2 3 3 2 2 3" xfId="26564"/>
    <cellStyle name="Normal 2 2 2 3 3 2 3" xfId="17443"/>
    <cellStyle name="Normal 2 2 2 3 3 2 3 2" xfId="26565"/>
    <cellStyle name="Normal 2 2 2 3 3 2 4" xfId="26566"/>
    <cellStyle name="Normal 2 2 2 3 3 3" xfId="6088"/>
    <cellStyle name="Normal 2 2 2 3 3 3 2" xfId="17444"/>
    <cellStyle name="Normal 2 2 2 3 3 3 2 2" xfId="26567"/>
    <cellStyle name="Normal 2 2 2 3 3 3 3" xfId="26568"/>
    <cellStyle name="Normal 2 2 2 3 3 4" xfId="17445"/>
    <cellStyle name="Normal 2 2 2 3 3 4 2" xfId="26569"/>
    <cellStyle name="Normal 2 2 2 3 3 5" xfId="26570"/>
    <cellStyle name="Normal 2 2 2 3 4" xfId="6089"/>
    <cellStyle name="Normal 2 2 2 3 4 2" xfId="6090"/>
    <cellStyle name="Normal 2 2 2 3 4 2 2" xfId="17446"/>
    <cellStyle name="Normal 2 2 2 3 4 2 2 2" xfId="26571"/>
    <cellStyle name="Normal 2 2 2 3 4 2 3" xfId="26572"/>
    <cellStyle name="Normal 2 2 2 3 4 3" xfId="17447"/>
    <cellStyle name="Normal 2 2 2 3 4 3 2" xfId="26573"/>
    <cellStyle name="Normal 2 2 2 3 4 4" xfId="26574"/>
    <cellStyle name="Normal 2 2 2 3 5" xfId="6091"/>
    <cellStyle name="Normal 2 2 2 3 5 2" xfId="17448"/>
    <cellStyle name="Normal 2 2 2 3 5 2 2" xfId="26575"/>
    <cellStyle name="Normal 2 2 2 3 5 3" xfId="26576"/>
    <cellStyle name="Normal 2 2 2 3 6" xfId="17449"/>
    <cellStyle name="Normal 2 2 2 3 6 2" xfId="26577"/>
    <cellStyle name="Normal 2 2 2 3 7" xfId="26578"/>
    <cellStyle name="Normal 2 2 2 30" xfId="6092"/>
    <cellStyle name="Normal 2 2 2 30 2" xfId="6093"/>
    <cellStyle name="Normal 2 2 2 30 3" xfId="17450"/>
    <cellStyle name="Normal 2 2 2 31" xfId="6094"/>
    <cellStyle name="Normal 2 2 2 31 2" xfId="6095"/>
    <cellStyle name="Normal 2 2 2 31 3" xfId="17451"/>
    <cellStyle name="Normal 2 2 2 32" xfId="6096"/>
    <cellStyle name="Normal 2 2 2 32 2" xfId="6097"/>
    <cellStyle name="Normal 2 2 2 32 3" xfId="17452"/>
    <cellStyle name="Normal 2 2 2 33" xfId="6098"/>
    <cellStyle name="Normal 2 2 2 33 2" xfId="6099"/>
    <cellStyle name="Normal 2 2 2 33 3" xfId="17453"/>
    <cellStyle name="Normal 2 2 2 34" xfId="6100"/>
    <cellStyle name="Normal 2 2 2 34 2" xfId="6101"/>
    <cellStyle name="Normal 2 2 2 34 3" xfId="17454"/>
    <cellStyle name="Normal 2 2 2 35" xfId="6102"/>
    <cellStyle name="Normal 2 2 2 35 2" xfId="6103"/>
    <cellStyle name="Normal 2 2 2 35 3" xfId="17455"/>
    <cellStyle name="Normal 2 2 2 36" xfId="6104"/>
    <cellStyle name="Normal 2 2 2 36 2" xfId="6105"/>
    <cellStyle name="Normal 2 2 2 36 3" xfId="17456"/>
    <cellStyle name="Normal 2 2 2 37" xfId="6106"/>
    <cellStyle name="Normal 2 2 2 37 2" xfId="6107"/>
    <cellStyle name="Normal 2 2 2 37 3" xfId="17457"/>
    <cellStyle name="Normal 2 2 2 38" xfId="6108"/>
    <cellStyle name="Normal 2 2 2 38 2" xfId="6109"/>
    <cellStyle name="Normal 2 2 2 38 3" xfId="17458"/>
    <cellStyle name="Normal 2 2 2 39" xfId="6110"/>
    <cellStyle name="Normal 2 2 2 39 2" xfId="6111"/>
    <cellStyle name="Normal 2 2 2 39 3" xfId="17459"/>
    <cellStyle name="Normal 2 2 2 4" xfId="39"/>
    <cellStyle name="Normal 2 2 2 4 2" xfId="6112"/>
    <cellStyle name="Normal 2 2 2 4 2 2" xfId="6113"/>
    <cellStyle name="Normal 2 2 2 4 2 2 2" xfId="6114"/>
    <cellStyle name="Normal 2 2 2 4 2 2 2 2" xfId="17460"/>
    <cellStyle name="Normal 2 2 2 4 2 2 2 2 2" xfId="26579"/>
    <cellStyle name="Normal 2 2 2 4 2 2 2 3" xfId="26580"/>
    <cellStyle name="Normal 2 2 2 4 2 2 3" xfId="17461"/>
    <cellStyle name="Normal 2 2 2 4 2 2 3 2" xfId="26581"/>
    <cellStyle name="Normal 2 2 2 4 2 2 4" xfId="26582"/>
    <cellStyle name="Normal 2 2 2 4 2 3" xfId="6115"/>
    <cellStyle name="Normal 2 2 2 4 2 3 2" xfId="17462"/>
    <cellStyle name="Normal 2 2 2 4 2 3 2 2" xfId="26583"/>
    <cellStyle name="Normal 2 2 2 4 2 3 3" xfId="26584"/>
    <cellStyle name="Normal 2 2 2 4 2 4" xfId="17463"/>
    <cellStyle name="Normal 2 2 2 4 2 4 2" xfId="26585"/>
    <cellStyle name="Normal 2 2 2 4 2 5" xfId="26586"/>
    <cellStyle name="Normal 2 2 2 4 3" xfId="6116"/>
    <cellStyle name="Normal 2 2 2 4 3 2" xfId="6117"/>
    <cellStyle name="Normal 2 2 2 4 3 2 2" xfId="6118"/>
    <cellStyle name="Normal 2 2 2 4 3 2 2 2" xfId="17464"/>
    <cellStyle name="Normal 2 2 2 4 3 2 2 2 2" xfId="26587"/>
    <cellStyle name="Normal 2 2 2 4 3 2 2 3" xfId="26588"/>
    <cellStyle name="Normal 2 2 2 4 3 2 3" xfId="17465"/>
    <cellStyle name="Normal 2 2 2 4 3 2 3 2" xfId="26589"/>
    <cellStyle name="Normal 2 2 2 4 3 2 4" xfId="26590"/>
    <cellStyle name="Normal 2 2 2 4 3 3" xfId="6119"/>
    <cellStyle name="Normal 2 2 2 4 3 3 2" xfId="17466"/>
    <cellStyle name="Normal 2 2 2 4 3 3 2 2" xfId="26591"/>
    <cellStyle name="Normal 2 2 2 4 3 3 3" xfId="26592"/>
    <cellStyle name="Normal 2 2 2 4 3 4" xfId="17467"/>
    <cellStyle name="Normal 2 2 2 4 3 4 2" xfId="26593"/>
    <cellStyle name="Normal 2 2 2 4 3 5" xfId="26594"/>
    <cellStyle name="Normal 2 2 2 4 4" xfId="6120"/>
    <cellStyle name="Normal 2 2 2 4 4 2" xfId="6121"/>
    <cellStyle name="Normal 2 2 2 4 4 2 2" xfId="17468"/>
    <cellStyle name="Normal 2 2 2 4 4 2 2 2" xfId="26595"/>
    <cellStyle name="Normal 2 2 2 4 4 2 3" xfId="26596"/>
    <cellStyle name="Normal 2 2 2 4 4 3" xfId="17469"/>
    <cellStyle name="Normal 2 2 2 4 4 3 2" xfId="26597"/>
    <cellStyle name="Normal 2 2 2 4 4 4" xfId="26598"/>
    <cellStyle name="Normal 2 2 2 4 5" xfId="6122"/>
    <cellStyle name="Normal 2 2 2 4 5 2" xfId="17470"/>
    <cellStyle name="Normal 2 2 2 4 5 2 2" xfId="26599"/>
    <cellStyle name="Normal 2 2 2 4 5 3" xfId="26600"/>
    <cellStyle name="Normal 2 2 2 4 6" xfId="17471"/>
    <cellStyle name="Normal 2 2 2 4 6 2" xfId="26601"/>
    <cellStyle name="Normal 2 2 2 4 7" xfId="26602"/>
    <cellStyle name="Normal 2 2 2 40" xfId="6123"/>
    <cellStyle name="Normal 2 2 2 40 2" xfId="6124"/>
    <cellStyle name="Normal 2 2 2 40 3" xfId="17472"/>
    <cellStyle name="Normal 2 2 2 41" xfId="6125"/>
    <cellStyle name="Normal 2 2 2 41 2" xfId="6126"/>
    <cellStyle name="Normal 2 2 2 41 3" xfId="17473"/>
    <cellStyle name="Normal 2 2 2 42" xfId="6127"/>
    <cellStyle name="Normal 2 2 2 42 2" xfId="6128"/>
    <cellStyle name="Normal 2 2 2 42 3" xfId="17474"/>
    <cellStyle name="Normal 2 2 2 43" xfId="6129"/>
    <cellStyle name="Normal 2 2 2 43 2" xfId="6130"/>
    <cellStyle name="Normal 2 2 2 43 3" xfId="17475"/>
    <cellStyle name="Normal 2 2 2 44" xfId="6131"/>
    <cellStyle name="Normal 2 2 2 44 2" xfId="6132"/>
    <cellStyle name="Normal 2 2 2 44 3" xfId="17476"/>
    <cellStyle name="Normal 2 2 2 45" xfId="6133"/>
    <cellStyle name="Normal 2 2 2 45 2" xfId="6134"/>
    <cellStyle name="Normal 2 2 2 45 3" xfId="17477"/>
    <cellStyle name="Normal 2 2 2 46" xfId="6135"/>
    <cellStyle name="Normal 2 2 2 46 2" xfId="6136"/>
    <cellStyle name="Normal 2 2 2 46 3" xfId="17478"/>
    <cellStyle name="Normal 2 2 2 47" xfId="6137"/>
    <cellStyle name="Normal 2 2 2 47 2" xfId="6138"/>
    <cellStyle name="Normal 2 2 2 47 3" xfId="17479"/>
    <cellStyle name="Normal 2 2 2 48" xfId="6139"/>
    <cellStyle name="Normal 2 2 2 48 2" xfId="6140"/>
    <cellStyle name="Normal 2 2 2 48 3" xfId="17480"/>
    <cellStyle name="Normal 2 2 2 49" xfId="6141"/>
    <cellStyle name="Normal 2 2 2 49 2" xfId="6142"/>
    <cellStyle name="Normal 2 2 2 49 3" xfId="17481"/>
    <cellStyle name="Normal 2 2 2 5" xfId="40"/>
    <cellStyle name="Normal 2 2 2 5 10" xfId="6143"/>
    <cellStyle name="Normal 2 2 2 5 10 2" xfId="6144"/>
    <cellStyle name="Normal 2 2 2 5 10 2 2" xfId="6145"/>
    <cellStyle name="Normal 2 2 2 5 10 2 2 2" xfId="17482"/>
    <cellStyle name="Normal 2 2 2 5 10 2 2 2 2" xfId="26603"/>
    <cellStyle name="Normal 2 2 2 5 10 2 2 3" xfId="26604"/>
    <cellStyle name="Normal 2 2 2 5 10 2 3" xfId="17483"/>
    <cellStyle name="Normal 2 2 2 5 10 2 3 2" xfId="26605"/>
    <cellStyle name="Normal 2 2 2 5 10 2 4" xfId="26606"/>
    <cellStyle name="Normal 2 2 2 5 10 3" xfId="6146"/>
    <cellStyle name="Normal 2 2 2 5 10 3 2" xfId="17484"/>
    <cellStyle name="Normal 2 2 2 5 10 3 2 2" xfId="26607"/>
    <cellStyle name="Normal 2 2 2 5 10 3 3" xfId="26608"/>
    <cellStyle name="Normal 2 2 2 5 10 4" xfId="17485"/>
    <cellStyle name="Normal 2 2 2 5 10 4 2" xfId="26609"/>
    <cellStyle name="Normal 2 2 2 5 10 5" xfId="26610"/>
    <cellStyle name="Normal 2 2 2 5 11" xfId="6147"/>
    <cellStyle name="Normal 2 2 2 5 11 2" xfId="6148"/>
    <cellStyle name="Normal 2 2 2 5 11 2 2" xfId="6149"/>
    <cellStyle name="Normal 2 2 2 5 11 2 2 2" xfId="17486"/>
    <cellStyle name="Normal 2 2 2 5 11 2 2 2 2" xfId="26611"/>
    <cellStyle name="Normal 2 2 2 5 11 2 2 3" xfId="26612"/>
    <cellStyle name="Normal 2 2 2 5 11 2 3" xfId="17487"/>
    <cellStyle name="Normal 2 2 2 5 11 2 3 2" xfId="26613"/>
    <cellStyle name="Normal 2 2 2 5 11 2 4" xfId="26614"/>
    <cellStyle name="Normal 2 2 2 5 11 3" xfId="6150"/>
    <cellStyle name="Normal 2 2 2 5 11 3 2" xfId="17488"/>
    <cellStyle name="Normal 2 2 2 5 11 3 2 2" xfId="26615"/>
    <cellStyle name="Normal 2 2 2 5 11 3 3" xfId="26616"/>
    <cellStyle name="Normal 2 2 2 5 11 4" xfId="17489"/>
    <cellStyle name="Normal 2 2 2 5 11 4 2" xfId="26617"/>
    <cellStyle name="Normal 2 2 2 5 11 5" xfId="26618"/>
    <cellStyle name="Normal 2 2 2 5 12" xfId="6151"/>
    <cellStyle name="Normal 2 2 2 5 12 2" xfId="6152"/>
    <cellStyle name="Normal 2 2 2 5 12 2 2" xfId="6153"/>
    <cellStyle name="Normal 2 2 2 5 12 2 2 2" xfId="17490"/>
    <cellStyle name="Normal 2 2 2 5 12 2 2 2 2" xfId="26619"/>
    <cellStyle name="Normal 2 2 2 5 12 2 2 3" xfId="26620"/>
    <cellStyle name="Normal 2 2 2 5 12 2 3" xfId="17491"/>
    <cellStyle name="Normal 2 2 2 5 12 2 3 2" xfId="26621"/>
    <cellStyle name="Normal 2 2 2 5 12 2 4" xfId="26622"/>
    <cellStyle name="Normal 2 2 2 5 12 3" xfId="6154"/>
    <cellStyle name="Normal 2 2 2 5 12 3 2" xfId="17492"/>
    <cellStyle name="Normal 2 2 2 5 12 3 2 2" xfId="26623"/>
    <cellStyle name="Normal 2 2 2 5 12 3 3" xfId="26624"/>
    <cellStyle name="Normal 2 2 2 5 12 4" xfId="17493"/>
    <cellStyle name="Normal 2 2 2 5 12 4 2" xfId="26625"/>
    <cellStyle name="Normal 2 2 2 5 12 5" xfId="26626"/>
    <cellStyle name="Normal 2 2 2 5 13" xfId="6155"/>
    <cellStyle name="Normal 2 2 2 5 13 2" xfId="6156"/>
    <cellStyle name="Normal 2 2 2 5 13 2 2" xfId="6157"/>
    <cellStyle name="Normal 2 2 2 5 13 2 2 2" xfId="17494"/>
    <cellStyle name="Normal 2 2 2 5 13 2 2 2 2" xfId="26627"/>
    <cellStyle name="Normal 2 2 2 5 13 2 2 3" xfId="26628"/>
    <cellStyle name="Normal 2 2 2 5 13 2 3" xfId="17495"/>
    <cellStyle name="Normal 2 2 2 5 13 2 3 2" xfId="26629"/>
    <cellStyle name="Normal 2 2 2 5 13 2 4" xfId="26630"/>
    <cellStyle name="Normal 2 2 2 5 13 3" xfId="6158"/>
    <cellStyle name="Normal 2 2 2 5 13 3 2" xfId="17496"/>
    <cellStyle name="Normal 2 2 2 5 13 3 2 2" xfId="26631"/>
    <cellStyle name="Normal 2 2 2 5 13 3 3" xfId="26632"/>
    <cellStyle name="Normal 2 2 2 5 13 4" xfId="17497"/>
    <cellStyle name="Normal 2 2 2 5 13 4 2" xfId="26633"/>
    <cellStyle name="Normal 2 2 2 5 13 5" xfId="26634"/>
    <cellStyle name="Normal 2 2 2 5 14" xfId="6159"/>
    <cellStyle name="Normal 2 2 2 5 14 2" xfId="6160"/>
    <cellStyle name="Normal 2 2 2 5 14 2 2" xfId="6161"/>
    <cellStyle name="Normal 2 2 2 5 14 2 2 2" xfId="17498"/>
    <cellStyle name="Normal 2 2 2 5 14 2 2 2 2" xfId="26635"/>
    <cellStyle name="Normal 2 2 2 5 14 2 2 3" xfId="26636"/>
    <cellStyle name="Normal 2 2 2 5 14 2 3" xfId="17499"/>
    <cellStyle name="Normal 2 2 2 5 14 2 3 2" xfId="26637"/>
    <cellStyle name="Normal 2 2 2 5 14 2 4" xfId="26638"/>
    <cellStyle name="Normal 2 2 2 5 14 3" xfId="6162"/>
    <cellStyle name="Normal 2 2 2 5 14 3 2" xfId="17500"/>
    <cellStyle name="Normal 2 2 2 5 14 3 2 2" xfId="26639"/>
    <cellStyle name="Normal 2 2 2 5 14 3 3" xfId="26640"/>
    <cellStyle name="Normal 2 2 2 5 14 4" xfId="17501"/>
    <cellStyle name="Normal 2 2 2 5 14 4 2" xfId="26641"/>
    <cellStyle name="Normal 2 2 2 5 14 5" xfId="26642"/>
    <cellStyle name="Normal 2 2 2 5 15" xfId="6163"/>
    <cellStyle name="Normal 2 2 2 5 15 2" xfId="6164"/>
    <cellStyle name="Normal 2 2 2 5 15 2 2" xfId="6165"/>
    <cellStyle name="Normal 2 2 2 5 15 2 2 2" xfId="17502"/>
    <cellStyle name="Normal 2 2 2 5 15 2 2 2 2" xfId="26643"/>
    <cellStyle name="Normal 2 2 2 5 15 2 2 3" xfId="26644"/>
    <cellStyle name="Normal 2 2 2 5 15 2 3" xfId="17503"/>
    <cellStyle name="Normal 2 2 2 5 15 2 3 2" xfId="26645"/>
    <cellStyle name="Normal 2 2 2 5 15 2 4" xfId="26646"/>
    <cellStyle name="Normal 2 2 2 5 15 3" xfId="6166"/>
    <cellStyle name="Normal 2 2 2 5 15 3 2" xfId="17504"/>
    <cellStyle name="Normal 2 2 2 5 15 3 2 2" xfId="26647"/>
    <cellStyle name="Normal 2 2 2 5 15 3 3" xfId="26648"/>
    <cellStyle name="Normal 2 2 2 5 15 4" xfId="17505"/>
    <cellStyle name="Normal 2 2 2 5 15 4 2" xfId="26649"/>
    <cellStyle name="Normal 2 2 2 5 15 5" xfId="26650"/>
    <cellStyle name="Normal 2 2 2 5 16" xfId="6167"/>
    <cellStyle name="Normal 2 2 2 5 16 2" xfId="6168"/>
    <cellStyle name="Normal 2 2 2 5 16 2 2" xfId="6169"/>
    <cellStyle name="Normal 2 2 2 5 16 2 2 2" xfId="17506"/>
    <cellStyle name="Normal 2 2 2 5 16 2 2 2 2" xfId="26651"/>
    <cellStyle name="Normal 2 2 2 5 16 2 2 3" xfId="26652"/>
    <cellStyle name="Normal 2 2 2 5 16 2 3" xfId="17507"/>
    <cellStyle name="Normal 2 2 2 5 16 2 3 2" xfId="26653"/>
    <cellStyle name="Normal 2 2 2 5 16 2 4" xfId="26654"/>
    <cellStyle name="Normal 2 2 2 5 16 3" xfId="6170"/>
    <cellStyle name="Normal 2 2 2 5 16 3 2" xfId="17508"/>
    <cellStyle name="Normal 2 2 2 5 16 3 2 2" xfId="26655"/>
    <cellStyle name="Normal 2 2 2 5 16 3 3" xfId="26656"/>
    <cellStyle name="Normal 2 2 2 5 16 4" xfId="17509"/>
    <cellStyle name="Normal 2 2 2 5 16 4 2" xfId="26657"/>
    <cellStyle name="Normal 2 2 2 5 16 5" xfId="26658"/>
    <cellStyle name="Normal 2 2 2 5 17" xfId="6171"/>
    <cellStyle name="Normal 2 2 2 5 17 2" xfId="6172"/>
    <cellStyle name="Normal 2 2 2 5 17 2 2" xfId="6173"/>
    <cellStyle name="Normal 2 2 2 5 17 2 2 2" xfId="17510"/>
    <cellStyle name="Normal 2 2 2 5 17 2 2 2 2" xfId="26659"/>
    <cellStyle name="Normal 2 2 2 5 17 2 2 3" xfId="26660"/>
    <cellStyle name="Normal 2 2 2 5 17 2 3" xfId="17511"/>
    <cellStyle name="Normal 2 2 2 5 17 2 3 2" xfId="26661"/>
    <cellStyle name="Normal 2 2 2 5 17 2 4" xfId="26662"/>
    <cellStyle name="Normal 2 2 2 5 17 3" xfId="6174"/>
    <cellStyle name="Normal 2 2 2 5 17 3 2" xfId="17512"/>
    <cellStyle name="Normal 2 2 2 5 17 3 2 2" xfId="26663"/>
    <cellStyle name="Normal 2 2 2 5 17 3 3" xfId="26664"/>
    <cellStyle name="Normal 2 2 2 5 17 4" xfId="17513"/>
    <cellStyle name="Normal 2 2 2 5 17 4 2" xfId="26665"/>
    <cellStyle name="Normal 2 2 2 5 17 5" xfId="26666"/>
    <cellStyle name="Normal 2 2 2 5 18" xfId="6175"/>
    <cellStyle name="Normal 2 2 2 5 18 2" xfId="6176"/>
    <cellStyle name="Normal 2 2 2 5 18 2 2" xfId="6177"/>
    <cellStyle name="Normal 2 2 2 5 18 2 2 2" xfId="17514"/>
    <cellStyle name="Normal 2 2 2 5 18 2 2 2 2" xfId="26667"/>
    <cellStyle name="Normal 2 2 2 5 18 2 2 3" xfId="26668"/>
    <cellStyle name="Normal 2 2 2 5 18 2 3" xfId="17515"/>
    <cellStyle name="Normal 2 2 2 5 18 2 3 2" xfId="26669"/>
    <cellStyle name="Normal 2 2 2 5 18 2 4" xfId="26670"/>
    <cellStyle name="Normal 2 2 2 5 18 3" xfId="6178"/>
    <cellStyle name="Normal 2 2 2 5 18 3 2" xfId="17516"/>
    <cellStyle name="Normal 2 2 2 5 18 3 2 2" xfId="26671"/>
    <cellStyle name="Normal 2 2 2 5 18 3 3" xfId="26672"/>
    <cellStyle name="Normal 2 2 2 5 18 4" xfId="17517"/>
    <cellStyle name="Normal 2 2 2 5 18 4 2" xfId="26673"/>
    <cellStyle name="Normal 2 2 2 5 18 5" xfId="26674"/>
    <cellStyle name="Normal 2 2 2 5 19" xfId="6179"/>
    <cellStyle name="Normal 2 2 2 5 19 2" xfId="6180"/>
    <cellStyle name="Normal 2 2 2 5 19 2 2" xfId="6181"/>
    <cellStyle name="Normal 2 2 2 5 19 2 2 2" xfId="17518"/>
    <cellStyle name="Normal 2 2 2 5 19 2 2 2 2" xfId="26675"/>
    <cellStyle name="Normal 2 2 2 5 19 2 2 3" xfId="26676"/>
    <cellStyle name="Normal 2 2 2 5 19 2 3" xfId="17519"/>
    <cellStyle name="Normal 2 2 2 5 19 2 3 2" xfId="26677"/>
    <cellStyle name="Normal 2 2 2 5 19 2 4" xfId="26678"/>
    <cellStyle name="Normal 2 2 2 5 19 3" xfId="6182"/>
    <cellStyle name="Normal 2 2 2 5 19 3 2" xfId="17520"/>
    <cellStyle name="Normal 2 2 2 5 19 3 2 2" xfId="26679"/>
    <cellStyle name="Normal 2 2 2 5 19 3 3" xfId="26680"/>
    <cellStyle name="Normal 2 2 2 5 19 4" xfId="17521"/>
    <cellStyle name="Normal 2 2 2 5 19 4 2" xfId="26681"/>
    <cellStyle name="Normal 2 2 2 5 19 5" xfId="26682"/>
    <cellStyle name="Normal 2 2 2 5 2" xfId="6183"/>
    <cellStyle name="Normal 2 2 2 5 2 10" xfId="17522"/>
    <cellStyle name="Normal 2 2 2 5 2 10 2" xfId="26683"/>
    <cellStyle name="Normal 2 2 2 5 2 2" xfId="6184"/>
    <cellStyle name="Normal 2 2 2 5 2 2 2" xfId="6185"/>
    <cellStyle name="Normal 2 2 2 5 2 2 2 2" xfId="6186"/>
    <cellStyle name="Normal 2 2 2 5 2 2 2 3" xfId="17523"/>
    <cellStyle name="Normal 2 2 2 5 2 2 3" xfId="6187"/>
    <cellStyle name="Normal 2 2 2 5 2 2 3 2" xfId="6188"/>
    <cellStyle name="Normal 2 2 2 5 2 2 3 2 2" xfId="17524"/>
    <cellStyle name="Normal 2 2 2 5 2 2 3 2 2 2" xfId="26684"/>
    <cellStyle name="Normal 2 2 2 5 2 2 3 2 3" xfId="26685"/>
    <cellStyle name="Normal 2 2 2 5 2 2 3 3" xfId="17525"/>
    <cellStyle name="Normal 2 2 2 5 2 2 3 3 2" xfId="26686"/>
    <cellStyle name="Normal 2 2 2 5 2 2 3 4" xfId="26687"/>
    <cellStyle name="Normal 2 2 2 5 2 2 4" xfId="17526"/>
    <cellStyle name="Normal 2 2 2 5 2 2 5" xfId="17527"/>
    <cellStyle name="Normal 2 2 2 5 2 3" xfId="6189"/>
    <cellStyle name="Normal 2 2 2 5 2 3 2" xfId="6190"/>
    <cellStyle name="Normal 2 2 2 5 2 3 2 2" xfId="6191"/>
    <cellStyle name="Normal 2 2 2 5 2 3 3" xfId="6192"/>
    <cellStyle name="Normal 2 2 2 5 2 3 4" xfId="17528"/>
    <cellStyle name="Normal 2 2 2 5 2 3 5" xfId="17529"/>
    <cellStyle name="Normal 2 2 2 5 2 4" xfId="6193"/>
    <cellStyle name="Normal 2 2 2 5 2 4 2" xfId="6194"/>
    <cellStyle name="Normal 2 2 2 5 2 4 2 2" xfId="6195"/>
    <cellStyle name="Normal 2 2 2 5 2 4 3" xfId="6196"/>
    <cellStyle name="Normal 2 2 2 5 2 4 4" xfId="17530"/>
    <cellStyle name="Normal 2 2 2 5 2 4 5" xfId="17531"/>
    <cellStyle name="Normal 2 2 2 5 2 5" xfId="6197"/>
    <cellStyle name="Normal 2 2 2 5 2 5 2" xfId="6198"/>
    <cellStyle name="Normal 2 2 2 5 2 5 2 2" xfId="6199"/>
    <cellStyle name="Normal 2 2 2 5 2 5 3" xfId="6200"/>
    <cellStyle name="Normal 2 2 2 5 2 5 4" xfId="17532"/>
    <cellStyle name="Normal 2 2 2 5 2 5 5" xfId="17533"/>
    <cellStyle name="Normal 2 2 2 5 2 6" xfId="6201"/>
    <cellStyle name="Normal 2 2 2 5 2 6 2" xfId="6202"/>
    <cellStyle name="Normal 2 2 2 5 2 6 3" xfId="26688"/>
    <cellStyle name="Normal 2 2 2 5 2 7" xfId="6203"/>
    <cellStyle name="Normal 2 2 2 5 2 7 2" xfId="6204"/>
    <cellStyle name="Normal 2 2 2 5 2 7 2 2" xfId="17534"/>
    <cellStyle name="Normal 2 2 2 5 2 7 2 2 2" xfId="26689"/>
    <cellStyle name="Normal 2 2 2 5 2 7 2 3" xfId="26690"/>
    <cellStyle name="Normal 2 2 2 5 2 7 3" xfId="17535"/>
    <cellStyle name="Normal 2 2 2 5 2 7 3 2" xfId="26691"/>
    <cellStyle name="Normal 2 2 2 5 2 7 4" xfId="26692"/>
    <cellStyle name="Normal 2 2 2 5 2 8" xfId="6205"/>
    <cellStyle name="Normal 2 2 2 5 2 8 2" xfId="6206"/>
    <cellStyle name="Normal 2 2 2 5 2 8 2 2" xfId="17536"/>
    <cellStyle name="Normal 2 2 2 5 2 8 2 2 2" xfId="26693"/>
    <cellStyle name="Normal 2 2 2 5 2 8 2 3" xfId="26694"/>
    <cellStyle name="Normal 2 2 2 5 2 8 3" xfId="17537"/>
    <cellStyle name="Normal 2 2 2 5 2 8 3 2" xfId="26695"/>
    <cellStyle name="Normal 2 2 2 5 2 8 4" xfId="26696"/>
    <cellStyle name="Normal 2 2 2 5 2 9" xfId="17538"/>
    <cellStyle name="Normal 2 2 2 5 2 9 2" xfId="17539"/>
    <cellStyle name="Normal 2 2 2 5 2 9 2 2" xfId="26697"/>
    <cellStyle name="Normal 2 2 2 5 2 9 3" xfId="26698"/>
    <cellStyle name="Normal 2 2 2 5 20" xfId="6207"/>
    <cellStyle name="Normal 2 2 2 5 20 2" xfId="6208"/>
    <cellStyle name="Normal 2 2 2 5 20 2 2" xfId="6209"/>
    <cellStyle name="Normal 2 2 2 5 20 2 2 2" xfId="17540"/>
    <cellStyle name="Normal 2 2 2 5 20 2 2 2 2" xfId="26699"/>
    <cellStyle name="Normal 2 2 2 5 20 2 2 3" xfId="26700"/>
    <cellStyle name="Normal 2 2 2 5 20 2 3" xfId="17541"/>
    <cellStyle name="Normal 2 2 2 5 20 2 3 2" xfId="26701"/>
    <cellStyle name="Normal 2 2 2 5 20 2 4" xfId="26702"/>
    <cellStyle name="Normal 2 2 2 5 20 3" xfId="6210"/>
    <cellStyle name="Normal 2 2 2 5 20 3 2" xfId="17542"/>
    <cellStyle name="Normal 2 2 2 5 20 3 2 2" xfId="26703"/>
    <cellStyle name="Normal 2 2 2 5 20 3 3" xfId="26704"/>
    <cellStyle name="Normal 2 2 2 5 20 4" xfId="17543"/>
    <cellStyle name="Normal 2 2 2 5 20 4 2" xfId="26705"/>
    <cellStyle name="Normal 2 2 2 5 20 5" xfId="26706"/>
    <cellStyle name="Normal 2 2 2 5 21" xfId="6211"/>
    <cellStyle name="Normal 2 2 2 5 21 2" xfId="6212"/>
    <cellStyle name="Normal 2 2 2 5 21 2 2" xfId="6213"/>
    <cellStyle name="Normal 2 2 2 5 21 2 2 2" xfId="17544"/>
    <cellStyle name="Normal 2 2 2 5 21 2 2 2 2" xfId="26707"/>
    <cellStyle name="Normal 2 2 2 5 21 2 2 3" xfId="26708"/>
    <cellStyle name="Normal 2 2 2 5 21 2 3" xfId="17545"/>
    <cellStyle name="Normal 2 2 2 5 21 2 3 2" xfId="26709"/>
    <cellStyle name="Normal 2 2 2 5 21 2 4" xfId="26710"/>
    <cellStyle name="Normal 2 2 2 5 21 3" xfId="6214"/>
    <cellStyle name="Normal 2 2 2 5 21 3 2" xfId="17546"/>
    <cellStyle name="Normal 2 2 2 5 21 3 2 2" xfId="26711"/>
    <cellStyle name="Normal 2 2 2 5 21 3 3" xfId="26712"/>
    <cellStyle name="Normal 2 2 2 5 21 4" xfId="17547"/>
    <cellStyle name="Normal 2 2 2 5 21 4 2" xfId="26713"/>
    <cellStyle name="Normal 2 2 2 5 21 5" xfId="26714"/>
    <cellStyle name="Normal 2 2 2 5 22" xfId="6215"/>
    <cellStyle name="Normal 2 2 2 5 22 2" xfId="6216"/>
    <cellStyle name="Normal 2 2 2 5 22 2 2" xfId="6217"/>
    <cellStyle name="Normal 2 2 2 5 22 2 2 2" xfId="17548"/>
    <cellStyle name="Normal 2 2 2 5 22 2 2 2 2" xfId="26715"/>
    <cellStyle name="Normal 2 2 2 5 22 2 2 3" xfId="26716"/>
    <cellStyle name="Normal 2 2 2 5 22 2 3" xfId="17549"/>
    <cellStyle name="Normal 2 2 2 5 22 2 3 2" xfId="26717"/>
    <cellStyle name="Normal 2 2 2 5 22 2 4" xfId="26718"/>
    <cellStyle name="Normal 2 2 2 5 22 3" xfId="6218"/>
    <cellStyle name="Normal 2 2 2 5 22 3 2" xfId="17550"/>
    <cellStyle name="Normal 2 2 2 5 22 3 2 2" xfId="26719"/>
    <cellStyle name="Normal 2 2 2 5 22 3 3" xfId="26720"/>
    <cellStyle name="Normal 2 2 2 5 22 4" xfId="17551"/>
    <cellStyle name="Normal 2 2 2 5 22 4 2" xfId="26721"/>
    <cellStyle name="Normal 2 2 2 5 22 5" xfId="26722"/>
    <cellStyle name="Normal 2 2 2 5 23" xfId="6219"/>
    <cellStyle name="Normal 2 2 2 5 23 2" xfId="6220"/>
    <cellStyle name="Normal 2 2 2 5 23 2 2" xfId="6221"/>
    <cellStyle name="Normal 2 2 2 5 23 2 2 2" xfId="17552"/>
    <cellStyle name="Normal 2 2 2 5 23 2 2 2 2" xfId="26723"/>
    <cellStyle name="Normal 2 2 2 5 23 2 2 3" xfId="26724"/>
    <cellStyle name="Normal 2 2 2 5 23 2 3" xfId="17553"/>
    <cellStyle name="Normal 2 2 2 5 23 2 3 2" xfId="26725"/>
    <cellStyle name="Normal 2 2 2 5 23 2 4" xfId="26726"/>
    <cellStyle name="Normal 2 2 2 5 23 3" xfId="6222"/>
    <cellStyle name="Normal 2 2 2 5 23 3 2" xfId="17554"/>
    <cellStyle name="Normal 2 2 2 5 23 3 2 2" xfId="26727"/>
    <cellStyle name="Normal 2 2 2 5 23 3 3" xfId="26728"/>
    <cellStyle name="Normal 2 2 2 5 23 4" xfId="17555"/>
    <cellStyle name="Normal 2 2 2 5 23 4 2" xfId="26729"/>
    <cellStyle name="Normal 2 2 2 5 23 5" xfId="26730"/>
    <cellStyle name="Normal 2 2 2 5 24" xfId="6223"/>
    <cellStyle name="Normal 2 2 2 5 24 2" xfId="6224"/>
    <cellStyle name="Normal 2 2 2 5 24 2 2" xfId="6225"/>
    <cellStyle name="Normal 2 2 2 5 24 2 2 2" xfId="17556"/>
    <cellStyle name="Normal 2 2 2 5 24 2 2 2 2" xfId="26731"/>
    <cellStyle name="Normal 2 2 2 5 24 2 2 3" xfId="26732"/>
    <cellStyle name="Normal 2 2 2 5 24 2 3" xfId="17557"/>
    <cellStyle name="Normal 2 2 2 5 24 2 3 2" xfId="26733"/>
    <cellStyle name="Normal 2 2 2 5 24 2 4" xfId="26734"/>
    <cellStyle name="Normal 2 2 2 5 24 3" xfId="6226"/>
    <cellStyle name="Normal 2 2 2 5 24 3 2" xfId="17558"/>
    <cellStyle name="Normal 2 2 2 5 24 3 2 2" xfId="26735"/>
    <cellStyle name="Normal 2 2 2 5 24 3 3" xfId="26736"/>
    <cellStyle name="Normal 2 2 2 5 24 4" xfId="17559"/>
    <cellStyle name="Normal 2 2 2 5 24 4 2" xfId="26737"/>
    <cellStyle name="Normal 2 2 2 5 24 5" xfId="26738"/>
    <cellStyle name="Normal 2 2 2 5 25" xfId="6227"/>
    <cellStyle name="Normal 2 2 2 5 25 2" xfId="6228"/>
    <cellStyle name="Normal 2 2 2 5 25 2 2" xfId="6229"/>
    <cellStyle name="Normal 2 2 2 5 25 2 2 2" xfId="17560"/>
    <cellStyle name="Normal 2 2 2 5 25 2 2 2 2" xfId="26739"/>
    <cellStyle name="Normal 2 2 2 5 25 2 2 3" xfId="26740"/>
    <cellStyle name="Normal 2 2 2 5 25 2 3" xfId="17561"/>
    <cellStyle name="Normal 2 2 2 5 25 2 3 2" xfId="26741"/>
    <cellStyle name="Normal 2 2 2 5 25 2 4" xfId="26742"/>
    <cellStyle name="Normal 2 2 2 5 25 3" xfId="6230"/>
    <cellStyle name="Normal 2 2 2 5 25 3 2" xfId="17562"/>
    <cellStyle name="Normal 2 2 2 5 25 3 2 2" xfId="26743"/>
    <cellStyle name="Normal 2 2 2 5 25 3 3" xfId="26744"/>
    <cellStyle name="Normal 2 2 2 5 25 4" xfId="17563"/>
    <cellStyle name="Normal 2 2 2 5 25 4 2" xfId="26745"/>
    <cellStyle name="Normal 2 2 2 5 25 5" xfId="26746"/>
    <cellStyle name="Normal 2 2 2 5 26" xfId="6231"/>
    <cellStyle name="Normal 2 2 2 5 26 2" xfId="6232"/>
    <cellStyle name="Normal 2 2 2 5 26 2 2" xfId="6233"/>
    <cellStyle name="Normal 2 2 2 5 26 2 2 2" xfId="17564"/>
    <cellStyle name="Normal 2 2 2 5 26 2 2 2 2" xfId="26747"/>
    <cellStyle name="Normal 2 2 2 5 26 2 2 3" xfId="26748"/>
    <cellStyle name="Normal 2 2 2 5 26 2 3" xfId="17565"/>
    <cellStyle name="Normal 2 2 2 5 26 2 3 2" xfId="26749"/>
    <cellStyle name="Normal 2 2 2 5 26 2 4" xfId="26750"/>
    <cellStyle name="Normal 2 2 2 5 26 3" xfId="6234"/>
    <cellStyle name="Normal 2 2 2 5 26 3 2" xfId="17566"/>
    <cellStyle name="Normal 2 2 2 5 26 3 2 2" xfId="26751"/>
    <cellStyle name="Normal 2 2 2 5 26 3 3" xfId="26752"/>
    <cellStyle name="Normal 2 2 2 5 26 4" xfId="17567"/>
    <cellStyle name="Normal 2 2 2 5 26 4 2" xfId="26753"/>
    <cellStyle name="Normal 2 2 2 5 26 5" xfId="26754"/>
    <cellStyle name="Normal 2 2 2 5 27" xfId="6235"/>
    <cellStyle name="Normal 2 2 2 5 27 2" xfId="6236"/>
    <cellStyle name="Normal 2 2 2 5 27 2 2" xfId="6237"/>
    <cellStyle name="Normal 2 2 2 5 27 2 2 2" xfId="17568"/>
    <cellStyle name="Normal 2 2 2 5 27 2 2 2 2" xfId="26755"/>
    <cellStyle name="Normal 2 2 2 5 27 2 2 3" xfId="26756"/>
    <cellStyle name="Normal 2 2 2 5 27 2 3" xfId="17569"/>
    <cellStyle name="Normal 2 2 2 5 27 2 3 2" xfId="26757"/>
    <cellStyle name="Normal 2 2 2 5 27 2 4" xfId="26758"/>
    <cellStyle name="Normal 2 2 2 5 27 3" xfId="6238"/>
    <cellStyle name="Normal 2 2 2 5 27 3 2" xfId="17570"/>
    <cellStyle name="Normal 2 2 2 5 27 3 2 2" xfId="26759"/>
    <cellStyle name="Normal 2 2 2 5 27 3 3" xfId="26760"/>
    <cellStyle name="Normal 2 2 2 5 27 4" xfId="17571"/>
    <cellStyle name="Normal 2 2 2 5 27 4 2" xfId="26761"/>
    <cellStyle name="Normal 2 2 2 5 27 5" xfId="26762"/>
    <cellStyle name="Normal 2 2 2 5 28" xfId="6239"/>
    <cellStyle name="Normal 2 2 2 5 28 2" xfId="6240"/>
    <cellStyle name="Normal 2 2 2 5 28 2 2" xfId="6241"/>
    <cellStyle name="Normal 2 2 2 5 28 2 2 2" xfId="17572"/>
    <cellStyle name="Normal 2 2 2 5 28 2 2 2 2" xfId="26763"/>
    <cellStyle name="Normal 2 2 2 5 28 2 2 3" xfId="26764"/>
    <cellStyle name="Normal 2 2 2 5 28 2 3" xfId="17573"/>
    <cellStyle name="Normal 2 2 2 5 28 2 3 2" xfId="26765"/>
    <cellStyle name="Normal 2 2 2 5 28 2 4" xfId="26766"/>
    <cellStyle name="Normal 2 2 2 5 28 3" xfId="6242"/>
    <cellStyle name="Normal 2 2 2 5 28 3 2" xfId="17574"/>
    <cellStyle name="Normal 2 2 2 5 28 3 2 2" xfId="26767"/>
    <cellStyle name="Normal 2 2 2 5 28 3 3" xfId="26768"/>
    <cellStyle name="Normal 2 2 2 5 28 4" xfId="17575"/>
    <cellStyle name="Normal 2 2 2 5 28 4 2" xfId="26769"/>
    <cellStyle name="Normal 2 2 2 5 28 5" xfId="26770"/>
    <cellStyle name="Normal 2 2 2 5 29" xfId="6243"/>
    <cellStyle name="Normal 2 2 2 5 29 2" xfId="6244"/>
    <cellStyle name="Normal 2 2 2 5 29 2 2" xfId="6245"/>
    <cellStyle name="Normal 2 2 2 5 29 2 2 2" xfId="17576"/>
    <cellStyle name="Normal 2 2 2 5 29 2 2 2 2" xfId="26771"/>
    <cellStyle name="Normal 2 2 2 5 29 2 2 3" xfId="26772"/>
    <cellStyle name="Normal 2 2 2 5 29 2 3" xfId="17577"/>
    <cellStyle name="Normal 2 2 2 5 29 2 3 2" xfId="26773"/>
    <cellStyle name="Normal 2 2 2 5 29 2 4" xfId="26774"/>
    <cellStyle name="Normal 2 2 2 5 29 3" xfId="6246"/>
    <cellStyle name="Normal 2 2 2 5 29 3 2" xfId="17578"/>
    <cellStyle name="Normal 2 2 2 5 29 3 2 2" xfId="26775"/>
    <cellStyle name="Normal 2 2 2 5 29 3 3" xfId="26776"/>
    <cellStyle name="Normal 2 2 2 5 29 4" xfId="17579"/>
    <cellStyle name="Normal 2 2 2 5 29 4 2" xfId="26777"/>
    <cellStyle name="Normal 2 2 2 5 29 5" xfId="26778"/>
    <cellStyle name="Normal 2 2 2 5 3" xfId="6247"/>
    <cellStyle name="Normal 2 2 2 5 3 2" xfId="6248"/>
    <cellStyle name="Normal 2 2 2 5 3 3" xfId="6249"/>
    <cellStyle name="Normal 2 2 2 5 3 3 2" xfId="6250"/>
    <cellStyle name="Normal 2 2 2 5 3 3 2 2" xfId="17580"/>
    <cellStyle name="Normal 2 2 2 5 3 3 2 2 2" xfId="26779"/>
    <cellStyle name="Normal 2 2 2 5 3 3 2 3" xfId="26780"/>
    <cellStyle name="Normal 2 2 2 5 3 3 3" xfId="17581"/>
    <cellStyle name="Normal 2 2 2 5 3 3 3 2" xfId="26781"/>
    <cellStyle name="Normal 2 2 2 5 3 3 4" xfId="26782"/>
    <cellStyle name="Normal 2 2 2 5 30" xfId="6251"/>
    <cellStyle name="Normal 2 2 2 5 30 2" xfId="6252"/>
    <cellStyle name="Normal 2 2 2 5 30 2 2" xfId="6253"/>
    <cellStyle name="Normal 2 2 2 5 30 2 2 2" xfId="17582"/>
    <cellStyle name="Normal 2 2 2 5 30 2 2 2 2" xfId="26783"/>
    <cellStyle name="Normal 2 2 2 5 30 2 2 3" xfId="26784"/>
    <cellStyle name="Normal 2 2 2 5 30 2 3" xfId="17583"/>
    <cellStyle name="Normal 2 2 2 5 30 2 3 2" xfId="26785"/>
    <cellStyle name="Normal 2 2 2 5 30 2 4" xfId="26786"/>
    <cellStyle name="Normal 2 2 2 5 30 3" xfId="6254"/>
    <cellStyle name="Normal 2 2 2 5 30 3 2" xfId="17584"/>
    <cellStyle name="Normal 2 2 2 5 30 3 2 2" xfId="26787"/>
    <cellStyle name="Normal 2 2 2 5 30 3 3" xfId="26788"/>
    <cellStyle name="Normal 2 2 2 5 30 4" xfId="17585"/>
    <cellStyle name="Normal 2 2 2 5 30 4 2" xfId="26789"/>
    <cellStyle name="Normal 2 2 2 5 30 5" xfId="26790"/>
    <cellStyle name="Normal 2 2 2 5 31" xfId="6255"/>
    <cellStyle name="Normal 2 2 2 5 31 2" xfId="6256"/>
    <cellStyle name="Normal 2 2 2 5 31 2 2" xfId="6257"/>
    <cellStyle name="Normal 2 2 2 5 31 2 2 2" xfId="17586"/>
    <cellStyle name="Normal 2 2 2 5 31 2 2 2 2" xfId="26791"/>
    <cellStyle name="Normal 2 2 2 5 31 2 2 3" xfId="26792"/>
    <cellStyle name="Normal 2 2 2 5 31 2 3" xfId="17587"/>
    <cellStyle name="Normal 2 2 2 5 31 2 3 2" xfId="26793"/>
    <cellStyle name="Normal 2 2 2 5 31 2 4" xfId="26794"/>
    <cellStyle name="Normal 2 2 2 5 31 3" xfId="6258"/>
    <cellStyle name="Normal 2 2 2 5 31 3 2" xfId="17588"/>
    <cellStyle name="Normal 2 2 2 5 31 3 2 2" xfId="26795"/>
    <cellStyle name="Normal 2 2 2 5 31 3 3" xfId="26796"/>
    <cellStyle name="Normal 2 2 2 5 31 4" xfId="17589"/>
    <cellStyle name="Normal 2 2 2 5 31 4 2" xfId="26797"/>
    <cellStyle name="Normal 2 2 2 5 31 5" xfId="26798"/>
    <cellStyle name="Normal 2 2 2 5 32" xfId="6259"/>
    <cellStyle name="Normal 2 2 2 5 32 2" xfId="6260"/>
    <cellStyle name="Normal 2 2 2 5 32 2 2" xfId="6261"/>
    <cellStyle name="Normal 2 2 2 5 32 2 2 2" xfId="17590"/>
    <cellStyle name="Normal 2 2 2 5 32 2 2 2 2" xfId="26799"/>
    <cellStyle name="Normal 2 2 2 5 32 2 2 3" xfId="26800"/>
    <cellStyle name="Normal 2 2 2 5 32 2 3" xfId="17591"/>
    <cellStyle name="Normal 2 2 2 5 32 2 3 2" xfId="26801"/>
    <cellStyle name="Normal 2 2 2 5 32 2 4" xfId="26802"/>
    <cellStyle name="Normal 2 2 2 5 32 3" xfId="6262"/>
    <cellStyle name="Normal 2 2 2 5 32 3 2" xfId="17592"/>
    <cellStyle name="Normal 2 2 2 5 32 3 2 2" xfId="26803"/>
    <cellStyle name="Normal 2 2 2 5 32 3 3" xfId="26804"/>
    <cellStyle name="Normal 2 2 2 5 32 4" xfId="17593"/>
    <cellStyle name="Normal 2 2 2 5 32 4 2" xfId="26805"/>
    <cellStyle name="Normal 2 2 2 5 32 5" xfId="26806"/>
    <cellStyle name="Normal 2 2 2 5 33" xfId="6263"/>
    <cellStyle name="Normal 2 2 2 5 33 2" xfId="6264"/>
    <cellStyle name="Normal 2 2 2 5 33 2 2" xfId="6265"/>
    <cellStyle name="Normal 2 2 2 5 33 2 2 2" xfId="17594"/>
    <cellStyle name="Normal 2 2 2 5 33 2 2 2 2" xfId="26807"/>
    <cellStyle name="Normal 2 2 2 5 33 2 2 3" xfId="26808"/>
    <cellStyle name="Normal 2 2 2 5 33 2 3" xfId="17595"/>
    <cellStyle name="Normal 2 2 2 5 33 2 3 2" xfId="26809"/>
    <cellStyle name="Normal 2 2 2 5 33 2 4" xfId="26810"/>
    <cellStyle name="Normal 2 2 2 5 33 3" xfId="6266"/>
    <cellStyle name="Normal 2 2 2 5 33 3 2" xfId="17596"/>
    <cellStyle name="Normal 2 2 2 5 33 3 2 2" xfId="26811"/>
    <cellStyle name="Normal 2 2 2 5 33 3 3" xfId="26812"/>
    <cellStyle name="Normal 2 2 2 5 33 4" xfId="17597"/>
    <cellStyle name="Normal 2 2 2 5 33 4 2" xfId="26813"/>
    <cellStyle name="Normal 2 2 2 5 33 5" xfId="26814"/>
    <cellStyle name="Normal 2 2 2 5 34" xfId="6267"/>
    <cellStyle name="Normal 2 2 2 5 34 2" xfId="6268"/>
    <cellStyle name="Normal 2 2 2 5 34 2 2" xfId="6269"/>
    <cellStyle name="Normal 2 2 2 5 34 2 2 2" xfId="17598"/>
    <cellStyle name="Normal 2 2 2 5 34 2 2 2 2" xfId="26815"/>
    <cellStyle name="Normal 2 2 2 5 34 2 2 3" xfId="26816"/>
    <cellStyle name="Normal 2 2 2 5 34 2 3" xfId="17599"/>
    <cellStyle name="Normal 2 2 2 5 34 2 3 2" xfId="26817"/>
    <cellStyle name="Normal 2 2 2 5 34 2 4" xfId="26818"/>
    <cellStyle name="Normal 2 2 2 5 34 3" xfId="6270"/>
    <cellStyle name="Normal 2 2 2 5 34 3 2" xfId="17600"/>
    <cellStyle name="Normal 2 2 2 5 34 3 2 2" xfId="26819"/>
    <cellStyle name="Normal 2 2 2 5 34 3 3" xfId="26820"/>
    <cellStyle name="Normal 2 2 2 5 34 4" xfId="17601"/>
    <cellStyle name="Normal 2 2 2 5 34 4 2" xfId="26821"/>
    <cellStyle name="Normal 2 2 2 5 34 5" xfId="26822"/>
    <cellStyle name="Normal 2 2 2 5 35" xfId="6271"/>
    <cellStyle name="Normal 2 2 2 5 35 2" xfId="6272"/>
    <cellStyle name="Normal 2 2 2 5 35 2 2" xfId="6273"/>
    <cellStyle name="Normal 2 2 2 5 35 2 2 2" xfId="17602"/>
    <cellStyle name="Normal 2 2 2 5 35 2 2 2 2" xfId="26823"/>
    <cellStyle name="Normal 2 2 2 5 35 2 2 3" xfId="26824"/>
    <cellStyle name="Normal 2 2 2 5 35 2 3" xfId="17603"/>
    <cellStyle name="Normal 2 2 2 5 35 2 3 2" xfId="26825"/>
    <cellStyle name="Normal 2 2 2 5 35 2 4" xfId="26826"/>
    <cellStyle name="Normal 2 2 2 5 35 3" xfId="6274"/>
    <cellStyle name="Normal 2 2 2 5 35 3 2" xfId="17604"/>
    <cellStyle name="Normal 2 2 2 5 35 3 2 2" xfId="26827"/>
    <cellStyle name="Normal 2 2 2 5 35 3 3" xfId="26828"/>
    <cellStyle name="Normal 2 2 2 5 35 4" xfId="17605"/>
    <cellStyle name="Normal 2 2 2 5 35 4 2" xfId="26829"/>
    <cellStyle name="Normal 2 2 2 5 35 5" xfId="26830"/>
    <cellStyle name="Normal 2 2 2 5 36" xfId="6275"/>
    <cellStyle name="Normal 2 2 2 5 36 2" xfId="6276"/>
    <cellStyle name="Normal 2 2 2 5 36 2 2" xfId="6277"/>
    <cellStyle name="Normal 2 2 2 5 36 2 2 2" xfId="17606"/>
    <cellStyle name="Normal 2 2 2 5 36 2 2 2 2" xfId="26831"/>
    <cellStyle name="Normal 2 2 2 5 36 2 2 3" xfId="26832"/>
    <cellStyle name="Normal 2 2 2 5 36 2 3" xfId="17607"/>
    <cellStyle name="Normal 2 2 2 5 36 2 3 2" xfId="26833"/>
    <cellStyle name="Normal 2 2 2 5 36 2 4" xfId="26834"/>
    <cellStyle name="Normal 2 2 2 5 36 3" xfId="6278"/>
    <cellStyle name="Normal 2 2 2 5 36 3 2" xfId="17608"/>
    <cellStyle name="Normal 2 2 2 5 36 3 2 2" xfId="26835"/>
    <cellStyle name="Normal 2 2 2 5 36 3 3" xfId="26836"/>
    <cellStyle name="Normal 2 2 2 5 36 4" xfId="17609"/>
    <cellStyle name="Normal 2 2 2 5 36 4 2" xfId="26837"/>
    <cellStyle name="Normal 2 2 2 5 36 5" xfId="26838"/>
    <cellStyle name="Normal 2 2 2 5 37" xfId="6279"/>
    <cellStyle name="Normal 2 2 2 5 37 2" xfId="6280"/>
    <cellStyle name="Normal 2 2 2 5 37 2 2" xfId="6281"/>
    <cellStyle name="Normal 2 2 2 5 37 2 2 2" xfId="17610"/>
    <cellStyle name="Normal 2 2 2 5 37 2 2 2 2" xfId="26839"/>
    <cellStyle name="Normal 2 2 2 5 37 2 2 3" xfId="26840"/>
    <cellStyle name="Normal 2 2 2 5 37 2 3" xfId="17611"/>
    <cellStyle name="Normal 2 2 2 5 37 2 3 2" xfId="26841"/>
    <cellStyle name="Normal 2 2 2 5 37 2 4" xfId="26842"/>
    <cellStyle name="Normal 2 2 2 5 37 3" xfId="6282"/>
    <cellStyle name="Normal 2 2 2 5 37 3 2" xfId="17612"/>
    <cellStyle name="Normal 2 2 2 5 37 3 2 2" xfId="26843"/>
    <cellStyle name="Normal 2 2 2 5 37 3 3" xfId="26844"/>
    <cellStyle name="Normal 2 2 2 5 37 4" xfId="17613"/>
    <cellStyle name="Normal 2 2 2 5 37 4 2" xfId="26845"/>
    <cellStyle name="Normal 2 2 2 5 37 5" xfId="26846"/>
    <cellStyle name="Normal 2 2 2 5 38" xfId="6283"/>
    <cellStyle name="Normal 2 2 2 5 38 2" xfId="6284"/>
    <cellStyle name="Normal 2 2 2 5 38 2 2" xfId="6285"/>
    <cellStyle name="Normal 2 2 2 5 38 2 2 2" xfId="17614"/>
    <cellStyle name="Normal 2 2 2 5 38 2 2 2 2" xfId="26847"/>
    <cellStyle name="Normal 2 2 2 5 38 2 2 3" xfId="26848"/>
    <cellStyle name="Normal 2 2 2 5 38 2 3" xfId="17615"/>
    <cellStyle name="Normal 2 2 2 5 38 2 3 2" xfId="26849"/>
    <cellStyle name="Normal 2 2 2 5 38 2 4" xfId="26850"/>
    <cellStyle name="Normal 2 2 2 5 38 3" xfId="6286"/>
    <cellStyle name="Normal 2 2 2 5 38 3 2" xfId="17616"/>
    <cellStyle name="Normal 2 2 2 5 38 3 2 2" xfId="26851"/>
    <cellStyle name="Normal 2 2 2 5 38 3 3" xfId="26852"/>
    <cellStyle name="Normal 2 2 2 5 38 4" xfId="17617"/>
    <cellStyle name="Normal 2 2 2 5 38 4 2" xfId="26853"/>
    <cellStyle name="Normal 2 2 2 5 38 5" xfId="26854"/>
    <cellStyle name="Normal 2 2 2 5 39" xfId="6287"/>
    <cellStyle name="Normal 2 2 2 5 39 2" xfId="6288"/>
    <cellStyle name="Normal 2 2 2 5 39 2 2" xfId="6289"/>
    <cellStyle name="Normal 2 2 2 5 39 2 2 2" xfId="17618"/>
    <cellStyle name="Normal 2 2 2 5 39 2 2 2 2" xfId="26855"/>
    <cellStyle name="Normal 2 2 2 5 39 2 2 3" xfId="26856"/>
    <cellStyle name="Normal 2 2 2 5 39 2 3" xfId="17619"/>
    <cellStyle name="Normal 2 2 2 5 39 2 3 2" xfId="26857"/>
    <cellStyle name="Normal 2 2 2 5 39 2 4" xfId="26858"/>
    <cellStyle name="Normal 2 2 2 5 39 3" xfId="6290"/>
    <cellStyle name="Normal 2 2 2 5 39 3 2" xfId="17620"/>
    <cellStyle name="Normal 2 2 2 5 39 3 2 2" xfId="26859"/>
    <cellStyle name="Normal 2 2 2 5 39 3 3" xfId="26860"/>
    <cellStyle name="Normal 2 2 2 5 39 4" xfId="17621"/>
    <cellStyle name="Normal 2 2 2 5 39 4 2" xfId="26861"/>
    <cellStyle name="Normal 2 2 2 5 39 5" xfId="26862"/>
    <cellStyle name="Normal 2 2 2 5 4" xfId="6291"/>
    <cellStyle name="Normal 2 2 2 5 4 2" xfId="6292"/>
    <cellStyle name="Normal 2 2 2 5 4 3" xfId="6293"/>
    <cellStyle name="Normal 2 2 2 5 4 3 2" xfId="6294"/>
    <cellStyle name="Normal 2 2 2 5 4 3 2 2" xfId="17622"/>
    <cellStyle name="Normal 2 2 2 5 4 3 2 2 2" xfId="26863"/>
    <cellStyle name="Normal 2 2 2 5 4 3 2 3" xfId="26864"/>
    <cellStyle name="Normal 2 2 2 5 4 3 3" xfId="17623"/>
    <cellStyle name="Normal 2 2 2 5 4 3 3 2" xfId="26865"/>
    <cellStyle name="Normal 2 2 2 5 4 3 4" xfId="26866"/>
    <cellStyle name="Normal 2 2 2 5 40" xfId="6295"/>
    <cellStyle name="Normal 2 2 2 5 40 2" xfId="6296"/>
    <cellStyle name="Normal 2 2 2 5 40 2 2" xfId="6297"/>
    <cellStyle name="Normal 2 2 2 5 40 2 2 2" xfId="17624"/>
    <cellStyle name="Normal 2 2 2 5 40 2 2 2 2" xfId="26867"/>
    <cellStyle name="Normal 2 2 2 5 40 2 2 3" xfId="26868"/>
    <cellStyle name="Normal 2 2 2 5 40 2 3" xfId="17625"/>
    <cellStyle name="Normal 2 2 2 5 40 2 3 2" xfId="26869"/>
    <cellStyle name="Normal 2 2 2 5 40 2 4" xfId="26870"/>
    <cellStyle name="Normal 2 2 2 5 40 3" xfId="6298"/>
    <cellStyle name="Normal 2 2 2 5 40 3 2" xfId="17626"/>
    <cellStyle name="Normal 2 2 2 5 40 3 2 2" xfId="26871"/>
    <cellStyle name="Normal 2 2 2 5 40 3 3" xfId="26872"/>
    <cellStyle name="Normal 2 2 2 5 40 4" xfId="17627"/>
    <cellStyle name="Normal 2 2 2 5 40 4 2" xfId="26873"/>
    <cellStyle name="Normal 2 2 2 5 40 5" xfId="26874"/>
    <cellStyle name="Normal 2 2 2 5 41" xfId="6299"/>
    <cellStyle name="Normal 2 2 2 5 41 2" xfId="6300"/>
    <cellStyle name="Normal 2 2 2 5 41 2 2" xfId="6301"/>
    <cellStyle name="Normal 2 2 2 5 41 2 2 2" xfId="17628"/>
    <cellStyle name="Normal 2 2 2 5 41 2 2 2 2" xfId="26875"/>
    <cellStyle name="Normal 2 2 2 5 41 2 2 3" xfId="26876"/>
    <cellStyle name="Normal 2 2 2 5 41 2 3" xfId="17629"/>
    <cellStyle name="Normal 2 2 2 5 41 2 3 2" xfId="26877"/>
    <cellStyle name="Normal 2 2 2 5 41 2 4" xfId="26878"/>
    <cellStyle name="Normal 2 2 2 5 41 3" xfId="6302"/>
    <cellStyle name="Normal 2 2 2 5 41 3 2" xfId="17630"/>
    <cellStyle name="Normal 2 2 2 5 41 3 2 2" xfId="26879"/>
    <cellStyle name="Normal 2 2 2 5 41 3 3" xfId="26880"/>
    <cellStyle name="Normal 2 2 2 5 41 4" xfId="17631"/>
    <cellStyle name="Normal 2 2 2 5 41 4 2" xfId="26881"/>
    <cellStyle name="Normal 2 2 2 5 41 5" xfId="26882"/>
    <cellStyle name="Normal 2 2 2 5 42" xfId="6303"/>
    <cellStyle name="Normal 2 2 2 5 42 2" xfId="17632"/>
    <cellStyle name="Normal 2 2 2 5 43" xfId="6304"/>
    <cellStyle name="Normal 2 2 2 5 43 2" xfId="6305"/>
    <cellStyle name="Normal 2 2 2 5 43 2 2" xfId="17633"/>
    <cellStyle name="Normal 2 2 2 5 43 2 2 2" xfId="26883"/>
    <cellStyle name="Normal 2 2 2 5 43 2 3" xfId="26884"/>
    <cellStyle name="Normal 2 2 2 5 43 3" xfId="17634"/>
    <cellStyle name="Normal 2 2 2 5 43 3 2" xfId="26885"/>
    <cellStyle name="Normal 2 2 2 5 43 4" xfId="26886"/>
    <cellStyle name="Normal 2 2 2 5 44" xfId="17635"/>
    <cellStyle name="Normal 2 2 2 5 44 2" xfId="26887"/>
    <cellStyle name="Normal 2 2 2 5 45" xfId="33667"/>
    <cellStyle name="Normal 2 2 2 5 5" xfId="6306"/>
    <cellStyle name="Normal 2 2 2 5 5 2" xfId="6307"/>
    <cellStyle name="Normal 2 2 2 5 5 3" xfId="6308"/>
    <cellStyle name="Normal 2 2 2 5 5 3 2" xfId="6309"/>
    <cellStyle name="Normal 2 2 2 5 5 3 2 2" xfId="17636"/>
    <cellStyle name="Normal 2 2 2 5 5 3 2 2 2" xfId="26888"/>
    <cellStyle name="Normal 2 2 2 5 5 3 2 3" xfId="26889"/>
    <cellStyle name="Normal 2 2 2 5 5 3 3" xfId="17637"/>
    <cellStyle name="Normal 2 2 2 5 5 3 3 2" xfId="26890"/>
    <cellStyle name="Normal 2 2 2 5 5 3 4" xfId="26891"/>
    <cellStyle name="Normal 2 2 2 5 6" xfId="6310"/>
    <cellStyle name="Normal 2 2 2 5 6 2" xfId="6311"/>
    <cellStyle name="Normal 2 2 2 5 6 2 2" xfId="17638"/>
    <cellStyle name="Normal 2 2 2 5 6 3" xfId="6312"/>
    <cellStyle name="Normal 2 2 2 5 6 3 2" xfId="6313"/>
    <cellStyle name="Normal 2 2 2 5 6 3 2 2" xfId="17639"/>
    <cellStyle name="Normal 2 2 2 5 6 3 2 2 2" xfId="26892"/>
    <cellStyle name="Normal 2 2 2 5 6 3 2 3" xfId="26893"/>
    <cellStyle name="Normal 2 2 2 5 6 3 3" xfId="17640"/>
    <cellStyle name="Normal 2 2 2 5 6 3 3 2" xfId="26894"/>
    <cellStyle name="Normal 2 2 2 5 6 3 4" xfId="26895"/>
    <cellStyle name="Normal 2 2 2 5 6 4" xfId="6314"/>
    <cellStyle name="Normal 2 2 2 5 6 4 2" xfId="17641"/>
    <cellStyle name="Normal 2 2 2 5 6 4 2 2" xfId="26896"/>
    <cellStyle name="Normal 2 2 2 5 6 4 3" xfId="26897"/>
    <cellStyle name="Normal 2 2 2 5 6 5" xfId="17642"/>
    <cellStyle name="Normal 2 2 2 5 6 5 2" xfId="26898"/>
    <cellStyle name="Normal 2 2 2 5 6 6" xfId="26899"/>
    <cellStyle name="Normal 2 2 2 5 7" xfId="6315"/>
    <cellStyle name="Normal 2 2 2 5 7 2" xfId="6316"/>
    <cellStyle name="Normal 2 2 2 5 7 2 2" xfId="6317"/>
    <cellStyle name="Normal 2 2 2 5 7 2 2 2" xfId="17643"/>
    <cellStyle name="Normal 2 2 2 5 7 2 2 2 2" xfId="26900"/>
    <cellStyle name="Normal 2 2 2 5 7 2 2 3" xfId="26901"/>
    <cellStyle name="Normal 2 2 2 5 7 2 3" xfId="17644"/>
    <cellStyle name="Normal 2 2 2 5 7 2 3 2" xfId="26902"/>
    <cellStyle name="Normal 2 2 2 5 7 2 4" xfId="26903"/>
    <cellStyle name="Normal 2 2 2 5 7 3" xfId="6318"/>
    <cellStyle name="Normal 2 2 2 5 7 3 2" xfId="17645"/>
    <cellStyle name="Normal 2 2 2 5 7 3 2 2" xfId="26904"/>
    <cellStyle name="Normal 2 2 2 5 7 3 3" xfId="26905"/>
    <cellStyle name="Normal 2 2 2 5 7 4" xfId="17646"/>
    <cellStyle name="Normal 2 2 2 5 7 4 2" xfId="26906"/>
    <cellStyle name="Normal 2 2 2 5 7 5" xfId="26907"/>
    <cellStyle name="Normal 2 2 2 5 8" xfId="6319"/>
    <cellStyle name="Normal 2 2 2 5 8 2" xfId="6320"/>
    <cellStyle name="Normal 2 2 2 5 8 2 2" xfId="6321"/>
    <cellStyle name="Normal 2 2 2 5 8 2 2 2" xfId="17647"/>
    <cellStyle name="Normal 2 2 2 5 8 2 2 2 2" xfId="26908"/>
    <cellStyle name="Normal 2 2 2 5 8 2 2 3" xfId="26909"/>
    <cellStyle name="Normal 2 2 2 5 8 2 3" xfId="17648"/>
    <cellStyle name="Normal 2 2 2 5 8 2 3 2" xfId="26910"/>
    <cellStyle name="Normal 2 2 2 5 8 2 4" xfId="26911"/>
    <cellStyle name="Normal 2 2 2 5 8 3" xfId="6322"/>
    <cellStyle name="Normal 2 2 2 5 8 3 2" xfId="17649"/>
    <cellStyle name="Normal 2 2 2 5 8 3 2 2" xfId="26912"/>
    <cellStyle name="Normal 2 2 2 5 8 3 3" xfId="26913"/>
    <cellStyle name="Normal 2 2 2 5 8 4" xfId="17650"/>
    <cellStyle name="Normal 2 2 2 5 8 4 2" xfId="26914"/>
    <cellStyle name="Normal 2 2 2 5 8 5" xfId="26915"/>
    <cellStyle name="Normal 2 2 2 5 9" xfId="6323"/>
    <cellStyle name="Normal 2 2 2 5 9 2" xfId="6324"/>
    <cellStyle name="Normal 2 2 2 5 9 2 2" xfId="6325"/>
    <cellStyle name="Normal 2 2 2 5 9 2 2 2" xfId="17651"/>
    <cellStyle name="Normal 2 2 2 5 9 2 2 2 2" xfId="26916"/>
    <cellStyle name="Normal 2 2 2 5 9 2 2 3" xfId="26917"/>
    <cellStyle name="Normal 2 2 2 5 9 2 3" xfId="17652"/>
    <cellStyle name="Normal 2 2 2 5 9 2 3 2" xfId="26918"/>
    <cellStyle name="Normal 2 2 2 5 9 2 4" xfId="26919"/>
    <cellStyle name="Normal 2 2 2 5 9 3" xfId="6326"/>
    <cellStyle name="Normal 2 2 2 5 9 3 2" xfId="17653"/>
    <cellStyle name="Normal 2 2 2 5 9 3 2 2" xfId="26920"/>
    <cellStyle name="Normal 2 2 2 5 9 3 3" xfId="26921"/>
    <cellStyle name="Normal 2 2 2 5 9 4" xfId="17654"/>
    <cellStyle name="Normal 2 2 2 5 9 4 2" xfId="26922"/>
    <cellStyle name="Normal 2 2 2 5 9 5" xfId="26923"/>
    <cellStyle name="Normal 2 2 2 50" xfId="6327"/>
    <cellStyle name="Normal 2 2 2 50 2" xfId="6328"/>
    <cellStyle name="Normal 2 2 2 50 3" xfId="17655"/>
    <cellStyle name="Normal 2 2 2 51" xfId="6329"/>
    <cellStyle name="Normal 2 2 2 51 2" xfId="6330"/>
    <cellStyle name="Normal 2 2 2 51 3" xfId="17656"/>
    <cellStyle name="Normal 2 2 2 52" xfId="6331"/>
    <cellStyle name="Normal 2 2 2 52 2" xfId="6332"/>
    <cellStyle name="Normal 2 2 2 52 3" xfId="17657"/>
    <cellStyle name="Normal 2 2 2 53" xfId="6333"/>
    <cellStyle name="Normal 2 2 2 53 2" xfId="6334"/>
    <cellStyle name="Normal 2 2 2 53 3" xfId="17658"/>
    <cellStyle name="Normal 2 2 2 54" xfId="6335"/>
    <cellStyle name="Normal 2 2 2 54 2" xfId="6336"/>
    <cellStyle name="Normal 2 2 2 54 3" xfId="17659"/>
    <cellStyle name="Normal 2 2 2 55" xfId="6337"/>
    <cellStyle name="Normal 2 2 2 55 2" xfId="6338"/>
    <cellStyle name="Normal 2 2 2 55 3" xfId="17660"/>
    <cellStyle name="Normal 2 2 2 56" xfId="6339"/>
    <cellStyle name="Normal 2 2 2 56 2" xfId="6340"/>
    <cellStyle name="Normal 2 2 2 56 3" xfId="17661"/>
    <cellStyle name="Normal 2 2 2 57" xfId="6341"/>
    <cellStyle name="Normal 2 2 2 57 2" xfId="6342"/>
    <cellStyle name="Normal 2 2 2 57 3" xfId="17662"/>
    <cellStyle name="Normal 2 2 2 58" xfId="6343"/>
    <cellStyle name="Normal 2 2 2 58 2" xfId="6344"/>
    <cellStyle name="Normal 2 2 2 58 3" xfId="17663"/>
    <cellStyle name="Normal 2 2 2 59" xfId="6345"/>
    <cellStyle name="Normal 2 2 2 59 2" xfId="6346"/>
    <cellStyle name="Normal 2 2 2 59 3" xfId="17664"/>
    <cellStyle name="Normal 2 2 2 6" xfId="41"/>
    <cellStyle name="Normal 2 2 2 6 10" xfId="6347"/>
    <cellStyle name="Normal 2 2 2 6 10 2" xfId="6348"/>
    <cellStyle name="Normal 2 2 2 6 10 2 2" xfId="6349"/>
    <cellStyle name="Normal 2 2 2 6 10 2 2 2" xfId="17665"/>
    <cellStyle name="Normal 2 2 2 6 10 2 2 2 2" xfId="26924"/>
    <cellStyle name="Normal 2 2 2 6 10 2 2 3" xfId="26925"/>
    <cellStyle name="Normal 2 2 2 6 10 2 3" xfId="17666"/>
    <cellStyle name="Normal 2 2 2 6 10 2 3 2" xfId="26926"/>
    <cellStyle name="Normal 2 2 2 6 10 2 4" xfId="26927"/>
    <cellStyle name="Normal 2 2 2 6 10 3" xfId="6350"/>
    <cellStyle name="Normal 2 2 2 6 10 3 2" xfId="17667"/>
    <cellStyle name="Normal 2 2 2 6 10 3 2 2" xfId="26928"/>
    <cellStyle name="Normal 2 2 2 6 10 3 3" xfId="26929"/>
    <cellStyle name="Normal 2 2 2 6 10 4" xfId="17668"/>
    <cellStyle name="Normal 2 2 2 6 10 4 2" xfId="26930"/>
    <cellStyle name="Normal 2 2 2 6 10 5" xfId="26931"/>
    <cellStyle name="Normal 2 2 2 6 11" xfId="6351"/>
    <cellStyle name="Normal 2 2 2 6 11 2" xfId="6352"/>
    <cellStyle name="Normal 2 2 2 6 11 2 2" xfId="6353"/>
    <cellStyle name="Normal 2 2 2 6 11 2 2 2" xfId="17669"/>
    <cellStyle name="Normal 2 2 2 6 11 2 2 2 2" xfId="26932"/>
    <cellStyle name="Normal 2 2 2 6 11 2 2 3" xfId="26933"/>
    <cellStyle name="Normal 2 2 2 6 11 2 3" xfId="17670"/>
    <cellStyle name="Normal 2 2 2 6 11 2 3 2" xfId="26934"/>
    <cellStyle name="Normal 2 2 2 6 11 2 4" xfId="26935"/>
    <cellStyle name="Normal 2 2 2 6 11 3" xfId="6354"/>
    <cellStyle name="Normal 2 2 2 6 11 3 2" xfId="17671"/>
    <cellStyle name="Normal 2 2 2 6 11 3 2 2" xfId="26936"/>
    <cellStyle name="Normal 2 2 2 6 11 3 3" xfId="26937"/>
    <cellStyle name="Normal 2 2 2 6 11 4" xfId="17672"/>
    <cellStyle name="Normal 2 2 2 6 11 4 2" xfId="26938"/>
    <cellStyle name="Normal 2 2 2 6 11 5" xfId="26939"/>
    <cellStyle name="Normal 2 2 2 6 12" xfId="6355"/>
    <cellStyle name="Normal 2 2 2 6 12 2" xfId="6356"/>
    <cellStyle name="Normal 2 2 2 6 12 2 2" xfId="6357"/>
    <cellStyle name="Normal 2 2 2 6 12 2 2 2" xfId="17673"/>
    <cellStyle name="Normal 2 2 2 6 12 2 2 2 2" xfId="26940"/>
    <cellStyle name="Normal 2 2 2 6 12 2 2 3" xfId="26941"/>
    <cellStyle name="Normal 2 2 2 6 12 2 3" xfId="17674"/>
    <cellStyle name="Normal 2 2 2 6 12 2 3 2" xfId="26942"/>
    <cellStyle name="Normal 2 2 2 6 12 2 4" xfId="26943"/>
    <cellStyle name="Normal 2 2 2 6 12 3" xfId="6358"/>
    <cellStyle name="Normal 2 2 2 6 12 3 2" xfId="17675"/>
    <cellStyle name="Normal 2 2 2 6 12 3 2 2" xfId="26944"/>
    <cellStyle name="Normal 2 2 2 6 12 3 3" xfId="26945"/>
    <cellStyle name="Normal 2 2 2 6 12 4" xfId="17676"/>
    <cellStyle name="Normal 2 2 2 6 12 4 2" xfId="26946"/>
    <cellStyle name="Normal 2 2 2 6 12 5" xfId="26947"/>
    <cellStyle name="Normal 2 2 2 6 13" xfId="6359"/>
    <cellStyle name="Normal 2 2 2 6 13 2" xfId="6360"/>
    <cellStyle name="Normal 2 2 2 6 13 2 2" xfId="6361"/>
    <cellStyle name="Normal 2 2 2 6 13 2 2 2" xfId="17677"/>
    <cellStyle name="Normal 2 2 2 6 13 2 2 2 2" xfId="26948"/>
    <cellStyle name="Normal 2 2 2 6 13 2 2 3" xfId="26949"/>
    <cellStyle name="Normal 2 2 2 6 13 2 3" xfId="17678"/>
    <cellStyle name="Normal 2 2 2 6 13 2 3 2" xfId="26950"/>
    <cellStyle name="Normal 2 2 2 6 13 2 4" xfId="26951"/>
    <cellStyle name="Normal 2 2 2 6 13 3" xfId="6362"/>
    <cellStyle name="Normal 2 2 2 6 13 3 2" xfId="17679"/>
    <cellStyle name="Normal 2 2 2 6 13 3 2 2" xfId="26952"/>
    <cellStyle name="Normal 2 2 2 6 13 3 3" xfId="26953"/>
    <cellStyle name="Normal 2 2 2 6 13 4" xfId="17680"/>
    <cellStyle name="Normal 2 2 2 6 13 4 2" xfId="26954"/>
    <cellStyle name="Normal 2 2 2 6 13 5" xfId="26955"/>
    <cellStyle name="Normal 2 2 2 6 14" xfId="6363"/>
    <cellStyle name="Normal 2 2 2 6 14 2" xfId="6364"/>
    <cellStyle name="Normal 2 2 2 6 14 2 2" xfId="6365"/>
    <cellStyle name="Normal 2 2 2 6 14 2 2 2" xfId="17681"/>
    <cellStyle name="Normal 2 2 2 6 14 2 2 2 2" xfId="26956"/>
    <cellStyle name="Normal 2 2 2 6 14 2 2 3" xfId="26957"/>
    <cellStyle name="Normal 2 2 2 6 14 2 3" xfId="17682"/>
    <cellStyle name="Normal 2 2 2 6 14 2 3 2" xfId="26958"/>
    <cellStyle name="Normal 2 2 2 6 14 2 4" xfId="26959"/>
    <cellStyle name="Normal 2 2 2 6 14 3" xfId="6366"/>
    <cellStyle name="Normal 2 2 2 6 14 3 2" xfId="17683"/>
    <cellStyle name="Normal 2 2 2 6 14 3 2 2" xfId="26960"/>
    <cellStyle name="Normal 2 2 2 6 14 3 3" xfId="26961"/>
    <cellStyle name="Normal 2 2 2 6 14 4" xfId="17684"/>
    <cellStyle name="Normal 2 2 2 6 14 4 2" xfId="26962"/>
    <cellStyle name="Normal 2 2 2 6 14 5" xfId="26963"/>
    <cellStyle name="Normal 2 2 2 6 15" xfId="6367"/>
    <cellStyle name="Normal 2 2 2 6 15 2" xfId="6368"/>
    <cellStyle name="Normal 2 2 2 6 15 2 2" xfId="6369"/>
    <cellStyle name="Normal 2 2 2 6 15 2 2 2" xfId="17685"/>
    <cellStyle name="Normal 2 2 2 6 15 2 2 2 2" xfId="26964"/>
    <cellStyle name="Normal 2 2 2 6 15 2 2 3" xfId="26965"/>
    <cellStyle name="Normal 2 2 2 6 15 2 3" xfId="17686"/>
    <cellStyle name="Normal 2 2 2 6 15 2 3 2" xfId="26966"/>
    <cellStyle name="Normal 2 2 2 6 15 2 4" xfId="26967"/>
    <cellStyle name="Normal 2 2 2 6 15 3" xfId="6370"/>
    <cellStyle name="Normal 2 2 2 6 15 3 2" xfId="17687"/>
    <cellStyle name="Normal 2 2 2 6 15 3 2 2" xfId="26968"/>
    <cellStyle name="Normal 2 2 2 6 15 3 3" xfId="26969"/>
    <cellStyle name="Normal 2 2 2 6 15 4" xfId="17688"/>
    <cellStyle name="Normal 2 2 2 6 15 4 2" xfId="26970"/>
    <cellStyle name="Normal 2 2 2 6 15 5" xfId="26971"/>
    <cellStyle name="Normal 2 2 2 6 16" xfId="6371"/>
    <cellStyle name="Normal 2 2 2 6 16 2" xfId="6372"/>
    <cellStyle name="Normal 2 2 2 6 16 2 2" xfId="6373"/>
    <cellStyle name="Normal 2 2 2 6 16 2 2 2" xfId="17689"/>
    <cellStyle name="Normal 2 2 2 6 16 2 2 2 2" xfId="26972"/>
    <cellStyle name="Normal 2 2 2 6 16 2 2 3" xfId="26973"/>
    <cellStyle name="Normal 2 2 2 6 16 2 3" xfId="17690"/>
    <cellStyle name="Normal 2 2 2 6 16 2 3 2" xfId="26974"/>
    <cellStyle name="Normal 2 2 2 6 16 2 4" xfId="26975"/>
    <cellStyle name="Normal 2 2 2 6 16 3" xfId="6374"/>
    <cellStyle name="Normal 2 2 2 6 16 3 2" xfId="17691"/>
    <cellStyle name="Normal 2 2 2 6 16 3 2 2" xfId="26976"/>
    <cellStyle name="Normal 2 2 2 6 16 3 3" xfId="26977"/>
    <cellStyle name="Normal 2 2 2 6 16 4" xfId="17692"/>
    <cellStyle name="Normal 2 2 2 6 16 4 2" xfId="26978"/>
    <cellStyle name="Normal 2 2 2 6 16 5" xfId="26979"/>
    <cellStyle name="Normal 2 2 2 6 17" xfId="6375"/>
    <cellStyle name="Normal 2 2 2 6 17 2" xfId="6376"/>
    <cellStyle name="Normal 2 2 2 6 17 2 2" xfId="6377"/>
    <cellStyle name="Normal 2 2 2 6 17 2 2 2" xfId="17693"/>
    <cellStyle name="Normal 2 2 2 6 17 2 2 2 2" xfId="26980"/>
    <cellStyle name="Normal 2 2 2 6 17 2 2 3" xfId="26981"/>
    <cellStyle name="Normal 2 2 2 6 17 2 3" xfId="17694"/>
    <cellStyle name="Normal 2 2 2 6 17 2 3 2" xfId="26982"/>
    <cellStyle name="Normal 2 2 2 6 17 2 4" xfId="26983"/>
    <cellStyle name="Normal 2 2 2 6 17 3" xfId="6378"/>
    <cellStyle name="Normal 2 2 2 6 17 3 2" xfId="17695"/>
    <cellStyle name="Normal 2 2 2 6 17 3 2 2" xfId="26984"/>
    <cellStyle name="Normal 2 2 2 6 17 3 3" xfId="26985"/>
    <cellStyle name="Normal 2 2 2 6 17 4" xfId="17696"/>
    <cellStyle name="Normal 2 2 2 6 17 4 2" xfId="26986"/>
    <cellStyle name="Normal 2 2 2 6 17 5" xfId="26987"/>
    <cellStyle name="Normal 2 2 2 6 18" xfId="6379"/>
    <cellStyle name="Normal 2 2 2 6 18 2" xfId="6380"/>
    <cellStyle name="Normal 2 2 2 6 18 2 2" xfId="6381"/>
    <cellStyle name="Normal 2 2 2 6 18 2 2 2" xfId="17697"/>
    <cellStyle name="Normal 2 2 2 6 18 2 2 2 2" xfId="26988"/>
    <cellStyle name="Normal 2 2 2 6 18 2 2 3" xfId="26989"/>
    <cellStyle name="Normal 2 2 2 6 18 2 3" xfId="17698"/>
    <cellStyle name="Normal 2 2 2 6 18 2 3 2" xfId="26990"/>
    <cellStyle name="Normal 2 2 2 6 18 2 4" xfId="26991"/>
    <cellStyle name="Normal 2 2 2 6 18 3" xfId="6382"/>
    <cellStyle name="Normal 2 2 2 6 18 3 2" xfId="17699"/>
    <cellStyle name="Normal 2 2 2 6 18 3 2 2" xfId="26992"/>
    <cellStyle name="Normal 2 2 2 6 18 3 3" xfId="26993"/>
    <cellStyle name="Normal 2 2 2 6 18 4" xfId="17700"/>
    <cellStyle name="Normal 2 2 2 6 18 4 2" xfId="26994"/>
    <cellStyle name="Normal 2 2 2 6 18 5" xfId="26995"/>
    <cellStyle name="Normal 2 2 2 6 19" xfId="6383"/>
    <cellStyle name="Normal 2 2 2 6 19 2" xfId="6384"/>
    <cellStyle name="Normal 2 2 2 6 19 2 2" xfId="6385"/>
    <cellStyle name="Normal 2 2 2 6 19 2 2 2" xfId="17701"/>
    <cellStyle name="Normal 2 2 2 6 19 2 2 2 2" xfId="26996"/>
    <cellStyle name="Normal 2 2 2 6 19 2 2 3" xfId="26997"/>
    <cellStyle name="Normal 2 2 2 6 19 2 3" xfId="17702"/>
    <cellStyle name="Normal 2 2 2 6 19 2 3 2" xfId="26998"/>
    <cellStyle name="Normal 2 2 2 6 19 2 4" xfId="26999"/>
    <cellStyle name="Normal 2 2 2 6 19 3" xfId="6386"/>
    <cellStyle name="Normal 2 2 2 6 19 3 2" xfId="17703"/>
    <cellStyle name="Normal 2 2 2 6 19 3 2 2" xfId="27000"/>
    <cellStyle name="Normal 2 2 2 6 19 3 3" xfId="27001"/>
    <cellStyle name="Normal 2 2 2 6 19 4" xfId="17704"/>
    <cellStyle name="Normal 2 2 2 6 19 4 2" xfId="27002"/>
    <cellStyle name="Normal 2 2 2 6 19 5" xfId="27003"/>
    <cellStyle name="Normal 2 2 2 6 2" xfId="6387"/>
    <cellStyle name="Normal 2 2 2 6 2 2" xfId="6388"/>
    <cellStyle name="Normal 2 2 2 6 2 2 2" xfId="17705"/>
    <cellStyle name="Normal 2 2 2 6 2 3" xfId="6389"/>
    <cellStyle name="Normal 2 2 2 6 2 3 2" xfId="6390"/>
    <cellStyle name="Normal 2 2 2 6 2 3 2 2" xfId="17706"/>
    <cellStyle name="Normal 2 2 2 6 2 3 2 2 2" xfId="27004"/>
    <cellStyle name="Normal 2 2 2 6 2 3 2 3" xfId="27005"/>
    <cellStyle name="Normal 2 2 2 6 2 3 3" xfId="17707"/>
    <cellStyle name="Normal 2 2 2 6 2 3 3 2" xfId="27006"/>
    <cellStyle name="Normal 2 2 2 6 2 3 4" xfId="27007"/>
    <cellStyle name="Normal 2 2 2 6 2 4" xfId="6391"/>
    <cellStyle name="Normal 2 2 2 6 2 4 2" xfId="17708"/>
    <cellStyle name="Normal 2 2 2 6 2 4 2 2" xfId="27008"/>
    <cellStyle name="Normal 2 2 2 6 2 4 3" xfId="27009"/>
    <cellStyle name="Normal 2 2 2 6 2 5" xfId="17709"/>
    <cellStyle name="Normal 2 2 2 6 2 5 2" xfId="27010"/>
    <cellStyle name="Normal 2 2 2 6 2 6" xfId="27011"/>
    <cellStyle name="Normal 2 2 2 6 20" xfId="6392"/>
    <cellStyle name="Normal 2 2 2 6 20 2" xfId="6393"/>
    <cellStyle name="Normal 2 2 2 6 20 2 2" xfId="6394"/>
    <cellStyle name="Normal 2 2 2 6 20 2 2 2" xfId="17710"/>
    <cellStyle name="Normal 2 2 2 6 20 2 2 2 2" xfId="27012"/>
    <cellStyle name="Normal 2 2 2 6 20 2 2 3" xfId="27013"/>
    <cellStyle name="Normal 2 2 2 6 20 2 3" xfId="17711"/>
    <cellStyle name="Normal 2 2 2 6 20 2 3 2" xfId="27014"/>
    <cellStyle name="Normal 2 2 2 6 20 2 4" xfId="27015"/>
    <cellStyle name="Normal 2 2 2 6 20 3" xfId="6395"/>
    <cellStyle name="Normal 2 2 2 6 20 3 2" xfId="17712"/>
    <cellStyle name="Normal 2 2 2 6 20 3 2 2" xfId="27016"/>
    <cellStyle name="Normal 2 2 2 6 20 3 3" xfId="27017"/>
    <cellStyle name="Normal 2 2 2 6 20 4" xfId="17713"/>
    <cellStyle name="Normal 2 2 2 6 20 4 2" xfId="27018"/>
    <cellStyle name="Normal 2 2 2 6 20 5" xfId="27019"/>
    <cellStyle name="Normal 2 2 2 6 21" xfId="6396"/>
    <cellStyle name="Normal 2 2 2 6 21 2" xfId="6397"/>
    <cellStyle name="Normal 2 2 2 6 21 2 2" xfId="6398"/>
    <cellStyle name="Normal 2 2 2 6 21 2 2 2" xfId="17714"/>
    <cellStyle name="Normal 2 2 2 6 21 2 2 2 2" xfId="27020"/>
    <cellStyle name="Normal 2 2 2 6 21 2 2 3" xfId="27021"/>
    <cellStyle name="Normal 2 2 2 6 21 2 3" xfId="17715"/>
    <cellStyle name="Normal 2 2 2 6 21 2 3 2" xfId="27022"/>
    <cellStyle name="Normal 2 2 2 6 21 2 4" xfId="27023"/>
    <cellStyle name="Normal 2 2 2 6 21 3" xfId="6399"/>
    <cellStyle name="Normal 2 2 2 6 21 3 2" xfId="17716"/>
    <cellStyle name="Normal 2 2 2 6 21 3 2 2" xfId="27024"/>
    <cellStyle name="Normal 2 2 2 6 21 3 3" xfId="27025"/>
    <cellStyle name="Normal 2 2 2 6 21 4" xfId="17717"/>
    <cellStyle name="Normal 2 2 2 6 21 4 2" xfId="27026"/>
    <cellStyle name="Normal 2 2 2 6 21 5" xfId="27027"/>
    <cellStyle name="Normal 2 2 2 6 22" xfId="6400"/>
    <cellStyle name="Normal 2 2 2 6 22 2" xfId="17718"/>
    <cellStyle name="Normal 2 2 2 6 23" xfId="17719"/>
    <cellStyle name="Normal 2 2 2 6 23 2" xfId="27028"/>
    <cellStyle name="Normal 2 2 2 6 24" xfId="17720"/>
    <cellStyle name="Normal 2 2 2 6 24 2" xfId="27029"/>
    <cellStyle name="Normal 2 2 2 6 3" xfId="6401"/>
    <cellStyle name="Normal 2 2 2 6 3 2" xfId="6402"/>
    <cellStyle name="Normal 2 2 2 6 3 2 2" xfId="6403"/>
    <cellStyle name="Normal 2 2 2 6 3 2 2 2" xfId="17721"/>
    <cellStyle name="Normal 2 2 2 6 3 2 2 2 2" xfId="27030"/>
    <cellStyle name="Normal 2 2 2 6 3 2 2 3" xfId="27031"/>
    <cellStyle name="Normal 2 2 2 6 3 2 3" xfId="17722"/>
    <cellStyle name="Normal 2 2 2 6 3 2 3 2" xfId="27032"/>
    <cellStyle name="Normal 2 2 2 6 3 2 4" xfId="27033"/>
    <cellStyle name="Normal 2 2 2 6 3 3" xfId="6404"/>
    <cellStyle name="Normal 2 2 2 6 3 3 2" xfId="17723"/>
    <cellStyle name="Normal 2 2 2 6 3 3 2 2" xfId="27034"/>
    <cellStyle name="Normal 2 2 2 6 3 3 3" xfId="27035"/>
    <cellStyle name="Normal 2 2 2 6 3 4" xfId="17724"/>
    <cellStyle name="Normal 2 2 2 6 3 4 2" xfId="27036"/>
    <cellStyle name="Normal 2 2 2 6 3 5" xfId="27037"/>
    <cellStyle name="Normal 2 2 2 6 4" xfId="6405"/>
    <cellStyle name="Normal 2 2 2 6 4 2" xfId="6406"/>
    <cellStyle name="Normal 2 2 2 6 4 2 2" xfId="6407"/>
    <cellStyle name="Normal 2 2 2 6 4 2 2 2" xfId="17725"/>
    <cellStyle name="Normal 2 2 2 6 4 2 2 2 2" xfId="27038"/>
    <cellStyle name="Normal 2 2 2 6 4 2 2 3" xfId="27039"/>
    <cellStyle name="Normal 2 2 2 6 4 2 3" xfId="17726"/>
    <cellStyle name="Normal 2 2 2 6 4 2 3 2" xfId="27040"/>
    <cellStyle name="Normal 2 2 2 6 4 2 4" xfId="27041"/>
    <cellStyle name="Normal 2 2 2 6 4 3" xfId="6408"/>
    <cellStyle name="Normal 2 2 2 6 4 3 2" xfId="17727"/>
    <cellStyle name="Normal 2 2 2 6 4 3 2 2" xfId="27042"/>
    <cellStyle name="Normal 2 2 2 6 4 3 3" xfId="27043"/>
    <cellStyle name="Normal 2 2 2 6 4 4" xfId="17728"/>
    <cellStyle name="Normal 2 2 2 6 4 4 2" xfId="27044"/>
    <cellStyle name="Normal 2 2 2 6 4 5" xfId="27045"/>
    <cellStyle name="Normal 2 2 2 6 5" xfId="6409"/>
    <cellStyle name="Normal 2 2 2 6 5 2" xfId="6410"/>
    <cellStyle name="Normal 2 2 2 6 5 2 2" xfId="6411"/>
    <cellStyle name="Normal 2 2 2 6 5 2 2 2" xfId="17729"/>
    <cellStyle name="Normal 2 2 2 6 5 2 2 2 2" xfId="27046"/>
    <cellStyle name="Normal 2 2 2 6 5 2 2 3" xfId="27047"/>
    <cellStyle name="Normal 2 2 2 6 5 2 3" xfId="17730"/>
    <cellStyle name="Normal 2 2 2 6 5 2 3 2" xfId="27048"/>
    <cellStyle name="Normal 2 2 2 6 5 2 4" xfId="27049"/>
    <cellStyle name="Normal 2 2 2 6 5 3" xfId="6412"/>
    <cellStyle name="Normal 2 2 2 6 5 3 2" xfId="17731"/>
    <cellStyle name="Normal 2 2 2 6 5 3 2 2" xfId="27050"/>
    <cellStyle name="Normal 2 2 2 6 5 3 3" xfId="27051"/>
    <cellStyle name="Normal 2 2 2 6 5 4" xfId="17732"/>
    <cellStyle name="Normal 2 2 2 6 5 4 2" xfId="27052"/>
    <cellStyle name="Normal 2 2 2 6 5 5" xfId="27053"/>
    <cellStyle name="Normal 2 2 2 6 6" xfId="6413"/>
    <cellStyle name="Normal 2 2 2 6 6 2" xfId="6414"/>
    <cellStyle name="Normal 2 2 2 6 6 2 2" xfId="6415"/>
    <cellStyle name="Normal 2 2 2 6 6 2 2 2" xfId="17733"/>
    <cellStyle name="Normal 2 2 2 6 6 2 2 2 2" xfId="27054"/>
    <cellStyle name="Normal 2 2 2 6 6 2 2 3" xfId="27055"/>
    <cellStyle name="Normal 2 2 2 6 6 2 3" xfId="17734"/>
    <cellStyle name="Normal 2 2 2 6 6 2 3 2" xfId="27056"/>
    <cellStyle name="Normal 2 2 2 6 6 2 4" xfId="27057"/>
    <cellStyle name="Normal 2 2 2 6 6 3" xfId="6416"/>
    <cellStyle name="Normal 2 2 2 6 6 3 2" xfId="17735"/>
    <cellStyle name="Normal 2 2 2 6 6 3 2 2" xfId="27058"/>
    <cellStyle name="Normal 2 2 2 6 6 3 3" xfId="27059"/>
    <cellStyle name="Normal 2 2 2 6 6 4" xfId="17736"/>
    <cellStyle name="Normal 2 2 2 6 6 4 2" xfId="27060"/>
    <cellStyle name="Normal 2 2 2 6 6 5" xfId="27061"/>
    <cellStyle name="Normal 2 2 2 6 7" xfId="6417"/>
    <cellStyle name="Normal 2 2 2 6 7 2" xfId="6418"/>
    <cellStyle name="Normal 2 2 2 6 7 2 2" xfId="6419"/>
    <cellStyle name="Normal 2 2 2 6 7 2 2 2" xfId="17737"/>
    <cellStyle name="Normal 2 2 2 6 7 2 2 2 2" xfId="27062"/>
    <cellStyle name="Normal 2 2 2 6 7 2 2 3" xfId="27063"/>
    <cellStyle name="Normal 2 2 2 6 7 2 3" xfId="17738"/>
    <cellStyle name="Normal 2 2 2 6 7 2 3 2" xfId="27064"/>
    <cellStyle name="Normal 2 2 2 6 7 2 4" xfId="27065"/>
    <cellStyle name="Normal 2 2 2 6 7 3" xfId="6420"/>
    <cellStyle name="Normal 2 2 2 6 7 3 2" xfId="17739"/>
    <cellStyle name="Normal 2 2 2 6 7 3 2 2" xfId="27066"/>
    <cellStyle name="Normal 2 2 2 6 7 3 3" xfId="27067"/>
    <cellStyle name="Normal 2 2 2 6 7 4" xfId="17740"/>
    <cellStyle name="Normal 2 2 2 6 7 4 2" xfId="27068"/>
    <cellStyle name="Normal 2 2 2 6 7 5" xfId="27069"/>
    <cellStyle name="Normal 2 2 2 6 8" xfId="6421"/>
    <cellStyle name="Normal 2 2 2 6 8 2" xfId="6422"/>
    <cellStyle name="Normal 2 2 2 6 8 2 2" xfId="6423"/>
    <cellStyle name="Normal 2 2 2 6 8 2 2 2" xfId="17741"/>
    <cellStyle name="Normal 2 2 2 6 8 2 2 2 2" xfId="27070"/>
    <cellStyle name="Normal 2 2 2 6 8 2 2 3" xfId="27071"/>
    <cellStyle name="Normal 2 2 2 6 8 2 3" xfId="17742"/>
    <cellStyle name="Normal 2 2 2 6 8 2 3 2" xfId="27072"/>
    <cellStyle name="Normal 2 2 2 6 8 2 4" xfId="27073"/>
    <cellStyle name="Normal 2 2 2 6 8 3" xfId="6424"/>
    <cellStyle name="Normal 2 2 2 6 8 3 2" xfId="17743"/>
    <cellStyle name="Normal 2 2 2 6 8 3 2 2" xfId="27074"/>
    <cellStyle name="Normal 2 2 2 6 8 3 3" xfId="27075"/>
    <cellStyle name="Normal 2 2 2 6 8 4" xfId="17744"/>
    <cellStyle name="Normal 2 2 2 6 8 4 2" xfId="27076"/>
    <cellStyle name="Normal 2 2 2 6 8 5" xfId="27077"/>
    <cellStyle name="Normal 2 2 2 6 9" xfId="6425"/>
    <cellStyle name="Normal 2 2 2 6 9 2" xfId="6426"/>
    <cellStyle name="Normal 2 2 2 6 9 2 2" xfId="6427"/>
    <cellStyle name="Normal 2 2 2 6 9 2 2 2" xfId="17745"/>
    <cellStyle name="Normal 2 2 2 6 9 2 2 2 2" xfId="27078"/>
    <cellStyle name="Normal 2 2 2 6 9 2 2 3" xfId="27079"/>
    <cellStyle name="Normal 2 2 2 6 9 2 3" xfId="17746"/>
    <cellStyle name="Normal 2 2 2 6 9 2 3 2" xfId="27080"/>
    <cellStyle name="Normal 2 2 2 6 9 2 4" xfId="27081"/>
    <cellStyle name="Normal 2 2 2 6 9 3" xfId="6428"/>
    <cellStyle name="Normal 2 2 2 6 9 3 2" xfId="17747"/>
    <cellStyle name="Normal 2 2 2 6 9 3 2 2" xfId="27082"/>
    <cellStyle name="Normal 2 2 2 6 9 3 3" xfId="27083"/>
    <cellStyle name="Normal 2 2 2 6 9 4" xfId="17748"/>
    <cellStyle name="Normal 2 2 2 6 9 4 2" xfId="27084"/>
    <cellStyle name="Normal 2 2 2 6 9 5" xfId="27085"/>
    <cellStyle name="Normal 2 2 2 60" xfId="6429"/>
    <cellStyle name="Normal 2 2 2 60 2" xfId="6430"/>
    <cellStyle name="Normal 2 2 2 60 3" xfId="17749"/>
    <cellStyle name="Normal 2 2 2 61" xfId="6431"/>
    <cellStyle name="Normal 2 2 2 61 2" xfId="6432"/>
    <cellStyle name="Normal 2 2 2 61 3" xfId="17750"/>
    <cellStyle name="Normal 2 2 2 62" xfId="6433"/>
    <cellStyle name="Normal 2 2 2 62 2" xfId="6434"/>
    <cellStyle name="Normal 2 2 2 62 3" xfId="17751"/>
    <cellStyle name="Normal 2 2 2 63" xfId="6435"/>
    <cellStyle name="Normal 2 2 2 63 2" xfId="6436"/>
    <cellStyle name="Normal 2 2 2 63 3" xfId="17752"/>
    <cellStyle name="Normal 2 2 2 64" xfId="6437"/>
    <cellStyle name="Normal 2 2 2 64 2" xfId="17753"/>
    <cellStyle name="Normal 2 2 2 65" xfId="6438"/>
    <cellStyle name="Normal 2 2 2 65 2" xfId="17754"/>
    <cellStyle name="Normal 2 2 2 66" xfId="6439"/>
    <cellStyle name="Normal 2 2 2 66 2" xfId="17755"/>
    <cellStyle name="Normal 2 2 2 67" xfId="6440"/>
    <cellStyle name="Normal 2 2 2 67 2" xfId="17756"/>
    <cellStyle name="Normal 2 2 2 68" xfId="6441"/>
    <cellStyle name="Normal 2 2 2 68 2" xfId="17757"/>
    <cellStyle name="Normal 2 2 2 69" xfId="6442"/>
    <cellStyle name="Normal 2 2 2 69 2" xfId="17758"/>
    <cellStyle name="Normal 2 2 2 7" xfId="42"/>
    <cellStyle name="Normal 2 2 2 7 2" xfId="6443"/>
    <cellStyle name="Normal 2 2 2 7 2 2" xfId="6444"/>
    <cellStyle name="Normal 2 2 2 7 2 3" xfId="17759"/>
    <cellStyle name="Normal 2 2 2 7 2 4" xfId="17760"/>
    <cellStyle name="Normal 2 2 2 7 2 5" xfId="17761"/>
    <cellStyle name="Normal 2 2 2 7 2 5 2" xfId="27086"/>
    <cellStyle name="Normal 2 2 2 7 3" xfId="6445"/>
    <cellStyle name="Normal 2 2 2 7 3 2" xfId="17762"/>
    <cellStyle name="Normal 2 2 2 7 3 2 2" xfId="27087"/>
    <cellStyle name="Normal 2 2 2 7 3 3" xfId="27088"/>
    <cellStyle name="Normal 2 2 2 7 4" xfId="17763"/>
    <cellStyle name="Normal 2 2 2 7 5" xfId="17764"/>
    <cellStyle name="Normal 2 2 2 7 6" xfId="17765"/>
    <cellStyle name="Normal 2 2 2 7 6 2" xfId="27089"/>
    <cellStyle name="Normal 2 2 2 70" xfId="6446"/>
    <cellStyle name="Normal 2 2 2 70 2" xfId="17766"/>
    <cellStyle name="Normal 2 2 2 71" xfId="6447"/>
    <cellStyle name="Normal 2 2 2 71 2" xfId="17767"/>
    <cellStyle name="Normal 2 2 2 72" xfId="6448"/>
    <cellStyle name="Normal 2 2 2 72 2" xfId="17768"/>
    <cellStyle name="Normal 2 2 2 73" xfId="6449"/>
    <cellStyle name="Normal 2 2 2 73 2" xfId="17769"/>
    <cellStyle name="Normal 2 2 2 74" xfId="6450"/>
    <cellStyle name="Normal 2 2 2 74 2" xfId="17770"/>
    <cellStyle name="Normal 2 2 2 75" xfId="6451"/>
    <cellStyle name="Normal 2 2 2 75 2" xfId="17771"/>
    <cellStyle name="Normal 2 2 2 76" xfId="6452"/>
    <cellStyle name="Normal 2 2 2 76 2" xfId="17772"/>
    <cellStyle name="Normal 2 2 2 77" xfId="6453"/>
    <cellStyle name="Normal 2 2 2 77 2" xfId="17773"/>
    <cellStyle name="Normal 2 2 2 78" xfId="6454"/>
    <cellStyle name="Normal 2 2 2 78 2" xfId="17774"/>
    <cellStyle name="Normal 2 2 2 79" xfId="6455"/>
    <cellStyle name="Normal 2 2 2 79 2" xfId="17775"/>
    <cellStyle name="Normal 2 2 2 8" xfId="6456"/>
    <cellStyle name="Normal 2 2 2 8 2" xfId="6457"/>
    <cellStyle name="Normal 2 2 2 8 2 2" xfId="6458"/>
    <cellStyle name="Normal 2 2 2 8 2 3" xfId="17776"/>
    <cellStyle name="Normal 2 2 2 8 3" xfId="6459"/>
    <cellStyle name="Normal 2 2 2 8 4" xfId="17777"/>
    <cellStyle name="Normal 2 2 2 8 5" xfId="17778"/>
    <cellStyle name="Normal 2 2 2 80" xfId="6460"/>
    <cellStyle name="Normal 2 2 2 80 2" xfId="17779"/>
    <cellStyle name="Normal 2 2 2 81" xfId="6461"/>
    <cellStyle name="Normal 2 2 2 81 2" xfId="17780"/>
    <cellStyle name="Normal 2 2 2 82" xfId="6462"/>
    <cellStyle name="Normal 2 2 2 82 2" xfId="17781"/>
    <cellStyle name="Normal 2 2 2 83" xfId="6463"/>
    <cellStyle name="Normal 2 2 2 83 2" xfId="17782"/>
    <cellStyle name="Normal 2 2 2 84" xfId="6464"/>
    <cellStyle name="Normal 2 2 2 84 2" xfId="17783"/>
    <cellStyle name="Normal 2 2 2 85" xfId="6465"/>
    <cellStyle name="Normal 2 2 2 85 2" xfId="17784"/>
    <cellStyle name="Normal 2 2 2 86" xfId="6466"/>
    <cellStyle name="Normal 2 2 2 86 2" xfId="17785"/>
    <cellStyle name="Normal 2 2 2 87" xfId="6467"/>
    <cellStyle name="Normal 2 2 2 87 2" xfId="17786"/>
    <cellStyle name="Normal 2 2 2 88" xfId="6468"/>
    <cellStyle name="Normal 2 2 2 88 2" xfId="17787"/>
    <cellStyle name="Normal 2 2 2 89" xfId="6469"/>
    <cellStyle name="Normal 2 2 2 89 2" xfId="17788"/>
    <cellStyle name="Normal 2 2 2 9" xfId="6470"/>
    <cellStyle name="Normal 2 2 2 9 2" xfId="6471"/>
    <cellStyle name="Normal 2 2 2 9 2 2" xfId="6472"/>
    <cellStyle name="Normal 2 2 2 9 2 3" xfId="17789"/>
    <cellStyle name="Normal 2 2 2 9 3" xfId="6473"/>
    <cellStyle name="Normal 2 2 2 9 4" xfId="17790"/>
    <cellStyle name="Normal 2 2 2 9 5" xfId="17791"/>
    <cellStyle name="Normal 2 2 2 90" xfId="6474"/>
    <cellStyle name="Normal 2 2 2 90 2" xfId="17792"/>
    <cellStyle name="Normal 2 2 2 91" xfId="6475"/>
    <cellStyle name="Normal 2 2 2 91 2" xfId="17793"/>
    <cellStyle name="Normal 2 2 2 92" xfId="6476"/>
    <cellStyle name="Normal 2 2 2 92 2" xfId="17794"/>
    <cellStyle name="Normal 2 2 2 93" xfId="6477"/>
    <cellStyle name="Normal 2 2 2 93 2" xfId="17795"/>
    <cellStyle name="Normal 2 2 2 94" xfId="6478"/>
    <cellStyle name="Normal 2 2 2 94 2" xfId="6479"/>
    <cellStyle name="Normal 2 2 2 94 2 2" xfId="17796"/>
    <cellStyle name="Normal 2 2 2 94 2 2 2" xfId="27090"/>
    <cellStyle name="Normal 2 2 2 94 2 3" xfId="27091"/>
    <cellStyle name="Normal 2 2 2 94 3" xfId="17797"/>
    <cellStyle name="Normal 2 2 2 95" xfId="6480"/>
    <cellStyle name="Normal 2 2 2 95 2" xfId="17798"/>
    <cellStyle name="Normal 2 2 2 96" xfId="6481"/>
    <cellStyle name="Normal 2 2 2 96 2" xfId="17799"/>
    <cellStyle name="Normal 2 2 2 97" xfId="6482"/>
    <cellStyle name="Normal 2 2 2 97 2" xfId="17800"/>
    <cellStyle name="Normal 2 2 2 98" xfId="6483"/>
    <cellStyle name="Normal 2 2 2 98 2" xfId="17801"/>
    <cellStyle name="Normal 2 2 2 99" xfId="6484"/>
    <cellStyle name="Normal 2 2 2 99 2" xfId="17802"/>
    <cellStyle name="Normal 2 2 20" xfId="6485"/>
    <cellStyle name="Normal 2 2 20 2" xfId="6486"/>
    <cellStyle name="Normal 2 2 20 2 2" xfId="6487"/>
    <cellStyle name="Normal 2 2 20 2 2 2" xfId="17803"/>
    <cellStyle name="Normal 2 2 20 2 2 2 2" xfId="27092"/>
    <cellStyle name="Normal 2 2 20 2 2 3" xfId="27093"/>
    <cellStyle name="Normal 2 2 20 2 3" xfId="17804"/>
    <cellStyle name="Normal 2 2 20 2 3 2" xfId="27094"/>
    <cellStyle name="Normal 2 2 20 2 4" xfId="27095"/>
    <cellStyle name="Normal 2 2 20 3" xfId="6488"/>
    <cellStyle name="Normal 2 2 20 3 2" xfId="6489"/>
    <cellStyle name="Normal 2 2 20 3 2 2" xfId="17805"/>
    <cellStyle name="Normal 2 2 20 3 2 2 2" xfId="27096"/>
    <cellStyle name="Normal 2 2 20 3 2 3" xfId="27097"/>
    <cellStyle name="Normal 2 2 20 3 3" xfId="17806"/>
    <cellStyle name="Normal 2 2 20 3 3 2" xfId="27098"/>
    <cellStyle name="Normal 2 2 20 3 4" xfId="27099"/>
    <cellStyle name="Normal 2 2 20 4" xfId="6490"/>
    <cellStyle name="Normal 2 2 20 4 2" xfId="17807"/>
    <cellStyle name="Normal 2 2 20 4 2 2" xfId="27100"/>
    <cellStyle name="Normal 2 2 20 4 3" xfId="27101"/>
    <cellStyle name="Normal 2 2 20 5" xfId="17808"/>
    <cellStyle name="Normal 2 2 20 5 2" xfId="27102"/>
    <cellStyle name="Normal 2 2 20 6" xfId="27103"/>
    <cellStyle name="Normal 2 2 21" xfId="6491"/>
    <cellStyle name="Normal 2 2 21 2" xfId="6492"/>
    <cellStyle name="Normal 2 2 21 2 2" xfId="6493"/>
    <cellStyle name="Normal 2 2 21 2 2 2" xfId="17809"/>
    <cellStyle name="Normal 2 2 21 2 2 2 2" xfId="27104"/>
    <cellStyle name="Normal 2 2 21 2 2 3" xfId="27105"/>
    <cellStyle name="Normal 2 2 21 2 3" xfId="17810"/>
    <cellStyle name="Normal 2 2 21 2 3 2" xfId="27106"/>
    <cellStyle name="Normal 2 2 21 2 4" xfId="27107"/>
    <cellStyle name="Normal 2 2 21 3" xfId="6494"/>
    <cellStyle name="Normal 2 2 21 3 2" xfId="6495"/>
    <cellStyle name="Normal 2 2 21 3 2 2" xfId="17811"/>
    <cellStyle name="Normal 2 2 21 3 2 2 2" xfId="27108"/>
    <cellStyle name="Normal 2 2 21 3 2 3" xfId="27109"/>
    <cellStyle name="Normal 2 2 21 3 3" xfId="17812"/>
    <cellStyle name="Normal 2 2 21 3 3 2" xfId="27110"/>
    <cellStyle name="Normal 2 2 21 3 4" xfId="27111"/>
    <cellStyle name="Normal 2 2 21 4" xfId="6496"/>
    <cellStyle name="Normal 2 2 21 4 2" xfId="17813"/>
    <cellStyle name="Normal 2 2 21 4 2 2" xfId="27112"/>
    <cellStyle name="Normal 2 2 21 4 3" xfId="27113"/>
    <cellStyle name="Normal 2 2 21 5" xfId="17814"/>
    <cellStyle name="Normal 2 2 21 5 2" xfId="27114"/>
    <cellStyle name="Normal 2 2 21 6" xfId="27115"/>
    <cellStyle name="Normal 2 2 22" xfId="6497"/>
    <cellStyle name="Normal 2 2 22 2" xfId="6498"/>
    <cellStyle name="Normal 2 2 22 2 2" xfId="6499"/>
    <cellStyle name="Normal 2 2 22 2 2 2" xfId="17815"/>
    <cellStyle name="Normal 2 2 22 2 2 2 2" xfId="27116"/>
    <cellStyle name="Normal 2 2 22 2 2 3" xfId="27117"/>
    <cellStyle name="Normal 2 2 22 2 3" xfId="17816"/>
    <cellStyle name="Normal 2 2 22 2 3 2" xfId="27118"/>
    <cellStyle name="Normal 2 2 22 2 4" xfId="27119"/>
    <cellStyle name="Normal 2 2 22 3" xfId="6500"/>
    <cellStyle name="Normal 2 2 22 3 2" xfId="6501"/>
    <cellStyle name="Normal 2 2 22 3 2 2" xfId="17817"/>
    <cellStyle name="Normal 2 2 22 3 2 2 2" xfId="27120"/>
    <cellStyle name="Normal 2 2 22 3 2 3" xfId="27121"/>
    <cellStyle name="Normal 2 2 22 3 3" xfId="17818"/>
    <cellStyle name="Normal 2 2 22 3 3 2" xfId="27122"/>
    <cellStyle name="Normal 2 2 22 3 4" xfId="27123"/>
    <cellStyle name="Normal 2 2 22 4" xfId="6502"/>
    <cellStyle name="Normal 2 2 22 4 2" xfId="17819"/>
    <cellStyle name="Normal 2 2 22 4 2 2" xfId="27124"/>
    <cellStyle name="Normal 2 2 22 4 3" xfId="27125"/>
    <cellStyle name="Normal 2 2 22 5" xfId="17820"/>
    <cellStyle name="Normal 2 2 22 5 2" xfId="27126"/>
    <cellStyle name="Normal 2 2 22 6" xfId="27127"/>
    <cellStyle name="Normal 2 2 23" xfId="6503"/>
    <cellStyle name="Normal 2 2 23 2" xfId="6504"/>
    <cellStyle name="Normal 2 2 23 2 2" xfId="6505"/>
    <cellStyle name="Normal 2 2 23 2 2 2" xfId="17821"/>
    <cellStyle name="Normal 2 2 23 2 2 2 2" xfId="27128"/>
    <cellStyle name="Normal 2 2 23 2 2 3" xfId="27129"/>
    <cellStyle name="Normal 2 2 23 2 3" xfId="17822"/>
    <cellStyle name="Normal 2 2 23 2 3 2" xfId="27130"/>
    <cellStyle name="Normal 2 2 23 2 4" xfId="27131"/>
    <cellStyle name="Normal 2 2 23 3" xfId="6506"/>
    <cellStyle name="Normal 2 2 23 3 2" xfId="6507"/>
    <cellStyle name="Normal 2 2 23 3 2 2" xfId="17823"/>
    <cellStyle name="Normal 2 2 23 3 2 2 2" xfId="27132"/>
    <cellStyle name="Normal 2 2 23 3 2 3" xfId="27133"/>
    <cellStyle name="Normal 2 2 23 3 3" xfId="17824"/>
    <cellStyle name="Normal 2 2 23 3 3 2" xfId="27134"/>
    <cellStyle name="Normal 2 2 23 3 4" xfId="27135"/>
    <cellStyle name="Normal 2 2 23 4" xfId="6508"/>
    <cellStyle name="Normal 2 2 23 4 2" xfId="17825"/>
    <cellStyle name="Normal 2 2 23 4 2 2" xfId="27136"/>
    <cellStyle name="Normal 2 2 23 4 3" xfId="27137"/>
    <cellStyle name="Normal 2 2 23 5" xfId="17826"/>
    <cellStyle name="Normal 2 2 23 5 2" xfId="27138"/>
    <cellStyle name="Normal 2 2 23 6" xfId="27139"/>
    <cellStyle name="Normal 2 2 24" xfId="6509"/>
    <cellStyle name="Normal 2 2 24 2" xfId="6510"/>
    <cellStyle name="Normal 2 2 24 2 2" xfId="6511"/>
    <cellStyle name="Normal 2 2 24 2 2 2" xfId="17827"/>
    <cellStyle name="Normal 2 2 24 2 2 2 2" xfId="27140"/>
    <cellStyle name="Normal 2 2 24 2 2 3" xfId="27141"/>
    <cellStyle name="Normal 2 2 24 2 3" xfId="17828"/>
    <cellStyle name="Normal 2 2 24 2 3 2" xfId="27142"/>
    <cellStyle name="Normal 2 2 24 2 4" xfId="27143"/>
    <cellStyle name="Normal 2 2 24 3" xfId="6512"/>
    <cellStyle name="Normal 2 2 24 3 2" xfId="6513"/>
    <cellStyle name="Normal 2 2 24 3 2 2" xfId="17829"/>
    <cellStyle name="Normal 2 2 24 3 2 2 2" xfId="27144"/>
    <cellStyle name="Normal 2 2 24 3 2 3" xfId="27145"/>
    <cellStyle name="Normal 2 2 24 3 3" xfId="17830"/>
    <cellStyle name="Normal 2 2 24 3 3 2" xfId="27146"/>
    <cellStyle name="Normal 2 2 24 3 4" xfId="27147"/>
    <cellStyle name="Normal 2 2 24 4" xfId="6514"/>
    <cellStyle name="Normal 2 2 24 4 2" xfId="17831"/>
    <cellStyle name="Normal 2 2 24 4 2 2" xfId="27148"/>
    <cellStyle name="Normal 2 2 24 4 3" xfId="27149"/>
    <cellStyle name="Normal 2 2 24 5" xfId="17832"/>
    <cellStyle name="Normal 2 2 24 5 2" xfId="27150"/>
    <cellStyle name="Normal 2 2 24 6" xfId="27151"/>
    <cellStyle name="Normal 2 2 25" xfId="6515"/>
    <cellStyle name="Normal 2 2 25 2" xfId="6516"/>
    <cellStyle name="Normal 2 2 25 2 2" xfId="6517"/>
    <cellStyle name="Normal 2 2 25 2 2 2" xfId="17833"/>
    <cellStyle name="Normal 2 2 25 2 2 2 2" xfId="27152"/>
    <cellStyle name="Normal 2 2 25 2 2 3" xfId="27153"/>
    <cellStyle name="Normal 2 2 25 2 3" xfId="17834"/>
    <cellStyle name="Normal 2 2 25 2 3 2" xfId="27154"/>
    <cellStyle name="Normal 2 2 25 2 4" xfId="27155"/>
    <cellStyle name="Normal 2 2 25 3" xfId="6518"/>
    <cellStyle name="Normal 2 2 25 3 2" xfId="6519"/>
    <cellStyle name="Normal 2 2 25 3 2 2" xfId="17835"/>
    <cellStyle name="Normal 2 2 25 3 2 2 2" xfId="27156"/>
    <cellStyle name="Normal 2 2 25 3 2 3" xfId="27157"/>
    <cellStyle name="Normal 2 2 25 3 3" xfId="17836"/>
    <cellStyle name="Normal 2 2 25 3 3 2" xfId="27158"/>
    <cellStyle name="Normal 2 2 25 3 4" xfId="27159"/>
    <cellStyle name="Normal 2 2 25 4" xfId="6520"/>
    <cellStyle name="Normal 2 2 25 4 2" xfId="17837"/>
    <cellStyle name="Normal 2 2 25 4 2 2" xfId="27160"/>
    <cellStyle name="Normal 2 2 25 4 3" xfId="27161"/>
    <cellStyle name="Normal 2 2 25 5" xfId="17838"/>
    <cellStyle name="Normal 2 2 25 5 2" xfId="27162"/>
    <cellStyle name="Normal 2 2 25 6" xfId="27163"/>
    <cellStyle name="Normal 2 2 26" xfId="6521"/>
    <cellStyle name="Normal 2 2 26 2" xfId="6522"/>
    <cellStyle name="Normal 2 2 26 2 2" xfId="6523"/>
    <cellStyle name="Normal 2 2 26 2 2 2" xfId="17839"/>
    <cellStyle name="Normal 2 2 26 2 2 2 2" xfId="27164"/>
    <cellStyle name="Normal 2 2 26 2 2 3" xfId="27165"/>
    <cellStyle name="Normal 2 2 26 2 3" xfId="17840"/>
    <cellStyle name="Normal 2 2 26 2 3 2" xfId="27166"/>
    <cellStyle name="Normal 2 2 26 2 4" xfId="27167"/>
    <cellStyle name="Normal 2 2 26 3" xfId="6524"/>
    <cellStyle name="Normal 2 2 26 3 2" xfId="6525"/>
    <cellStyle name="Normal 2 2 26 3 2 2" xfId="17841"/>
    <cellStyle name="Normal 2 2 26 3 2 2 2" xfId="27168"/>
    <cellStyle name="Normal 2 2 26 3 2 3" xfId="27169"/>
    <cellStyle name="Normal 2 2 26 3 3" xfId="17842"/>
    <cellStyle name="Normal 2 2 26 3 3 2" xfId="27170"/>
    <cellStyle name="Normal 2 2 26 3 4" xfId="27171"/>
    <cellStyle name="Normal 2 2 26 4" xfId="6526"/>
    <cellStyle name="Normal 2 2 26 4 2" xfId="17843"/>
    <cellStyle name="Normal 2 2 26 4 2 2" xfId="27172"/>
    <cellStyle name="Normal 2 2 26 4 3" xfId="27173"/>
    <cellStyle name="Normal 2 2 26 5" xfId="17844"/>
    <cellStyle name="Normal 2 2 26 5 2" xfId="27174"/>
    <cellStyle name="Normal 2 2 26 6" xfId="27175"/>
    <cellStyle name="Normal 2 2 27" xfId="6527"/>
    <cellStyle name="Normal 2 2 27 2" xfId="6528"/>
    <cellStyle name="Normal 2 2 27 2 2" xfId="6529"/>
    <cellStyle name="Normal 2 2 27 2 2 2" xfId="17845"/>
    <cellStyle name="Normal 2 2 27 2 2 2 2" xfId="27176"/>
    <cellStyle name="Normal 2 2 27 2 2 3" xfId="27177"/>
    <cellStyle name="Normal 2 2 27 2 3" xfId="17846"/>
    <cellStyle name="Normal 2 2 27 2 3 2" xfId="27178"/>
    <cellStyle name="Normal 2 2 27 2 4" xfId="27179"/>
    <cellStyle name="Normal 2 2 27 3" xfId="6530"/>
    <cellStyle name="Normal 2 2 27 3 2" xfId="6531"/>
    <cellStyle name="Normal 2 2 27 3 2 2" xfId="17847"/>
    <cellStyle name="Normal 2 2 27 3 2 2 2" xfId="27180"/>
    <cellStyle name="Normal 2 2 27 3 2 3" xfId="27181"/>
    <cellStyle name="Normal 2 2 27 3 3" xfId="17848"/>
    <cellStyle name="Normal 2 2 27 3 3 2" xfId="27182"/>
    <cellStyle name="Normal 2 2 27 3 4" xfId="27183"/>
    <cellStyle name="Normal 2 2 27 4" xfId="6532"/>
    <cellStyle name="Normal 2 2 27 4 2" xfId="17849"/>
    <cellStyle name="Normal 2 2 27 4 2 2" xfId="27184"/>
    <cellStyle name="Normal 2 2 27 4 3" xfId="27185"/>
    <cellStyle name="Normal 2 2 27 5" xfId="17850"/>
    <cellStyle name="Normal 2 2 27 5 2" xfId="27186"/>
    <cellStyle name="Normal 2 2 27 6" xfId="27187"/>
    <cellStyle name="Normal 2 2 28" xfId="6533"/>
    <cellStyle name="Normal 2 2 28 2" xfId="6534"/>
    <cellStyle name="Normal 2 2 28 2 2" xfId="6535"/>
    <cellStyle name="Normal 2 2 28 2 2 2" xfId="17851"/>
    <cellStyle name="Normal 2 2 28 2 2 2 2" xfId="27188"/>
    <cellStyle name="Normal 2 2 28 2 2 3" xfId="27189"/>
    <cellStyle name="Normal 2 2 28 2 3" xfId="17852"/>
    <cellStyle name="Normal 2 2 28 2 3 2" xfId="27190"/>
    <cellStyle name="Normal 2 2 28 2 4" xfId="27191"/>
    <cellStyle name="Normal 2 2 28 3" xfId="6536"/>
    <cellStyle name="Normal 2 2 28 3 2" xfId="6537"/>
    <cellStyle name="Normal 2 2 28 3 2 2" xfId="17853"/>
    <cellStyle name="Normal 2 2 28 3 2 2 2" xfId="27192"/>
    <cellStyle name="Normal 2 2 28 3 2 3" xfId="27193"/>
    <cellStyle name="Normal 2 2 28 3 3" xfId="17854"/>
    <cellStyle name="Normal 2 2 28 3 3 2" xfId="27194"/>
    <cellStyle name="Normal 2 2 28 3 4" xfId="27195"/>
    <cellStyle name="Normal 2 2 28 4" xfId="6538"/>
    <cellStyle name="Normal 2 2 28 4 2" xfId="17855"/>
    <cellStyle name="Normal 2 2 28 4 2 2" xfId="27196"/>
    <cellStyle name="Normal 2 2 28 4 3" xfId="27197"/>
    <cellStyle name="Normal 2 2 28 5" xfId="17856"/>
    <cellStyle name="Normal 2 2 28 5 2" xfId="27198"/>
    <cellStyle name="Normal 2 2 28 6" xfId="27199"/>
    <cellStyle name="Normal 2 2 29" xfId="6539"/>
    <cellStyle name="Normal 2 2 29 2" xfId="6540"/>
    <cellStyle name="Normal 2 2 29 2 2" xfId="6541"/>
    <cellStyle name="Normal 2 2 29 2 2 2" xfId="17857"/>
    <cellStyle name="Normal 2 2 29 2 2 2 2" xfId="27200"/>
    <cellStyle name="Normal 2 2 29 2 2 3" xfId="27201"/>
    <cellStyle name="Normal 2 2 29 2 3" xfId="17858"/>
    <cellStyle name="Normal 2 2 29 2 3 2" xfId="27202"/>
    <cellStyle name="Normal 2 2 29 2 4" xfId="27203"/>
    <cellStyle name="Normal 2 2 29 3" xfId="6542"/>
    <cellStyle name="Normal 2 2 29 3 2" xfId="6543"/>
    <cellStyle name="Normal 2 2 29 3 2 2" xfId="17859"/>
    <cellStyle name="Normal 2 2 29 3 2 2 2" xfId="27204"/>
    <cellStyle name="Normal 2 2 29 3 2 3" xfId="27205"/>
    <cellStyle name="Normal 2 2 29 3 3" xfId="17860"/>
    <cellStyle name="Normal 2 2 29 3 3 2" xfId="27206"/>
    <cellStyle name="Normal 2 2 29 3 4" xfId="27207"/>
    <cellStyle name="Normal 2 2 29 4" xfId="6544"/>
    <cellStyle name="Normal 2 2 29 4 2" xfId="17861"/>
    <cellStyle name="Normal 2 2 29 4 2 2" xfId="27208"/>
    <cellStyle name="Normal 2 2 29 4 3" xfId="27209"/>
    <cellStyle name="Normal 2 2 29 5" xfId="17862"/>
    <cellStyle name="Normal 2 2 29 5 2" xfId="27210"/>
    <cellStyle name="Normal 2 2 29 6" xfId="27211"/>
    <cellStyle name="Normal 2 2 3" xfId="43"/>
    <cellStyle name="Normal 2 2 3 2" xfId="6545"/>
    <cellStyle name="Normal 2 2 3 2 2" xfId="6546"/>
    <cellStyle name="Normal 2 2 3 2 2 2" xfId="6547"/>
    <cellStyle name="Normal 2 2 3 2 2 2 2" xfId="17863"/>
    <cellStyle name="Normal 2 2 3 2 2 2 2 2" xfId="27212"/>
    <cellStyle name="Normal 2 2 3 2 2 2 3" xfId="27213"/>
    <cellStyle name="Normal 2 2 3 2 2 3" xfId="17864"/>
    <cellStyle name="Normal 2 2 3 2 2 3 2" xfId="27214"/>
    <cellStyle name="Normal 2 2 3 2 2 4" xfId="27215"/>
    <cellStyle name="Normal 2 2 3 2 3" xfId="6548"/>
    <cellStyle name="Normal 2 2 3 2 3 2" xfId="17865"/>
    <cellStyle name="Normal 2 2 3 2 3 2 2" xfId="27216"/>
    <cellStyle name="Normal 2 2 3 2 3 3" xfId="27217"/>
    <cellStyle name="Normal 2 2 3 2 4" xfId="17866"/>
    <cellStyle name="Normal 2 2 3 2 4 2" xfId="27218"/>
    <cellStyle name="Normal 2 2 3 2 5" xfId="27219"/>
    <cellStyle name="Normal 2 2 3 3" xfId="6549"/>
    <cellStyle name="Normal 2 2 3 3 2" xfId="6550"/>
    <cellStyle name="Normal 2 2 3 3 2 2" xfId="6551"/>
    <cellStyle name="Normal 2 2 3 3 2 2 2" xfId="17867"/>
    <cellStyle name="Normal 2 2 3 3 2 2 2 2" xfId="27220"/>
    <cellStyle name="Normal 2 2 3 3 2 2 3" xfId="27221"/>
    <cellStyle name="Normal 2 2 3 3 2 3" xfId="17868"/>
    <cellStyle name="Normal 2 2 3 3 2 3 2" xfId="27222"/>
    <cellStyle name="Normal 2 2 3 3 2 4" xfId="27223"/>
    <cellStyle name="Normal 2 2 3 3 3" xfId="6552"/>
    <cellStyle name="Normal 2 2 3 3 3 2" xfId="17869"/>
    <cellStyle name="Normal 2 2 3 3 3 2 2" xfId="27224"/>
    <cellStyle name="Normal 2 2 3 3 3 3" xfId="27225"/>
    <cellStyle name="Normal 2 2 3 3 4" xfId="17870"/>
    <cellStyle name="Normal 2 2 3 3 4 2" xfId="27226"/>
    <cellStyle name="Normal 2 2 3 3 5" xfId="27227"/>
    <cellStyle name="Normal 2 2 3 4" xfId="6553"/>
    <cellStyle name="Normal 2 2 3 4 2" xfId="6554"/>
    <cellStyle name="Normal 2 2 3 4 2 2" xfId="17871"/>
    <cellStyle name="Normal 2 2 3 4 2 2 2" xfId="27228"/>
    <cellStyle name="Normal 2 2 3 4 2 3" xfId="27229"/>
    <cellStyle name="Normal 2 2 3 4 3" xfId="17872"/>
    <cellStyle name="Normal 2 2 3 4 3 2" xfId="27230"/>
    <cellStyle name="Normal 2 2 3 4 4" xfId="27231"/>
    <cellStyle name="Normal 2 2 3 5" xfId="6555"/>
    <cellStyle name="Normal 2 2 3 5 2" xfId="17873"/>
    <cellStyle name="Normal 2 2 3 5 2 2" xfId="27232"/>
    <cellStyle name="Normal 2 2 3 5 3" xfId="27233"/>
    <cellStyle name="Normal 2 2 3 6" xfId="17874"/>
    <cellStyle name="Normal 2 2 3 6 2" xfId="27234"/>
    <cellStyle name="Normal 2 2 3 7" xfId="27235"/>
    <cellStyle name="Normal 2 2 30" xfId="6556"/>
    <cellStyle name="Normal 2 2 30 2" xfId="6557"/>
    <cellStyle name="Normal 2 2 30 2 2" xfId="6558"/>
    <cellStyle name="Normal 2 2 30 2 2 2" xfId="17875"/>
    <cellStyle name="Normal 2 2 30 2 2 2 2" xfId="27236"/>
    <cellStyle name="Normal 2 2 30 2 2 3" xfId="27237"/>
    <cellStyle name="Normal 2 2 30 2 3" xfId="17876"/>
    <cellStyle name="Normal 2 2 30 2 3 2" xfId="27238"/>
    <cellStyle name="Normal 2 2 30 2 4" xfId="27239"/>
    <cellStyle name="Normal 2 2 30 3" xfId="6559"/>
    <cellStyle name="Normal 2 2 30 3 2" xfId="6560"/>
    <cellStyle name="Normal 2 2 30 3 2 2" xfId="17877"/>
    <cellStyle name="Normal 2 2 30 3 2 2 2" xfId="27240"/>
    <cellStyle name="Normal 2 2 30 3 2 3" xfId="27241"/>
    <cellStyle name="Normal 2 2 30 3 3" xfId="17878"/>
    <cellStyle name="Normal 2 2 30 3 3 2" xfId="27242"/>
    <cellStyle name="Normal 2 2 30 3 4" xfId="27243"/>
    <cellStyle name="Normal 2 2 30 4" xfId="6561"/>
    <cellStyle name="Normal 2 2 30 4 2" xfId="17879"/>
    <cellStyle name="Normal 2 2 30 4 2 2" xfId="27244"/>
    <cellStyle name="Normal 2 2 30 4 3" xfId="27245"/>
    <cellStyle name="Normal 2 2 30 5" xfId="17880"/>
    <cellStyle name="Normal 2 2 30 5 2" xfId="27246"/>
    <cellStyle name="Normal 2 2 30 6" xfId="27247"/>
    <cellStyle name="Normal 2 2 31" xfId="6562"/>
    <cellStyle name="Normal 2 2 31 2" xfId="6563"/>
    <cellStyle name="Normal 2 2 31 2 2" xfId="6564"/>
    <cellStyle name="Normal 2 2 31 2 2 2" xfId="17881"/>
    <cellStyle name="Normal 2 2 31 2 2 2 2" xfId="27248"/>
    <cellStyle name="Normal 2 2 31 2 2 3" xfId="27249"/>
    <cellStyle name="Normal 2 2 31 2 3" xfId="17882"/>
    <cellStyle name="Normal 2 2 31 2 3 2" xfId="27250"/>
    <cellStyle name="Normal 2 2 31 2 4" xfId="27251"/>
    <cellStyle name="Normal 2 2 31 3" xfId="6565"/>
    <cellStyle name="Normal 2 2 31 3 2" xfId="6566"/>
    <cellStyle name="Normal 2 2 31 3 2 2" xfId="17883"/>
    <cellStyle name="Normal 2 2 31 3 2 2 2" xfId="27252"/>
    <cellStyle name="Normal 2 2 31 3 2 3" xfId="27253"/>
    <cellStyle name="Normal 2 2 31 3 3" xfId="17884"/>
    <cellStyle name="Normal 2 2 31 3 3 2" xfId="27254"/>
    <cellStyle name="Normal 2 2 31 3 4" xfId="27255"/>
    <cellStyle name="Normal 2 2 31 4" xfId="6567"/>
    <cellStyle name="Normal 2 2 31 4 2" xfId="17885"/>
    <cellStyle name="Normal 2 2 31 4 2 2" xfId="27256"/>
    <cellStyle name="Normal 2 2 31 4 3" xfId="27257"/>
    <cellStyle name="Normal 2 2 31 5" xfId="17886"/>
    <cellStyle name="Normal 2 2 31 5 2" xfId="27258"/>
    <cellStyle name="Normal 2 2 31 6" xfId="27259"/>
    <cellStyle name="Normal 2 2 32" xfId="6568"/>
    <cellStyle name="Normal 2 2 32 2" xfId="6569"/>
    <cellStyle name="Normal 2 2 32 2 2" xfId="6570"/>
    <cellStyle name="Normal 2 2 32 2 2 2" xfId="17887"/>
    <cellStyle name="Normal 2 2 32 2 2 2 2" xfId="27260"/>
    <cellStyle name="Normal 2 2 32 2 2 3" xfId="27261"/>
    <cellStyle name="Normal 2 2 32 2 3" xfId="17888"/>
    <cellStyle name="Normal 2 2 32 2 3 2" xfId="27262"/>
    <cellStyle name="Normal 2 2 32 2 4" xfId="27263"/>
    <cellStyle name="Normal 2 2 32 3" xfId="6571"/>
    <cellStyle name="Normal 2 2 32 3 2" xfId="6572"/>
    <cellStyle name="Normal 2 2 32 3 2 2" xfId="17889"/>
    <cellStyle name="Normal 2 2 32 3 2 2 2" xfId="27264"/>
    <cellStyle name="Normal 2 2 32 3 2 3" xfId="27265"/>
    <cellStyle name="Normal 2 2 32 3 3" xfId="17890"/>
    <cellStyle name="Normal 2 2 32 3 3 2" xfId="27266"/>
    <cellStyle name="Normal 2 2 32 3 4" xfId="27267"/>
    <cellStyle name="Normal 2 2 32 4" xfId="6573"/>
    <cellStyle name="Normal 2 2 32 4 2" xfId="17891"/>
    <cellStyle name="Normal 2 2 32 4 2 2" xfId="27268"/>
    <cellStyle name="Normal 2 2 32 4 3" xfId="27269"/>
    <cellStyle name="Normal 2 2 32 5" xfId="17892"/>
    <cellStyle name="Normal 2 2 32 5 2" xfId="27270"/>
    <cellStyle name="Normal 2 2 32 6" xfId="27271"/>
    <cellStyle name="Normal 2 2 33" xfId="6574"/>
    <cellStyle name="Normal 2 2 33 2" xfId="6575"/>
    <cellStyle name="Normal 2 2 33 2 2" xfId="6576"/>
    <cellStyle name="Normal 2 2 33 2 2 2" xfId="17893"/>
    <cellStyle name="Normal 2 2 33 2 2 2 2" xfId="27272"/>
    <cellStyle name="Normal 2 2 33 2 2 3" xfId="27273"/>
    <cellStyle name="Normal 2 2 33 2 3" xfId="17894"/>
    <cellStyle name="Normal 2 2 33 2 3 2" xfId="27274"/>
    <cellStyle name="Normal 2 2 33 2 4" xfId="27275"/>
    <cellStyle name="Normal 2 2 33 3" xfId="6577"/>
    <cellStyle name="Normal 2 2 33 3 2" xfId="6578"/>
    <cellStyle name="Normal 2 2 33 3 2 2" xfId="17895"/>
    <cellStyle name="Normal 2 2 33 3 2 2 2" xfId="27276"/>
    <cellStyle name="Normal 2 2 33 3 2 3" xfId="27277"/>
    <cellStyle name="Normal 2 2 33 3 3" xfId="17896"/>
    <cellStyle name="Normal 2 2 33 3 3 2" xfId="27278"/>
    <cellStyle name="Normal 2 2 33 3 4" xfId="27279"/>
    <cellStyle name="Normal 2 2 33 4" xfId="6579"/>
    <cellStyle name="Normal 2 2 33 4 2" xfId="17897"/>
    <cellStyle name="Normal 2 2 33 4 2 2" xfId="27280"/>
    <cellStyle name="Normal 2 2 33 4 3" xfId="27281"/>
    <cellStyle name="Normal 2 2 33 5" xfId="17898"/>
    <cellStyle name="Normal 2 2 33 5 2" xfId="27282"/>
    <cellStyle name="Normal 2 2 33 6" xfId="27283"/>
    <cellStyle name="Normal 2 2 34" xfId="6580"/>
    <cellStyle name="Normal 2 2 34 2" xfId="6581"/>
    <cellStyle name="Normal 2 2 34 2 2" xfId="6582"/>
    <cellStyle name="Normal 2 2 34 2 2 2" xfId="17899"/>
    <cellStyle name="Normal 2 2 34 2 2 2 2" xfId="27284"/>
    <cellStyle name="Normal 2 2 34 2 2 3" xfId="27285"/>
    <cellStyle name="Normal 2 2 34 2 3" xfId="17900"/>
    <cellStyle name="Normal 2 2 34 2 3 2" xfId="27286"/>
    <cellStyle name="Normal 2 2 34 2 4" xfId="27287"/>
    <cellStyle name="Normal 2 2 34 3" xfId="6583"/>
    <cellStyle name="Normal 2 2 34 3 2" xfId="6584"/>
    <cellStyle name="Normal 2 2 34 3 2 2" xfId="17901"/>
    <cellStyle name="Normal 2 2 34 3 2 2 2" xfId="27288"/>
    <cellStyle name="Normal 2 2 34 3 2 3" xfId="27289"/>
    <cellStyle name="Normal 2 2 34 3 3" xfId="17902"/>
    <cellStyle name="Normal 2 2 34 3 3 2" xfId="27290"/>
    <cellStyle name="Normal 2 2 34 3 4" xfId="27291"/>
    <cellStyle name="Normal 2 2 34 4" xfId="6585"/>
    <cellStyle name="Normal 2 2 34 4 2" xfId="17903"/>
    <cellStyle name="Normal 2 2 34 4 2 2" xfId="27292"/>
    <cellStyle name="Normal 2 2 34 4 3" xfId="27293"/>
    <cellStyle name="Normal 2 2 34 5" xfId="17904"/>
    <cellStyle name="Normal 2 2 34 5 2" xfId="27294"/>
    <cellStyle name="Normal 2 2 34 6" xfId="27295"/>
    <cellStyle name="Normal 2 2 35" xfId="6586"/>
    <cellStyle name="Normal 2 2 35 2" xfId="6587"/>
    <cellStyle name="Normal 2 2 35 2 2" xfId="6588"/>
    <cellStyle name="Normal 2 2 35 2 2 2" xfId="17905"/>
    <cellStyle name="Normal 2 2 35 2 2 2 2" xfId="27296"/>
    <cellStyle name="Normal 2 2 35 2 2 3" xfId="27297"/>
    <cellStyle name="Normal 2 2 35 2 3" xfId="17906"/>
    <cellStyle name="Normal 2 2 35 2 3 2" xfId="27298"/>
    <cellStyle name="Normal 2 2 35 2 4" xfId="27299"/>
    <cellStyle name="Normal 2 2 35 3" xfId="6589"/>
    <cellStyle name="Normal 2 2 35 3 2" xfId="6590"/>
    <cellStyle name="Normal 2 2 35 3 2 2" xfId="17907"/>
    <cellStyle name="Normal 2 2 35 3 2 2 2" xfId="27300"/>
    <cellStyle name="Normal 2 2 35 3 2 3" xfId="27301"/>
    <cellStyle name="Normal 2 2 35 3 3" xfId="17908"/>
    <cellStyle name="Normal 2 2 35 3 3 2" xfId="27302"/>
    <cellStyle name="Normal 2 2 35 3 4" xfId="27303"/>
    <cellStyle name="Normal 2 2 35 4" xfId="6591"/>
    <cellStyle name="Normal 2 2 35 4 2" xfId="17909"/>
    <cellStyle name="Normal 2 2 35 4 2 2" xfId="27304"/>
    <cellStyle name="Normal 2 2 35 4 3" xfId="27305"/>
    <cellStyle name="Normal 2 2 35 5" xfId="17910"/>
    <cellStyle name="Normal 2 2 35 5 2" xfId="27306"/>
    <cellStyle name="Normal 2 2 35 6" xfId="27307"/>
    <cellStyle name="Normal 2 2 36" xfId="6592"/>
    <cellStyle name="Normal 2 2 36 2" xfId="6593"/>
    <cellStyle name="Normal 2 2 36 2 2" xfId="6594"/>
    <cellStyle name="Normal 2 2 36 2 2 2" xfId="17911"/>
    <cellStyle name="Normal 2 2 36 2 2 2 2" xfId="27308"/>
    <cellStyle name="Normal 2 2 36 2 2 3" xfId="27309"/>
    <cellStyle name="Normal 2 2 36 2 3" xfId="17912"/>
    <cellStyle name="Normal 2 2 36 2 3 2" xfId="27310"/>
    <cellStyle name="Normal 2 2 36 2 4" xfId="27311"/>
    <cellStyle name="Normal 2 2 36 3" xfId="6595"/>
    <cellStyle name="Normal 2 2 36 3 2" xfId="6596"/>
    <cellStyle name="Normal 2 2 36 3 2 2" xfId="17913"/>
    <cellStyle name="Normal 2 2 36 3 2 2 2" xfId="27312"/>
    <cellStyle name="Normal 2 2 36 3 2 3" xfId="27313"/>
    <cellStyle name="Normal 2 2 36 3 3" xfId="17914"/>
    <cellStyle name="Normal 2 2 36 3 3 2" xfId="27314"/>
    <cellStyle name="Normal 2 2 36 3 4" xfId="27315"/>
    <cellStyle name="Normal 2 2 36 4" xfId="6597"/>
    <cellStyle name="Normal 2 2 36 4 2" xfId="17915"/>
    <cellStyle name="Normal 2 2 36 4 2 2" xfId="27316"/>
    <cellStyle name="Normal 2 2 36 4 3" xfId="27317"/>
    <cellStyle name="Normal 2 2 36 5" xfId="17916"/>
    <cellStyle name="Normal 2 2 36 5 2" xfId="27318"/>
    <cellStyle name="Normal 2 2 36 6" xfId="27319"/>
    <cellStyle name="Normal 2 2 37" xfId="6598"/>
    <cellStyle name="Normal 2 2 37 2" xfId="6599"/>
    <cellStyle name="Normal 2 2 37 2 2" xfId="6600"/>
    <cellStyle name="Normal 2 2 37 2 2 2" xfId="17917"/>
    <cellStyle name="Normal 2 2 37 2 2 2 2" xfId="27320"/>
    <cellStyle name="Normal 2 2 37 2 2 3" xfId="27321"/>
    <cellStyle name="Normal 2 2 37 2 3" xfId="17918"/>
    <cellStyle name="Normal 2 2 37 2 3 2" xfId="27322"/>
    <cellStyle name="Normal 2 2 37 2 4" xfId="27323"/>
    <cellStyle name="Normal 2 2 37 3" xfId="6601"/>
    <cellStyle name="Normal 2 2 37 3 2" xfId="6602"/>
    <cellStyle name="Normal 2 2 37 3 2 2" xfId="17919"/>
    <cellStyle name="Normal 2 2 37 3 2 2 2" xfId="27324"/>
    <cellStyle name="Normal 2 2 37 3 2 3" xfId="27325"/>
    <cellStyle name="Normal 2 2 37 3 3" xfId="17920"/>
    <cellStyle name="Normal 2 2 37 3 3 2" xfId="27326"/>
    <cellStyle name="Normal 2 2 37 3 4" xfId="27327"/>
    <cellStyle name="Normal 2 2 37 4" xfId="6603"/>
    <cellStyle name="Normal 2 2 37 4 2" xfId="17921"/>
    <cellStyle name="Normal 2 2 37 4 2 2" xfId="27328"/>
    <cellStyle name="Normal 2 2 37 4 3" xfId="27329"/>
    <cellStyle name="Normal 2 2 37 5" xfId="17922"/>
    <cellStyle name="Normal 2 2 37 5 2" xfId="27330"/>
    <cellStyle name="Normal 2 2 37 6" xfId="27331"/>
    <cellStyle name="Normal 2 2 38" xfId="6604"/>
    <cellStyle name="Normal 2 2 38 2" xfId="6605"/>
    <cellStyle name="Normal 2 2 38 2 2" xfId="6606"/>
    <cellStyle name="Normal 2 2 38 2 2 2" xfId="17923"/>
    <cellStyle name="Normal 2 2 38 2 2 2 2" xfId="27332"/>
    <cellStyle name="Normal 2 2 38 2 2 3" xfId="27333"/>
    <cellStyle name="Normal 2 2 38 2 3" xfId="17924"/>
    <cellStyle name="Normal 2 2 38 2 3 2" xfId="27334"/>
    <cellStyle name="Normal 2 2 38 2 4" xfId="27335"/>
    <cellStyle name="Normal 2 2 38 3" xfId="6607"/>
    <cellStyle name="Normal 2 2 38 3 2" xfId="6608"/>
    <cellStyle name="Normal 2 2 38 3 2 2" xfId="17925"/>
    <cellStyle name="Normal 2 2 38 3 2 2 2" xfId="27336"/>
    <cellStyle name="Normal 2 2 38 3 2 3" xfId="27337"/>
    <cellStyle name="Normal 2 2 38 3 3" xfId="17926"/>
    <cellStyle name="Normal 2 2 38 3 3 2" xfId="27338"/>
    <cellStyle name="Normal 2 2 38 3 4" xfId="27339"/>
    <cellStyle name="Normal 2 2 38 4" xfId="6609"/>
    <cellStyle name="Normal 2 2 38 4 2" xfId="17927"/>
    <cellStyle name="Normal 2 2 38 4 2 2" xfId="27340"/>
    <cellStyle name="Normal 2 2 38 4 3" xfId="27341"/>
    <cellStyle name="Normal 2 2 38 5" xfId="17928"/>
    <cellStyle name="Normal 2 2 38 5 2" xfId="27342"/>
    <cellStyle name="Normal 2 2 38 6" xfId="27343"/>
    <cellStyle name="Normal 2 2 39" xfId="6610"/>
    <cellStyle name="Normal 2 2 39 2" xfId="6611"/>
    <cellStyle name="Normal 2 2 39 2 2" xfId="6612"/>
    <cellStyle name="Normal 2 2 39 2 2 2" xfId="17929"/>
    <cellStyle name="Normal 2 2 39 2 2 2 2" xfId="27344"/>
    <cellStyle name="Normal 2 2 39 2 2 3" xfId="27345"/>
    <cellStyle name="Normal 2 2 39 2 3" xfId="17930"/>
    <cellStyle name="Normal 2 2 39 2 3 2" xfId="27346"/>
    <cellStyle name="Normal 2 2 39 2 4" xfId="27347"/>
    <cellStyle name="Normal 2 2 39 3" xfId="6613"/>
    <cellStyle name="Normal 2 2 39 3 2" xfId="6614"/>
    <cellStyle name="Normal 2 2 39 3 2 2" xfId="17931"/>
    <cellStyle name="Normal 2 2 39 3 2 2 2" xfId="27348"/>
    <cellStyle name="Normal 2 2 39 3 2 3" xfId="27349"/>
    <cellStyle name="Normal 2 2 39 3 3" xfId="17932"/>
    <cellStyle name="Normal 2 2 39 3 3 2" xfId="27350"/>
    <cellStyle name="Normal 2 2 39 3 4" xfId="27351"/>
    <cellStyle name="Normal 2 2 39 4" xfId="6615"/>
    <cellStyle name="Normal 2 2 39 4 2" xfId="17933"/>
    <cellStyle name="Normal 2 2 39 4 2 2" xfId="27352"/>
    <cellStyle name="Normal 2 2 39 4 3" xfId="27353"/>
    <cellStyle name="Normal 2 2 39 5" xfId="17934"/>
    <cellStyle name="Normal 2 2 39 5 2" xfId="27354"/>
    <cellStyle name="Normal 2 2 39 6" xfId="27355"/>
    <cellStyle name="Normal 2 2 4" xfId="44"/>
    <cellStyle name="Normal 2 2 4 10" xfId="6616"/>
    <cellStyle name="Normal 2 2 4 10 2" xfId="17935"/>
    <cellStyle name="Normal 2 2 4 11" xfId="6617"/>
    <cellStyle name="Normal 2 2 4 11 2" xfId="17936"/>
    <cellStyle name="Normal 2 2 4 12" xfId="6618"/>
    <cellStyle name="Normal 2 2 4 12 2" xfId="17937"/>
    <cellStyle name="Normal 2 2 4 13" xfId="6619"/>
    <cellStyle name="Normal 2 2 4 13 2" xfId="17938"/>
    <cellStyle name="Normal 2 2 4 14" xfId="6620"/>
    <cellStyle name="Normal 2 2 4 14 2" xfId="17939"/>
    <cellStyle name="Normal 2 2 4 15" xfId="6621"/>
    <cellStyle name="Normal 2 2 4 15 2" xfId="17940"/>
    <cellStyle name="Normal 2 2 4 16" xfId="6622"/>
    <cellStyle name="Normal 2 2 4 16 2" xfId="17941"/>
    <cellStyle name="Normal 2 2 4 17" xfId="6623"/>
    <cellStyle name="Normal 2 2 4 17 2" xfId="17942"/>
    <cellStyle name="Normal 2 2 4 18" xfId="6624"/>
    <cellStyle name="Normal 2 2 4 18 2" xfId="17943"/>
    <cellStyle name="Normal 2 2 4 19" xfId="6625"/>
    <cellStyle name="Normal 2 2 4 19 2" xfId="17944"/>
    <cellStyle name="Normal 2 2 4 2" xfId="6626"/>
    <cellStyle name="Normal 2 2 4 2 2" xfId="6627"/>
    <cellStyle name="Normal 2 2 4 2 3" xfId="17945"/>
    <cellStyle name="Normal 2 2 4 20" xfId="6628"/>
    <cellStyle name="Normal 2 2 4 20 2" xfId="17946"/>
    <cellStyle name="Normal 2 2 4 21" xfId="6629"/>
    <cellStyle name="Normal 2 2 4 21 2" xfId="17947"/>
    <cellStyle name="Normal 2 2 4 22" xfId="6630"/>
    <cellStyle name="Normal 2 2 4 22 2" xfId="17948"/>
    <cellStyle name="Normal 2 2 4 23" xfId="6631"/>
    <cellStyle name="Normal 2 2 4 23 2" xfId="17949"/>
    <cellStyle name="Normal 2 2 4 24" xfId="6632"/>
    <cellStyle name="Normal 2 2 4 24 2" xfId="17950"/>
    <cellStyle name="Normal 2 2 4 25" xfId="6633"/>
    <cellStyle name="Normal 2 2 4 25 2" xfId="17951"/>
    <cellStyle name="Normal 2 2 4 26" xfId="6634"/>
    <cellStyle name="Normal 2 2 4 26 2" xfId="17952"/>
    <cellStyle name="Normal 2 2 4 27" xfId="6635"/>
    <cellStyle name="Normal 2 2 4 27 2" xfId="17953"/>
    <cellStyle name="Normal 2 2 4 28" xfId="6636"/>
    <cellStyle name="Normal 2 2 4 28 2" xfId="17954"/>
    <cellStyle name="Normal 2 2 4 29" xfId="6637"/>
    <cellStyle name="Normal 2 2 4 29 2" xfId="17955"/>
    <cellStyle name="Normal 2 2 4 3" xfId="6638"/>
    <cellStyle name="Normal 2 2 4 3 2" xfId="17956"/>
    <cellStyle name="Normal 2 2 4 3 3" xfId="17957"/>
    <cellStyle name="Normal 2 2 4 30" xfId="6639"/>
    <cellStyle name="Normal 2 2 4 30 2" xfId="17958"/>
    <cellStyle name="Normal 2 2 4 31" xfId="6640"/>
    <cellStyle name="Normal 2 2 4 31 2" xfId="17959"/>
    <cellStyle name="Normal 2 2 4 32" xfId="6641"/>
    <cellStyle name="Normal 2 2 4 32 2" xfId="17960"/>
    <cellStyle name="Normal 2 2 4 33" xfId="6642"/>
    <cellStyle name="Normal 2 2 4 33 2" xfId="17961"/>
    <cellStyle name="Normal 2 2 4 34" xfId="6643"/>
    <cellStyle name="Normal 2 2 4 34 2" xfId="17962"/>
    <cellStyle name="Normal 2 2 4 35" xfId="6644"/>
    <cellStyle name="Normal 2 2 4 35 2" xfId="17963"/>
    <cellStyle name="Normal 2 2 4 36" xfId="6645"/>
    <cellStyle name="Normal 2 2 4 36 2" xfId="17964"/>
    <cellStyle name="Normal 2 2 4 37" xfId="6646"/>
    <cellStyle name="Normal 2 2 4 37 2" xfId="17965"/>
    <cellStyle name="Normal 2 2 4 38" xfId="6647"/>
    <cellStyle name="Normal 2 2 4 38 2" xfId="17966"/>
    <cellStyle name="Normal 2 2 4 39" xfId="6648"/>
    <cellStyle name="Normal 2 2 4 39 2" xfId="17967"/>
    <cellStyle name="Normal 2 2 4 4" xfId="6649"/>
    <cellStyle name="Normal 2 2 4 4 2" xfId="17968"/>
    <cellStyle name="Normal 2 2 4 40" xfId="6650"/>
    <cellStyle name="Normal 2 2 4 40 2" xfId="17969"/>
    <cellStyle name="Normal 2 2 4 41" xfId="6651"/>
    <cellStyle name="Normal 2 2 4 41 2" xfId="17970"/>
    <cellStyle name="Normal 2 2 4 42" xfId="6652"/>
    <cellStyle name="Normal 2 2 4 42 2" xfId="17971"/>
    <cellStyle name="Normal 2 2 4 43" xfId="6653"/>
    <cellStyle name="Normal 2 2 4 43 2" xfId="17972"/>
    <cellStyle name="Normal 2 2 4 44" xfId="6654"/>
    <cellStyle name="Normal 2 2 4 44 2" xfId="17973"/>
    <cellStyle name="Normal 2 2 4 45" xfId="6655"/>
    <cellStyle name="Normal 2 2 4 45 2" xfId="17974"/>
    <cellStyle name="Normal 2 2 4 46" xfId="6656"/>
    <cellStyle name="Normal 2 2 4 46 2" xfId="17975"/>
    <cellStyle name="Normal 2 2 4 47" xfId="6657"/>
    <cellStyle name="Normal 2 2 4 47 2" xfId="17976"/>
    <cellStyle name="Normal 2 2 4 48" xfId="6658"/>
    <cellStyle name="Normal 2 2 4 48 2" xfId="17977"/>
    <cellStyle name="Normal 2 2 4 49" xfId="6659"/>
    <cellStyle name="Normal 2 2 4 49 2" xfId="17978"/>
    <cellStyle name="Normal 2 2 4 5" xfId="6660"/>
    <cellStyle name="Normal 2 2 4 5 2" xfId="17979"/>
    <cellStyle name="Normal 2 2 4 50" xfId="6661"/>
    <cellStyle name="Normal 2 2 4 50 2" xfId="17980"/>
    <cellStyle name="Normal 2 2 4 51" xfId="6662"/>
    <cellStyle name="Normal 2 2 4 51 2" xfId="17981"/>
    <cellStyle name="Normal 2 2 4 52" xfId="6663"/>
    <cellStyle name="Normal 2 2 4 52 2" xfId="17982"/>
    <cellStyle name="Normal 2 2 4 53" xfId="6664"/>
    <cellStyle name="Normal 2 2 4 53 2" xfId="17983"/>
    <cellStyle name="Normal 2 2 4 54" xfId="6665"/>
    <cellStyle name="Normal 2 2 4 54 2" xfId="17984"/>
    <cellStyle name="Normal 2 2 4 55" xfId="6666"/>
    <cellStyle name="Normal 2 2 4 55 2" xfId="17985"/>
    <cellStyle name="Normal 2 2 4 56" xfId="6667"/>
    <cellStyle name="Normal 2 2 4 56 2" xfId="17986"/>
    <cellStyle name="Normal 2 2 4 57" xfId="6668"/>
    <cellStyle name="Normal 2 2 4 57 2" xfId="17987"/>
    <cellStyle name="Normal 2 2 4 58" xfId="6669"/>
    <cellStyle name="Normal 2 2 4 58 2" xfId="17988"/>
    <cellStyle name="Normal 2 2 4 59" xfId="6670"/>
    <cellStyle name="Normal 2 2 4 59 2" xfId="17989"/>
    <cellStyle name="Normal 2 2 4 6" xfId="6671"/>
    <cellStyle name="Normal 2 2 4 6 2" xfId="17990"/>
    <cellStyle name="Normal 2 2 4 60" xfId="6672"/>
    <cellStyle name="Normal 2 2 4 60 2" xfId="17991"/>
    <cellStyle name="Normal 2 2 4 61" xfId="6673"/>
    <cellStyle name="Normal 2 2 4 61 2" xfId="17992"/>
    <cellStyle name="Normal 2 2 4 62" xfId="6674"/>
    <cellStyle name="Normal 2 2 4 62 2" xfId="17993"/>
    <cellStyle name="Normal 2 2 4 63" xfId="6675"/>
    <cellStyle name="Normal 2 2 4 63 2" xfId="17994"/>
    <cellStyle name="Normal 2 2 4 64" xfId="6676"/>
    <cellStyle name="Normal 2 2 4 64 2" xfId="17995"/>
    <cellStyle name="Normal 2 2 4 65" xfId="6677"/>
    <cellStyle name="Normal 2 2 4 65 2" xfId="17996"/>
    <cellStyle name="Normal 2 2 4 66" xfId="6678"/>
    <cellStyle name="Normal 2 2 4 66 2" xfId="17997"/>
    <cellStyle name="Normal 2 2 4 67" xfId="6679"/>
    <cellStyle name="Normal 2 2 4 67 2" xfId="17998"/>
    <cellStyle name="Normal 2 2 4 68" xfId="6680"/>
    <cellStyle name="Normal 2 2 4 68 2" xfId="17999"/>
    <cellStyle name="Normal 2 2 4 69" xfId="6681"/>
    <cellStyle name="Normal 2 2 4 69 2" xfId="18000"/>
    <cellStyle name="Normal 2 2 4 7" xfId="6682"/>
    <cellStyle name="Normal 2 2 4 7 2" xfId="18001"/>
    <cellStyle name="Normal 2 2 4 70" xfId="6683"/>
    <cellStyle name="Normal 2 2 4 70 2" xfId="18002"/>
    <cellStyle name="Normal 2 2 4 71" xfId="6684"/>
    <cellStyle name="Normal 2 2 4 71 2" xfId="18003"/>
    <cellStyle name="Normal 2 2 4 72" xfId="6685"/>
    <cellStyle name="Normal 2 2 4 72 2" xfId="18004"/>
    <cellStyle name="Normal 2 2 4 73" xfId="6686"/>
    <cellStyle name="Normal 2 2 4 73 2" xfId="18005"/>
    <cellStyle name="Normal 2 2 4 74" xfId="6687"/>
    <cellStyle name="Normal 2 2 4 74 2" xfId="18006"/>
    <cellStyle name="Normal 2 2 4 75" xfId="6688"/>
    <cellStyle name="Normal 2 2 4 75 2" xfId="18007"/>
    <cellStyle name="Normal 2 2 4 76" xfId="6689"/>
    <cellStyle name="Normal 2 2 4 76 2" xfId="18008"/>
    <cellStyle name="Normal 2 2 4 77" xfId="6690"/>
    <cellStyle name="Normal 2 2 4 77 2" xfId="18009"/>
    <cellStyle name="Normal 2 2 4 78" xfId="6691"/>
    <cellStyle name="Normal 2 2 4 78 2" xfId="18010"/>
    <cellStyle name="Normal 2 2 4 79" xfId="6692"/>
    <cellStyle name="Normal 2 2 4 79 2" xfId="18011"/>
    <cellStyle name="Normal 2 2 4 8" xfId="6693"/>
    <cellStyle name="Normal 2 2 4 8 2" xfId="18012"/>
    <cellStyle name="Normal 2 2 4 80" xfId="6694"/>
    <cellStyle name="Normal 2 2 4 80 2" xfId="18013"/>
    <cellStyle name="Normal 2 2 4 81" xfId="6695"/>
    <cellStyle name="Normal 2 2 4 81 2" xfId="18014"/>
    <cellStyle name="Normal 2 2 4 82" xfId="6696"/>
    <cellStyle name="Normal 2 2 4 82 2" xfId="18015"/>
    <cellStyle name="Normal 2 2 4 83" xfId="6697"/>
    <cellStyle name="Normal 2 2 4 83 2" xfId="18016"/>
    <cellStyle name="Normal 2 2 4 84" xfId="6698"/>
    <cellStyle name="Normal 2 2 4 84 2" xfId="18017"/>
    <cellStyle name="Normal 2 2 4 85" xfId="6699"/>
    <cellStyle name="Normal 2 2 4 85 2" xfId="18018"/>
    <cellStyle name="Normal 2 2 4 86" xfId="6700"/>
    <cellStyle name="Normal 2 2 4 86 2" xfId="18019"/>
    <cellStyle name="Normal 2 2 4 87" xfId="6701"/>
    <cellStyle name="Normal 2 2 4 87 2" xfId="18020"/>
    <cellStyle name="Normal 2 2 4 88" xfId="6702"/>
    <cellStyle name="Normal 2 2 4 88 2" xfId="18021"/>
    <cellStyle name="Normal 2 2 4 89" xfId="6703"/>
    <cellStyle name="Normal 2 2 4 89 2" xfId="18022"/>
    <cellStyle name="Normal 2 2 4 9" xfId="6704"/>
    <cellStyle name="Normal 2 2 4 9 2" xfId="18023"/>
    <cellStyle name="Normal 2 2 4 90" xfId="6705"/>
    <cellStyle name="Normal 2 2 4 90 2" xfId="18024"/>
    <cellStyle name="Normal 2 2 4 91" xfId="6706"/>
    <cellStyle name="Normal 2 2 4 91 2" xfId="18025"/>
    <cellStyle name="Normal 2 2 4 92" xfId="18026"/>
    <cellStyle name="Normal 2 2 4 93" xfId="33647"/>
    <cellStyle name="Normal 2 2 40" xfId="6707"/>
    <cellStyle name="Normal 2 2 40 2" xfId="6708"/>
    <cellStyle name="Normal 2 2 40 2 2" xfId="6709"/>
    <cellStyle name="Normal 2 2 40 2 2 2" xfId="18027"/>
    <cellStyle name="Normal 2 2 40 2 2 2 2" xfId="27356"/>
    <cellStyle name="Normal 2 2 40 2 2 3" xfId="27357"/>
    <cellStyle name="Normal 2 2 40 2 3" xfId="18028"/>
    <cellStyle name="Normal 2 2 40 2 3 2" xfId="27358"/>
    <cellStyle name="Normal 2 2 40 2 4" xfId="27359"/>
    <cellStyle name="Normal 2 2 40 3" xfId="6710"/>
    <cellStyle name="Normal 2 2 40 3 2" xfId="6711"/>
    <cellStyle name="Normal 2 2 40 3 2 2" xfId="18029"/>
    <cellStyle name="Normal 2 2 40 3 2 2 2" xfId="27360"/>
    <cellStyle name="Normal 2 2 40 3 2 3" xfId="27361"/>
    <cellStyle name="Normal 2 2 40 3 3" xfId="18030"/>
    <cellStyle name="Normal 2 2 40 3 3 2" xfId="27362"/>
    <cellStyle name="Normal 2 2 40 3 4" xfId="27363"/>
    <cellStyle name="Normal 2 2 40 4" xfId="6712"/>
    <cellStyle name="Normal 2 2 40 4 2" xfId="18031"/>
    <cellStyle name="Normal 2 2 40 4 2 2" xfId="27364"/>
    <cellStyle name="Normal 2 2 40 4 3" xfId="27365"/>
    <cellStyle name="Normal 2 2 40 5" xfId="18032"/>
    <cellStyle name="Normal 2 2 40 5 2" xfId="27366"/>
    <cellStyle name="Normal 2 2 40 6" xfId="27367"/>
    <cellStyle name="Normal 2 2 41" xfId="6713"/>
    <cellStyle name="Normal 2 2 41 2" xfId="6714"/>
    <cellStyle name="Normal 2 2 41 2 2" xfId="6715"/>
    <cellStyle name="Normal 2 2 41 2 2 2" xfId="18033"/>
    <cellStyle name="Normal 2 2 41 2 2 2 2" xfId="27368"/>
    <cellStyle name="Normal 2 2 41 2 2 3" xfId="27369"/>
    <cellStyle name="Normal 2 2 41 2 3" xfId="18034"/>
    <cellStyle name="Normal 2 2 41 2 3 2" xfId="27370"/>
    <cellStyle name="Normal 2 2 41 2 4" xfId="27371"/>
    <cellStyle name="Normal 2 2 41 3" xfId="6716"/>
    <cellStyle name="Normal 2 2 41 3 2" xfId="6717"/>
    <cellStyle name="Normal 2 2 41 3 2 2" xfId="18035"/>
    <cellStyle name="Normal 2 2 41 3 2 2 2" xfId="27372"/>
    <cellStyle name="Normal 2 2 41 3 2 3" xfId="27373"/>
    <cellStyle name="Normal 2 2 41 3 3" xfId="18036"/>
    <cellStyle name="Normal 2 2 41 3 3 2" xfId="27374"/>
    <cellStyle name="Normal 2 2 41 3 4" xfId="27375"/>
    <cellStyle name="Normal 2 2 41 4" xfId="6718"/>
    <cellStyle name="Normal 2 2 41 4 2" xfId="18037"/>
    <cellStyle name="Normal 2 2 41 4 2 2" xfId="27376"/>
    <cellStyle name="Normal 2 2 41 4 3" xfId="27377"/>
    <cellStyle name="Normal 2 2 41 5" xfId="18038"/>
    <cellStyle name="Normal 2 2 41 5 2" xfId="27378"/>
    <cellStyle name="Normal 2 2 41 6" xfId="27379"/>
    <cellStyle name="Normal 2 2 42" xfId="6719"/>
    <cellStyle name="Normal 2 2 42 2" xfId="6720"/>
    <cellStyle name="Normal 2 2 42 2 2" xfId="6721"/>
    <cellStyle name="Normal 2 2 42 2 2 2" xfId="18039"/>
    <cellStyle name="Normal 2 2 42 2 2 2 2" xfId="27380"/>
    <cellStyle name="Normal 2 2 42 2 2 3" xfId="27381"/>
    <cellStyle name="Normal 2 2 42 2 3" xfId="18040"/>
    <cellStyle name="Normal 2 2 42 2 3 2" xfId="27382"/>
    <cellStyle name="Normal 2 2 42 2 4" xfId="27383"/>
    <cellStyle name="Normal 2 2 42 3" xfId="6722"/>
    <cellStyle name="Normal 2 2 42 3 2" xfId="6723"/>
    <cellStyle name="Normal 2 2 42 3 2 2" xfId="18041"/>
    <cellStyle name="Normal 2 2 42 3 2 2 2" xfId="27384"/>
    <cellStyle name="Normal 2 2 42 3 2 3" xfId="27385"/>
    <cellStyle name="Normal 2 2 42 3 3" xfId="18042"/>
    <cellStyle name="Normal 2 2 42 3 3 2" xfId="27386"/>
    <cellStyle name="Normal 2 2 42 3 4" xfId="27387"/>
    <cellStyle name="Normal 2 2 42 4" xfId="6724"/>
    <cellStyle name="Normal 2 2 42 4 2" xfId="18043"/>
    <cellStyle name="Normal 2 2 42 4 2 2" xfId="27388"/>
    <cellStyle name="Normal 2 2 42 4 3" xfId="27389"/>
    <cellStyle name="Normal 2 2 42 5" xfId="18044"/>
    <cellStyle name="Normal 2 2 42 5 2" xfId="27390"/>
    <cellStyle name="Normal 2 2 42 6" xfId="27391"/>
    <cellStyle name="Normal 2 2 43" xfId="6725"/>
    <cellStyle name="Normal 2 2 43 2" xfId="6726"/>
    <cellStyle name="Normal 2 2 43 2 2" xfId="6727"/>
    <cellStyle name="Normal 2 2 43 2 2 2" xfId="18045"/>
    <cellStyle name="Normal 2 2 43 2 2 2 2" xfId="27392"/>
    <cellStyle name="Normal 2 2 43 2 2 3" xfId="27393"/>
    <cellStyle name="Normal 2 2 43 2 3" xfId="18046"/>
    <cellStyle name="Normal 2 2 43 2 3 2" xfId="27394"/>
    <cellStyle name="Normal 2 2 43 2 4" xfId="27395"/>
    <cellStyle name="Normal 2 2 43 3" xfId="6728"/>
    <cellStyle name="Normal 2 2 43 3 2" xfId="6729"/>
    <cellStyle name="Normal 2 2 43 3 2 2" xfId="18047"/>
    <cellStyle name="Normal 2 2 43 3 2 2 2" xfId="27396"/>
    <cellStyle name="Normal 2 2 43 3 2 3" xfId="27397"/>
    <cellStyle name="Normal 2 2 43 3 3" xfId="18048"/>
    <cellStyle name="Normal 2 2 43 3 3 2" xfId="27398"/>
    <cellStyle name="Normal 2 2 43 3 4" xfId="27399"/>
    <cellStyle name="Normal 2 2 43 4" xfId="6730"/>
    <cellStyle name="Normal 2 2 43 4 2" xfId="18049"/>
    <cellStyle name="Normal 2 2 43 4 2 2" xfId="27400"/>
    <cellStyle name="Normal 2 2 43 4 3" xfId="27401"/>
    <cellStyle name="Normal 2 2 43 5" xfId="18050"/>
    <cellStyle name="Normal 2 2 43 5 2" xfId="27402"/>
    <cellStyle name="Normal 2 2 43 6" xfId="27403"/>
    <cellStyle name="Normal 2 2 44" xfId="6731"/>
    <cellStyle name="Normal 2 2 44 2" xfId="6732"/>
    <cellStyle name="Normal 2 2 44 2 2" xfId="6733"/>
    <cellStyle name="Normal 2 2 44 2 2 2" xfId="18051"/>
    <cellStyle name="Normal 2 2 44 2 2 2 2" xfId="27404"/>
    <cellStyle name="Normal 2 2 44 2 2 3" xfId="27405"/>
    <cellStyle name="Normal 2 2 44 2 3" xfId="18052"/>
    <cellStyle name="Normal 2 2 44 2 3 2" xfId="27406"/>
    <cellStyle name="Normal 2 2 44 2 4" xfId="27407"/>
    <cellStyle name="Normal 2 2 44 3" xfId="6734"/>
    <cellStyle name="Normal 2 2 44 3 2" xfId="6735"/>
    <cellStyle name="Normal 2 2 44 3 2 2" xfId="18053"/>
    <cellStyle name="Normal 2 2 44 3 2 2 2" xfId="27408"/>
    <cellStyle name="Normal 2 2 44 3 2 3" xfId="27409"/>
    <cellStyle name="Normal 2 2 44 3 3" xfId="18054"/>
    <cellStyle name="Normal 2 2 44 3 3 2" xfId="27410"/>
    <cellStyle name="Normal 2 2 44 3 4" xfId="27411"/>
    <cellStyle name="Normal 2 2 44 4" xfId="6736"/>
    <cellStyle name="Normal 2 2 44 4 2" xfId="18055"/>
    <cellStyle name="Normal 2 2 44 4 2 2" xfId="27412"/>
    <cellStyle name="Normal 2 2 44 4 3" xfId="27413"/>
    <cellStyle name="Normal 2 2 44 5" xfId="18056"/>
    <cellStyle name="Normal 2 2 44 5 2" xfId="27414"/>
    <cellStyle name="Normal 2 2 44 6" xfId="27415"/>
    <cellStyle name="Normal 2 2 45" xfId="6737"/>
    <cellStyle name="Normal 2 2 45 2" xfId="6738"/>
    <cellStyle name="Normal 2 2 45 2 2" xfId="6739"/>
    <cellStyle name="Normal 2 2 45 2 2 2" xfId="18057"/>
    <cellStyle name="Normal 2 2 45 2 2 2 2" xfId="27416"/>
    <cellStyle name="Normal 2 2 45 2 2 3" xfId="27417"/>
    <cellStyle name="Normal 2 2 45 2 3" xfId="18058"/>
    <cellStyle name="Normal 2 2 45 2 3 2" xfId="27418"/>
    <cellStyle name="Normal 2 2 45 2 4" xfId="27419"/>
    <cellStyle name="Normal 2 2 45 3" xfId="6740"/>
    <cellStyle name="Normal 2 2 45 3 2" xfId="6741"/>
    <cellStyle name="Normal 2 2 45 3 2 2" xfId="18059"/>
    <cellStyle name="Normal 2 2 45 3 2 2 2" xfId="27420"/>
    <cellStyle name="Normal 2 2 45 3 2 3" xfId="27421"/>
    <cellStyle name="Normal 2 2 45 3 3" xfId="18060"/>
    <cellStyle name="Normal 2 2 45 3 3 2" xfId="27422"/>
    <cellStyle name="Normal 2 2 45 3 4" xfId="27423"/>
    <cellStyle name="Normal 2 2 45 4" xfId="6742"/>
    <cellStyle name="Normal 2 2 45 4 2" xfId="18061"/>
    <cellStyle name="Normal 2 2 45 4 2 2" xfId="27424"/>
    <cellStyle name="Normal 2 2 45 4 3" xfId="27425"/>
    <cellStyle name="Normal 2 2 45 5" xfId="18062"/>
    <cellStyle name="Normal 2 2 45 5 2" xfId="27426"/>
    <cellStyle name="Normal 2 2 45 6" xfId="27427"/>
    <cellStyle name="Normal 2 2 46" xfId="6743"/>
    <cellStyle name="Normal 2 2 46 2" xfId="6744"/>
    <cellStyle name="Normal 2 2 46 2 2" xfId="6745"/>
    <cellStyle name="Normal 2 2 46 2 2 2" xfId="18063"/>
    <cellStyle name="Normal 2 2 46 2 2 2 2" xfId="27428"/>
    <cellStyle name="Normal 2 2 46 2 2 3" xfId="27429"/>
    <cellStyle name="Normal 2 2 46 2 3" xfId="18064"/>
    <cellStyle name="Normal 2 2 46 2 3 2" xfId="27430"/>
    <cellStyle name="Normal 2 2 46 2 4" xfId="27431"/>
    <cellStyle name="Normal 2 2 46 3" xfId="6746"/>
    <cellStyle name="Normal 2 2 46 3 2" xfId="6747"/>
    <cellStyle name="Normal 2 2 46 3 2 2" xfId="18065"/>
    <cellStyle name="Normal 2 2 46 3 2 2 2" xfId="27432"/>
    <cellStyle name="Normal 2 2 46 3 2 3" xfId="27433"/>
    <cellStyle name="Normal 2 2 46 3 3" xfId="18066"/>
    <cellStyle name="Normal 2 2 46 3 3 2" xfId="27434"/>
    <cellStyle name="Normal 2 2 46 3 4" xfId="27435"/>
    <cellStyle name="Normal 2 2 46 4" xfId="6748"/>
    <cellStyle name="Normal 2 2 46 4 2" xfId="18067"/>
    <cellStyle name="Normal 2 2 46 4 2 2" xfId="27436"/>
    <cellStyle name="Normal 2 2 46 4 3" xfId="27437"/>
    <cellStyle name="Normal 2 2 46 5" xfId="18068"/>
    <cellStyle name="Normal 2 2 46 5 2" xfId="27438"/>
    <cellStyle name="Normal 2 2 46 6" xfId="27439"/>
    <cellStyle name="Normal 2 2 47" xfId="6749"/>
    <cellStyle name="Normal 2 2 47 2" xfId="6750"/>
    <cellStyle name="Normal 2 2 47 2 2" xfId="6751"/>
    <cellStyle name="Normal 2 2 47 2 2 2" xfId="18069"/>
    <cellStyle name="Normal 2 2 47 2 2 2 2" xfId="27440"/>
    <cellStyle name="Normal 2 2 47 2 2 3" xfId="27441"/>
    <cellStyle name="Normal 2 2 47 2 3" xfId="18070"/>
    <cellStyle name="Normal 2 2 47 2 3 2" xfId="27442"/>
    <cellStyle name="Normal 2 2 47 2 4" xfId="27443"/>
    <cellStyle name="Normal 2 2 47 3" xfId="6752"/>
    <cellStyle name="Normal 2 2 47 3 2" xfId="6753"/>
    <cellStyle name="Normal 2 2 47 3 2 2" xfId="18071"/>
    <cellStyle name="Normal 2 2 47 3 2 2 2" xfId="27444"/>
    <cellStyle name="Normal 2 2 47 3 2 3" xfId="27445"/>
    <cellStyle name="Normal 2 2 47 3 3" xfId="18072"/>
    <cellStyle name="Normal 2 2 47 3 3 2" xfId="27446"/>
    <cellStyle name="Normal 2 2 47 3 4" xfId="27447"/>
    <cellStyle name="Normal 2 2 47 4" xfId="6754"/>
    <cellStyle name="Normal 2 2 47 4 2" xfId="18073"/>
    <cellStyle name="Normal 2 2 47 4 2 2" xfId="27448"/>
    <cellStyle name="Normal 2 2 47 4 3" xfId="27449"/>
    <cellStyle name="Normal 2 2 47 5" xfId="18074"/>
    <cellStyle name="Normal 2 2 47 5 2" xfId="27450"/>
    <cellStyle name="Normal 2 2 47 6" xfId="27451"/>
    <cellStyle name="Normal 2 2 48" xfId="6755"/>
    <cellStyle name="Normal 2 2 48 2" xfId="6756"/>
    <cellStyle name="Normal 2 2 48 2 2" xfId="6757"/>
    <cellStyle name="Normal 2 2 48 2 2 2" xfId="18075"/>
    <cellStyle name="Normal 2 2 48 2 2 2 2" xfId="27452"/>
    <cellStyle name="Normal 2 2 48 2 2 3" xfId="27453"/>
    <cellStyle name="Normal 2 2 48 2 3" xfId="18076"/>
    <cellStyle name="Normal 2 2 48 2 3 2" xfId="27454"/>
    <cellStyle name="Normal 2 2 48 2 4" xfId="27455"/>
    <cellStyle name="Normal 2 2 48 3" xfId="6758"/>
    <cellStyle name="Normal 2 2 48 3 2" xfId="6759"/>
    <cellStyle name="Normal 2 2 48 3 2 2" xfId="18077"/>
    <cellStyle name="Normal 2 2 48 3 2 2 2" xfId="27456"/>
    <cellStyle name="Normal 2 2 48 3 2 3" xfId="27457"/>
    <cellStyle name="Normal 2 2 48 3 3" xfId="18078"/>
    <cellStyle name="Normal 2 2 48 3 3 2" xfId="27458"/>
    <cellStyle name="Normal 2 2 48 3 4" xfId="27459"/>
    <cellStyle name="Normal 2 2 48 4" xfId="6760"/>
    <cellStyle name="Normal 2 2 48 4 2" xfId="18079"/>
    <cellStyle name="Normal 2 2 48 4 2 2" xfId="27460"/>
    <cellStyle name="Normal 2 2 48 4 3" xfId="27461"/>
    <cellStyle name="Normal 2 2 48 5" xfId="18080"/>
    <cellStyle name="Normal 2 2 48 5 2" xfId="27462"/>
    <cellStyle name="Normal 2 2 48 6" xfId="27463"/>
    <cellStyle name="Normal 2 2 49" xfId="6761"/>
    <cellStyle name="Normal 2 2 49 2" xfId="6762"/>
    <cellStyle name="Normal 2 2 49 2 2" xfId="6763"/>
    <cellStyle name="Normal 2 2 49 2 2 2" xfId="18081"/>
    <cellStyle name="Normal 2 2 49 2 2 2 2" xfId="27464"/>
    <cellStyle name="Normal 2 2 49 2 2 3" xfId="27465"/>
    <cellStyle name="Normal 2 2 49 2 3" xfId="18082"/>
    <cellStyle name="Normal 2 2 49 2 3 2" xfId="27466"/>
    <cellStyle name="Normal 2 2 49 2 4" xfId="27467"/>
    <cellStyle name="Normal 2 2 49 3" xfId="6764"/>
    <cellStyle name="Normal 2 2 49 3 2" xfId="6765"/>
    <cellStyle name="Normal 2 2 49 3 2 2" xfId="18083"/>
    <cellStyle name="Normal 2 2 49 3 2 2 2" xfId="27468"/>
    <cellStyle name="Normal 2 2 49 3 2 3" xfId="27469"/>
    <cellStyle name="Normal 2 2 49 3 3" xfId="18084"/>
    <cellStyle name="Normal 2 2 49 3 3 2" xfId="27470"/>
    <cellStyle name="Normal 2 2 49 3 4" xfId="27471"/>
    <cellStyle name="Normal 2 2 49 4" xfId="6766"/>
    <cellStyle name="Normal 2 2 49 4 2" xfId="18085"/>
    <cellStyle name="Normal 2 2 49 4 2 2" xfId="27472"/>
    <cellStyle name="Normal 2 2 49 4 3" xfId="27473"/>
    <cellStyle name="Normal 2 2 49 5" xfId="18086"/>
    <cellStyle name="Normal 2 2 49 5 2" xfId="27474"/>
    <cellStyle name="Normal 2 2 49 6" xfId="27475"/>
    <cellStyle name="Normal 2 2 5" xfId="45"/>
    <cellStyle name="Normal 2 2 5 10" xfId="6767"/>
    <cellStyle name="Normal 2 2 5 10 2" xfId="18087"/>
    <cellStyle name="Normal 2 2 5 11" xfId="6768"/>
    <cellStyle name="Normal 2 2 5 11 2" xfId="18088"/>
    <cellStyle name="Normal 2 2 5 12" xfId="6769"/>
    <cellStyle name="Normal 2 2 5 12 2" xfId="18089"/>
    <cellStyle name="Normal 2 2 5 13" xfId="6770"/>
    <cellStyle name="Normal 2 2 5 13 2" xfId="18090"/>
    <cellStyle name="Normal 2 2 5 14" xfId="6771"/>
    <cellStyle name="Normal 2 2 5 14 2" xfId="18091"/>
    <cellStyle name="Normal 2 2 5 15" xfId="6772"/>
    <cellStyle name="Normal 2 2 5 15 2" xfId="18092"/>
    <cellStyle name="Normal 2 2 5 16" xfId="6773"/>
    <cellStyle name="Normal 2 2 5 16 2" xfId="18093"/>
    <cellStyle name="Normal 2 2 5 17" xfId="6774"/>
    <cellStyle name="Normal 2 2 5 17 2" xfId="18094"/>
    <cellStyle name="Normal 2 2 5 18" xfId="6775"/>
    <cellStyle name="Normal 2 2 5 18 2" xfId="18095"/>
    <cellStyle name="Normal 2 2 5 19" xfId="6776"/>
    <cellStyle name="Normal 2 2 5 19 2" xfId="18096"/>
    <cellStyle name="Normal 2 2 5 2" xfId="6777"/>
    <cellStyle name="Normal 2 2 5 2 2" xfId="6778"/>
    <cellStyle name="Normal 2 2 5 2 3" xfId="18097"/>
    <cellStyle name="Normal 2 2 5 20" xfId="6779"/>
    <cellStyle name="Normal 2 2 5 20 2" xfId="18098"/>
    <cellStyle name="Normal 2 2 5 21" xfId="6780"/>
    <cellStyle name="Normal 2 2 5 21 2" xfId="18099"/>
    <cellStyle name="Normal 2 2 5 22" xfId="6781"/>
    <cellStyle name="Normal 2 2 5 22 2" xfId="18100"/>
    <cellStyle name="Normal 2 2 5 23" xfId="6782"/>
    <cellStyle name="Normal 2 2 5 23 2" xfId="18101"/>
    <cellStyle name="Normal 2 2 5 24" xfId="6783"/>
    <cellStyle name="Normal 2 2 5 24 2" xfId="18102"/>
    <cellStyle name="Normal 2 2 5 25" xfId="6784"/>
    <cellStyle name="Normal 2 2 5 25 2" xfId="18103"/>
    <cellStyle name="Normal 2 2 5 26" xfId="6785"/>
    <cellStyle name="Normal 2 2 5 26 2" xfId="18104"/>
    <cellStyle name="Normal 2 2 5 27" xfId="6786"/>
    <cellStyle name="Normal 2 2 5 27 2" xfId="18105"/>
    <cellStyle name="Normal 2 2 5 28" xfId="6787"/>
    <cellStyle name="Normal 2 2 5 28 2" xfId="18106"/>
    <cellStyle name="Normal 2 2 5 29" xfId="6788"/>
    <cellStyle name="Normal 2 2 5 29 2" xfId="18107"/>
    <cellStyle name="Normal 2 2 5 3" xfId="6789"/>
    <cellStyle name="Normal 2 2 5 3 2" xfId="18108"/>
    <cellStyle name="Normal 2 2 5 3 3" xfId="18109"/>
    <cellStyle name="Normal 2 2 5 30" xfId="6790"/>
    <cellStyle name="Normal 2 2 5 30 2" xfId="18110"/>
    <cellStyle name="Normal 2 2 5 31" xfId="6791"/>
    <cellStyle name="Normal 2 2 5 31 2" xfId="18111"/>
    <cellStyle name="Normal 2 2 5 32" xfId="6792"/>
    <cellStyle name="Normal 2 2 5 32 2" xfId="18112"/>
    <cellStyle name="Normal 2 2 5 33" xfId="6793"/>
    <cellStyle name="Normal 2 2 5 33 2" xfId="18113"/>
    <cellStyle name="Normal 2 2 5 34" xfId="6794"/>
    <cellStyle name="Normal 2 2 5 34 2" xfId="18114"/>
    <cellStyle name="Normal 2 2 5 35" xfId="6795"/>
    <cellStyle name="Normal 2 2 5 35 2" xfId="18115"/>
    <cellStyle name="Normal 2 2 5 36" xfId="6796"/>
    <cellStyle name="Normal 2 2 5 36 2" xfId="18116"/>
    <cellStyle name="Normal 2 2 5 37" xfId="6797"/>
    <cellStyle name="Normal 2 2 5 37 2" xfId="18117"/>
    <cellStyle name="Normal 2 2 5 38" xfId="6798"/>
    <cellStyle name="Normal 2 2 5 38 2" xfId="18118"/>
    <cellStyle name="Normal 2 2 5 39" xfId="6799"/>
    <cellStyle name="Normal 2 2 5 39 2" xfId="18119"/>
    <cellStyle name="Normal 2 2 5 4" xfId="6800"/>
    <cellStyle name="Normal 2 2 5 4 2" xfId="18120"/>
    <cellStyle name="Normal 2 2 5 40" xfId="6801"/>
    <cellStyle name="Normal 2 2 5 40 2" xfId="18121"/>
    <cellStyle name="Normal 2 2 5 41" xfId="6802"/>
    <cellStyle name="Normal 2 2 5 41 2" xfId="18122"/>
    <cellStyle name="Normal 2 2 5 42" xfId="6803"/>
    <cellStyle name="Normal 2 2 5 42 2" xfId="18123"/>
    <cellStyle name="Normal 2 2 5 43" xfId="6804"/>
    <cellStyle name="Normal 2 2 5 43 2" xfId="18124"/>
    <cellStyle name="Normal 2 2 5 44" xfId="6805"/>
    <cellStyle name="Normal 2 2 5 44 2" xfId="18125"/>
    <cellStyle name="Normal 2 2 5 45" xfId="6806"/>
    <cellStyle name="Normal 2 2 5 45 2" xfId="18126"/>
    <cellStyle name="Normal 2 2 5 46" xfId="6807"/>
    <cellStyle name="Normal 2 2 5 46 2" xfId="18127"/>
    <cellStyle name="Normal 2 2 5 47" xfId="6808"/>
    <cellStyle name="Normal 2 2 5 47 2" xfId="18128"/>
    <cellStyle name="Normal 2 2 5 48" xfId="6809"/>
    <cellStyle name="Normal 2 2 5 48 2" xfId="18129"/>
    <cellStyle name="Normal 2 2 5 49" xfId="6810"/>
    <cellStyle name="Normal 2 2 5 49 2" xfId="18130"/>
    <cellStyle name="Normal 2 2 5 5" xfId="6811"/>
    <cellStyle name="Normal 2 2 5 5 2" xfId="18131"/>
    <cellStyle name="Normal 2 2 5 50" xfId="6812"/>
    <cellStyle name="Normal 2 2 5 50 2" xfId="18132"/>
    <cellStyle name="Normal 2 2 5 51" xfId="6813"/>
    <cellStyle name="Normal 2 2 5 51 2" xfId="18133"/>
    <cellStyle name="Normal 2 2 5 52" xfId="6814"/>
    <cellStyle name="Normal 2 2 5 52 2" xfId="18134"/>
    <cellStyle name="Normal 2 2 5 53" xfId="6815"/>
    <cellStyle name="Normal 2 2 5 53 2" xfId="18135"/>
    <cellStyle name="Normal 2 2 5 54" xfId="6816"/>
    <cellStyle name="Normal 2 2 5 54 2" xfId="18136"/>
    <cellStyle name="Normal 2 2 5 55" xfId="6817"/>
    <cellStyle name="Normal 2 2 5 55 2" xfId="18137"/>
    <cellStyle name="Normal 2 2 5 56" xfId="6818"/>
    <cellStyle name="Normal 2 2 5 56 2" xfId="18138"/>
    <cellStyle name="Normal 2 2 5 57" xfId="6819"/>
    <cellStyle name="Normal 2 2 5 57 2" xfId="18139"/>
    <cellStyle name="Normal 2 2 5 58" xfId="6820"/>
    <cellStyle name="Normal 2 2 5 58 2" xfId="18140"/>
    <cellStyle name="Normal 2 2 5 59" xfId="6821"/>
    <cellStyle name="Normal 2 2 5 59 2" xfId="18141"/>
    <cellStyle name="Normal 2 2 5 6" xfId="6822"/>
    <cellStyle name="Normal 2 2 5 6 2" xfId="18142"/>
    <cellStyle name="Normal 2 2 5 60" xfId="6823"/>
    <cellStyle name="Normal 2 2 5 60 2" xfId="18143"/>
    <cellStyle name="Normal 2 2 5 61" xfId="6824"/>
    <cellStyle name="Normal 2 2 5 61 2" xfId="18144"/>
    <cellStyle name="Normal 2 2 5 62" xfId="6825"/>
    <cellStyle name="Normal 2 2 5 62 2" xfId="18145"/>
    <cellStyle name="Normal 2 2 5 63" xfId="6826"/>
    <cellStyle name="Normal 2 2 5 63 2" xfId="18146"/>
    <cellStyle name="Normal 2 2 5 64" xfId="6827"/>
    <cellStyle name="Normal 2 2 5 64 2" xfId="18147"/>
    <cellStyle name="Normal 2 2 5 65" xfId="6828"/>
    <cellStyle name="Normal 2 2 5 65 2" xfId="18148"/>
    <cellStyle name="Normal 2 2 5 66" xfId="6829"/>
    <cellStyle name="Normal 2 2 5 66 2" xfId="18149"/>
    <cellStyle name="Normal 2 2 5 67" xfId="6830"/>
    <cellStyle name="Normal 2 2 5 67 2" xfId="18150"/>
    <cellStyle name="Normal 2 2 5 68" xfId="6831"/>
    <cellStyle name="Normal 2 2 5 68 2" xfId="18151"/>
    <cellStyle name="Normal 2 2 5 69" xfId="6832"/>
    <cellStyle name="Normal 2 2 5 69 2" xfId="18152"/>
    <cellStyle name="Normal 2 2 5 7" xfId="6833"/>
    <cellStyle name="Normal 2 2 5 7 2" xfId="18153"/>
    <cellStyle name="Normal 2 2 5 70" xfId="6834"/>
    <cellStyle name="Normal 2 2 5 70 2" xfId="18154"/>
    <cellStyle name="Normal 2 2 5 71" xfId="6835"/>
    <cellStyle name="Normal 2 2 5 71 2" xfId="18155"/>
    <cellStyle name="Normal 2 2 5 72" xfId="6836"/>
    <cellStyle name="Normal 2 2 5 72 2" xfId="18156"/>
    <cellStyle name="Normal 2 2 5 73" xfId="6837"/>
    <cellStyle name="Normal 2 2 5 73 2" xfId="18157"/>
    <cellStyle name="Normal 2 2 5 74" xfId="6838"/>
    <cellStyle name="Normal 2 2 5 74 2" xfId="18158"/>
    <cellStyle name="Normal 2 2 5 75" xfId="6839"/>
    <cellStyle name="Normal 2 2 5 75 2" xfId="18159"/>
    <cellStyle name="Normal 2 2 5 76" xfId="6840"/>
    <cellStyle name="Normal 2 2 5 76 2" xfId="18160"/>
    <cellStyle name="Normal 2 2 5 77" xfId="6841"/>
    <cellStyle name="Normal 2 2 5 77 2" xfId="18161"/>
    <cellStyle name="Normal 2 2 5 78" xfId="6842"/>
    <cellStyle name="Normal 2 2 5 78 2" xfId="18162"/>
    <cellStyle name="Normal 2 2 5 79" xfId="6843"/>
    <cellStyle name="Normal 2 2 5 79 2" xfId="18163"/>
    <cellStyle name="Normal 2 2 5 8" xfId="6844"/>
    <cellStyle name="Normal 2 2 5 8 2" xfId="18164"/>
    <cellStyle name="Normal 2 2 5 80" xfId="6845"/>
    <cellStyle name="Normal 2 2 5 80 2" xfId="18165"/>
    <cellStyle name="Normal 2 2 5 81" xfId="6846"/>
    <cellStyle name="Normal 2 2 5 81 2" xfId="18166"/>
    <cellStyle name="Normal 2 2 5 82" xfId="6847"/>
    <cellStyle name="Normal 2 2 5 82 2" xfId="18167"/>
    <cellStyle name="Normal 2 2 5 83" xfId="6848"/>
    <cellStyle name="Normal 2 2 5 83 2" xfId="18168"/>
    <cellStyle name="Normal 2 2 5 84" xfId="6849"/>
    <cellStyle name="Normal 2 2 5 84 2" xfId="18169"/>
    <cellStyle name="Normal 2 2 5 85" xfId="6850"/>
    <cellStyle name="Normal 2 2 5 85 2" xfId="18170"/>
    <cellStyle name="Normal 2 2 5 86" xfId="6851"/>
    <cellStyle name="Normal 2 2 5 86 2" xfId="18171"/>
    <cellStyle name="Normal 2 2 5 87" xfId="6852"/>
    <cellStyle name="Normal 2 2 5 87 2" xfId="18172"/>
    <cellStyle name="Normal 2 2 5 88" xfId="6853"/>
    <cellStyle name="Normal 2 2 5 88 2" xfId="18173"/>
    <cellStyle name="Normal 2 2 5 89" xfId="6854"/>
    <cellStyle name="Normal 2 2 5 89 2" xfId="18174"/>
    <cellStyle name="Normal 2 2 5 9" xfId="6855"/>
    <cellStyle name="Normal 2 2 5 9 2" xfId="18175"/>
    <cellStyle name="Normal 2 2 5 90" xfId="6856"/>
    <cellStyle name="Normal 2 2 5 90 2" xfId="18176"/>
    <cellStyle name="Normal 2 2 5 91" xfId="6857"/>
    <cellStyle name="Normal 2 2 5 91 2" xfId="18177"/>
    <cellStyle name="Normal 2 2 5 92" xfId="18178"/>
    <cellStyle name="Normal 2 2 5 93" xfId="33648"/>
    <cellStyle name="Normal 2 2 50" xfId="6858"/>
    <cellStyle name="Normal 2 2 50 2" xfId="6859"/>
    <cellStyle name="Normal 2 2 50 2 2" xfId="6860"/>
    <cellStyle name="Normal 2 2 50 2 2 2" xfId="18179"/>
    <cellStyle name="Normal 2 2 50 2 2 2 2" xfId="27476"/>
    <cellStyle name="Normal 2 2 50 2 2 3" xfId="27477"/>
    <cellStyle name="Normal 2 2 50 2 3" xfId="18180"/>
    <cellStyle name="Normal 2 2 50 2 3 2" xfId="27478"/>
    <cellStyle name="Normal 2 2 50 2 4" xfId="27479"/>
    <cellStyle name="Normal 2 2 50 3" xfId="6861"/>
    <cellStyle name="Normal 2 2 50 3 2" xfId="6862"/>
    <cellStyle name="Normal 2 2 50 3 2 2" xfId="18181"/>
    <cellStyle name="Normal 2 2 50 3 2 2 2" xfId="27480"/>
    <cellStyle name="Normal 2 2 50 3 2 3" xfId="27481"/>
    <cellStyle name="Normal 2 2 50 3 3" xfId="18182"/>
    <cellStyle name="Normal 2 2 50 3 3 2" xfId="27482"/>
    <cellStyle name="Normal 2 2 50 3 4" xfId="27483"/>
    <cellStyle name="Normal 2 2 50 4" xfId="6863"/>
    <cellStyle name="Normal 2 2 50 4 2" xfId="18183"/>
    <cellStyle name="Normal 2 2 50 4 2 2" xfId="27484"/>
    <cellStyle name="Normal 2 2 50 4 3" xfId="27485"/>
    <cellStyle name="Normal 2 2 50 5" xfId="18184"/>
    <cellStyle name="Normal 2 2 50 5 2" xfId="27486"/>
    <cellStyle name="Normal 2 2 50 6" xfId="27487"/>
    <cellStyle name="Normal 2 2 51" xfId="6864"/>
    <cellStyle name="Normal 2 2 51 2" xfId="6865"/>
    <cellStyle name="Normal 2 2 51 2 2" xfId="6866"/>
    <cellStyle name="Normal 2 2 51 2 2 2" xfId="18185"/>
    <cellStyle name="Normal 2 2 51 2 2 2 2" xfId="27488"/>
    <cellStyle name="Normal 2 2 51 2 2 3" xfId="27489"/>
    <cellStyle name="Normal 2 2 51 2 3" xfId="18186"/>
    <cellStyle name="Normal 2 2 51 2 3 2" xfId="27490"/>
    <cellStyle name="Normal 2 2 51 2 4" xfId="27491"/>
    <cellStyle name="Normal 2 2 51 3" xfId="6867"/>
    <cellStyle name="Normal 2 2 51 3 2" xfId="6868"/>
    <cellStyle name="Normal 2 2 51 3 2 2" xfId="18187"/>
    <cellStyle name="Normal 2 2 51 3 2 2 2" xfId="27492"/>
    <cellStyle name="Normal 2 2 51 3 2 3" xfId="27493"/>
    <cellStyle name="Normal 2 2 51 3 3" xfId="18188"/>
    <cellStyle name="Normal 2 2 51 3 3 2" xfId="27494"/>
    <cellStyle name="Normal 2 2 51 3 4" xfId="27495"/>
    <cellStyle name="Normal 2 2 51 4" xfId="6869"/>
    <cellStyle name="Normal 2 2 51 4 2" xfId="18189"/>
    <cellStyle name="Normal 2 2 51 4 2 2" xfId="27496"/>
    <cellStyle name="Normal 2 2 51 4 3" xfId="27497"/>
    <cellStyle name="Normal 2 2 51 5" xfId="18190"/>
    <cellStyle name="Normal 2 2 51 5 2" xfId="27498"/>
    <cellStyle name="Normal 2 2 51 6" xfId="27499"/>
    <cellStyle name="Normal 2 2 52" xfId="6870"/>
    <cellStyle name="Normal 2 2 52 2" xfId="6871"/>
    <cellStyle name="Normal 2 2 52 2 2" xfId="6872"/>
    <cellStyle name="Normal 2 2 52 2 2 2" xfId="18191"/>
    <cellStyle name="Normal 2 2 52 2 2 2 2" xfId="27500"/>
    <cellStyle name="Normal 2 2 52 2 2 3" xfId="27501"/>
    <cellStyle name="Normal 2 2 52 2 3" xfId="18192"/>
    <cellStyle name="Normal 2 2 52 2 3 2" xfId="27502"/>
    <cellStyle name="Normal 2 2 52 2 4" xfId="27503"/>
    <cellStyle name="Normal 2 2 52 3" xfId="6873"/>
    <cellStyle name="Normal 2 2 52 3 2" xfId="6874"/>
    <cellStyle name="Normal 2 2 52 3 2 2" xfId="18193"/>
    <cellStyle name="Normal 2 2 52 3 2 2 2" xfId="27504"/>
    <cellStyle name="Normal 2 2 52 3 2 3" xfId="27505"/>
    <cellStyle name="Normal 2 2 52 3 3" xfId="18194"/>
    <cellStyle name="Normal 2 2 52 3 3 2" xfId="27506"/>
    <cellStyle name="Normal 2 2 52 3 4" xfId="27507"/>
    <cellStyle name="Normal 2 2 52 4" xfId="6875"/>
    <cellStyle name="Normal 2 2 52 4 2" xfId="18195"/>
    <cellStyle name="Normal 2 2 52 4 2 2" xfId="27508"/>
    <cellStyle name="Normal 2 2 52 4 3" xfId="27509"/>
    <cellStyle name="Normal 2 2 52 5" xfId="18196"/>
    <cellStyle name="Normal 2 2 52 5 2" xfId="27510"/>
    <cellStyle name="Normal 2 2 52 6" xfId="27511"/>
    <cellStyle name="Normal 2 2 53" xfId="6876"/>
    <cellStyle name="Normal 2 2 53 2" xfId="6877"/>
    <cellStyle name="Normal 2 2 53 2 2" xfId="6878"/>
    <cellStyle name="Normal 2 2 53 2 2 2" xfId="18197"/>
    <cellStyle name="Normal 2 2 53 2 2 2 2" xfId="27512"/>
    <cellStyle name="Normal 2 2 53 2 2 3" xfId="27513"/>
    <cellStyle name="Normal 2 2 53 2 3" xfId="18198"/>
    <cellStyle name="Normal 2 2 53 2 3 2" xfId="27514"/>
    <cellStyle name="Normal 2 2 53 2 4" xfId="27515"/>
    <cellStyle name="Normal 2 2 53 3" xfId="6879"/>
    <cellStyle name="Normal 2 2 53 3 2" xfId="6880"/>
    <cellStyle name="Normal 2 2 53 3 2 2" xfId="18199"/>
    <cellStyle name="Normal 2 2 53 3 2 2 2" xfId="27516"/>
    <cellStyle name="Normal 2 2 53 3 2 3" xfId="27517"/>
    <cellStyle name="Normal 2 2 53 3 3" xfId="18200"/>
    <cellStyle name="Normal 2 2 53 3 3 2" xfId="27518"/>
    <cellStyle name="Normal 2 2 53 3 4" xfId="27519"/>
    <cellStyle name="Normal 2 2 53 4" xfId="6881"/>
    <cellStyle name="Normal 2 2 53 4 2" xfId="18201"/>
    <cellStyle name="Normal 2 2 53 4 2 2" xfId="27520"/>
    <cellStyle name="Normal 2 2 53 4 3" xfId="27521"/>
    <cellStyle name="Normal 2 2 53 5" xfId="18202"/>
    <cellStyle name="Normal 2 2 53 5 2" xfId="27522"/>
    <cellStyle name="Normal 2 2 53 6" xfId="27523"/>
    <cellStyle name="Normal 2 2 54" xfId="6882"/>
    <cellStyle name="Normal 2 2 54 2" xfId="6883"/>
    <cellStyle name="Normal 2 2 54 2 2" xfId="6884"/>
    <cellStyle name="Normal 2 2 54 2 2 2" xfId="18203"/>
    <cellStyle name="Normal 2 2 54 2 2 2 2" xfId="27524"/>
    <cellStyle name="Normal 2 2 54 2 2 3" xfId="27525"/>
    <cellStyle name="Normal 2 2 54 2 3" xfId="18204"/>
    <cellStyle name="Normal 2 2 54 2 3 2" xfId="27526"/>
    <cellStyle name="Normal 2 2 54 2 4" xfId="27527"/>
    <cellStyle name="Normal 2 2 54 3" xfId="6885"/>
    <cellStyle name="Normal 2 2 54 3 2" xfId="6886"/>
    <cellStyle name="Normal 2 2 54 3 2 2" xfId="18205"/>
    <cellStyle name="Normal 2 2 54 3 2 2 2" xfId="27528"/>
    <cellStyle name="Normal 2 2 54 3 2 3" xfId="27529"/>
    <cellStyle name="Normal 2 2 54 3 3" xfId="18206"/>
    <cellStyle name="Normal 2 2 54 3 3 2" xfId="27530"/>
    <cellStyle name="Normal 2 2 54 3 4" xfId="27531"/>
    <cellStyle name="Normal 2 2 54 4" xfId="6887"/>
    <cellStyle name="Normal 2 2 54 4 2" xfId="18207"/>
    <cellStyle name="Normal 2 2 54 4 2 2" xfId="27532"/>
    <cellStyle name="Normal 2 2 54 4 3" xfId="27533"/>
    <cellStyle name="Normal 2 2 54 5" xfId="18208"/>
    <cellStyle name="Normal 2 2 54 5 2" xfId="27534"/>
    <cellStyle name="Normal 2 2 54 6" xfId="27535"/>
    <cellStyle name="Normal 2 2 55" xfId="6888"/>
    <cellStyle name="Normal 2 2 55 2" xfId="6889"/>
    <cellStyle name="Normal 2 2 55 2 2" xfId="6890"/>
    <cellStyle name="Normal 2 2 55 2 2 2" xfId="18209"/>
    <cellStyle name="Normal 2 2 55 2 2 2 2" xfId="27536"/>
    <cellStyle name="Normal 2 2 55 2 2 3" xfId="27537"/>
    <cellStyle name="Normal 2 2 55 2 3" xfId="18210"/>
    <cellStyle name="Normal 2 2 55 2 3 2" xfId="27538"/>
    <cellStyle name="Normal 2 2 55 2 4" xfId="27539"/>
    <cellStyle name="Normal 2 2 55 3" xfId="6891"/>
    <cellStyle name="Normal 2 2 55 3 2" xfId="6892"/>
    <cellStyle name="Normal 2 2 55 3 2 2" xfId="18211"/>
    <cellStyle name="Normal 2 2 55 3 2 2 2" xfId="27540"/>
    <cellStyle name="Normal 2 2 55 3 2 3" xfId="27541"/>
    <cellStyle name="Normal 2 2 55 3 3" xfId="18212"/>
    <cellStyle name="Normal 2 2 55 3 3 2" xfId="27542"/>
    <cellStyle name="Normal 2 2 55 3 4" xfId="27543"/>
    <cellStyle name="Normal 2 2 55 4" xfId="6893"/>
    <cellStyle name="Normal 2 2 55 4 2" xfId="18213"/>
    <cellStyle name="Normal 2 2 55 4 2 2" xfId="27544"/>
    <cellStyle name="Normal 2 2 55 4 3" xfId="27545"/>
    <cellStyle name="Normal 2 2 55 5" xfId="18214"/>
    <cellStyle name="Normal 2 2 55 5 2" xfId="27546"/>
    <cellStyle name="Normal 2 2 55 6" xfId="27547"/>
    <cellStyle name="Normal 2 2 56" xfId="6894"/>
    <cellStyle name="Normal 2 2 56 2" xfId="6895"/>
    <cellStyle name="Normal 2 2 56 2 2" xfId="6896"/>
    <cellStyle name="Normal 2 2 56 2 2 2" xfId="18215"/>
    <cellStyle name="Normal 2 2 56 2 2 2 2" xfId="27548"/>
    <cellStyle name="Normal 2 2 56 2 2 3" xfId="27549"/>
    <cellStyle name="Normal 2 2 56 2 3" xfId="18216"/>
    <cellStyle name="Normal 2 2 56 2 3 2" xfId="27550"/>
    <cellStyle name="Normal 2 2 56 2 4" xfId="27551"/>
    <cellStyle name="Normal 2 2 56 3" xfId="6897"/>
    <cellStyle name="Normal 2 2 56 3 2" xfId="6898"/>
    <cellStyle name="Normal 2 2 56 3 2 2" xfId="18217"/>
    <cellStyle name="Normal 2 2 56 3 2 2 2" xfId="27552"/>
    <cellStyle name="Normal 2 2 56 3 2 3" xfId="27553"/>
    <cellStyle name="Normal 2 2 56 3 3" xfId="18218"/>
    <cellStyle name="Normal 2 2 56 3 3 2" xfId="27554"/>
    <cellStyle name="Normal 2 2 56 3 4" xfId="27555"/>
    <cellStyle name="Normal 2 2 56 4" xfId="6899"/>
    <cellStyle name="Normal 2 2 56 4 2" xfId="18219"/>
    <cellStyle name="Normal 2 2 56 4 2 2" xfId="27556"/>
    <cellStyle name="Normal 2 2 56 4 3" xfId="27557"/>
    <cellStyle name="Normal 2 2 56 5" xfId="18220"/>
    <cellStyle name="Normal 2 2 56 5 2" xfId="27558"/>
    <cellStyle name="Normal 2 2 56 6" xfId="27559"/>
    <cellStyle name="Normal 2 2 57" xfId="6900"/>
    <cellStyle name="Normal 2 2 57 2" xfId="6901"/>
    <cellStyle name="Normal 2 2 57 2 2" xfId="6902"/>
    <cellStyle name="Normal 2 2 57 2 2 2" xfId="18221"/>
    <cellStyle name="Normal 2 2 57 2 2 2 2" xfId="27560"/>
    <cellStyle name="Normal 2 2 57 2 2 3" xfId="27561"/>
    <cellStyle name="Normal 2 2 57 2 3" xfId="18222"/>
    <cellStyle name="Normal 2 2 57 2 3 2" xfId="27562"/>
    <cellStyle name="Normal 2 2 57 2 4" xfId="27563"/>
    <cellStyle name="Normal 2 2 57 3" xfId="6903"/>
    <cellStyle name="Normal 2 2 57 3 2" xfId="6904"/>
    <cellStyle name="Normal 2 2 57 3 2 2" xfId="18223"/>
    <cellStyle name="Normal 2 2 57 3 2 2 2" xfId="27564"/>
    <cellStyle name="Normal 2 2 57 3 2 3" xfId="27565"/>
    <cellStyle name="Normal 2 2 57 3 3" xfId="18224"/>
    <cellStyle name="Normal 2 2 57 3 3 2" xfId="27566"/>
    <cellStyle name="Normal 2 2 57 3 4" xfId="27567"/>
    <cellStyle name="Normal 2 2 57 4" xfId="6905"/>
    <cellStyle name="Normal 2 2 57 4 2" xfId="18225"/>
    <cellStyle name="Normal 2 2 57 4 2 2" xfId="27568"/>
    <cellStyle name="Normal 2 2 57 4 3" xfId="27569"/>
    <cellStyle name="Normal 2 2 57 5" xfId="18226"/>
    <cellStyle name="Normal 2 2 57 5 2" xfId="27570"/>
    <cellStyle name="Normal 2 2 57 6" xfId="27571"/>
    <cellStyle name="Normal 2 2 58" xfId="6906"/>
    <cellStyle name="Normal 2 2 58 2" xfId="6907"/>
    <cellStyle name="Normal 2 2 58 2 2" xfId="6908"/>
    <cellStyle name="Normal 2 2 58 2 2 2" xfId="18227"/>
    <cellStyle name="Normal 2 2 58 2 2 2 2" xfId="27572"/>
    <cellStyle name="Normal 2 2 58 2 2 3" xfId="27573"/>
    <cellStyle name="Normal 2 2 58 2 3" xfId="18228"/>
    <cellStyle name="Normal 2 2 58 2 3 2" xfId="27574"/>
    <cellStyle name="Normal 2 2 58 2 4" xfId="27575"/>
    <cellStyle name="Normal 2 2 58 3" xfId="6909"/>
    <cellStyle name="Normal 2 2 58 3 2" xfId="6910"/>
    <cellStyle name="Normal 2 2 58 3 2 2" xfId="18229"/>
    <cellStyle name="Normal 2 2 58 3 2 2 2" xfId="27576"/>
    <cellStyle name="Normal 2 2 58 3 2 3" xfId="27577"/>
    <cellStyle name="Normal 2 2 58 3 3" xfId="18230"/>
    <cellStyle name="Normal 2 2 58 3 3 2" xfId="27578"/>
    <cellStyle name="Normal 2 2 58 3 4" xfId="27579"/>
    <cellStyle name="Normal 2 2 58 4" xfId="6911"/>
    <cellStyle name="Normal 2 2 58 4 2" xfId="18231"/>
    <cellStyle name="Normal 2 2 58 4 2 2" xfId="27580"/>
    <cellStyle name="Normal 2 2 58 4 3" xfId="27581"/>
    <cellStyle name="Normal 2 2 58 5" xfId="18232"/>
    <cellStyle name="Normal 2 2 58 5 2" xfId="27582"/>
    <cellStyle name="Normal 2 2 58 6" xfId="27583"/>
    <cellStyle name="Normal 2 2 59" xfId="6912"/>
    <cellStyle name="Normal 2 2 59 2" xfId="6913"/>
    <cellStyle name="Normal 2 2 59 2 2" xfId="6914"/>
    <cellStyle name="Normal 2 2 59 2 2 2" xfId="18233"/>
    <cellStyle name="Normal 2 2 59 2 2 2 2" xfId="27584"/>
    <cellStyle name="Normal 2 2 59 2 2 3" xfId="27585"/>
    <cellStyle name="Normal 2 2 59 2 3" xfId="18234"/>
    <cellStyle name="Normal 2 2 59 2 3 2" xfId="27586"/>
    <cellStyle name="Normal 2 2 59 2 4" xfId="27587"/>
    <cellStyle name="Normal 2 2 59 3" xfId="6915"/>
    <cellStyle name="Normal 2 2 59 3 2" xfId="6916"/>
    <cellStyle name="Normal 2 2 59 3 2 2" xfId="18235"/>
    <cellStyle name="Normal 2 2 59 3 2 2 2" xfId="27588"/>
    <cellStyle name="Normal 2 2 59 3 2 3" xfId="27589"/>
    <cellStyle name="Normal 2 2 59 3 3" xfId="18236"/>
    <cellStyle name="Normal 2 2 59 3 3 2" xfId="27590"/>
    <cellStyle name="Normal 2 2 59 3 4" xfId="27591"/>
    <cellStyle name="Normal 2 2 59 4" xfId="6917"/>
    <cellStyle name="Normal 2 2 59 4 2" xfId="18237"/>
    <cellStyle name="Normal 2 2 59 4 2 2" xfId="27592"/>
    <cellStyle name="Normal 2 2 59 4 3" xfId="27593"/>
    <cellStyle name="Normal 2 2 59 5" xfId="18238"/>
    <cellStyle name="Normal 2 2 59 5 2" xfId="27594"/>
    <cellStyle name="Normal 2 2 59 6" xfId="27595"/>
    <cellStyle name="Normal 2 2 6" xfId="46"/>
    <cellStyle name="Normal 2 2 6 10" xfId="6918"/>
    <cellStyle name="Normal 2 2 6 10 2" xfId="18239"/>
    <cellStyle name="Normal 2 2 6 11" xfId="6919"/>
    <cellStyle name="Normal 2 2 6 11 2" xfId="18240"/>
    <cellStyle name="Normal 2 2 6 12" xfId="6920"/>
    <cellStyle name="Normal 2 2 6 12 2" xfId="18241"/>
    <cellStyle name="Normal 2 2 6 13" xfId="6921"/>
    <cellStyle name="Normal 2 2 6 13 2" xfId="18242"/>
    <cellStyle name="Normal 2 2 6 14" xfId="6922"/>
    <cellStyle name="Normal 2 2 6 14 2" xfId="18243"/>
    <cellStyle name="Normal 2 2 6 15" xfId="6923"/>
    <cellStyle name="Normal 2 2 6 15 2" xfId="18244"/>
    <cellStyle name="Normal 2 2 6 16" xfId="6924"/>
    <cellStyle name="Normal 2 2 6 16 2" xfId="18245"/>
    <cellStyle name="Normal 2 2 6 17" xfId="6925"/>
    <cellStyle name="Normal 2 2 6 17 2" xfId="18246"/>
    <cellStyle name="Normal 2 2 6 18" xfId="6926"/>
    <cellStyle name="Normal 2 2 6 18 2" xfId="18247"/>
    <cellStyle name="Normal 2 2 6 19" xfId="6927"/>
    <cellStyle name="Normal 2 2 6 19 2" xfId="18248"/>
    <cellStyle name="Normal 2 2 6 2" xfId="6928"/>
    <cellStyle name="Normal 2 2 6 2 2" xfId="6929"/>
    <cellStyle name="Normal 2 2 6 2 2 2" xfId="18249"/>
    <cellStyle name="Normal 2 2 6 2 3" xfId="18250"/>
    <cellStyle name="Normal 2 2 6 20" xfId="6930"/>
    <cellStyle name="Normal 2 2 6 20 2" xfId="18251"/>
    <cellStyle name="Normal 2 2 6 21" xfId="6931"/>
    <cellStyle name="Normal 2 2 6 21 2" xfId="18252"/>
    <cellStyle name="Normal 2 2 6 22" xfId="6932"/>
    <cellStyle name="Normal 2 2 6 22 2" xfId="18253"/>
    <cellStyle name="Normal 2 2 6 23" xfId="6933"/>
    <cellStyle name="Normal 2 2 6 23 2" xfId="18254"/>
    <cellStyle name="Normal 2 2 6 24" xfId="6934"/>
    <cellStyle name="Normal 2 2 6 24 2" xfId="18255"/>
    <cellStyle name="Normal 2 2 6 25" xfId="6935"/>
    <cellStyle name="Normal 2 2 6 25 2" xfId="18256"/>
    <cellStyle name="Normal 2 2 6 26" xfId="6936"/>
    <cellStyle name="Normal 2 2 6 26 2" xfId="18257"/>
    <cellStyle name="Normal 2 2 6 27" xfId="6937"/>
    <cellStyle name="Normal 2 2 6 27 2" xfId="18258"/>
    <cellStyle name="Normal 2 2 6 28" xfId="6938"/>
    <cellStyle name="Normal 2 2 6 28 2" xfId="18259"/>
    <cellStyle name="Normal 2 2 6 29" xfId="6939"/>
    <cellStyle name="Normal 2 2 6 29 2" xfId="18260"/>
    <cellStyle name="Normal 2 2 6 3" xfId="6940"/>
    <cellStyle name="Normal 2 2 6 3 2" xfId="6941"/>
    <cellStyle name="Normal 2 2 6 3 3" xfId="18261"/>
    <cellStyle name="Normal 2 2 6 30" xfId="6942"/>
    <cellStyle name="Normal 2 2 6 30 2" xfId="18262"/>
    <cellStyle name="Normal 2 2 6 31" xfId="6943"/>
    <cellStyle name="Normal 2 2 6 31 2" xfId="18263"/>
    <cellStyle name="Normal 2 2 6 32" xfId="6944"/>
    <cellStyle name="Normal 2 2 6 32 2" xfId="18264"/>
    <cellStyle name="Normal 2 2 6 33" xfId="6945"/>
    <cellStyle name="Normal 2 2 6 33 2" xfId="18265"/>
    <cellStyle name="Normal 2 2 6 34" xfId="6946"/>
    <cellStyle name="Normal 2 2 6 34 2" xfId="18266"/>
    <cellStyle name="Normal 2 2 6 35" xfId="6947"/>
    <cellStyle name="Normal 2 2 6 35 2" xfId="18267"/>
    <cellStyle name="Normal 2 2 6 36" xfId="6948"/>
    <cellStyle name="Normal 2 2 6 36 2" xfId="18268"/>
    <cellStyle name="Normal 2 2 6 37" xfId="6949"/>
    <cellStyle name="Normal 2 2 6 37 2" xfId="18269"/>
    <cellStyle name="Normal 2 2 6 38" xfId="6950"/>
    <cellStyle name="Normal 2 2 6 38 2" xfId="18270"/>
    <cellStyle name="Normal 2 2 6 39" xfId="6951"/>
    <cellStyle name="Normal 2 2 6 39 2" xfId="18271"/>
    <cellStyle name="Normal 2 2 6 4" xfId="6952"/>
    <cellStyle name="Normal 2 2 6 4 2" xfId="18272"/>
    <cellStyle name="Normal 2 2 6 40" xfId="6953"/>
    <cellStyle name="Normal 2 2 6 40 2" xfId="18273"/>
    <cellStyle name="Normal 2 2 6 41" xfId="6954"/>
    <cellStyle name="Normal 2 2 6 41 2" xfId="18274"/>
    <cellStyle name="Normal 2 2 6 42" xfId="6955"/>
    <cellStyle name="Normal 2 2 6 42 2" xfId="18275"/>
    <cellStyle name="Normal 2 2 6 43" xfId="6956"/>
    <cellStyle name="Normal 2 2 6 43 2" xfId="6957"/>
    <cellStyle name="Normal 2 2 6 43 2 2" xfId="18276"/>
    <cellStyle name="Normal 2 2 6 43 2 2 2" xfId="27596"/>
    <cellStyle name="Normal 2 2 6 43 2 3" xfId="27597"/>
    <cellStyle name="Normal 2 2 6 43 3" xfId="18277"/>
    <cellStyle name="Normal 2 2 6 43 3 2" xfId="27598"/>
    <cellStyle name="Normal 2 2 6 43 4" xfId="27599"/>
    <cellStyle name="Normal 2 2 6 44" xfId="6958"/>
    <cellStyle name="Normal 2 2 6 44 2" xfId="18278"/>
    <cellStyle name="Normal 2 2 6 44 2 2" xfId="27600"/>
    <cellStyle name="Normal 2 2 6 44 3" xfId="27601"/>
    <cellStyle name="Normal 2 2 6 45" xfId="27602"/>
    <cellStyle name="Normal 2 2 6 46" xfId="33649"/>
    <cellStyle name="Normal 2 2 6 5" xfId="6959"/>
    <cellStyle name="Normal 2 2 6 5 2" xfId="18279"/>
    <cellStyle name="Normal 2 2 6 5 3" xfId="18280"/>
    <cellStyle name="Normal 2 2 6 6" xfId="6960"/>
    <cellStyle name="Normal 2 2 6 6 2" xfId="18281"/>
    <cellStyle name="Normal 2 2 6 7" xfId="6961"/>
    <cellStyle name="Normal 2 2 6 7 2" xfId="18282"/>
    <cellStyle name="Normal 2 2 6 8" xfId="6962"/>
    <cellStyle name="Normal 2 2 6 8 2" xfId="18283"/>
    <cellStyle name="Normal 2 2 6 9" xfId="6963"/>
    <cellStyle name="Normal 2 2 6 9 2" xfId="18284"/>
    <cellStyle name="Normal 2 2 60" xfId="6964"/>
    <cellStyle name="Normal 2 2 60 2" xfId="6965"/>
    <cellStyle name="Normal 2 2 60 2 2" xfId="6966"/>
    <cellStyle name="Normal 2 2 60 2 2 2" xfId="18285"/>
    <cellStyle name="Normal 2 2 60 2 2 2 2" xfId="27603"/>
    <cellStyle name="Normal 2 2 60 2 2 3" xfId="27604"/>
    <cellStyle name="Normal 2 2 60 2 3" xfId="18286"/>
    <cellStyle name="Normal 2 2 60 2 3 2" xfId="27605"/>
    <cellStyle name="Normal 2 2 60 2 4" xfId="27606"/>
    <cellStyle name="Normal 2 2 60 3" xfId="6967"/>
    <cellStyle name="Normal 2 2 60 3 2" xfId="6968"/>
    <cellStyle name="Normal 2 2 60 3 2 2" xfId="18287"/>
    <cellStyle name="Normal 2 2 60 3 2 2 2" xfId="27607"/>
    <cellStyle name="Normal 2 2 60 3 2 3" xfId="27608"/>
    <cellStyle name="Normal 2 2 60 3 3" xfId="18288"/>
    <cellStyle name="Normal 2 2 60 3 3 2" xfId="27609"/>
    <cellStyle name="Normal 2 2 60 3 4" xfId="27610"/>
    <cellStyle name="Normal 2 2 60 4" xfId="6969"/>
    <cellStyle name="Normal 2 2 60 4 2" xfId="18289"/>
    <cellStyle name="Normal 2 2 60 4 2 2" xfId="27611"/>
    <cellStyle name="Normal 2 2 60 4 3" xfId="27612"/>
    <cellStyle name="Normal 2 2 60 5" xfId="18290"/>
    <cellStyle name="Normal 2 2 60 5 2" xfId="27613"/>
    <cellStyle name="Normal 2 2 60 6" xfId="27614"/>
    <cellStyle name="Normal 2 2 61" xfId="6970"/>
    <cellStyle name="Normal 2 2 61 2" xfId="6971"/>
    <cellStyle name="Normal 2 2 61 2 2" xfId="6972"/>
    <cellStyle name="Normal 2 2 61 2 2 2" xfId="18291"/>
    <cellStyle name="Normal 2 2 61 2 2 2 2" xfId="27615"/>
    <cellStyle name="Normal 2 2 61 2 2 3" xfId="27616"/>
    <cellStyle name="Normal 2 2 61 2 3" xfId="18292"/>
    <cellStyle name="Normal 2 2 61 2 3 2" xfId="27617"/>
    <cellStyle name="Normal 2 2 61 2 4" xfId="27618"/>
    <cellStyle name="Normal 2 2 61 3" xfId="6973"/>
    <cellStyle name="Normal 2 2 61 3 2" xfId="6974"/>
    <cellStyle name="Normal 2 2 61 3 2 2" xfId="18293"/>
    <cellStyle name="Normal 2 2 61 3 2 2 2" xfId="27619"/>
    <cellStyle name="Normal 2 2 61 3 2 3" xfId="27620"/>
    <cellStyle name="Normal 2 2 61 3 3" xfId="18294"/>
    <cellStyle name="Normal 2 2 61 3 3 2" xfId="27621"/>
    <cellStyle name="Normal 2 2 61 3 4" xfId="27622"/>
    <cellStyle name="Normal 2 2 61 4" xfId="6975"/>
    <cellStyle name="Normal 2 2 61 4 2" xfId="18295"/>
    <cellStyle name="Normal 2 2 61 4 2 2" xfId="27623"/>
    <cellStyle name="Normal 2 2 61 4 3" xfId="27624"/>
    <cellStyle name="Normal 2 2 61 5" xfId="18296"/>
    <cellStyle name="Normal 2 2 61 5 2" xfId="27625"/>
    <cellStyle name="Normal 2 2 61 6" xfId="27626"/>
    <cellStyle name="Normal 2 2 62" xfId="6976"/>
    <cellStyle name="Normal 2 2 62 2" xfId="6977"/>
    <cellStyle name="Normal 2 2 62 2 2" xfId="6978"/>
    <cellStyle name="Normal 2 2 62 2 2 2" xfId="18297"/>
    <cellStyle name="Normal 2 2 62 2 2 2 2" xfId="27627"/>
    <cellStyle name="Normal 2 2 62 2 2 3" xfId="27628"/>
    <cellStyle name="Normal 2 2 62 2 3" xfId="18298"/>
    <cellStyle name="Normal 2 2 62 2 3 2" xfId="27629"/>
    <cellStyle name="Normal 2 2 62 2 4" xfId="27630"/>
    <cellStyle name="Normal 2 2 62 3" xfId="6979"/>
    <cellStyle name="Normal 2 2 62 3 2" xfId="6980"/>
    <cellStyle name="Normal 2 2 62 3 2 2" xfId="18299"/>
    <cellStyle name="Normal 2 2 62 3 2 2 2" xfId="27631"/>
    <cellStyle name="Normal 2 2 62 3 2 3" xfId="27632"/>
    <cellStyle name="Normal 2 2 62 3 3" xfId="18300"/>
    <cellStyle name="Normal 2 2 62 3 3 2" xfId="27633"/>
    <cellStyle name="Normal 2 2 62 3 4" xfId="27634"/>
    <cellStyle name="Normal 2 2 62 4" xfId="6981"/>
    <cellStyle name="Normal 2 2 62 4 2" xfId="18301"/>
    <cellStyle name="Normal 2 2 62 4 2 2" xfId="27635"/>
    <cellStyle name="Normal 2 2 62 4 3" xfId="27636"/>
    <cellStyle name="Normal 2 2 62 5" xfId="18302"/>
    <cellStyle name="Normal 2 2 62 5 2" xfId="27637"/>
    <cellStyle name="Normal 2 2 62 6" xfId="27638"/>
    <cellStyle name="Normal 2 2 63" xfId="6982"/>
    <cellStyle name="Normal 2 2 63 2" xfId="6983"/>
    <cellStyle name="Normal 2 2 63 2 2" xfId="6984"/>
    <cellStyle name="Normal 2 2 63 2 2 2" xfId="18303"/>
    <cellStyle name="Normal 2 2 63 2 2 2 2" xfId="27639"/>
    <cellStyle name="Normal 2 2 63 2 2 3" xfId="27640"/>
    <cellStyle name="Normal 2 2 63 2 3" xfId="18304"/>
    <cellStyle name="Normal 2 2 63 2 3 2" xfId="27641"/>
    <cellStyle name="Normal 2 2 63 2 4" xfId="27642"/>
    <cellStyle name="Normal 2 2 63 3" xfId="6985"/>
    <cellStyle name="Normal 2 2 63 3 2" xfId="6986"/>
    <cellStyle name="Normal 2 2 63 3 2 2" xfId="18305"/>
    <cellStyle name="Normal 2 2 63 3 2 2 2" xfId="27643"/>
    <cellStyle name="Normal 2 2 63 3 2 3" xfId="27644"/>
    <cellStyle name="Normal 2 2 63 3 3" xfId="18306"/>
    <cellStyle name="Normal 2 2 63 3 3 2" xfId="27645"/>
    <cellStyle name="Normal 2 2 63 3 4" xfId="27646"/>
    <cellStyle name="Normal 2 2 63 4" xfId="6987"/>
    <cellStyle name="Normal 2 2 63 4 2" xfId="18307"/>
    <cellStyle name="Normal 2 2 63 4 2 2" xfId="27647"/>
    <cellStyle name="Normal 2 2 63 4 3" xfId="27648"/>
    <cellStyle name="Normal 2 2 63 5" xfId="18308"/>
    <cellStyle name="Normal 2 2 63 5 2" xfId="27649"/>
    <cellStyle name="Normal 2 2 63 6" xfId="27650"/>
    <cellStyle name="Normal 2 2 64" xfId="6988"/>
    <cellStyle name="Normal 2 2 64 2" xfId="6989"/>
    <cellStyle name="Normal 2 2 64 2 2" xfId="6990"/>
    <cellStyle name="Normal 2 2 64 2 2 2" xfId="18309"/>
    <cellStyle name="Normal 2 2 64 2 2 2 2" xfId="27651"/>
    <cellStyle name="Normal 2 2 64 2 2 3" xfId="27652"/>
    <cellStyle name="Normal 2 2 64 2 3" xfId="18310"/>
    <cellStyle name="Normal 2 2 64 2 3 2" xfId="27653"/>
    <cellStyle name="Normal 2 2 64 2 4" xfId="27654"/>
    <cellStyle name="Normal 2 2 64 3" xfId="6991"/>
    <cellStyle name="Normal 2 2 64 3 2" xfId="6992"/>
    <cellStyle name="Normal 2 2 64 3 2 2" xfId="18311"/>
    <cellStyle name="Normal 2 2 64 3 2 2 2" xfId="27655"/>
    <cellStyle name="Normal 2 2 64 3 2 3" xfId="27656"/>
    <cellStyle name="Normal 2 2 64 3 3" xfId="18312"/>
    <cellStyle name="Normal 2 2 64 3 3 2" xfId="27657"/>
    <cellStyle name="Normal 2 2 64 3 4" xfId="27658"/>
    <cellStyle name="Normal 2 2 64 4" xfId="6993"/>
    <cellStyle name="Normal 2 2 64 4 2" xfId="18313"/>
    <cellStyle name="Normal 2 2 64 4 2 2" xfId="27659"/>
    <cellStyle name="Normal 2 2 64 4 3" xfId="27660"/>
    <cellStyle name="Normal 2 2 64 5" xfId="18314"/>
    <cellStyle name="Normal 2 2 64 5 2" xfId="27661"/>
    <cellStyle name="Normal 2 2 64 6" xfId="27662"/>
    <cellStyle name="Normal 2 2 65" xfId="6994"/>
    <cellStyle name="Normal 2 2 65 2" xfId="6995"/>
    <cellStyle name="Normal 2 2 65 2 2" xfId="6996"/>
    <cellStyle name="Normal 2 2 65 2 2 2" xfId="18315"/>
    <cellStyle name="Normal 2 2 65 2 2 2 2" xfId="27663"/>
    <cellStyle name="Normal 2 2 65 2 2 3" xfId="27664"/>
    <cellStyle name="Normal 2 2 65 2 3" xfId="18316"/>
    <cellStyle name="Normal 2 2 65 2 3 2" xfId="27665"/>
    <cellStyle name="Normal 2 2 65 2 4" xfId="27666"/>
    <cellStyle name="Normal 2 2 65 3" xfId="6997"/>
    <cellStyle name="Normal 2 2 65 3 2" xfId="18317"/>
    <cellStyle name="Normal 2 2 65 3 2 2" xfId="27667"/>
    <cellStyle name="Normal 2 2 65 3 3" xfId="27668"/>
    <cellStyle name="Normal 2 2 65 4" xfId="18318"/>
    <cellStyle name="Normal 2 2 65 4 2" xfId="27669"/>
    <cellStyle name="Normal 2 2 65 5" xfId="27670"/>
    <cellStyle name="Normal 2 2 66" xfId="6998"/>
    <cellStyle name="Normal 2 2 66 2" xfId="6999"/>
    <cellStyle name="Normal 2 2 66 2 2" xfId="7000"/>
    <cellStyle name="Normal 2 2 66 2 2 2" xfId="18319"/>
    <cellStyle name="Normal 2 2 66 2 2 2 2" xfId="27671"/>
    <cellStyle name="Normal 2 2 66 2 2 3" xfId="27672"/>
    <cellStyle name="Normal 2 2 66 2 3" xfId="18320"/>
    <cellStyle name="Normal 2 2 66 2 3 2" xfId="27673"/>
    <cellStyle name="Normal 2 2 66 2 4" xfId="27674"/>
    <cellStyle name="Normal 2 2 66 3" xfId="7001"/>
    <cellStyle name="Normal 2 2 66 3 2" xfId="18321"/>
    <cellStyle name="Normal 2 2 66 3 2 2" xfId="27675"/>
    <cellStyle name="Normal 2 2 66 3 3" xfId="27676"/>
    <cellStyle name="Normal 2 2 66 4" xfId="18322"/>
    <cellStyle name="Normal 2 2 66 4 2" xfId="27677"/>
    <cellStyle name="Normal 2 2 66 5" xfId="27678"/>
    <cellStyle name="Normal 2 2 67" xfId="7002"/>
    <cellStyle name="Normal 2 2 67 2" xfId="7003"/>
    <cellStyle name="Normal 2 2 67 2 2" xfId="7004"/>
    <cellStyle name="Normal 2 2 67 2 2 2" xfId="18323"/>
    <cellStyle name="Normal 2 2 67 2 2 2 2" xfId="27679"/>
    <cellStyle name="Normal 2 2 67 2 2 3" xfId="27680"/>
    <cellStyle name="Normal 2 2 67 2 3" xfId="18324"/>
    <cellStyle name="Normal 2 2 67 2 3 2" xfId="27681"/>
    <cellStyle name="Normal 2 2 67 2 4" xfId="27682"/>
    <cellStyle name="Normal 2 2 67 3" xfId="7005"/>
    <cellStyle name="Normal 2 2 67 3 2" xfId="18325"/>
    <cellStyle name="Normal 2 2 67 3 2 2" xfId="27683"/>
    <cellStyle name="Normal 2 2 67 3 3" xfId="27684"/>
    <cellStyle name="Normal 2 2 67 4" xfId="18326"/>
    <cellStyle name="Normal 2 2 67 4 2" xfId="27685"/>
    <cellStyle name="Normal 2 2 67 5" xfId="27686"/>
    <cellStyle name="Normal 2 2 68" xfId="7006"/>
    <cellStyle name="Normal 2 2 68 2" xfId="7007"/>
    <cellStyle name="Normal 2 2 68 2 2" xfId="7008"/>
    <cellStyle name="Normal 2 2 68 2 2 2" xfId="18327"/>
    <cellStyle name="Normal 2 2 68 2 2 2 2" xfId="27687"/>
    <cellStyle name="Normal 2 2 68 2 2 3" xfId="27688"/>
    <cellStyle name="Normal 2 2 68 2 3" xfId="18328"/>
    <cellStyle name="Normal 2 2 68 2 3 2" xfId="27689"/>
    <cellStyle name="Normal 2 2 68 2 4" xfId="27690"/>
    <cellStyle name="Normal 2 2 68 3" xfId="7009"/>
    <cellStyle name="Normal 2 2 68 3 2" xfId="18329"/>
    <cellStyle name="Normal 2 2 68 3 2 2" xfId="27691"/>
    <cellStyle name="Normal 2 2 68 3 3" xfId="27692"/>
    <cellStyle name="Normal 2 2 68 4" xfId="18330"/>
    <cellStyle name="Normal 2 2 68 4 2" xfId="27693"/>
    <cellStyle name="Normal 2 2 68 5" xfId="27694"/>
    <cellStyle name="Normal 2 2 69" xfId="7010"/>
    <cellStyle name="Normal 2 2 69 2" xfId="7011"/>
    <cellStyle name="Normal 2 2 69 2 2" xfId="7012"/>
    <cellStyle name="Normal 2 2 69 2 2 2" xfId="18331"/>
    <cellStyle name="Normal 2 2 69 2 2 2 2" xfId="27695"/>
    <cellStyle name="Normal 2 2 69 2 2 3" xfId="27696"/>
    <cellStyle name="Normal 2 2 69 2 3" xfId="18332"/>
    <cellStyle name="Normal 2 2 69 2 3 2" xfId="27697"/>
    <cellStyle name="Normal 2 2 69 2 4" xfId="27698"/>
    <cellStyle name="Normal 2 2 69 3" xfId="7013"/>
    <cellStyle name="Normal 2 2 69 3 2" xfId="18333"/>
    <cellStyle name="Normal 2 2 69 3 2 2" xfId="27699"/>
    <cellStyle name="Normal 2 2 69 3 3" xfId="27700"/>
    <cellStyle name="Normal 2 2 69 4" xfId="18334"/>
    <cellStyle name="Normal 2 2 69 4 2" xfId="27701"/>
    <cellStyle name="Normal 2 2 69 5" xfId="27702"/>
    <cellStyle name="Normal 2 2 7" xfId="47"/>
    <cellStyle name="Normal 2 2 7 10" xfId="7014"/>
    <cellStyle name="Normal 2 2 7 10 2" xfId="18335"/>
    <cellStyle name="Normal 2 2 7 11" xfId="7015"/>
    <cellStyle name="Normal 2 2 7 11 2" xfId="18336"/>
    <cellStyle name="Normal 2 2 7 12" xfId="7016"/>
    <cellStyle name="Normal 2 2 7 12 2" xfId="18337"/>
    <cellStyle name="Normal 2 2 7 13" xfId="7017"/>
    <cellStyle name="Normal 2 2 7 13 2" xfId="18338"/>
    <cellStyle name="Normal 2 2 7 14" xfId="7018"/>
    <cellStyle name="Normal 2 2 7 14 2" xfId="18339"/>
    <cellStyle name="Normal 2 2 7 15" xfId="7019"/>
    <cellStyle name="Normal 2 2 7 15 2" xfId="18340"/>
    <cellStyle name="Normal 2 2 7 16" xfId="7020"/>
    <cellStyle name="Normal 2 2 7 16 2" xfId="18341"/>
    <cellStyle name="Normal 2 2 7 17" xfId="7021"/>
    <cellStyle name="Normal 2 2 7 17 2" xfId="18342"/>
    <cellStyle name="Normal 2 2 7 18" xfId="7022"/>
    <cellStyle name="Normal 2 2 7 18 2" xfId="18343"/>
    <cellStyle name="Normal 2 2 7 19" xfId="7023"/>
    <cellStyle name="Normal 2 2 7 19 2" xfId="18344"/>
    <cellStyle name="Normal 2 2 7 2" xfId="7024"/>
    <cellStyle name="Normal 2 2 7 2 2" xfId="7025"/>
    <cellStyle name="Normal 2 2 7 2 3" xfId="18345"/>
    <cellStyle name="Normal 2 2 7 20" xfId="7026"/>
    <cellStyle name="Normal 2 2 7 20 2" xfId="18346"/>
    <cellStyle name="Normal 2 2 7 21" xfId="7027"/>
    <cellStyle name="Normal 2 2 7 21 2" xfId="18347"/>
    <cellStyle name="Normal 2 2 7 22" xfId="7028"/>
    <cellStyle name="Normal 2 2 7 22 2" xfId="18348"/>
    <cellStyle name="Normal 2 2 7 23" xfId="7029"/>
    <cellStyle name="Normal 2 2 7 23 2" xfId="7030"/>
    <cellStyle name="Normal 2 2 7 23 2 2" xfId="18349"/>
    <cellStyle name="Normal 2 2 7 23 2 2 2" xfId="27703"/>
    <cellStyle name="Normal 2 2 7 23 2 3" xfId="27704"/>
    <cellStyle name="Normal 2 2 7 23 3" xfId="18350"/>
    <cellStyle name="Normal 2 2 7 23 3 2" xfId="27705"/>
    <cellStyle name="Normal 2 2 7 23 4" xfId="27706"/>
    <cellStyle name="Normal 2 2 7 24" xfId="7031"/>
    <cellStyle name="Normal 2 2 7 24 2" xfId="18351"/>
    <cellStyle name="Normal 2 2 7 24 2 2" xfId="27707"/>
    <cellStyle name="Normal 2 2 7 24 3" xfId="27708"/>
    <cellStyle name="Normal 2 2 7 25" xfId="27709"/>
    <cellStyle name="Normal 2 2 7 26" xfId="33650"/>
    <cellStyle name="Normal 2 2 7 3" xfId="7032"/>
    <cellStyle name="Normal 2 2 7 3 2" xfId="7033"/>
    <cellStyle name="Normal 2 2 7 3 3" xfId="18352"/>
    <cellStyle name="Normal 2 2 7 4" xfId="7034"/>
    <cellStyle name="Normal 2 2 7 4 2" xfId="7035"/>
    <cellStyle name="Normal 2 2 7 5" xfId="7036"/>
    <cellStyle name="Normal 2 2 7 5 2" xfId="7037"/>
    <cellStyle name="Normal 2 2 7 5 3" xfId="18353"/>
    <cellStyle name="Normal 2 2 7 6" xfId="7038"/>
    <cellStyle name="Normal 2 2 7 6 2" xfId="7039"/>
    <cellStyle name="Normal 2 2 7 7" xfId="7040"/>
    <cellStyle name="Normal 2 2 7 7 2" xfId="7041"/>
    <cellStyle name="Normal 2 2 7 8" xfId="7042"/>
    <cellStyle name="Normal 2 2 7 8 2" xfId="7043"/>
    <cellStyle name="Normal 2 2 7 9" xfId="7044"/>
    <cellStyle name="Normal 2 2 7 9 2" xfId="7045"/>
    <cellStyle name="Normal 2 2 70" xfId="7046"/>
    <cellStyle name="Normal 2 2 70 2" xfId="7047"/>
    <cellStyle name="Normal 2 2 70 2 2" xfId="7048"/>
    <cellStyle name="Normal 2 2 70 2 2 2" xfId="18354"/>
    <cellStyle name="Normal 2 2 70 2 2 2 2" xfId="27710"/>
    <cellStyle name="Normal 2 2 70 2 2 3" xfId="27711"/>
    <cellStyle name="Normal 2 2 70 2 3" xfId="18355"/>
    <cellStyle name="Normal 2 2 70 2 3 2" xfId="27712"/>
    <cellStyle name="Normal 2 2 70 2 4" xfId="27713"/>
    <cellStyle name="Normal 2 2 70 3" xfId="7049"/>
    <cellStyle name="Normal 2 2 70 3 2" xfId="18356"/>
    <cellStyle name="Normal 2 2 70 3 2 2" xfId="27714"/>
    <cellStyle name="Normal 2 2 70 3 3" xfId="27715"/>
    <cellStyle name="Normal 2 2 70 4" xfId="18357"/>
    <cellStyle name="Normal 2 2 70 4 2" xfId="27716"/>
    <cellStyle name="Normal 2 2 70 5" xfId="27717"/>
    <cellStyle name="Normal 2 2 71" xfId="7050"/>
    <cellStyle name="Normal 2 2 71 2" xfId="7051"/>
    <cellStyle name="Normal 2 2 71 2 2" xfId="7052"/>
    <cellStyle name="Normal 2 2 71 2 2 2" xfId="18358"/>
    <cellStyle name="Normal 2 2 71 2 2 2 2" xfId="27718"/>
    <cellStyle name="Normal 2 2 71 2 2 3" xfId="27719"/>
    <cellStyle name="Normal 2 2 71 2 3" xfId="18359"/>
    <cellStyle name="Normal 2 2 71 2 3 2" xfId="27720"/>
    <cellStyle name="Normal 2 2 71 2 4" xfId="27721"/>
    <cellStyle name="Normal 2 2 71 3" xfId="7053"/>
    <cellStyle name="Normal 2 2 71 3 2" xfId="18360"/>
    <cellStyle name="Normal 2 2 71 3 2 2" xfId="27722"/>
    <cellStyle name="Normal 2 2 71 3 3" xfId="27723"/>
    <cellStyle name="Normal 2 2 71 4" xfId="18361"/>
    <cellStyle name="Normal 2 2 71 4 2" xfId="27724"/>
    <cellStyle name="Normal 2 2 71 5" xfId="27725"/>
    <cellStyle name="Normal 2 2 72" xfId="7054"/>
    <cellStyle name="Normal 2 2 72 2" xfId="7055"/>
    <cellStyle name="Normal 2 2 72 2 2" xfId="7056"/>
    <cellStyle name="Normal 2 2 72 2 2 2" xfId="18362"/>
    <cellStyle name="Normal 2 2 72 2 2 2 2" xfId="27726"/>
    <cellStyle name="Normal 2 2 72 2 2 3" xfId="27727"/>
    <cellStyle name="Normal 2 2 72 2 3" xfId="18363"/>
    <cellStyle name="Normal 2 2 72 2 3 2" xfId="27728"/>
    <cellStyle name="Normal 2 2 72 2 4" xfId="27729"/>
    <cellStyle name="Normal 2 2 72 3" xfId="7057"/>
    <cellStyle name="Normal 2 2 72 3 2" xfId="18364"/>
    <cellStyle name="Normal 2 2 72 3 2 2" xfId="27730"/>
    <cellStyle name="Normal 2 2 72 3 3" xfId="27731"/>
    <cellStyle name="Normal 2 2 72 4" xfId="18365"/>
    <cellStyle name="Normal 2 2 72 4 2" xfId="27732"/>
    <cellStyle name="Normal 2 2 72 5" xfId="27733"/>
    <cellStyle name="Normal 2 2 73" xfId="7058"/>
    <cellStyle name="Normal 2 2 73 2" xfId="7059"/>
    <cellStyle name="Normal 2 2 73 2 2" xfId="7060"/>
    <cellStyle name="Normal 2 2 73 2 2 2" xfId="18366"/>
    <cellStyle name="Normal 2 2 73 2 2 2 2" xfId="27734"/>
    <cellStyle name="Normal 2 2 73 2 2 3" xfId="27735"/>
    <cellStyle name="Normal 2 2 73 2 3" xfId="18367"/>
    <cellStyle name="Normal 2 2 73 2 3 2" xfId="27736"/>
    <cellStyle name="Normal 2 2 73 2 4" xfId="27737"/>
    <cellStyle name="Normal 2 2 73 3" xfId="7061"/>
    <cellStyle name="Normal 2 2 73 3 2" xfId="18368"/>
    <cellStyle name="Normal 2 2 73 3 2 2" xfId="27738"/>
    <cellStyle name="Normal 2 2 73 3 3" xfId="27739"/>
    <cellStyle name="Normal 2 2 73 4" xfId="18369"/>
    <cellStyle name="Normal 2 2 73 4 2" xfId="27740"/>
    <cellStyle name="Normal 2 2 73 5" xfId="27741"/>
    <cellStyle name="Normal 2 2 74" xfId="7062"/>
    <cellStyle name="Normal 2 2 74 2" xfId="7063"/>
    <cellStyle name="Normal 2 2 74 2 2" xfId="7064"/>
    <cellStyle name="Normal 2 2 74 2 2 2" xfId="18370"/>
    <cellStyle name="Normal 2 2 74 2 2 2 2" xfId="27742"/>
    <cellStyle name="Normal 2 2 74 2 2 3" xfId="27743"/>
    <cellStyle name="Normal 2 2 74 2 3" xfId="18371"/>
    <cellStyle name="Normal 2 2 74 2 3 2" xfId="27744"/>
    <cellStyle name="Normal 2 2 74 2 4" xfId="27745"/>
    <cellStyle name="Normal 2 2 74 3" xfId="7065"/>
    <cellStyle name="Normal 2 2 74 3 2" xfId="18372"/>
    <cellStyle name="Normal 2 2 74 3 2 2" xfId="27746"/>
    <cellStyle name="Normal 2 2 74 3 3" xfId="27747"/>
    <cellStyle name="Normal 2 2 74 4" xfId="18373"/>
    <cellStyle name="Normal 2 2 74 4 2" xfId="27748"/>
    <cellStyle name="Normal 2 2 74 5" xfId="27749"/>
    <cellStyle name="Normal 2 2 75" xfId="7066"/>
    <cellStyle name="Normal 2 2 75 2" xfId="7067"/>
    <cellStyle name="Normal 2 2 75 2 2" xfId="7068"/>
    <cellStyle name="Normal 2 2 75 2 2 2" xfId="18374"/>
    <cellStyle name="Normal 2 2 75 2 2 2 2" xfId="27750"/>
    <cellStyle name="Normal 2 2 75 2 2 3" xfId="27751"/>
    <cellStyle name="Normal 2 2 75 2 3" xfId="18375"/>
    <cellStyle name="Normal 2 2 75 2 3 2" xfId="27752"/>
    <cellStyle name="Normal 2 2 75 2 4" xfId="27753"/>
    <cellStyle name="Normal 2 2 75 3" xfId="7069"/>
    <cellStyle name="Normal 2 2 75 3 2" xfId="18376"/>
    <cellStyle name="Normal 2 2 75 3 2 2" xfId="27754"/>
    <cellStyle name="Normal 2 2 75 3 3" xfId="27755"/>
    <cellStyle name="Normal 2 2 75 4" xfId="18377"/>
    <cellStyle name="Normal 2 2 75 4 2" xfId="27756"/>
    <cellStyle name="Normal 2 2 75 5" xfId="27757"/>
    <cellStyle name="Normal 2 2 76" xfId="7070"/>
    <cellStyle name="Normal 2 2 76 2" xfId="7071"/>
    <cellStyle name="Normal 2 2 76 2 2" xfId="7072"/>
    <cellStyle name="Normal 2 2 76 2 2 2" xfId="18378"/>
    <cellStyle name="Normal 2 2 76 2 2 2 2" xfId="27758"/>
    <cellStyle name="Normal 2 2 76 2 2 3" xfId="27759"/>
    <cellStyle name="Normal 2 2 76 2 3" xfId="18379"/>
    <cellStyle name="Normal 2 2 76 2 3 2" xfId="27760"/>
    <cellStyle name="Normal 2 2 76 2 4" xfId="27761"/>
    <cellStyle name="Normal 2 2 76 3" xfId="7073"/>
    <cellStyle name="Normal 2 2 76 3 2" xfId="18380"/>
    <cellStyle name="Normal 2 2 76 3 2 2" xfId="27762"/>
    <cellStyle name="Normal 2 2 76 3 3" xfId="27763"/>
    <cellStyle name="Normal 2 2 76 4" xfId="18381"/>
    <cellStyle name="Normal 2 2 76 4 2" xfId="27764"/>
    <cellStyle name="Normal 2 2 76 5" xfId="27765"/>
    <cellStyle name="Normal 2 2 77" xfId="7074"/>
    <cellStyle name="Normal 2 2 77 2" xfId="7075"/>
    <cellStyle name="Normal 2 2 77 2 2" xfId="7076"/>
    <cellStyle name="Normal 2 2 77 2 2 2" xfId="18382"/>
    <cellStyle name="Normal 2 2 77 2 2 2 2" xfId="27766"/>
    <cellStyle name="Normal 2 2 77 2 2 3" xfId="27767"/>
    <cellStyle name="Normal 2 2 77 2 3" xfId="18383"/>
    <cellStyle name="Normal 2 2 77 2 3 2" xfId="27768"/>
    <cellStyle name="Normal 2 2 77 2 4" xfId="27769"/>
    <cellStyle name="Normal 2 2 77 3" xfId="7077"/>
    <cellStyle name="Normal 2 2 77 3 2" xfId="18384"/>
    <cellStyle name="Normal 2 2 77 3 2 2" xfId="27770"/>
    <cellStyle name="Normal 2 2 77 3 3" xfId="27771"/>
    <cellStyle name="Normal 2 2 77 4" xfId="18385"/>
    <cellStyle name="Normal 2 2 77 4 2" xfId="27772"/>
    <cellStyle name="Normal 2 2 77 5" xfId="27773"/>
    <cellStyle name="Normal 2 2 78" xfId="7078"/>
    <cellStyle name="Normal 2 2 78 2" xfId="7079"/>
    <cellStyle name="Normal 2 2 78 2 2" xfId="7080"/>
    <cellStyle name="Normal 2 2 78 2 2 2" xfId="18386"/>
    <cellStyle name="Normal 2 2 78 2 2 2 2" xfId="27774"/>
    <cellStyle name="Normal 2 2 78 2 2 3" xfId="27775"/>
    <cellStyle name="Normal 2 2 78 2 3" xfId="18387"/>
    <cellStyle name="Normal 2 2 78 2 3 2" xfId="27776"/>
    <cellStyle name="Normal 2 2 78 2 4" xfId="27777"/>
    <cellStyle name="Normal 2 2 78 3" xfId="7081"/>
    <cellStyle name="Normal 2 2 78 3 2" xfId="18388"/>
    <cellStyle name="Normal 2 2 78 3 2 2" xfId="27778"/>
    <cellStyle name="Normal 2 2 78 3 3" xfId="27779"/>
    <cellStyle name="Normal 2 2 78 4" xfId="18389"/>
    <cellStyle name="Normal 2 2 78 4 2" xfId="27780"/>
    <cellStyle name="Normal 2 2 78 5" xfId="27781"/>
    <cellStyle name="Normal 2 2 79" xfId="7082"/>
    <cellStyle name="Normal 2 2 79 2" xfId="7083"/>
    <cellStyle name="Normal 2 2 79 2 2" xfId="7084"/>
    <cellStyle name="Normal 2 2 79 2 2 2" xfId="18390"/>
    <cellStyle name="Normal 2 2 79 2 2 2 2" xfId="27782"/>
    <cellStyle name="Normal 2 2 79 2 2 3" xfId="27783"/>
    <cellStyle name="Normal 2 2 79 2 3" xfId="18391"/>
    <cellStyle name="Normal 2 2 79 2 3 2" xfId="27784"/>
    <cellStyle name="Normal 2 2 79 2 4" xfId="27785"/>
    <cellStyle name="Normal 2 2 79 3" xfId="7085"/>
    <cellStyle name="Normal 2 2 79 3 2" xfId="18392"/>
    <cellStyle name="Normal 2 2 79 3 2 2" xfId="27786"/>
    <cellStyle name="Normal 2 2 79 3 3" xfId="27787"/>
    <cellStyle name="Normal 2 2 79 4" xfId="18393"/>
    <cellStyle name="Normal 2 2 79 4 2" xfId="27788"/>
    <cellStyle name="Normal 2 2 79 5" xfId="27789"/>
    <cellStyle name="Normal 2 2 8" xfId="48"/>
    <cellStyle name="Normal 2 2 8 2" xfId="7086"/>
    <cellStyle name="Normal 2 2 8 2 2" xfId="7087"/>
    <cellStyle name="Normal 2 2 8 2 2 2" xfId="18394"/>
    <cellStyle name="Normal 2 2 8 2 2 2 2" xfId="27790"/>
    <cellStyle name="Normal 2 2 8 2 2 3" xfId="27791"/>
    <cellStyle name="Normal 2 2 8 2 3" xfId="18395"/>
    <cellStyle name="Normal 2 2 8 2 3 2" xfId="18396"/>
    <cellStyle name="Normal 2 2 8 2 3 2 2" xfId="27792"/>
    <cellStyle name="Normal 2 2 8 2 3 3" xfId="27793"/>
    <cellStyle name="Normal 2 2 8 2 4" xfId="27794"/>
    <cellStyle name="Normal 2 2 8 3" xfId="7088"/>
    <cellStyle name="Normal 2 2 8 3 2" xfId="7089"/>
    <cellStyle name="Normal 2 2 8 3 2 2" xfId="18397"/>
    <cellStyle name="Normal 2 2 8 3 2 2 2" xfId="27795"/>
    <cellStyle name="Normal 2 2 8 3 2 3" xfId="27796"/>
    <cellStyle name="Normal 2 2 8 3 3" xfId="18398"/>
    <cellStyle name="Normal 2 2 8 3 3 2" xfId="27797"/>
    <cellStyle name="Normal 2 2 8 3 4" xfId="27798"/>
    <cellStyle name="Normal 2 2 8 4" xfId="7090"/>
    <cellStyle name="Normal 2 2 8 4 2" xfId="18399"/>
    <cellStyle name="Normal 2 2 8 4 2 2" xfId="27799"/>
    <cellStyle name="Normal 2 2 8 4 3" xfId="27800"/>
    <cellStyle name="Normal 2 2 8 5" xfId="27801"/>
    <cellStyle name="Normal 2 2 8 6" xfId="33651"/>
    <cellStyle name="Normal 2 2 80" xfId="7091"/>
    <cellStyle name="Normal 2 2 80 2" xfId="7092"/>
    <cellStyle name="Normal 2 2 80 2 2" xfId="7093"/>
    <cellStyle name="Normal 2 2 80 2 2 2" xfId="18400"/>
    <cellStyle name="Normal 2 2 80 2 2 2 2" xfId="27802"/>
    <cellStyle name="Normal 2 2 80 2 2 3" xfId="27803"/>
    <cellStyle name="Normal 2 2 80 2 3" xfId="18401"/>
    <cellStyle name="Normal 2 2 80 2 3 2" xfId="27804"/>
    <cellStyle name="Normal 2 2 80 2 4" xfId="27805"/>
    <cellStyle name="Normal 2 2 80 3" xfId="7094"/>
    <cellStyle name="Normal 2 2 80 3 2" xfId="18402"/>
    <cellStyle name="Normal 2 2 80 3 2 2" xfId="27806"/>
    <cellStyle name="Normal 2 2 80 3 3" xfId="27807"/>
    <cellStyle name="Normal 2 2 80 4" xfId="18403"/>
    <cellStyle name="Normal 2 2 80 4 2" xfId="27808"/>
    <cellStyle name="Normal 2 2 80 5" xfId="27809"/>
    <cellStyle name="Normal 2 2 81" xfId="7095"/>
    <cellStyle name="Normal 2 2 81 2" xfId="7096"/>
    <cellStyle name="Normal 2 2 81 2 2" xfId="7097"/>
    <cellStyle name="Normal 2 2 81 2 2 2" xfId="18404"/>
    <cellStyle name="Normal 2 2 81 2 2 2 2" xfId="27810"/>
    <cellStyle name="Normal 2 2 81 2 2 3" xfId="27811"/>
    <cellStyle name="Normal 2 2 81 2 3" xfId="18405"/>
    <cellStyle name="Normal 2 2 81 2 3 2" xfId="27812"/>
    <cellStyle name="Normal 2 2 81 2 4" xfId="27813"/>
    <cellStyle name="Normal 2 2 81 3" xfId="7098"/>
    <cellStyle name="Normal 2 2 81 3 2" xfId="18406"/>
    <cellStyle name="Normal 2 2 81 3 2 2" xfId="27814"/>
    <cellStyle name="Normal 2 2 81 3 3" xfId="27815"/>
    <cellStyle name="Normal 2 2 81 4" xfId="18407"/>
    <cellStyle name="Normal 2 2 81 4 2" xfId="27816"/>
    <cellStyle name="Normal 2 2 81 5" xfId="27817"/>
    <cellStyle name="Normal 2 2 82" xfId="7099"/>
    <cellStyle name="Normal 2 2 82 2" xfId="7100"/>
    <cellStyle name="Normal 2 2 82 2 2" xfId="7101"/>
    <cellStyle name="Normal 2 2 82 2 2 2" xfId="18408"/>
    <cellStyle name="Normal 2 2 82 2 2 2 2" xfId="27818"/>
    <cellStyle name="Normal 2 2 82 2 2 3" xfId="27819"/>
    <cellStyle name="Normal 2 2 82 2 3" xfId="18409"/>
    <cellStyle name="Normal 2 2 82 2 3 2" xfId="27820"/>
    <cellStyle name="Normal 2 2 82 2 4" xfId="27821"/>
    <cellStyle name="Normal 2 2 82 3" xfId="7102"/>
    <cellStyle name="Normal 2 2 82 3 2" xfId="18410"/>
    <cellStyle name="Normal 2 2 82 3 2 2" xfId="27822"/>
    <cellStyle name="Normal 2 2 82 3 3" xfId="27823"/>
    <cellStyle name="Normal 2 2 82 4" xfId="18411"/>
    <cellStyle name="Normal 2 2 82 4 2" xfId="27824"/>
    <cellStyle name="Normal 2 2 82 5" xfId="27825"/>
    <cellStyle name="Normal 2 2 83" xfId="7103"/>
    <cellStyle name="Normal 2 2 83 2" xfId="7104"/>
    <cellStyle name="Normal 2 2 83 2 2" xfId="7105"/>
    <cellStyle name="Normal 2 2 83 2 2 2" xfId="18412"/>
    <cellStyle name="Normal 2 2 83 2 2 2 2" xfId="27826"/>
    <cellStyle name="Normal 2 2 83 2 2 3" xfId="27827"/>
    <cellStyle name="Normal 2 2 83 2 3" xfId="18413"/>
    <cellStyle name="Normal 2 2 83 2 3 2" xfId="27828"/>
    <cellStyle name="Normal 2 2 83 2 4" xfId="27829"/>
    <cellStyle name="Normal 2 2 83 3" xfId="7106"/>
    <cellStyle name="Normal 2 2 83 3 2" xfId="18414"/>
    <cellStyle name="Normal 2 2 83 3 2 2" xfId="27830"/>
    <cellStyle name="Normal 2 2 83 3 3" xfId="27831"/>
    <cellStyle name="Normal 2 2 83 4" xfId="18415"/>
    <cellStyle name="Normal 2 2 83 4 2" xfId="27832"/>
    <cellStyle name="Normal 2 2 83 5" xfId="27833"/>
    <cellStyle name="Normal 2 2 84" xfId="7107"/>
    <cellStyle name="Normal 2 2 84 2" xfId="7108"/>
    <cellStyle name="Normal 2 2 84 2 2" xfId="7109"/>
    <cellStyle name="Normal 2 2 84 2 2 2" xfId="18416"/>
    <cellStyle name="Normal 2 2 84 2 2 2 2" xfId="27834"/>
    <cellStyle name="Normal 2 2 84 2 2 3" xfId="27835"/>
    <cellStyle name="Normal 2 2 84 2 3" xfId="18417"/>
    <cellStyle name="Normal 2 2 84 2 3 2" xfId="27836"/>
    <cellStyle name="Normal 2 2 84 2 4" xfId="27837"/>
    <cellStyle name="Normal 2 2 84 3" xfId="7110"/>
    <cellStyle name="Normal 2 2 84 3 2" xfId="18418"/>
    <cellStyle name="Normal 2 2 84 3 2 2" xfId="27838"/>
    <cellStyle name="Normal 2 2 84 3 3" xfId="27839"/>
    <cellStyle name="Normal 2 2 84 4" xfId="18419"/>
    <cellStyle name="Normal 2 2 84 4 2" xfId="27840"/>
    <cellStyle name="Normal 2 2 84 5" xfId="27841"/>
    <cellStyle name="Normal 2 2 85" xfId="7111"/>
    <cellStyle name="Normal 2 2 85 2" xfId="7112"/>
    <cellStyle name="Normal 2 2 85 2 2" xfId="7113"/>
    <cellStyle name="Normal 2 2 85 2 2 2" xfId="18420"/>
    <cellStyle name="Normal 2 2 85 2 2 2 2" xfId="27842"/>
    <cellStyle name="Normal 2 2 85 2 2 3" xfId="27843"/>
    <cellStyle name="Normal 2 2 85 2 3" xfId="18421"/>
    <cellStyle name="Normal 2 2 85 2 3 2" xfId="27844"/>
    <cellStyle name="Normal 2 2 85 2 4" xfId="27845"/>
    <cellStyle name="Normal 2 2 85 3" xfId="7114"/>
    <cellStyle name="Normal 2 2 85 3 2" xfId="18422"/>
    <cellStyle name="Normal 2 2 85 3 2 2" xfId="27846"/>
    <cellStyle name="Normal 2 2 85 3 3" xfId="27847"/>
    <cellStyle name="Normal 2 2 85 4" xfId="18423"/>
    <cellStyle name="Normal 2 2 85 4 2" xfId="27848"/>
    <cellStyle name="Normal 2 2 85 5" xfId="27849"/>
    <cellStyle name="Normal 2 2 86" xfId="7115"/>
    <cellStyle name="Normal 2 2 86 2" xfId="7116"/>
    <cellStyle name="Normal 2 2 86 2 2" xfId="7117"/>
    <cellStyle name="Normal 2 2 86 2 2 2" xfId="18424"/>
    <cellStyle name="Normal 2 2 86 2 2 2 2" xfId="27850"/>
    <cellStyle name="Normal 2 2 86 2 2 3" xfId="27851"/>
    <cellStyle name="Normal 2 2 86 2 3" xfId="18425"/>
    <cellStyle name="Normal 2 2 86 2 3 2" xfId="27852"/>
    <cellStyle name="Normal 2 2 86 2 4" xfId="27853"/>
    <cellStyle name="Normal 2 2 86 3" xfId="7118"/>
    <cellStyle name="Normal 2 2 86 3 2" xfId="18426"/>
    <cellStyle name="Normal 2 2 86 3 2 2" xfId="27854"/>
    <cellStyle name="Normal 2 2 86 3 3" xfId="27855"/>
    <cellStyle name="Normal 2 2 86 4" xfId="18427"/>
    <cellStyle name="Normal 2 2 86 4 2" xfId="27856"/>
    <cellStyle name="Normal 2 2 86 5" xfId="27857"/>
    <cellStyle name="Normal 2 2 87" xfId="7119"/>
    <cellStyle name="Normal 2 2 87 2" xfId="7120"/>
    <cellStyle name="Normal 2 2 87 2 2" xfId="7121"/>
    <cellStyle name="Normal 2 2 87 2 2 2" xfId="18428"/>
    <cellStyle name="Normal 2 2 87 2 2 2 2" xfId="27858"/>
    <cellStyle name="Normal 2 2 87 2 2 3" xfId="27859"/>
    <cellStyle name="Normal 2 2 87 2 3" xfId="18429"/>
    <cellStyle name="Normal 2 2 87 2 3 2" xfId="27860"/>
    <cellStyle name="Normal 2 2 87 2 4" xfId="27861"/>
    <cellStyle name="Normal 2 2 87 3" xfId="7122"/>
    <cellStyle name="Normal 2 2 87 3 2" xfId="18430"/>
    <cellStyle name="Normal 2 2 87 3 2 2" xfId="27862"/>
    <cellStyle name="Normal 2 2 87 3 3" xfId="27863"/>
    <cellStyle name="Normal 2 2 87 4" xfId="18431"/>
    <cellStyle name="Normal 2 2 87 4 2" xfId="27864"/>
    <cellStyle name="Normal 2 2 87 5" xfId="27865"/>
    <cellStyle name="Normal 2 2 88" xfId="7123"/>
    <cellStyle name="Normal 2 2 88 2" xfId="7124"/>
    <cellStyle name="Normal 2 2 88 2 2" xfId="7125"/>
    <cellStyle name="Normal 2 2 88 2 2 2" xfId="18432"/>
    <cellStyle name="Normal 2 2 88 2 2 2 2" xfId="27866"/>
    <cellStyle name="Normal 2 2 88 2 2 3" xfId="27867"/>
    <cellStyle name="Normal 2 2 88 2 3" xfId="18433"/>
    <cellStyle name="Normal 2 2 88 2 3 2" xfId="27868"/>
    <cellStyle name="Normal 2 2 88 2 4" xfId="27869"/>
    <cellStyle name="Normal 2 2 88 3" xfId="7126"/>
    <cellStyle name="Normal 2 2 88 3 2" xfId="18434"/>
    <cellStyle name="Normal 2 2 88 3 2 2" xfId="27870"/>
    <cellStyle name="Normal 2 2 88 3 3" xfId="27871"/>
    <cellStyle name="Normal 2 2 88 4" xfId="18435"/>
    <cellStyle name="Normal 2 2 88 4 2" xfId="27872"/>
    <cellStyle name="Normal 2 2 88 5" xfId="27873"/>
    <cellStyle name="Normal 2 2 89" xfId="7127"/>
    <cellStyle name="Normal 2 2 89 2" xfId="7128"/>
    <cellStyle name="Normal 2 2 89 2 2" xfId="7129"/>
    <cellStyle name="Normal 2 2 89 2 2 2" xfId="18436"/>
    <cellStyle name="Normal 2 2 89 2 2 2 2" xfId="27874"/>
    <cellStyle name="Normal 2 2 89 2 2 3" xfId="27875"/>
    <cellStyle name="Normal 2 2 89 2 3" xfId="18437"/>
    <cellStyle name="Normal 2 2 89 2 3 2" xfId="27876"/>
    <cellStyle name="Normal 2 2 89 2 4" xfId="27877"/>
    <cellStyle name="Normal 2 2 89 3" xfId="7130"/>
    <cellStyle name="Normal 2 2 89 3 2" xfId="18438"/>
    <cellStyle name="Normal 2 2 89 3 2 2" xfId="27878"/>
    <cellStyle name="Normal 2 2 89 3 3" xfId="27879"/>
    <cellStyle name="Normal 2 2 89 4" xfId="18439"/>
    <cellStyle name="Normal 2 2 89 4 2" xfId="27880"/>
    <cellStyle name="Normal 2 2 89 5" xfId="27881"/>
    <cellStyle name="Normal 2 2 9" xfId="7131"/>
    <cellStyle name="Normal 2 2 9 2" xfId="7132"/>
    <cellStyle name="Normal 2 2 9 2 2" xfId="7133"/>
    <cellStyle name="Normal 2 2 9 2 2 2" xfId="18440"/>
    <cellStyle name="Normal 2 2 9 2 2 2 2" xfId="27882"/>
    <cellStyle name="Normal 2 2 9 2 2 3" xfId="27883"/>
    <cellStyle name="Normal 2 2 9 2 3" xfId="18441"/>
    <cellStyle name="Normal 2 2 9 2 3 2" xfId="27884"/>
    <cellStyle name="Normal 2 2 9 2 4" xfId="27885"/>
    <cellStyle name="Normal 2 2 9 3" xfId="7134"/>
    <cellStyle name="Normal 2 2 9 3 2" xfId="7135"/>
    <cellStyle name="Normal 2 2 9 3 2 2" xfId="18442"/>
    <cellStyle name="Normal 2 2 9 3 2 2 2" xfId="27886"/>
    <cellStyle name="Normal 2 2 9 3 2 3" xfId="27887"/>
    <cellStyle name="Normal 2 2 9 3 3" xfId="18443"/>
    <cellStyle name="Normal 2 2 9 3 3 2" xfId="27888"/>
    <cellStyle name="Normal 2 2 9 3 4" xfId="27889"/>
    <cellStyle name="Normal 2 2 9 4" xfId="7136"/>
    <cellStyle name="Normal 2 2 9 4 2" xfId="18444"/>
    <cellStyle name="Normal 2 2 9 4 2 2" xfId="27890"/>
    <cellStyle name="Normal 2 2 9 4 3" xfId="27891"/>
    <cellStyle name="Normal 2 2 9 4 4" xfId="33631"/>
    <cellStyle name="Normal 2 2 9 5" xfId="18445"/>
    <cellStyle name="Normal 2 2 9 5 2" xfId="27892"/>
    <cellStyle name="Normal 2 2 9 6" xfId="27893"/>
    <cellStyle name="Normal 2 2 90" xfId="7137"/>
    <cellStyle name="Normal 2 2 90 2" xfId="7138"/>
    <cellStyle name="Normal 2 2 90 2 2" xfId="7139"/>
    <cellStyle name="Normal 2 2 90 2 2 2" xfId="18446"/>
    <cellStyle name="Normal 2 2 90 2 2 2 2" xfId="27894"/>
    <cellStyle name="Normal 2 2 90 2 2 3" xfId="27895"/>
    <cellStyle name="Normal 2 2 90 2 3" xfId="18447"/>
    <cellStyle name="Normal 2 2 90 2 3 2" xfId="27896"/>
    <cellStyle name="Normal 2 2 90 2 4" xfId="27897"/>
    <cellStyle name="Normal 2 2 90 3" xfId="7140"/>
    <cellStyle name="Normal 2 2 90 3 2" xfId="18448"/>
    <cellStyle name="Normal 2 2 90 3 2 2" xfId="27898"/>
    <cellStyle name="Normal 2 2 90 3 3" xfId="27899"/>
    <cellStyle name="Normal 2 2 90 4" xfId="18449"/>
    <cellStyle name="Normal 2 2 90 4 2" xfId="27900"/>
    <cellStyle name="Normal 2 2 90 5" xfId="27901"/>
    <cellStyle name="Normal 2 2 91" xfId="7141"/>
    <cellStyle name="Normal 2 2 91 2" xfId="7142"/>
    <cellStyle name="Normal 2 2 91 2 2" xfId="7143"/>
    <cellStyle name="Normal 2 2 91 2 2 2" xfId="18450"/>
    <cellStyle name="Normal 2 2 91 2 2 2 2" xfId="27902"/>
    <cellStyle name="Normal 2 2 91 2 2 3" xfId="27903"/>
    <cellStyle name="Normal 2 2 91 2 3" xfId="18451"/>
    <cellStyle name="Normal 2 2 91 2 3 2" xfId="27904"/>
    <cellStyle name="Normal 2 2 91 2 4" xfId="27905"/>
    <cellStyle name="Normal 2 2 91 3" xfId="7144"/>
    <cellStyle name="Normal 2 2 91 3 2" xfId="18452"/>
    <cellStyle name="Normal 2 2 91 3 2 2" xfId="27906"/>
    <cellStyle name="Normal 2 2 91 3 3" xfId="27907"/>
    <cellStyle name="Normal 2 2 91 4" xfId="18453"/>
    <cellStyle name="Normal 2 2 91 4 2" xfId="27908"/>
    <cellStyle name="Normal 2 2 91 5" xfId="27909"/>
    <cellStyle name="Normal 2 2 92" xfId="7145"/>
    <cellStyle name="Normal 2 2 92 2" xfId="7146"/>
    <cellStyle name="Normal 2 2 92 2 2" xfId="7147"/>
    <cellStyle name="Normal 2 2 92 2 2 2" xfId="18454"/>
    <cellStyle name="Normal 2 2 92 2 2 2 2" xfId="27910"/>
    <cellStyle name="Normal 2 2 92 2 2 3" xfId="27911"/>
    <cellStyle name="Normal 2 2 92 2 3" xfId="18455"/>
    <cellStyle name="Normal 2 2 92 2 3 2" xfId="27912"/>
    <cellStyle name="Normal 2 2 92 2 4" xfId="27913"/>
    <cellStyle name="Normal 2 2 92 3" xfId="7148"/>
    <cellStyle name="Normal 2 2 92 3 2" xfId="18456"/>
    <cellStyle name="Normal 2 2 92 3 2 2" xfId="27914"/>
    <cellStyle name="Normal 2 2 92 3 3" xfId="27915"/>
    <cellStyle name="Normal 2 2 92 4" xfId="18457"/>
    <cellStyle name="Normal 2 2 92 4 2" xfId="27916"/>
    <cellStyle name="Normal 2 2 92 5" xfId="27917"/>
    <cellStyle name="Normal 2 2 93" xfId="7149"/>
    <cellStyle name="Normal 2 2 93 2" xfId="7150"/>
    <cellStyle name="Normal 2 2 93 2 2" xfId="7151"/>
    <cellStyle name="Normal 2 2 93 2 2 2" xfId="18458"/>
    <cellStyle name="Normal 2 2 93 2 2 2 2" xfId="27918"/>
    <cellStyle name="Normal 2 2 93 2 2 3" xfId="27919"/>
    <cellStyle name="Normal 2 2 93 2 3" xfId="18459"/>
    <cellStyle name="Normal 2 2 93 2 3 2" xfId="27920"/>
    <cellStyle name="Normal 2 2 93 2 4" xfId="27921"/>
    <cellStyle name="Normal 2 2 93 3" xfId="7152"/>
    <cellStyle name="Normal 2 2 93 3 2" xfId="18460"/>
    <cellStyle name="Normal 2 2 93 3 2 2" xfId="27922"/>
    <cellStyle name="Normal 2 2 93 3 3" xfId="27923"/>
    <cellStyle name="Normal 2 2 93 4" xfId="18461"/>
    <cellStyle name="Normal 2 2 93 4 2" xfId="27924"/>
    <cellStyle name="Normal 2 2 93 5" xfId="27925"/>
    <cellStyle name="Normal 2 2 94" xfId="7153"/>
    <cellStyle name="Normal 2 2 94 2" xfId="7154"/>
    <cellStyle name="Normal 2 2 94 2 2" xfId="7155"/>
    <cellStyle name="Normal 2 2 94 2 2 2" xfId="18462"/>
    <cellStyle name="Normal 2 2 94 2 2 2 2" xfId="27926"/>
    <cellStyle name="Normal 2 2 94 2 2 3" xfId="27927"/>
    <cellStyle name="Normal 2 2 94 2 3" xfId="18463"/>
    <cellStyle name="Normal 2 2 94 2 3 2" xfId="27928"/>
    <cellStyle name="Normal 2 2 94 2 4" xfId="27929"/>
    <cellStyle name="Normal 2 2 94 3" xfId="7156"/>
    <cellStyle name="Normal 2 2 94 3 2" xfId="18464"/>
    <cellStyle name="Normal 2 2 94 3 2 2" xfId="27930"/>
    <cellStyle name="Normal 2 2 94 3 3" xfId="27931"/>
    <cellStyle name="Normal 2 2 94 4" xfId="18465"/>
    <cellStyle name="Normal 2 2 94 4 2" xfId="27932"/>
    <cellStyle name="Normal 2 2 94 5" xfId="27933"/>
    <cellStyle name="Normal 2 2 95" xfId="7157"/>
    <cellStyle name="Normal 2 2 95 2" xfId="7158"/>
    <cellStyle name="Normal 2 2 95 2 2" xfId="7159"/>
    <cellStyle name="Normal 2 2 95 2 2 2" xfId="18466"/>
    <cellStyle name="Normal 2 2 95 2 2 2 2" xfId="27934"/>
    <cellStyle name="Normal 2 2 95 2 2 3" xfId="27935"/>
    <cellStyle name="Normal 2 2 95 2 3" xfId="18467"/>
    <cellStyle name="Normal 2 2 95 2 3 2" xfId="27936"/>
    <cellStyle name="Normal 2 2 95 2 4" xfId="27937"/>
    <cellStyle name="Normal 2 2 95 3" xfId="7160"/>
    <cellStyle name="Normal 2 2 95 3 2" xfId="18468"/>
    <cellStyle name="Normal 2 2 95 3 2 2" xfId="27938"/>
    <cellStyle name="Normal 2 2 95 3 3" xfId="27939"/>
    <cellStyle name="Normal 2 2 95 4" xfId="18469"/>
    <cellStyle name="Normal 2 2 95 4 2" xfId="27940"/>
    <cellStyle name="Normal 2 2 95 5" xfId="27941"/>
    <cellStyle name="Normal 2 2 96" xfId="7161"/>
    <cellStyle name="Normal 2 2 96 2" xfId="7162"/>
    <cellStyle name="Normal 2 2 96 2 2" xfId="7163"/>
    <cellStyle name="Normal 2 2 96 2 2 2" xfId="18470"/>
    <cellStyle name="Normal 2 2 96 2 2 2 2" xfId="27942"/>
    <cellStyle name="Normal 2 2 96 2 2 3" xfId="27943"/>
    <cellStyle name="Normal 2 2 96 2 3" xfId="18471"/>
    <cellStyle name="Normal 2 2 96 2 3 2" xfId="27944"/>
    <cellStyle name="Normal 2 2 96 2 4" xfId="27945"/>
    <cellStyle name="Normal 2 2 96 3" xfId="7164"/>
    <cellStyle name="Normal 2 2 96 3 2" xfId="18472"/>
    <cellStyle name="Normal 2 2 96 3 2 2" xfId="27946"/>
    <cellStyle name="Normal 2 2 96 3 3" xfId="27947"/>
    <cellStyle name="Normal 2 2 96 4" xfId="18473"/>
    <cellStyle name="Normal 2 2 96 4 2" xfId="27948"/>
    <cellStyle name="Normal 2 2 96 5" xfId="27949"/>
    <cellStyle name="Normal 2 2 97" xfId="7165"/>
    <cellStyle name="Normal 2 2 97 2" xfId="7166"/>
    <cellStyle name="Normal 2 2 97 2 2" xfId="7167"/>
    <cellStyle name="Normal 2 2 97 2 2 2" xfId="18474"/>
    <cellStyle name="Normal 2 2 97 2 2 2 2" xfId="27950"/>
    <cellStyle name="Normal 2 2 97 2 2 3" xfId="27951"/>
    <cellStyle name="Normal 2 2 97 2 3" xfId="18475"/>
    <cellStyle name="Normal 2 2 97 2 3 2" xfId="27952"/>
    <cellStyle name="Normal 2 2 97 2 4" xfId="27953"/>
    <cellStyle name="Normal 2 2 97 3" xfId="7168"/>
    <cellStyle name="Normal 2 2 97 3 2" xfId="18476"/>
    <cellStyle name="Normal 2 2 97 3 2 2" xfId="27954"/>
    <cellStyle name="Normal 2 2 97 3 3" xfId="27955"/>
    <cellStyle name="Normal 2 2 97 4" xfId="18477"/>
    <cellStyle name="Normal 2 2 97 4 2" xfId="27956"/>
    <cellStyle name="Normal 2 2 97 5" xfId="27957"/>
    <cellStyle name="Normal 2 2 98" xfId="7169"/>
    <cellStyle name="Normal 2 2 98 2" xfId="7170"/>
    <cellStyle name="Normal 2 2 98 2 2" xfId="7171"/>
    <cellStyle name="Normal 2 2 98 2 2 2" xfId="18478"/>
    <cellStyle name="Normal 2 2 98 2 2 2 2" xfId="27958"/>
    <cellStyle name="Normal 2 2 98 2 2 3" xfId="27959"/>
    <cellStyle name="Normal 2 2 98 2 3" xfId="18479"/>
    <cellStyle name="Normal 2 2 98 2 3 2" xfId="27960"/>
    <cellStyle name="Normal 2 2 98 2 4" xfId="27961"/>
    <cellStyle name="Normal 2 2 98 3" xfId="7172"/>
    <cellStyle name="Normal 2 2 98 3 2" xfId="18480"/>
    <cellStyle name="Normal 2 2 98 3 2 2" xfId="27962"/>
    <cellStyle name="Normal 2 2 98 3 3" xfId="27963"/>
    <cellStyle name="Normal 2 2 98 4" xfId="18481"/>
    <cellStyle name="Normal 2 2 98 4 2" xfId="27964"/>
    <cellStyle name="Normal 2 2 98 5" xfId="27965"/>
    <cellStyle name="Normal 2 2 99" xfId="7173"/>
    <cellStyle name="Normal 2 2 99 2" xfId="7174"/>
    <cellStyle name="Normal 2 2 99 2 2" xfId="7175"/>
    <cellStyle name="Normal 2 2 99 2 2 2" xfId="18482"/>
    <cellStyle name="Normal 2 2 99 2 2 2 2" xfId="27966"/>
    <cellStyle name="Normal 2 2 99 2 2 3" xfId="27967"/>
    <cellStyle name="Normal 2 2 99 2 3" xfId="18483"/>
    <cellStyle name="Normal 2 2 99 2 3 2" xfId="27968"/>
    <cellStyle name="Normal 2 2 99 2 4" xfId="27969"/>
    <cellStyle name="Normal 2 2 99 3" xfId="7176"/>
    <cellStyle name="Normal 2 2 99 3 2" xfId="18484"/>
    <cellStyle name="Normal 2 2 99 3 2 2" xfId="27970"/>
    <cellStyle name="Normal 2 2 99 3 3" xfId="27971"/>
    <cellStyle name="Normal 2 2 99 4" xfId="18485"/>
    <cellStyle name="Normal 2 2 99 4 2" xfId="27972"/>
    <cellStyle name="Normal 2 2 99 5" xfId="27973"/>
    <cellStyle name="Normal 2 20" xfId="7177"/>
    <cellStyle name="Normal 2 20 2" xfId="7178"/>
    <cellStyle name="Normal 2 20 2 2" xfId="7179"/>
    <cellStyle name="Normal 2 20 2 2 2" xfId="18486"/>
    <cellStyle name="Normal 2 20 2 2 2 2" xfId="27974"/>
    <cellStyle name="Normal 2 20 2 2 3" xfId="27975"/>
    <cellStyle name="Normal 2 20 2 3" xfId="18487"/>
    <cellStyle name="Normal 2 20 2 3 2" xfId="27976"/>
    <cellStyle name="Normal 2 20 2 4" xfId="27977"/>
    <cellStyle name="Normal 2 20 3" xfId="7180"/>
    <cellStyle name="Normal 2 20 3 2" xfId="7181"/>
    <cellStyle name="Normal 2 20 3 2 2" xfId="18488"/>
    <cellStyle name="Normal 2 20 3 2 2 2" xfId="27978"/>
    <cellStyle name="Normal 2 20 3 2 3" xfId="27979"/>
    <cellStyle name="Normal 2 20 3 3" xfId="18489"/>
    <cellStyle name="Normal 2 20 3 3 2" xfId="27980"/>
    <cellStyle name="Normal 2 20 3 4" xfId="27981"/>
    <cellStyle name="Normal 2 20 4" xfId="7182"/>
    <cellStyle name="Normal 2 20 4 2" xfId="18490"/>
    <cellStyle name="Normal 2 20 4 2 2" xfId="27982"/>
    <cellStyle name="Normal 2 20 4 3" xfId="27983"/>
    <cellStyle name="Normal 2 20 5" xfId="18491"/>
    <cellStyle name="Normal 2 20 5 2" xfId="27984"/>
    <cellStyle name="Normal 2 20 6" xfId="27985"/>
    <cellStyle name="Normal 2 21" xfId="7183"/>
    <cellStyle name="Normal 2 21 2" xfId="7184"/>
    <cellStyle name="Normal 2 21 2 2" xfId="7185"/>
    <cellStyle name="Normal 2 21 2 2 2" xfId="18492"/>
    <cellStyle name="Normal 2 21 2 2 2 2" xfId="27986"/>
    <cellStyle name="Normal 2 21 2 2 3" xfId="27987"/>
    <cellStyle name="Normal 2 21 2 3" xfId="18493"/>
    <cellStyle name="Normal 2 21 2 3 2" xfId="27988"/>
    <cellStyle name="Normal 2 21 2 4" xfId="27989"/>
    <cellStyle name="Normal 2 21 3" xfId="7186"/>
    <cellStyle name="Normal 2 21 3 2" xfId="7187"/>
    <cellStyle name="Normal 2 21 3 2 2" xfId="18494"/>
    <cellStyle name="Normal 2 21 3 2 2 2" xfId="27990"/>
    <cellStyle name="Normal 2 21 3 2 3" xfId="27991"/>
    <cellStyle name="Normal 2 21 3 3" xfId="18495"/>
    <cellStyle name="Normal 2 21 3 3 2" xfId="27992"/>
    <cellStyle name="Normal 2 21 3 4" xfId="27993"/>
    <cellStyle name="Normal 2 21 4" xfId="7188"/>
    <cellStyle name="Normal 2 21 4 2" xfId="18496"/>
    <cellStyle name="Normal 2 21 4 2 2" xfId="27994"/>
    <cellStyle name="Normal 2 21 4 3" xfId="27995"/>
    <cellStyle name="Normal 2 21 5" xfId="18497"/>
    <cellStyle name="Normal 2 21 5 2" xfId="27996"/>
    <cellStyle name="Normal 2 21 6" xfId="27997"/>
    <cellStyle name="Normal 2 22" xfId="7189"/>
    <cellStyle name="Normal 2 22 2" xfId="7190"/>
    <cellStyle name="Normal 2 22 2 2" xfId="7191"/>
    <cellStyle name="Normal 2 22 2 2 2" xfId="18498"/>
    <cellStyle name="Normal 2 22 2 2 2 2" xfId="27998"/>
    <cellStyle name="Normal 2 22 2 2 3" xfId="27999"/>
    <cellStyle name="Normal 2 22 2 3" xfId="18499"/>
    <cellStyle name="Normal 2 22 2 3 2" xfId="28000"/>
    <cellStyle name="Normal 2 22 2 4" xfId="28001"/>
    <cellStyle name="Normal 2 22 3" xfId="7192"/>
    <cellStyle name="Normal 2 22 3 2" xfId="7193"/>
    <cellStyle name="Normal 2 22 3 2 2" xfId="18500"/>
    <cellStyle name="Normal 2 22 3 2 2 2" xfId="28002"/>
    <cellStyle name="Normal 2 22 3 2 3" xfId="28003"/>
    <cellStyle name="Normal 2 22 3 3" xfId="18501"/>
    <cellStyle name="Normal 2 22 3 3 2" xfId="28004"/>
    <cellStyle name="Normal 2 22 3 4" xfId="28005"/>
    <cellStyle name="Normal 2 22 4" xfId="7194"/>
    <cellStyle name="Normal 2 22 4 2" xfId="18502"/>
    <cellStyle name="Normal 2 22 4 2 2" xfId="28006"/>
    <cellStyle name="Normal 2 22 4 3" xfId="28007"/>
    <cellStyle name="Normal 2 22 5" xfId="18503"/>
    <cellStyle name="Normal 2 22 5 2" xfId="28008"/>
    <cellStyle name="Normal 2 22 6" xfId="28009"/>
    <cellStyle name="Normal 2 23" xfId="7195"/>
    <cellStyle name="Normal 2 23 2" xfId="7196"/>
    <cellStyle name="Normal 2 23 2 2" xfId="7197"/>
    <cellStyle name="Normal 2 23 2 2 2" xfId="18504"/>
    <cellStyle name="Normal 2 23 2 2 2 2" xfId="28010"/>
    <cellStyle name="Normal 2 23 2 2 3" xfId="28011"/>
    <cellStyle name="Normal 2 23 2 3" xfId="18505"/>
    <cellStyle name="Normal 2 23 2 3 2" xfId="28012"/>
    <cellStyle name="Normal 2 23 2 4" xfId="28013"/>
    <cellStyle name="Normal 2 23 3" xfId="7198"/>
    <cellStyle name="Normal 2 23 3 2" xfId="7199"/>
    <cellStyle name="Normal 2 23 3 2 2" xfId="18506"/>
    <cellStyle name="Normal 2 23 3 2 2 2" xfId="28014"/>
    <cellStyle name="Normal 2 23 3 2 3" xfId="28015"/>
    <cellStyle name="Normal 2 23 3 3" xfId="18507"/>
    <cellStyle name="Normal 2 23 3 3 2" xfId="28016"/>
    <cellStyle name="Normal 2 23 3 4" xfId="28017"/>
    <cellStyle name="Normal 2 23 4" xfId="7200"/>
    <cellStyle name="Normal 2 23 4 2" xfId="18508"/>
    <cellStyle name="Normal 2 23 4 2 2" xfId="28018"/>
    <cellStyle name="Normal 2 23 4 3" xfId="28019"/>
    <cellStyle name="Normal 2 23 5" xfId="18509"/>
    <cellStyle name="Normal 2 23 5 2" xfId="28020"/>
    <cellStyle name="Normal 2 23 6" xfId="28021"/>
    <cellStyle name="Normal 2 24" xfId="7201"/>
    <cellStyle name="Normal 2 24 2" xfId="7202"/>
    <cellStyle name="Normal 2 24 2 2" xfId="7203"/>
    <cellStyle name="Normal 2 24 2 2 2" xfId="18510"/>
    <cellStyle name="Normal 2 24 2 2 2 2" xfId="28022"/>
    <cellStyle name="Normal 2 24 2 2 3" xfId="28023"/>
    <cellStyle name="Normal 2 24 2 3" xfId="18511"/>
    <cellStyle name="Normal 2 24 2 3 2" xfId="28024"/>
    <cellStyle name="Normal 2 24 2 4" xfId="28025"/>
    <cellStyle name="Normal 2 24 3" xfId="7204"/>
    <cellStyle name="Normal 2 24 3 2" xfId="7205"/>
    <cellStyle name="Normal 2 24 3 2 2" xfId="18512"/>
    <cellStyle name="Normal 2 24 3 2 2 2" xfId="28026"/>
    <cellStyle name="Normal 2 24 3 2 3" xfId="28027"/>
    <cellStyle name="Normal 2 24 3 3" xfId="18513"/>
    <cellStyle name="Normal 2 24 3 3 2" xfId="28028"/>
    <cellStyle name="Normal 2 24 3 4" xfId="28029"/>
    <cellStyle name="Normal 2 24 4" xfId="7206"/>
    <cellStyle name="Normal 2 24 4 2" xfId="18514"/>
    <cellStyle name="Normal 2 24 4 2 2" xfId="28030"/>
    <cellStyle name="Normal 2 24 4 3" xfId="28031"/>
    <cellStyle name="Normal 2 24 5" xfId="18515"/>
    <cellStyle name="Normal 2 24 5 2" xfId="28032"/>
    <cellStyle name="Normal 2 24 6" xfId="28033"/>
    <cellStyle name="Normal 2 25" xfId="7207"/>
    <cellStyle name="Normal 2 25 2" xfId="7208"/>
    <cellStyle name="Normal 2 25 2 2" xfId="7209"/>
    <cellStyle name="Normal 2 25 2 2 2" xfId="18516"/>
    <cellStyle name="Normal 2 25 2 2 2 2" xfId="28034"/>
    <cellStyle name="Normal 2 25 2 2 3" xfId="28035"/>
    <cellStyle name="Normal 2 25 2 3" xfId="18517"/>
    <cellStyle name="Normal 2 25 2 3 2" xfId="28036"/>
    <cellStyle name="Normal 2 25 2 4" xfId="28037"/>
    <cellStyle name="Normal 2 25 3" xfId="7210"/>
    <cellStyle name="Normal 2 25 3 2" xfId="7211"/>
    <cellStyle name="Normal 2 25 3 2 2" xfId="18518"/>
    <cellStyle name="Normal 2 25 3 2 2 2" xfId="28038"/>
    <cellStyle name="Normal 2 25 3 2 3" xfId="28039"/>
    <cellStyle name="Normal 2 25 3 3" xfId="18519"/>
    <cellStyle name="Normal 2 25 3 3 2" xfId="28040"/>
    <cellStyle name="Normal 2 25 3 4" xfId="28041"/>
    <cellStyle name="Normal 2 25 4" xfId="7212"/>
    <cellStyle name="Normal 2 25 4 2" xfId="18520"/>
    <cellStyle name="Normal 2 25 4 2 2" xfId="28042"/>
    <cellStyle name="Normal 2 25 4 3" xfId="28043"/>
    <cellStyle name="Normal 2 25 5" xfId="18521"/>
    <cellStyle name="Normal 2 25 5 2" xfId="28044"/>
    <cellStyle name="Normal 2 25 6" xfId="28045"/>
    <cellStyle name="Normal 2 26" xfId="7213"/>
    <cellStyle name="Normal 2 26 2" xfId="7214"/>
    <cellStyle name="Normal 2 26 2 2" xfId="7215"/>
    <cellStyle name="Normal 2 26 2 2 2" xfId="18522"/>
    <cellStyle name="Normal 2 26 2 2 2 2" xfId="28046"/>
    <cellStyle name="Normal 2 26 2 2 3" xfId="28047"/>
    <cellStyle name="Normal 2 26 2 3" xfId="18523"/>
    <cellStyle name="Normal 2 26 2 3 2" xfId="28048"/>
    <cellStyle name="Normal 2 26 2 4" xfId="28049"/>
    <cellStyle name="Normal 2 26 3" xfId="7216"/>
    <cellStyle name="Normal 2 26 3 2" xfId="7217"/>
    <cellStyle name="Normal 2 26 3 2 2" xfId="18524"/>
    <cellStyle name="Normal 2 26 3 2 2 2" xfId="28050"/>
    <cellStyle name="Normal 2 26 3 2 3" xfId="28051"/>
    <cellStyle name="Normal 2 26 3 3" xfId="18525"/>
    <cellStyle name="Normal 2 26 3 3 2" xfId="28052"/>
    <cellStyle name="Normal 2 26 3 4" xfId="28053"/>
    <cellStyle name="Normal 2 26 4" xfId="7218"/>
    <cellStyle name="Normal 2 26 4 2" xfId="18526"/>
    <cellStyle name="Normal 2 26 4 2 2" xfId="28054"/>
    <cellStyle name="Normal 2 26 4 3" xfId="28055"/>
    <cellStyle name="Normal 2 26 5" xfId="18527"/>
    <cellStyle name="Normal 2 26 5 2" xfId="28056"/>
    <cellStyle name="Normal 2 26 6" xfId="28057"/>
    <cellStyle name="Normal 2 27" xfId="7219"/>
    <cellStyle name="Normal 2 27 2" xfId="7220"/>
    <cellStyle name="Normal 2 27 2 2" xfId="7221"/>
    <cellStyle name="Normal 2 27 2 2 2" xfId="18528"/>
    <cellStyle name="Normal 2 27 2 2 2 2" xfId="28058"/>
    <cellStyle name="Normal 2 27 2 2 3" xfId="28059"/>
    <cellStyle name="Normal 2 27 2 3" xfId="18529"/>
    <cellStyle name="Normal 2 27 2 3 2" xfId="28060"/>
    <cellStyle name="Normal 2 27 2 4" xfId="28061"/>
    <cellStyle name="Normal 2 27 3" xfId="7222"/>
    <cellStyle name="Normal 2 27 3 2" xfId="7223"/>
    <cellStyle name="Normal 2 27 3 2 2" xfId="18530"/>
    <cellStyle name="Normal 2 27 3 2 2 2" xfId="28062"/>
    <cellStyle name="Normal 2 27 3 2 3" xfId="28063"/>
    <cellStyle name="Normal 2 27 3 3" xfId="18531"/>
    <cellStyle name="Normal 2 27 3 3 2" xfId="28064"/>
    <cellStyle name="Normal 2 27 3 4" xfId="28065"/>
    <cellStyle name="Normal 2 27 4" xfId="7224"/>
    <cellStyle name="Normal 2 27 4 2" xfId="18532"/>
    <cellStyle name="Normal 2 27 4 2 2" xfId="28066"/>
    <cellStyle name="Normal 2 27 4 3" xfId="28067"/>
    <cellStyle name="Normal 2 27 5" xfId="18533"/>
    <cellStyle name="Normal 2 27 5 2" xfId="28068"/>
    <cellStyle name="Normal 2 27 6" xfId="28069"/>
    <cellStyle name="Normal 2 28" xfId="7225"/>
    <cellStyle name="Normal 2 28 2" xfId="7226"/>
    <cellStyle name="Normal 2 28 2 2" xfId="7227"/>
    <cellStyle name="Normal 2 28 2 2 2" xfId="18534"/>
    <cellStyle name="Normal 2 28 2 2 2 2" xfId="28070"/>
    <cellStyle name="Normal 2 28 2 2 3" xfId="28071"/>
    <cellStyle name="Normal 2 28 2 3" xfId="18535"/>
    <cellStyle name="Normal 2 28 2 3 2" xfId="28072"/>
    <cellStyle name="Normal 2 28 2 4" xfId="28073"/>
    <cellStyle name="Normal 2 28 3" xfId="7228"/>
    <cellStyle name="Normal 2 28 3 2" xfId="7229"/>
    <cellStyle name="Normal 2 28 3 2 2" xfId="18536"/>
    <cellStyle name="Normal 2 28 3 2 2 2" xfId="28074"/>
    <cellStyle name="Normal 2 28 3 2 3" xfId="28075"/>
    <cellStyle name="Normal 2 28 3 3" xfId="18537"/>
    <cellStyle name="Normal 2 28 3 3 2" xfId="28076"/>
    <cellStyle name="Normal 2 28 3 4" xfId="28077"/>
    <cellStyle name="Normal 2 28 4" xfId="7230"/>
    <cellStyle name="Normal 2 28 4 2" xfId="18538"/>
    <cellStyle name="Normal 2 28 4 2 2" xfId="28078"/>
    <cellStyle name="Normal 2 28 4 3" xfId="28079"/>
    <cellStyle name="Normal 2 28 5" xfId="18539"/>
    <cellStyle name="Normal 2 28 5 2" xfId="28080"/>
    <cellStyle name="Normal 2 28 6" xfId="28081"/>
    <cellStyle name="Normal 2 29" xfId="7231"/>
    <cellStyle name="Normal 2 29 2" xfId="7232"/>
    <cellStyle name="Normal 2 29 2 2" xfId="7233"/>
    <cellStyle name="Normal 2 29 2 2 2" xfId="18540"/>
    <cellStyle name="Normal 2 29 2 2 2 2" xfId="28082"/>
    <cellStyle name="Normal 2 29 2 2 3" xfId="28083"/>
    <cellStyle name="Normal 2 29 2 3" xfId="18541"/>
    <cellStyle name="Normal 2 29 2 3 2" xfId="28084"/>
    <cellStyle name="Normal 2 29 2 4" xfId="28085"/>
    <cellStyle name="Normal 2 29 3" xfId="7234"/>
    <cellStyle name="Normal 2 29 3 2" xfId="7235"/>
    <cellStyle name="Normal 2 29 3 2 2" xfId="18542"/>
    <cellStyle name="Normal 2 29 3 2 2 2" xfId="28086"/>
    <cellStyle name="Normal 2 29 3 2 3" xfId="28087"/>
    <cellStyle name="Normal 2 29 3 3" xfId="18543"/>
    <cellStyle name="Normal 2 29 3 3 2" xfId="28088"/>
    <cellStyle name="Normal 2 29 3 4" xfId="28089"/>
    <cellStyle name="Normal 2 29 4" xfId="7236"/>
    <cellStyle name="Normal 2 29 4 2" xfId="18544"/>
    <cellStyle name="Normal 2 29 4 2 2" xfId="28090"/>
    <cellStyle name="Normal 2 29 4 3" xfId="28091"/>
    <cellStyle name="Normal 2 29 5" xfId="18545"/>
    <cellStyle name="Normal 2 29 5 2" xfId="28092"/>
    <cellStyle name="Normal 2 29 6" xfId="28093"/>
    <cellStyle name="Normal 2 3" xfId="49"/>
    <cellStyle name="Normal 2 3 10" xfId="7237"/>
    <cellStyle name="Normal 2 3 100" xfId="7238"/>
    <cellStyle name="Normal 2 3 101" xfId="7239"/>
    <cellStyle name="Normal 2 3 102" xfId="7240"/>
    <cellStyle name="Normal 2 3 103" xfId="7241"/>
    <cellStyle name="Normal 2 3 104" xfId="7242"/>
    <cellStyle name="Normal 2 3 105" xfId="7243"/>
    <cellStyle name="Normal 2 3 106" xfId="7244"/>
    <cellStyle name="Normal 2 3 107" xfId="7245"/>
    <cellStyle name="Normal 2 3 108" xfId="7246"/>
    <cellStyle name="Normal 2 3 109" xfId="7247"/>
    <cellStyle name="Normal 2 3 11" xfId="7248"/>
    <cellStyle name="Normal 2 3 110" xfId="7249"/>
    <cellStyle name="Normal 2 3 111" xfId="7250"/>
    <cellStyle name="Normal 2 3 112" xfId="7251"/>
    <cellStyle name="Normal 2 3 113" xfId="7252"/>
    <cellStyle name="Normal 2 3 114" xfId="7253"/>
    <cellStyle name="Normal 2 3 115" xfId="7254"/>
    <cellStyle name="Normal 2 3 116" xfId="7255"/>
    <cellStyle name="Normal 2 3 117" xfId="7256"/>
    <cellStyle name="Normal 2 3 118" xfId="7257"/>
    <cellStyle name="Normal 2 3 119" xfId="7258"/>
    <cellStyle name="Normal 2 3 12" xfId="7259"/>
    <cellStyle name="Normal 2 3 120" xfId="7260"/>
    <cellStyle name="Normal 2 3 121" xfId="7261"/>
    <cellStyle name="Normal 2 3 122" xfId="7262"/>
    <cellStyle name="Normal 2 3 123" xfId="7263"/>
    <cellStyle name="Normal 2 3 124" xfId="7264"/>
    <cellStyle name="Normal 2 3 125" xfId="7265"/>
    <cellStyle name="Normal 2 3 126" xfId="7266"/>
    <cellStyle name="Normal 2 3 127" xfId="7267"/>
    <cellStyle name="Normal 2 3 128" xfId="7268"/>
    <cellStyle name="Normal 2 3 129" xfId="7269"/>
    <cellStyle name="Normal 2 3 13" xfId="7270"/>
    <cellStyle name="Normal 2 3 130" xfId="7271"/>
    <cellStyle name="Normal 2 3 131" xfId="7272"/>
    <cellStyle name="Normal 2 3 132" xfId="7273"/>
    <cellStyle name="Normal 2 3 133" xfId="7274"/>
    <cellStyle name="Normal 2 3 134" xfId="7275"/>
    <cellStyle name="Normal 2 3 135" xfId="7276"/>
    <cellStyle name="Normal 2 3 136" xfId="7277"/>
    <cellStyle name="Normal 2 3 137" xfId="7278"/>
    <cellStyle name="Normal 2 3 138" xfId="7279"/>
    <cellStyle name="Normal 2 3 139" xfId="7280"/>
    <cellStyle name="Normal 2 3 14" xfId="7281"/>
    <cellStyle name="Normal 2 3 140" xfId="7282"/>
    <cellStyle name="Normal 2 3 140 2" xfId="7283"/>
    <cellStyle name="Normal 2 3 140 2 2" xfId="18546"/>
    <cellStyle name="Normal 2 3 140 2 2 2" xfId="28094"/>
    <cellStyle name="Normal 2 3 140 2 3" xfId="28095"/>
    <cellStyle name="Normal 2 3 140 3" xfId="18547"/>
    <cellStyle name="Normal 2 3 140 3 2" xfId="28096"/>
    <cellStyle name="Normal 2 3 140 4" xfId="28097"/>
    <cellStyle name="Normal 2 3 141" xfId="7284"/>
    <cellStyle name="Normal 2 3 141 2" xfId="18548"/>
    <cellStyle name="Normal 2 3 141 2 2" xfId="28098"/>
    <cellStyle name="Normal 2 3 141 3" xfId="28099"/>
    <cellStyle name="Normal 2 3 142" xfId="28100"/>
    <cellStyle name="Normal 2 3 15" xfId="7285"/>
    <cellStyle name="Normal 2 3 16" xfId="7286"/>
    <cellStyle name="Normal 2 3 17" xfId="7287"/>
    <cellStyle name="Normal 2 3 18" xfId="7288"/>
    <cellStyle name="Normal 2 3 19" xfId="7289"/>
    <cellStyle name="Normal 2 3 2" xfId="7290"/>
    <cellStyle name="Normal 2 3 2 2" xfId="7291"/>
    <cellStyle name="Normal 2 3 2 2 10" xfId="7292"/>
    <cellStyle name="Normal 2 3 2 2 10 2" xfId="7293"/>
    <cellStyle name="Normal 2 3 2 2 10 2 2" xfId="18549"/>
    <cellStyle name="Normal 2 3 2 2 10 2 2 2" xfId="28101"/>
    <cellStyle name="Normal 2 3 2 2 10 2 3" xfId="28102"/>
    <cellStyle name="Normal 2 3 2 2 10 3" xfId="18550"/>
    <cellStyle name="Normal 2 3 2 2 10 3 2" xfId="28103"/>
    <cellStyle name="Normal 2 3 2 2 10 4" xfId="28104"/>
    <cellStyle name="Normal 2 3 2 2 11" xfId="7294"/>
    <cellStyle name="Normal 2 3 2 2 11 2" xfId="18551"/>
    <cellStyle name="Normal 2 3 2 2 11 2 2" xfId="28105"/>
    <cellStyle name="Normal 2 3 2 2 11 3" xfId="28106"/>
    <cellStyle name="Normal 2 3 2 2 12" xfId="18552"/>
    <cellStyle name="Normal 2 3 2 2 12 2" xfId="28107"/>
    <cellStyle name="Normal 2 3 2 2 13" xfId="28108"/>
    <cellStyle name="Normal 2 3 2 2 2" xfId="7295"/>
    <cellStyle name="Normal 2 3 2 2 3" xfId="7296"/>
    <cellStyle name="Normal 2 3 2 2 4" xfId="7297"/>
    <cellStyle name="Normal 2 3 2 2 5" xfId="7298"/>
    <cellStyle name="Normal 2 3 2 2 6" xfId="7299"/>
    <cellStyle name="Normal 2 3 2 2 7" xfId="7300"/>
    <cellStyle name="Normal 2 3 2 2 8" xfId="7301"/>
    <cellStyle name="Normal 2 3 2 2 9" xfId="7302"/>
    <cellStyle name="Normal 2 3 2 3" xfId="7303"/>
    <cellStyle name="Normal 2 3 2 3 2" xfId="7304"/>
    <cellStyle name="Normal 2 3 2 3 2 2" xfId="7305"/>
    <cellStyle name="Normal 2 3 2 3 2 2 2" xfId="18553"/>
    <cellStyle name="Normal 2 3 2 3 2 2 2 2" xfId="28109"/>
    <cellStyle name="Normal 2 3 2 3 2 2 3" xfId="28110"/>
    <cellStyle name="Normal 2 3 2 3 2 3" xfId="18554"/>
    <cellStyle name="Normal 2 3 2 3 2 3 2" xfId="28111"/>
    <cellStyle name="Normal 2 3 2 3 2 4" xfId="28112"/>
    <cellStyle name="Normal 2 3 2 3 3" xfId="7306"/>
    <cellStyle name="Normal 2 3 2 3 3 2" xfId="18555"/>
    <cellStyle name="Normal 2 3 2 3 3 2 2" xfId="28113"/>
    <cellStyle name="Normal 2 3 2 3 3 3" xfId="28114"/>
    <cellStyle name="Normal 2 3 2 3 4" xfId="18556"/>
    <cellStyle name="Normal 2 3 2 3 4 2" xfId="28115"/>
    <cellStyle name="Normal 2 3 2 3 5" xfId="28116"/>
    <cellStyle name="Normal 2 3 2 4" xfId="7307"/>
    <cellStyle name="Normal 2 3 2 4 2" xfId="7308"/>
    <cellStyle name="Normal 2 3 2 4 2 2" xfId="7309"/>
    <cellStyle name="Normal 2 3 2 4 2 2 2" xfId="18557"/>
    <cellStyle name="Normal 2 3 2 4 2 2 2 2" xfId="28117"/>
    <cellStyle name="Normal 2 3 2 4 2 2 3" xfId="28118"/>
    <cellStyle name="Normal 2 3 2 4 2 3" xfId="18558"/>
    <cellStyle name="Normal 2 3 2 4 2 3 2" xfId="28119"/>
    <cellStyle name="Normal 2 3 2 4 2 4" xfId="28120"/>
    <cellStyle name="Normal 2 3 2 4 3" xfId="7310"/>
    <cellStyle name="Normal 2 3 2 4 3 2" xfId="18559"/>
    <cellStyle name="Normal 2 3 2 4 3 2 2" xfId="28121"/>
    <cellStyle name="Normal 2 3 2 4 3 3" xfId="28122"/>
    <cellStyle name="Normal 2 3 2 4 4" xfId="18560"/>
    <cellStyle name="Normal 2 3 2 4 4 2" xfId="28123"/>
    <cellStyle name="Normal 2 3 2 4 5" xfId="28124"/>
    <cellStyle name="Normal 2 3 2 5" xfId="7311"/>
    <cellStyle name="Normal 2 3 2 5 2" xfId="7312"/>
    <cellStyle name="Normal 2 3 2 5 2 2" xfId="7313"/>
    <cellStyle name="Normal 2 3 2 5 2 2 2" xfId="18561"/>
    <cellStyle name="Normal 2 3 2 5 2 2 2 2" xfId="28125"/>
    <cellStyle name="Normal 2 3 2 5 2 2 3" xfId="28126"/>
    <cellStyle name="Normal 2 3 2 5 2 3" xfId="18562"/>
    <cellStyle name="Normal 2 3 2 5 2 3 2" xfId="28127"/>
    <cellStyle name="Normal 2 3 2 5 2 4" xfId="28128"/>
    <cellStyle name="Normal 2 3 2 5 3" xfId="7314"/>
    <cellStyle name="Normal 2 3 2 5 3 2" xfId="18563"/>
    <cellStyle name="Normal 2 3 2 5 3 2 2" xfId="28129"/>
    <cellStyle name="Normal 2 3 2 5 3 3" xfId="28130"/>
    <cellStyle name="Normal 2 3 2 5 4" xfId="18564"/>
    <cellStyle name="Normal 2 3 2 5 4 2" xfId="28131"/>
    <cellStyle name="Normal 2 3 2 5 5" xfId="28132"/>
    <cellStyle name="Normal 2 3 2 6" xfId="7315"/>
    <cellStyle name="Normal 2 3 2 6 2" xfId="7316"/>
    <cellStyle name="Normal 2 3 2 6 2 2" xfId="7317"/>
    <cellStyle name="Normal 2 3 2 6 2 2 2" xfId="18565"/>
    <cellStyle name="Normal 2 3 2 6 2 2 2 2" xfId="28133"/>
    <cellStyle name="Normal 2 3 2 6 2 2 3" xfId="28134"/>
    <cellStyle name="Normal 2 3 2 6 2 3" xfId="18566"/>
    <cellStyle name="Normal 2 3 2 6 2 3 2" xfId="28135"/>
    <cellStyle name="Normal 2 3 2 6 2 4" xfId="28136"/>
    <cellStyle name="Normal 2 3 2 6 3" xfId="7318"/>
    <cellStyle name="Normal 2 3 2 6 3 2" xfId="18567"/>
    <cellStyle name="Normal 2 3 2 6 3 2 2" xfId="28137"/>
    <cellStyle name="Normal 2 3 2 6 3 3" xfId="28138"/>
    <cellStyle name="Normal 2 3 2 6 4" xfId="18568"/>
    <cellStyle name="Normal 2 3 2 6 4 2" xfId="28139"/>
    <cellStyle name="Normal 2 3 2 6 5" xfId="28140"/>
    <cellStyle name="Normal 2 3 2 7" xfId="7319"/>
    <cellStyle name="Normal 2 3 2 7 2" xfId="7320"/>
    <cellStyle name="Normal 2 3 2 7 2 2" xfId="7321"/>
    <cellStyle name="Normal 2 3 2 7 2 2 2" xfId="18569"/>
    <cellStyle name="Normal 2 3 2 7 2 2 2 2" xfId="28141"/>
    <cellStyle name="Normal 2 3 2 7 2 2 3" xfId="28142"/>
    <cellStyle name="Normal 2 3 2 7 2 3" xfId="18570"/>
    <cellStyle name="Normal 2 3 2 7 2 3 2" xfId="28143"/>
    <cellStyle name="Normal 2 3 2 7 2 4" xfId="28144"/>
    <cellStyle name="Normal 2 3 2 7 3" xfId="7322"/>
    <cellStyle name="Normal 2 3 2 7 3 2" xfId="18571"/>
    <cellStyle name="Normal 2 3 2 7 3 2 2" xfId="28145"/>
    <cellStyle name="Normal 2 3 2 7 3 3" xfId="28146"/>
    <cellStyle name="Normal 2 3 2 7 4" xfId="18572"/>
    <cellStyle name="Normal 2 3 2 7 4 2" xfId="28147"/>
    <cellStyle name="Normal 2 3 2 7 5" xfId="28148"/>
    <cellStyle name="Normal 2 3 2 8" xfId="7323"/>
    <cellStyle name="Normal 2 3 2 8 2" xfId="7324"/>
    <cellStyle name="Normal 2 3 2 8 2 2" xfId="7325"/>
    <cellStyle name="Normal 2 3 2 8 2 2 2" xfId="18573"/>
    <cellStyle name="Normal 2 3 2 8 2 2 2 2" xfId="28149"/>
    <cellStyle name="Normal 2 3 2 8 2 2 3" xfId="28150"/>
    <cellStyle name="Normal 2 3 2 8 2 3" xfId="18574"/>
    <cellStyle name="Normal 2 3 2 8 2 3 2" xfId="28151"/>
    <cellStyle name="Normal 2 3 2 8 2 4" xfId="28152"/>
    <cellStyle name="Normal 2 3 2 8 3" xfId="7326"/>
    <cellStyle name="Normal 2 3 2 8 3 2" xfId="18575"/>
    <cellStyle name="Normal 2 3 2 8 3 2 2" xfId="28153"/>
    <cellStyle name="Normal 2 3 2 8 3 3" xfId="28154"/>
    <cellStyle name="Normal 2 3 2 8 4" xfId="18576"/>
    <cellStyle name="Normal 2 3 2 8 4 2" xfId="28155"/>
    <cellStyle name="Normal 2 3 2 8 5" xfId="28156"/>
    <cellStyle name="Normal 2 3 2 9" xfId="7327"/>
    <cellStyle name="Normal 2 3 2 9 2" xfId="7328"/>
    <cellStyle name="Normal 2 3 2 9 2 2" xfId="7329"/>
    <cellStyle name="Normal 2 3 2 9 2 2 2" xfId="18577"/>
    <cellStyle name="Normal 2 3 2 9 2 2 2 2" xfId="28157"/>
    <cellStyle name="Normal 2 3 2 9 2 2 3" xfId="28158"/>
    <cellStyle name="Normal 2 3 2 9 2 3" xfId="18578"/>
    <cellStyle name="Normal 2 3 2 9 2 3 2" xfId="28159"/>
    <cellStyle name="Normal 2 3 2 9 2 4" xfId="28160"/>
    <cellStyle name="Normal 2 3 2 9 3" xfId="7330"/>
    <cellStyle name="Normal 2 3 2 9 3 2" xfId="18579"/>
    <cellStyle name="Normal 2 3 2 9 3 2 2" xfId="28161"/>
    <cellStyle name="Normal 2 3 2 9 3 3" xfId="28162"/>
    <cellStyle name="Normal 2 3 2 9 4" xfId="18580"/>
    <cellStyle name="Normal 2 3 2 9 4 2" xfId="28163"/>
    <cellStyle name="Normal 2 3 2 9 5" xfId="28164"/>
    <cellStyle name="Normal 2 3 20" xfId="7331"/>
    <cellStyle name="Normal 2 3 21" xfId="7332"/>
    <cellStyle name="Normal 2 3 22" xfId="7333"/>
    <cellStyle name="Normal 2 3 23" xfId="7334"/>
    <cellStyle name="Normal 2 3 24" xfId="7335"/>
    <cellStyle name="Normal 2 3 25" xfId="7336"/>
    <cellStyle name="Normal 2 3 26" xfId="7337"/>
    <cellStyle name="Normal 2 3 27" xfId="7338"/>
    <cellStyle name="Normal 2 3 28" xfId="7339"/>
    <cellStyle name="Normal 2 3 29" xfId="7340"/>
    <cellStyle name="Normal 2 3 3" xfId="7341"/>
    <cellStyle name="Normal 2 3 3 2" xfId="7342"/>
    <cellStyle name="Normal 2 3 3 2 2" xfId="7343"/>
    <cellStyle name="Normal 2 3 3 2 2 2" xfId="28165"/>
    <cellStyle name="Normal 2 3 3 2 3" xfId="7344"/>
    <cellStyle name="Normal 2 3 3 2 3 2" xfId="18581"/>
    <cellStyle name="Normal 2 3 3 2 3 2 2" xfId="28166"/>
    <cellStyle name="Normal 2 3 3 2 3 3" xfId="28167"/>
    <cellStyle name="Normal 2 3 3 2 4" xfId="18582"/>
    <cellStyle name="Normal 2 3 3 2 4 2" xfId="28168"/>
    <cellStyle name="Normal 2 3 3 2 5" xfId="28169"/>
    <cellStyle name="Normal 2 3 3 3" xfId="7345"/>
    <cellStyle name="Normal 2 3 3 3 2" xfId="28170"/>
    <cellStyle name="Normal 2 3 3 4" xfId="7346"/>
    <cellStyle name="Normal 2 3 3 4 2" xfId="18583"/>
    <cellStyle name="Normal 2 3 3 4 2 2" xfId="28171"/>
    <cellStyle name="Normal 2 3 3 4 3" xfId="28172"/>
    <cellStyle name="Normal 2 3 3 5" xfId="18584"/>
    <cellStyle name="Normal 2 3 3 5 2" xfId="28173"/>
    <cellStyle name="Normal 2 3 3 6" xfId="28174"/>
    <cellStyle name="Normal 2 3 30" xfId="7347"/>
    <cellStyle name="Normal 2 3 31" xfId="7348"/>
    <cellStyle name="Normal 2 3 32" xfId="7349"/>
    <cellStyle name="Normal 2 3 33" xfId="7350"/>
    <cellStyle name="Normal 2 3 34" xfId="7351"/>
    <cellStyle name="Normal 2 3 35" xfId="7352"/>
    <cellStyle name="Normal 2 3 36" xfId="7353"/>
    <cellStyle name="Normal 2 3 37" xfId="7354"/>
    <cellStyle name="Normal 2 3 38" xfId="7355"/>
    <cellStyle name="Normal 2 3 39" xfId="7356"/>
    <cellStyle name="Normal 2 3 4" xfId="7357"/>
    <cellStyle name="Normal 2 3 4 2" xfId="7358"/>
    <cellStyle name="Normal 2 3 40" xfId="7359"/>
    <cellStyle name="Normal 2 3 41" xfId="7360"/>
    <cellStyle name="Normal 2 3 42" xfId="7361"/>
    <cellStyle name="Normal 2 3 43" xfId="7362"/>
    <cellStyle name="Normal 2 3 44" xfId="7363"/>
    <cellStyle name="Normal 2 3 45" xfId="7364"/>
    <cellStyle name="Normal 2 3 46" xfId="7365"/>
    <cellStyle name="Normal 2 3 47" xfId="7366"/>
    <cellStyle name="Normal 2 3 48" xfId="7367"/>
    <cellStyle name="Normal 2 3 49" xfId="7368"/>
    <cellStyle name="Normal 2 3 5" xfId="7369"/>
    <cellStyle name="Normal 2 3 50" xfId="7370"/>
    <cellStyle name="Normal 2 3 51" xfId="7371"/>
    <cellStyle name="Normal 2 3 52" xfId="7372"/>
    <cellStyle name="Normal 2 3 53" xfId="7373"/>
    <cellStyle name="Normal 2 3 54" xfId="7374"/>
    <cellStyle name="Normal 2 3 55" xfId="7375"/>
    <cellStyle name="Normal 2 3 56" xfId="7376"/>
    <cellStyle name="Normal 2 3 57" xfId="7377"/>
    <cellStyle name="Normal 2 3 58" xfId="7378"/>
    <cellStyle name="Normal 2 3 59" xfId="7379"/>
    <cellStyle name="Normal 2 3 6" xfId="7380"/>
    <cellStyle name="Normal 2 3 60" xfId="7381"/>
    <cellStyle name="Normal 2 3 61" xfId="7382"/>
    <cellStyle name="Normal 2 3 62" xfId="7383"/>
    <cellStyle name="Normal 2 3 63" xfId="7384"/>
    <cellStyle name="Normal 2 3 64" xfId="7385"/>
    <cellStyle name="Normal 2 3 65" xfId="7386"/>
    <cellStyle name="Normal 2 3 66" xfId="7387"/>
    <cellStyle name="Normal 2 3 67" xfId="7388"/>
    <cellStyle name="Normal 2 3 68" xfId="7389"/>
    <cellStyle name="Normal 2 3 69" xfId="7390"/>
    <cellStyle name="Normal 2 3 7" xfId="7391"/>
    <cellStyle name="Normal 2 3 7 2" xfId="7392"/>
    <cellStyle name="Normal 2 3 70" xfId="7393"/>
    <cellStyle name="Normal 2 3 70 2" xfId="7394"/>
    <cellStyle name="Normal 2 3 71" xfId="7395"/>
    <cellStyle name="Normal 2 3 71 2" xfId="7396"/>
    <cellStyle name="Normal 2 3 72" xfId="7397"/>
    <cellStyle name="Normal 2 3 72 2" xfId="7398"/>
    <cellStyle name="Normal 2 3 73" xfId="7399"/>
    <cellStyle name="Normal 2 3 73 2" xfId="7400"/>
    <cellStyle name="Normal 2 3 74" xfId="7401"/>
    <cellStyle name="Normal 2 3 74 2" xfId="7402"/>
    <cellStyle name="Normal 2 3 75" xfId="7403"/>
    <cellStyle name="Normal 2 3 75 2" xfId="7404"/>
    <cellStyle name="Normal 2 3 76" xfId="7405"/>
    <cellStyle name="Normal 2 3 76 2" xfId="7406"/>
    <cellStyle name="Normal 2 3 77" xfId="7407"/>
    <cellStyle name="Normal 2 3 77 2" xfId="7408"/>
    <cellStyle name="Normal 2 3 78" xfId="7409"/>
    <cellStyle name="Normal 2 3 78 2" xfId="7410"/>
    <cellStyle name="Normal 2 3 79" xfId="7411"/>
    <cellStyle name="Normal 2 3 79 2" xfId="7412"/>
    <cellStyle name="Normal 2 3 8" xfId="7413"/>
    <cellStyle name="Normal 2 3 8 2" xfId="7414"/>
    <cellStyle name="Normal 2 3 80" xfId="7415"/>
    <cellStyle name="Normal 2 3 80 2" xfId="7416"/>
    <cellStyle name="Normal 2 3 81" xfId="7417"/>
    <cellStyle name="Normal 2 3 81 2" xfId="7418"/>
    <cellStyle name="Normal 2 3 82" xfId="7419"/>
    <cellStyle name="Normal 2 3 82 2" xfId="7420"/>
    <cellStyle name="Normal 2 3 83" xfId="7421"/>
    <cellStyle name="Normal 2 3 83 2" xfId="7422"/>
    <cellStyle name="Normal 2 3 84" xfId="7423"/>
    <cellStyle name="Normal 2 3 84 2" xfId="7424"/>
    <cellStyle name="Normal 2 3 85" xfId="7425"/>
    <cellStyle name="Normal 2 3 85 2" xfId="7426"/>
    <cellStyle name="Normal 2 3 86" xfId="7427"/>
    <cellStyle name="Normal 2 3 86 2" xfId="7428"/>
    <cellStyle name="Normal 2 3 87" xfId="7429"/>
    <cellStyle name="Normal 2 3 87 2" xfId="7430"/>
    <cellStyle name="Normal 2 3 88" xfId="7431"/>
    <cellStyle name="Normal 2 3 88 2" xfId="7432"/>
    <cellStyle name="Normal 2 3 89" xfId="7433"/>
    <cellStyle name="Normal 2 3 89 2" xfId="7434"/>
    <cellStyle name="Normal 2 3 9" xfId="7435"/>
    <cellStyle name="Normal 2 3 9 2" xfId="7436"/>
    <cellStyle name="Normal 2 3 90" xfId="7437"/>
    <cellStyle name="Normal 2 3 90 2" xfId="7438"/>
    <cellStyle name="Normal 2 3 91" xfId="7439"/>
    <cellStyle name="Normal 2 3 91 2" xfId="7440"/>
    <cellStyle name="Normal 2 3 92" xfId="7441"/>
    <cellStyle name="Normal 2 3 92 2" xfId="7442"/>
    <cellStyle name="Normal 2 3 93" xfId="7443"/>
    <cellStyle name="Normal 2 3 93 2" xfId="7444"/>
    <cellStyle name="Normal 2 3 94" xfId="7445"/>
    <cellStyle name="Normal 2 3 94 2" xfId="7446"/>
    <cellStyle name="Normal 2 3 95" xfId="7447"/>
    <cellStyle name="Normal 2 3 95 2" xfId="7448"/>
    <cellStyle name="Normal 2 3 96" xfId="7449"/>
    <cellStyle name="Normal 2 3 96 2" xfId="7450"/>
    <cellStyle name="Normal 2 3 97" xfId="7451"/>
    <cellStyle name="Normal 2 3 97 2" xfId="7452"/>
    <cellStyle name="Normal 2 3 98" xfId="7453"/>
    <cellStyle name="Normal 2 3 98 2" xfId="7454"/>
    <cellStyle name="Normal 2 3 99" xfId="7455"/>
    <cellStyle name="Normal 2 3 99 2" xfId="7456"/>
    <cellStyle name="Normal 2 30" xfId="7457"/>
    <cellStyle name="Normal 2 30 2" xfId="7458"/>
    <cellStyle name="Normal 2 30 2 2" xfId="7459"/>
    <cellStyle name="Normal 2 30 2 3" xfId="7460"/>
    <cellStyle name="Normal 2 30 2 3 2" xfId="18585"/>
    <cellStyle name="Normal 2 30 2 3 2 2" xfId="28175"/>
    <cellStyle name="Normal 2 30 2 3 3" xfId="28176"/>
    <cellStyle name="Normal 2 30 2 4" xfId="18586"/>
    <cellStyle name="Normal 2 30 2 4 2" xfId="28177"/>
    <cellStyle name="Normal 2 30 2 5" xfId="28178"/>
    <cellStyle name="Normal 2 30 3" xfId="7461"/>
    <cellStyle name="Normal 2 30 3 2" xfId="7462"/>
    <cellStyle name="Normal 2 30 3 3" xfId="7463"/>
    <cellStyle name="Normal 2 30 3 3 2" xfId="18587"/>
    <cellStyle name="Normal 2 30 3 3 2 2" xfId="28179"/>
    <cellStyle name="Normal 2 30 3 3 3" xfId="28180"/>
    <cellStyle name="Normal 2 30 3 4" xfId="18588"/>
    <cellStyle name="Normal 2 30 3 4 2" xfId="28181"/>
    <cellStyle name="Normal 2 30 3 5" xfId="28182"/>
    <cellStyle name="Normal 2 30 4" xfId="7464"/>
    <cellStyle name="Normal 2 30 5" xfId="7465"/>
    <cellStyle name="Normal 2 30 5 2" xfId="18589"/>
    <cellStyle name="Normal 2 30 5 2 2" xfId="28183"/>
    <cellStyle name="Normal 2 30 5 3" xfId="28184"/>
    <cellStyle name="Normal 2 30 6" xfId="18590"/>
    <cellStyle name="Normal 2 30 6 2" xfId="28185"/>
    <cellStyle name="Normal 2 30 7" xfId="28186"/>
    <cellStyle name="Normal 2 31" xfId="7466"/>
    <cellStyle name="Normal 2 31 2" xfId="7467"/>
    <cellStyle name="Normal 2 31 2 2" xfId="7468"/>
    <cellStyle name="Normal 2 31 2 3" xfId="7469"/>
    <cellStyle name="Normal 2 31 2 3 2" xfId="18591"/>
    <cellStyle name="Normal 2 31 2 3 2 2" xfId="28187"/>
    <cellStyle name="Normal 2 31 2 3 3" xfId="28188"/>
    <cellStyle name="Normal 2 31 2 4" xfId="18592"/>
    <cellStyle name="Normal 2 31 2 4 2" xfId="28189"/>
    <cellStyle name="Normal 2 31 2 5" xfId="28190"/>
    <cellStyle name="Normal 2 31 3" xfId="7470"/>
    <cellStyle name="Normal 2 31 3 2" xfId="7471"/>
    <cellStyle name="Normal 2 31 3 3" xfId="7472"/>
    <cellStyle name="Normal 2 31 3 3 2" xfId="18593"/>
    <cellStyle name="Normal 2 31 3 3 2 2" xfId="28191"/>
    <cellStyle name="Normal 2 31 3 3 3" xfId="28192"/>
    <cellStyle name="Normal 2 31 3 4" xfId="18594"/>
    <cellStyle name="Normal 2 31 3 4 2" xfId="28193"/>
    <cellStyle name="Normal 2 31 3 5" xfId="28194"/>
    <cellStyle name="Normal 2 31 4" xfId="7473"/>
    <cellStyle name="Normal 2 31 5" xfId="7474"/>
    <cellStyle name="Normal 2 31 5 2" xfId="18595"/>
    <cellStyle name="Normal 2 31 5 2 2" xfId="28195"/>
    <cellStyle name="Normal 2 31 5 3" xfId="28196"/>
    <cellStyle name="Normal 2 31 6" xfId="18596"/>
    <cellStyle name="Normal 2 31 6 2" xfId="28197"/>
    <cellStyle name="Normal 2 31 7" xfId="28198"/>
    <cellStyle name="Normal 2 32" xfId="7475"/>
    <cellStyle name="Normal 2 32 2" xfId="7476"/>
    <cellStyle name="Normal 2 32 2 2" xfId="7477"/>
    <cellStyle name="Normal 2 32 2 3" xfId="7478"/>
    <cellStyle name="Normal 2 32 2 3 2" xfId="18597"/>
    <cellStyle name="Normal 2 32 2 3 2 2" xfId="28199"/>
    <cellStyle name="Normal 2 32 2 3 3" xfId="28200"/>
    <cellStyle name="Normal 2 32 2 4" xfId="18598"/>
    <cellStyle name="Normal 2 32 2 4 2" xfId="28201"/>
    <cellStyle name="Normal 2 32 2 5" xfId="28202"/>
    <cellStyle name="Normal 2 32 3" xfId="7479"/>
    <cellStyle name="Normal 2 32 3 2" xfId="7480"/>
    <cellStyle name="Normal 2 32 3 3" xfId="7481"/>
    <cellStyle name="Normal 2 32 3 3 2" xfId="18599"/>
    <cellStyle name="Normal 2 32 3 3 2 2" xfId="28203"/>
    <cellStyle name="Normal 2 32 3 3 3" xfId="28204"/>
    <cellStyle name="Normal 2 32 3 4" xfId="18600"/>
    <cellStyle name="Normal 2 32 3 4 2" xfId="28205"/>
    <cellStyle name="Normal 2 32 3 5" xfId="28206"/>
    <cellStyle name="Normal 2 32 4" xfId="7482"/>
    <cellStyle name="Normal 2 32 5" xfId="7483"/>
    <cellStyle name="Normal 2 32 5 2" xfId="18601"/>
    <cellStyle name="Normal 2 32 5 2 2" xfId="28207"/>
    <cellStyle name="Normal 2 32 5 3" xfId="28208"/>
    <cellStyle name="Normal 2 32 6" xfId="18602"/>
    <cellStyle name="Normal 2 32 6 2" xfId="28209"/>
    <cellStyle name="Normal 2 32 7" xfId="28210"/>
    <cellStyle name="Normal 2 33" xfId="7484"/>
    <cellStyle name="Normal 2 33 2" xfId="7485"/>
    <cellStyle name="Normal 2 33 2 2" xfId="7486"/>
    <cellStyle name="Normal 2 33 2 3" xfId="7487"/>
    <cellStyle name="Normal 2 33 2 3 2" xfId="18603"/>
    <cellStyle name="Normal 2 33 2 3 2 2" xfId="28211"/>
    <cellStyle name="Normal 2 33 2 3 3" xfId="28212"/>
    <cellStyle name="Normal 2 33 2 4" xfId="18604"/>
    <cellStyle name="Normal 2 33 2 4 2" xfId="28213"/>
    <cellStyle name="Normal 2 33 2 5" xfId="28214"/>
    <cellStyle name="Normal 2 33 3" xfId="7488"/>
    <cellStyle name="Normal 2 33 3 2" xfId="7489"/>
    <cellStyle name="Normal 2 33 3 3" xfId="7490"/>
    <cellStyle name="Normal 2 33 3 3 2" xfId="18605"/>
    <cellStyle name="Normal 2 33 3 3 2 2" xfId="28215"/>
    <cellStyle name="Normal 2 33 3 3 3" xfId="28216"/>
    <cellStyle name="Normal 2 33 3 4" xfId="18606"/>
    <cellStyle name="Normal 2 33 3 4 2" xfId="28217"/>
    <cellStyle name="Normal 2 33 3 5" xfId="28218"/>
    <cellStyle name="Normal 2 33 4" xfId="7491"/>
    <cellStyle name="Normal 2 33 5" xfId="7492"/>
    <cellStyle name="Normal 2 33 5 2" xfId="18607"/>
    <cellStyle name="Normal 2 33 5 2 2" xfId="28219"/>
    <cellStyle name="Normal 2 33 5 3" xfId="28220"/>
    <cellStyle name="Normal 2 33 6" xfId="18608"/>
    <cellStyle name="Normal 2 33 6 2" xfId="28221"/>
    <cellStyle name="Normal 2 33 7" xfId="28222"/>
    <cellStyle name="Normal 2 34" xfId="7493"/>
    <cellStyle name="Normal 2 34 2" xfId="7494"/>
    <cellStyle name="Normal 2 34 2 2" xfId="7495"/>
    <cellStyle name="Normal 2 34 2 3" xfId="7496"/>
    <cellStyle name="Normal 2 34 2 3 2" xfId="18609"/>
    <cellStyle name="Normal 2 34 2 3 2 2" xfId="28223"/>
    <cellStyle name="Normal 2 34 2 3 3" xfId="28224"/>
    <cellStyle name="Normal 2 34 2 4" xfId="18610"/>
    <cellStyle name="Normal 2 34 2 4 2" xfId="28225"/>
    <cellStyle name="Normal 2 34 2 5" xfId="28226"/>
    <cellStyle name="Normal 2 34 3" xfId="7497"/>
    <cellStyle name="Normal 2 34 3 2" xfId="7498"/>
    <cellStyle name="Normal 2 34 3 3" xfId="7499"/>
    <cellStyle name="Normal 2 34 3 3 2" xfId="18611"/>
    <cellStyle name="Normal 2 34 3 3 2 2" xfId="28227"/>
    <cellStyle name="Normal 2 34 3 3 3" xfId="28228"/>
    <cellStyle name="Normal 2 34 3 4" xfId="18612"/>
    <cellStyle name="Normal 2 34 3 4 2" xfId="28229"/>
    <cellStyle name="Normal 2 34 3 5" xfId="28230"/>
    <cellStyle name="Normal 2 34 4" xfId="7500"/>
    <cellStyle name="Normal 2 34 5" xfId="7501"/>
    <cellStyle name="Normal 2 34 5 2" xfId="18613"/>
    <cellStyle name="Normal 2 34 5 2 2" xfId="28231"/>
    <cellStyle name="Normal 2 34 5 3" xfId="28232"/>
    <cellStyle name="Normal 2 34 6" xfId="18614"/>
    <cellStyle name="Normal 2 34 6 2" xfId="28233"/>
    <cellStyle name="Normal 2 34 7" xfId="28234"/>
    <cellStyle name="Normal 2 35" xfId="7502"/>
    <cellStyle name="Normal 2 35 2" xfId="7503"/>
    <cellStyle name="Normal 2 35 2 2" xfId="7504"/>
    <cellStyle name="Normal 2 35 2 3" xfId="7505"/>
    <cellStyle name="Normal 2 35 2 3 2" xfId="18615"/>
    <cellStyle name="Normal 2 35 2 3 2 2" xfId="28235"/>
    <cellStyle name="Normal 2 35 2 3 3" xfId="28236"/>
    <cellStyle name="Normal 2 35 2 4" xfId="18616"/>
    <cellStyle name="Normal 2 35 2 4 2" xfId="28237"/>
    <cellStyle name="Normal 2 35 2 5" xfId="28238"/>
    <cellStyle name="Normal 2 35 3" xfId="7506"/>
    <cellStyle name="Normal 2 35 3 2" xfId="7507"/>
    <cellStyle name="Normal 2 35 3 3" xfId="7508"/>
    <cellStyle name="Normal 2 35 3 3 2" xfId="18617"/>
    <cellStyle name="Normal 2 35 3 3 2 2" xfId="28239"/>
    <cellStyle name="Normal 2 35 3 3 3" xfId="28240"/>
    <cellStyle name="Normal 2 35 3 4" xfId="18618"/>
    <cellStyle name="Normal 2 35 3 4 2" xfId="28241"/>
    <cellStyle name="Normal 2 35 3 5" xfId="28242"/>
    <cellStyle name="Normal 2 35 4" xfId="7509"/>
    <cellStyle name="Normal 2 35 5" xfId="7510"/>
    <cellStyle name="Normal 2 35 5 2" xfId="18619"/>
    <cellStyle name="Normal 2 35 5 2 2" xfId="28243"/>
    <cellStyle name="Normal 2 35 5 3" xfId="28244"/>
    <cellStyle name="Normal 2 35 6" xfId="18620"/>
    <cellStyle name="Normal 2 35 6 2" xfId="28245"/>
    <cellStyle name="Normal 2 35 7" xfId="28246"/>
    <cellStyle name="Normal 2 36" xfId="7511"/>
    <cellStyle name="Normal 2 36 2" xfId="7512"/>
    <cellStyle name="Normal 2 36 2 2" xfId="7513"/>
    <cellStyle name="Normal 2 36 2 3" xfId="7514"/>
    <cellStyle name="Normal 2 36 2 3 2" xfId="18621"/>
    <cellStyle name="Normal 2 36 2 3 2 2" xfId="28247"/>
    <cellStyle name="Normal 2 36 2 3 3" xfId="28248"/>
    <cellStyle name="Normal 2 36 2 4" xfId="18622"/>
    <cellStyle name="Normal 2 36 2 4 2" xfId="28249"/>
    <cellStyle name="Normal 2 36 2 5" xfId="28250"/>
    <cellStyle name="Normal 2 36 3" xfId="7515"/>
    <cellStyle name="Normal 2 36 3 2" xfId="7516"/>
    <cellStyle name="Normal 2 36 3 3" xfId="7517"/>
    <cellStyle name="Normal 2 36 3 3 2" xfId="18623"/>
    <cellStyle name="Normal 2 36 3 3 2 2" xfId="28251"/>
    <cellStyle name="Normal 2 36 3 3 3" xfId="28252"/>
    <cellStyle name="Normal 2 36 3 4" xfId="18624"/>
    <cellStyle name="Normal 2 36 3 4 2" xfId="28253"/>
    <cellStyle name="Normal 2 36 3 5" xfId="28254"/>
    <cellStyle name="Normal 2 36 4" xfId="7518"/>
    <cellStyle name="Normal 2 36 5" xfId="18625"/>
    <cellStyle name="Normal 2 36 5 2" xfId="28255"/>
    <cellStyle name="Normal 2 37" xfId="7519"/>
    <cellStyle name="Normal 2 37 2" xfId="7520"/>
    <cellStyle name="Normal 2 37 2 2" xfId="7521"/>
    <cellStyle name="Normal 2 37 2 3" xfId="7522"/>
    <cellStyle name="Normal 2 37 2 3 2" xfId="18626"/>
    <cellStyle name="Normal 2 37 2 3 2 2" xfId="28256"/>
    <cellStyle name="Normal 2 37 2 3 3" xfId="28257"/>
    <cellStyle name="Normal 2 37 2 4" xfId="18627"/>
    <cellStyle name="Normal 2 37 2 4 2" xfId="28258"/>
    <cellStyle name="Normal 2 37 2 5" xfId="28259"/>
    <cellStyle name="Normal 2 37 3" xfId="7523"/>
    <cellStyle name="Normal 2 37 3 2" xfId="7524"/>
    <cellStyle name="Normal 2 37 3 3" xfId="7525"/>
    <cellStyle name="Normal 2 37 3 3 2" xfId="18628"/>
    <cellStyle name="Normal 2 37 3 3 2 2" xfId="28260"/>
    <cellStyle name="Normal 2 37 3 3 3" xfId="28261"/>
    <cellStyle name="Normal 2 37 3 4" xfId="18629"/>
    <cellStyle name="Normal 2 37 3 4 2" xfId="28262"/>
    <cellStyle name="Normal 2 37 3 5" xfId="28263"/>
    <cellStyle name="Normal 2 37 4" xfId="7526"/>
    <cellStyle name="Normal 2 37 5" xfId="7527"/>
    <cellStyle name="Normal 2 37 5 2" xfId="18630"/>
    <cellStyle name="Normal 2 37 5 2 2" xfId="28264"/>
    <cellStyle name="Normal 2 37 5 3" xfId="28265"/>
    <cellStyle name="Normal 2 37 6" xfId="18631"/>
    <cellStyle name="Normal 2 37 6 2" xfId="28266"/>
    <cellStyle name="Normal 2 37 7" xfId="28267"/>
    <cellStyle name="Normal 2 38" xfId="7528"/>
    <cellStyle name="Normal 2 38 2" xfId="7529"/>
    <cellStyle name="Normal 2 38 2 2" xfId="7530"/>
    <cellStyle name="Normal 2 38 2 3" xfId="7531"/>
    <cellStyle name="Normal 2 38 2 3 2" xfId="18632"/>
    <cellStyle name="Normal 2 38 2 3 2 2" xfId="28268"/>
    <cellStyle name="Normal 2 38 2 3 3" xfId="28269"/>
    <cellStyle name="Normal 2 38 2 4" xfId="18633"/>
    <cellStyle name="Normal 2 38 2 4 2" xfId="28270"/>
    <cellStyle name="Normal 2 38 2 5" xfId="28271"/>
    <cellStyle name="Normal 2 38 3" xfId="7532"/>
    <cellStyle name="Normal 2 38 3 2" xfId="7533"/>
    <cellStyle name="Normal 2 38 3 3" xfId="7534"/>
    <cellStyle name="Normal 2 38 3 3 2" xfId="18634"/>
    <cellStyle name="Normal 2 38 3 3 2 2" xfId="28272"/>
    <cellStyle name="Normal 2 38 3 3 3" xfId="28273"/>
    <cellStyle name="Normal 2 38 3 4" xfId="18635"/>
    <cellStyle name="Normal 2 38 3 4 2" xfId="28274"/>
    <cellStyle name="Normal 2 38 3 5" xfId="28275"/>
    <cellStyle name="Normal 2 38 4" xfId="7535"/>
    <cellStyle name="Normal 2 38 5" xfId="7536"/>
    <cellStyle name="Normal 2 38 5 2" xfId="18636"/>
    <cellStyle name="Normal 2 38 5 2 2" xfId="28276"/>
    <cellStyle name="Normal 2 38 5 3" xfId="28277"/>
    <cellStyle name="Normal 2 38 6" xfId="18637"/>
    <cellStyle name="Normal 2 38 6 2" xfId="28278"/>
    <cellStyle name="Normal 2 38 7" xfId="28279"/>
    <cellStyle name="Normal 2 39" xfId="7537"/>
    <cellStyle name="Normal 2 39 2" xfId="7538"/>
    <cellStyle name="Normal 2 39 2 2" xfId="7539"/>
    <cellStyle name="Normal 2 39 2 3" xfId="7540"/>
    <cellStyle name="Normal 2 39 2 3 2" xfId="18638"/>
    <cellStyle name="Normal 2 39 2 3 2 2" xfId="28280"/>
    <cellStyle name="Normal 2 39 2 3 3" xfId="28281"/>
    <cellStyle name="Normal 2 39 2 4" xfId="18639"/>
    <cellStyle name="Normal 2 39 2 4 2" xfId="28282"/>
    <cellStyle name="Normal 2 39 2 5" xfId="28283"/>
    <cellStyle name="Normal 2 39 3" xfId="7541"/>
    <cellStyle name="Normal 2 39 3 2" xfId="7542"/>
    <cellStyle name="Normal 2 39 3 3" xfId="7543"/>
    <cellStyle name="Normal 2 39 3 3 2" xfId="18640"/>
    <cellStyle name="Normal 2 39 3 3 2 2" xfId="28284"/>
    <cellStyle name="Normal 2 39 3 3 3" xfId="28285"/>
    <cellStyle name="Normal 2 39 3 4" xfId="18641"/>
    <cellStyle name="Normal 2 39 3 4 2" xfId="28286"/>
    <cellStyle name="Normal 2 39 3 5" xfId="28287"/>
    <cellStyle name="Normal 2 39 4" xfId="7544"/>
    <cellStyle name="Normal 2 39 5" xfId="7545"/>
    <cellStyle name="Normal 2 39 5 2" xfId="18642"/>
    <cellStyle name="Normal 2 39 5 2 2" xfId="28288"/>
    <cellStyle name="Normal 2 39 5 3" xfId="28289"/>
    <cellStyle name="Normal 2 39 6" xfId="18643"/>
    <cellStyle name="Normal 2 39 6 2" xfId="28290"/>
    <cellStyle name="Normal 2 39 7" xfId="28291"/>
    <cellStyle name="Normal 2 4" xfId="50"/>
    <cellStyle name="Normal 2 4 10" xfId="7546"/>
    <cellStyle name="Normal 2 4 10 2" xfId="28292"/>
    <cellStyle name="Normal 2 4 11" xfId="7547"/>
    <cellStyle name="Normal 2 4 11 2" xfId="18644"/>
    <cellStyle name="Normal 2 4 11 2 2" xfId="28293"/>
    <cellStyle name="Normal 2 4 11 3" xfId="28294"/>
    <cellStyle name="Normal 2 4 12" xfId="18645"/>
    <cellStyle name="Normal 2 4 12 2" xfId="28295"/>
    <cellStyle name="Normal 2 4 13" xfId="28296"/>
    <cellStyle name="Normal 2 4 2" xfId="7548"/>
    <cellStyle name="Normal 2 4 2 10" xfId="18646"/>
    <cellStyle name="Normal 2 4 2 10 2" xfId="28297"/>
    <cellStyle name="Normal 2 4 2 11" xfId="28298"/>
    <cellStyle name="Normal 2 4 2 2" xfId="7549"/>
    <cellStyle name="Normal 2 4 2 2 2" xfId="7550"/>
    <cellStyle name="Normal 2 4 2 2 2 2" xfId="7551"/>
    <cellStyle name="Normal 2 4 2 2 2 2 2" xfId="7552"/>
    <cellStyle name="Normal 2 4 2 2 2 2 2 2" xfId="28299"/>
    <cellStyle name="Normal 2 4 2 2 2 2 3" xfId="7553"/>
    <cellStyle name="Normal 2 4 2 2 2 2 3 2" xfId="18647"/>
    <cellStyle name="Normal 2 4 2 2 2 2 3 2 2" xfId="28300"/>
    <cellStyle name="Normal 2 4 2 2 2 2 3 3" xfId="28301"/>
    <cellStyle name="Normal 2 4 2 2 2 2 4" xfId="18648"/>
    <cellStyle name="Normal 2 4 2 2 2 2 4 2" xfId="28302"/>
    <cellStyle name="Normal 2 4 2 2 2 2 5" xfId="28303"/>
    <cellStyle name="Normal 2 4 2 2 2 3" xfId="7554"/>
    <cellStyle name="Normal 2 4 2 2 2 3 2" xfId="28304"/>
    <cellStyle name="Normal 2 4 2 2 2 4" xfId="7555"/>
    <cellStyle name="Normal 2 4 2 2 2 4 2" xfId="18649"/>
    <cellStyle name="Normal 2 4 2 2 2 4 2 2" xfId="28305"/>
    <cellStyle name="Normal 2 4 2 2 2 4 3" xfId="28306"/>
    <cellStyle name="Normal 2 4 2 2 2 5" xfId="18650"/>
    <cellStyle name="Normal 2 4 2 2 2 5 2" xfId="28307"/>
    <cellStyle name="Normal 2 4 2 2 2 6" xfId="28308"/>
    <cellStyle name="Normal 2 4 2 2 3" xfId="7556"/>
    <cellStyle name="Normal 2 4 2 2 3 2" xfId="7557"/>
    <cellStyle name="Normal 2 4 2 2 3 2 2" xfId="7558"/>
    <cellStyle name="Normal 2 4 2 2 3 2 3" xfId="7559"/>
    <cellStyle name="Normal 2 4 2 2 3 2 3 2" xfId="18651"/>
    <cellStyle name="Normal 2 4 2 2 3 2 3 2 2" xfId="28309"/>
    <cellStyle name="Normal 2 4 2 2 3 2 3 3" xfId="28310"/>
    <cellStyle name="Normal 2 4 2 2 3 2 4" xfId="18652"/>
    <cellStyle name="Normal 2 4 2 2 3 2 4 2" xfId="28311"/>
    <cellStyle name="Normal 2 4 2 2 3 2 5" xfId="28312"/>
    <cellStyle name="Normal 2 4 2 2 3 3" xfId="7560"/>
    <cellStyle name="Normal 2 4 2 2 3 4" xfId="7561"/>
    <cellStyle name="Normal 2 4 2 2 3 4 2" xfId="18653"/>
    <cellStyle name="Normal 2 4 2 2 3 4 2 2" xfId="28313"/>
    <cellStyle name="Normal 2 4 2 2 3 4 3" xfId="28314"/>
    <cellStyle name="Normal 2 4 2 2 3 5" xfId="18654"/>
    <cellStyle name="Normal 2 4 2 2 3 5 2" xfId="28315"/>
    <cellStyle name="Normal 2 4 2 2 3 6" xfId="28316"/>
    <cellStyle name="Normal 2 4 2 2 4" xfId="7562"/>
    <cellStyle name="Normal 2 4 2 2 4 2" xfId="7563"/>
    <cellStyle name="Normal 2 4 2 2 4 2 2" xfId="7564"/>
    <cellStyle name="Normal 2 4 2 2 4 2 3" xfId="7565"/>
    <cellStyle name="Normal 2 4 2 2 4 2 3 2" xfId="18655"/>
    <cellStyle name="Normal 2 4 2 2 4 2 3 2 2" xfId="28317"/>
    <cellStyle name="Normal 2 4 2 2 4 2 3 3" xfId="28318"/>
    <cellStyle name="Normal 2 4 2 2 4 2 4" xfId="18656"/>
    <cellStyle name="Normal 2 4 2 2 4 2 4 2" xfId="28319"/>
    <cellStyle name="Normal 2 4 2 2 4 2 5" xfId="28320"/>
    <cellStyle name="Normal 2 4 2 2 4 3" xfId="7566"/>
    <cellStyle name="Normal 2 4 2 2 4 4" xfId="7567"/>
    <cellStyle name="Normal 2 4 2 2 4 4 2" xfId="18657"/>
    <cellStyle name="Normal 2 4 2 2 4 4 2 2" xfId="28321"/>
    <cellStyle name="Normal 2 4 2 2 4 4 3" xfId="28322"/>
    <cellStyle name="Normal 2 4 2 2 4 5" xfId="18658"/>
    <cellStyle name="Normal 2 4 2 2 4 5 2" xfId="28323"/>
    <cellStyle name="Normal 2 4 2 2 4 6" xfId="28324"/>
    <cellStyle name="Normal 2 4 2 2 5" xfId="7568"/>
    <cellStyle name="Normal 2 4 2 2 5 2" xfId="7569"/>
    <cellStyle name="Normal 2 4 2 2 5 2 2" xfId="7570"/>
    <cellStyle name="Normal 2 4 2 2 5 2 3" xfId="7571"/>
    <cellStyle name="Normal 2 4 2 2 5 2 3 2" xfId="18659"/>
    <cellStyle name="Normal 2 4 2 2 5 2 3 2 2" xfId="28325"/>
    <cellStyle name="Normal 2 4 2 2 5 2 3 3" xfId="28326"/>
    <cellStyle name="Normal 2 4 2 2 5 2 4" xfId="18660"/>
    <cellStyle name="Normal 2 4 2 2 5 2 4 2" xfId="28327"/>
    <cellStyle name="Normal 2 4 2 2 5 2 5" xfId="28328"/>
    <cellStyle name="Normal 2 4 2 2 5 3" xfId="7572"/>
    <cellStyle name="Normal 2 4 2 2 5 4" xfId="7573"/>
    <cellStyle name="Normal 2 4 2 2 5 4 2" xfId="18661"/>
    <cellStyle name="Normal 2 4 2 2 5 4 2 2" xfId="28329"/>
    <cellStyle name="Normal 2 4 2 2 5 4 3" xfId="28330"/>
    <cellStyle name="Normal 2 4 2 2 5 5" xfId="18662"/>
    <cellStyle name="Normal 2 4 2 2 5 5 2" xfId="28331"/>
    <cellStyle name="Normal 2 4 2 2 5 6" xfId="28332"/>
    <cellStyle name="Normal 2 4 2 2 6" xfId="7574"/>
    <cellStyle name="Normal 2 4 2 2 6 2" xfId="7575"/>
    <cellStyle name="Normal 2 4 2 2 6 3" xfId="7576"/>
    <cellStyle name="Normal 2 4 2 2 6 3 2" xfId="18663"/>
    <cellStyle name="Normal 2 4 2 2 6 3 2 2" xfId="28333"/>
    <cellStyle name="Normal 2 4 2 2 6 3 3" xfId="28334"/>
    <cellStyle name="Normal 2 4 2 2 6 4" xfId="18664"/>
    <cellStyle name="Normal 2 4 2 2 6 4 2" xfId="28335"/>
    <cellStyle name="Normal 2 4 2 2 6 5" xfId="28336"/>
    <cellStyle name="Normal 2 4 2 2 7" xfId="7577"/>
    <cellStyle name="Normal 2 4 2 3" xfId="7578"/>
    <cellStyle name="Normal 2 4 2 3 2" xfId="7579"/>
    <cellStyle name="Normal 2 4 2 4" xfId="7580"/>
    <cellStyle name="Normal 2 4 2 4 2" xfId="7581"/>
    <cellStyle name="Normal 2 4 2 5" xfId="7582"/>
    <cellStyle name="Normal 2 4 2 5 2" xfId="7583"/>
    <cellStyle name="Normal 2 4 2 6" xfId="7584"/>
    <cellStyle name="Normal 2 4 2 6 2" xfId="7585"/>
    <cellStyle name="Normal 2 4 2 6 3" xfId="7586"/>
    <cellStyle name="Normal 2 4 2 6 3 2" xfId="18665"/>
    <cellStyle name="Normal 2 4 2 6 3 2 2" xfId="28337"/>
    <cellStyle name="Normal 2 4 2 6 3 3" xfId="28338"/>
    <cellStyle name="Normal 2 4 2 6 4" xfId="18666"/>
    <cellStyle name="Normal 2 4 2 6 4 2" xfId="28339"/>
    <cellStyle name="Normal 2 4 2 6 5" xfId="28340"/>
    <cellStyle name="Normal 2 4 2 7" xfId="7587"/>
    <cellStyle name="Normal 2 4 2 7 2" xfId="7588"/>
    <cellStyle name="Normal 2 4 2 7 3" xfId="7589"/>
    <cellStyle name="Normal 2 4 2 7 3 2" xfId="18667"/>
    <cellStyle name="Normal 2 4 2 7 3 2 2" xfId="28341"/>
    <cellStyle name="Normal 2 4 2 7 3 3" xfId="28342"/>
    <cellStyle name="Normal 2 4 2 7 4" xfId="18668"/>
    <cellStyle name="Normal 2 4 2 7 4 2" xfId="28343"/>
    <cellStyle name="Normal 2 4 2 7 5" xfId="28344"/>
    <cellStyle name="Normal 2 4 2 8" xfId="7590"/>
    <cellStyle name="Normal 2 4 2 9" xfId="7591"/>
    <cellStyle name="Normal 2 4 2 9 2" xfId="18669"/>
    <cellStyle name="Normal 2 4 2 9 2 2" xfId="28345"/>
    <cellStyle name="Normal 2 4 2 9 3" xfId="28346"/>
    <cellStyle name="Normal 2 4 3" xfId="7592"/>
    <cellStyle name="Normal 2 4 3 2" xfId="7593"/>
    <cellStyle name="Normal 2 4 3 2 2" xfId="7594"/>
    <cellStyle name="Normal 2 4 3 2 2 2" xfId="28347"/>
    <cellStyle name="Normal 2 4 3 2 3" xfId="7595"/>
    <cellStyle name="Normal 2 4 3 2 3 2" xfId="18670"/>
    <cellStyle name="Normal 2 4 3 2 3 2 2" xfId="28348"/>
    <cellStyle name="Normal 2 4 3 2 3 3" xfId="28349"/>
    <cellStyle name="Normal 2 4 3 2 4" xfId="18671"/>
    <cellStyle name="Normal 2 4 3 2 4 2" xfId="28350"/>
    <cellStyle name="Normal 2 4 3 2 5" xfId="28351"/>
    <cellStyle name="Normal 2 4 3 3" xfId="7596"/>
    <cellStyle name="Normal 2 4 3 3 2" xfId="7597"/>
    <cellStyle name="Normal 2 4 3 3 3" xfId="28352"/>
    <cellStyle name="Normal 2 4 3 4" xfId="7598"/>
    <cellStyle name="Normal 2 4 3 5" xfId="7599"/>
    <cellStyle name="Normal 2 4 3 5 2" xfId="18672"/>
    <cellStyle name="Normal 2 4 3 5 2 2" xfId="28353"/>
    <cellStyle name="Normal 2 4 3 5 3" xfId="28354"/>
    <cellStyle name="Normal 2 4 3 6" xfId="18673"/>
    <cellStyle name="Normal 2 4 3 6 2" xfId="28355"/>
    <cellStyle name="Normal 2 4 3 7" xfId="28356"/>
    <cellStyle name="Normal 2 4 4" xfId="7600"/>
    <cellStyle name="Normal 2 4 4 2" xfId="7601"/>
    <cellStyle name="Normal 2 4 4 2 2" xfId="7602"/>
    <cellStyle name="Normal 2 4 4 2 2 2" xfId="28357"/>
    <cellStyle name="Normal 2 4 4 2 3" xfId="7603"/>
    <cellStyle name="Normal 2 4 4 2 3 2" xfId="18674"/>
    <cellStyle name="Normal 2 4 4 2 3 2 2" xfId="28358"/>
    <cellStyle name="Normal 2 4 4 2 3 3" xfId="28359"/>
    <cellStyle name="Normal 2 4 4 2 4" xfId="18675"/>
    <cellStyle name="Normal 2 4 4 2 4 2" xfId="28360"/>
    <cellStyle name="Normal 2 4 4 2 5" xfId="28361"/>
    <cellStyle name="Normal 2 4 4 3" xfId="7604"/>
    <cellStyle name="Normal 2 4 4 3 2" xfId="28362"/>
    <cellStyle name="Normal 2 4 4 4" xfId="7605"/>
    <cellStyle name="Normal 2 4 4 4 2" xfId="18676"/>
    <cellStyle name="Normal 2 4 4 4 2 2" xfId="28363"/>
    <cellStyle name="Normal 2 4 4 4 3" xfId="28364"/>
    <cellStyle name="Normal 2 4 4 5" xfId="18677"/>
    <cellStyle name="Normal 2 4 4 5 2" xfId="28365"/>
    <cellStyle name="Normal 2 4 4 6" xfId="28366"/>
    <cellStyle name="Normal 2 4 5" xfId="7606"/>
    <cellStyle name="Normal 2 4 5 2" xfId="7607"/>
    <cellStyle name="Normal 2 4 5 2 2" xfId="7608"/>
    <cellStyle name="Normal 2 4 5 2 3" xfId="7609"/>
    <cellStyle name="Normal 2 4 5 2 3 2" xfId="18678"/>
    <cellStyle name="Normal 2 4 5 2 3 2 2" xfId="28367"/>
    <cellStyle name="Normal 2 4 5 2 3 3" xfId="28368"/>
    <cellStyle name="Normal 2 4 5 2 4" xfId="18679"/>
    <cellStyle name="Normal 2 4 5 2 4 2" xfId="28369"/>
    <cellStyle name="Normal 2 4 5 2 5" xfId="28370"/>
    <cellStyle name="Normal 2 4 5 3" xfId="7610"/>
    <cellStyle name="Normal 2 4 5 4" xfId="7611"/>
    <cellStyle name="Normal 2 4 5 4 2" xfId="18680"/>
    <cellStyle name="Normal 2 4 5 4 2 2" xfId="28371"/>
    <cellStyle name="Normal 2 4 5 4 3" xfId="28372"/>
    <cellStyle name="Normal 2 4 5 5" xfId="18681"/>
    <cellStyle name="Normal 2 4 5 5 2" xfId="28373"/>
    <cellStyle name="Normal 2 4 5 6" xfId="28374"/>
    <cellStyle name="Normal 2 4 6" xfId="7612"/>
    <cellStyle name="Normal 2 4 6 2" xfId="7613"/>
    <cellStyle name="Normal 2 4 6 2 2" xfId="7614"/>
    <cellStyle name="Normal 2 4 6 2 3" xfId="7615"/>
    <cellStyle name="Normal 2 4 6 2 3 2" xfId="18682"/>
    <cellStyle name="Normal 2 4 6 2 3 2 2" xfId="28375"/>
    <cellStyle name="Normal 2 4 6 2 3 3" xfId="28376"/>
    <cellStyle name="Normal 2 4 6 2 4" xfId="18683"/>
    <cellStyle name="Normal 2 4 6 2 4 2" xfId="28377"/>
    <cellStyle name="Normal 2 4 6 2 5" xfId="28378"/>
    <cellStyle name="Normal 2 4 6 3" xfId="7616"/>
    <cellStyle name="Normal 2 4 6 4" xfId="7617"/>
    <cellStyle name="Normal 2 4 6 4 2" xfId="18684"/>
    <cellStyle name="Normal 2 4 6 4 2 2" xfId="28379"/>
    <cellStyle name="Normal 2 4 6 4 3" xfId="28380"/>
    <cellStyle name="Normal 2 4 6 5" xfId="18685"/>
    <cellStyle name="Normal 2 4 6 5 2" xfId="28381"/>
    <cellStyle name="Normal 2 4 6 6" xfId="28382"/>
    <cellStyle name="Normal 2 4 7" xfId="7618"/>
    <cellStyle name="Normal 2 4 7 2" xfId="7619"/>
    <cellStyle name="Normal 2 4 7 2 2" xfId="7620"/>
    <cellStyle name="Normal 2 4 7 2 2 2" xfId="28383"/>
    <cellStyle name="Normal 2 4 7 2 3" xfId="7621"/>
    <cellStyle name="Normal 2 4 7 2 3 2" xfId="18686"/>
    <cellStyle name="Normal 2 4 7 2 3 2 2" xfId="28384"/>
    <cellStyle name="Normal 2 4 7 2 3 3" xfId="28385"/>
    <cellStyle name="Normal 2 4 7 2 4" xfId="18687"/>
    <cellStyle name="Normal 2 4 7 2 4 2" xfId="28386"/>
    <cellStyle name="Normal 2 4 7 2 5" xfId="28387"/>
    <cellStyle name="Normal 2 4 7 3" xfId="7622"/>
    <cellStyle name="Normal 2 4 7 3 2" xfId="7623"/>
    <cellStyle name="Normal 2 4 7 4" xfId="7624"/>
    <cellStyle name="Normal 2 4 7 4 2" xfId="28388"/>
    <cellStyle name="Normal 2 4 7 5" xfId="7625"/>
    <cellStyle name="Normal 2 4 7 5 2" xfId="18688"/>
    <cellStyle name="Normal 2 4 7 5 2 2" xfId="28389"/>
    <cellStyle name="Normal 2 4 7 5 3" xfId="28390"/>
    <cellStyle name="Normal 2 4 7 6" xfId="18689"/>
    <cellStyle name="Normal 2 4 7 6 2" xfId="28391"/>
    <cellStyle name="Normal 2 4 7 7" xfId="28392"/>
    <cellStyle name="Normal 2 4 8" xfId="7626"/>
    <cellStyle name="Normal 2 4 8 2" xfId="7627"/>
    <cellStyle name="Normal 2 4 8 2 2" xfId="28393"/>
    <cellStyle name="Normal 2 4 8 3" xfId="7628"/>
    <cellStyle name="Normal 2 4 8 3 2" xfId="18690"/>
    <cellStyle name="Normal 2 4 8 3 2 2" xfId="28394"/>
    <cellStyle name="Normal 2 4 8 3 3" xfId="28395"/>
    <cellStyle name="Normal 2 4 8 4" xfId="18691"/>
    <cellStyle name="Normal 2 4 8 4 2" xfId="28396"/>
    <cellStyle name="Normal 2 4 8 5" xfId="28397"/>
    <cellStyle name="Normal 2 4 9" xfId="7629"/>
    <cellStyle name="Normal 2 4 9 2" xfId="7630"/>
    <cellStyle name="Normal 2 4 9 3" xfId="7631"/>
    <cellStyle name="Normal 2 4 9 3 2" xfId="18692"/>
    <cellStyle name="Normal 2 4 9 3 2 2" xfId="28398"/>
    <cellStyle name="Normal 2 4 9 3 3" xfId="28399"/>
    <cellStyle name="Normal 2 4 9 4" xfId="18693"/>
    <cellStyle name="Normal 2 4 9 4 2" xfId="28400"/>
    <cellStyle name="Normal 2 4 9 5" xfId="28401"/>
    <cellStyle name="Normal 2 40" xfId="7632"/>
    <cellStyle name="Normal 2 40 2" xfId="7633"/>
    <cellStyle name="Normal 2 40 2 2" xfId="7634"/>
    <cellStyle name="Normal 2 40 2 3" xfId="7635"/>
    <cellStyle name="Normal 2 40 2 3 2" xfId="18694"/>
    <cellStyle name="Normal 2 40 2 3 2 2" xfId="28402"/>
    <cellStyle name="Normal 2 40 2 3 3" xfId="28403"/>
    <cellStyle name="Normal 2 40 2 4" xfId="18695"/>
    <cellStyle name="Normal 2 40 2 4 2" xfId="28404"/>
    <cellStyle name="Normal 2 40 2 5" xfId="28405"/>
    <cellStyle name="Normal 2 40 3" xfId="7636"/>
    <cellStyle name="Normal 2 40 3 2" xfId="7637"/>
    <cellStyle name="Normal 2 40 3 3" xfId="7638"/>
    <cellStyle name="Normal 2 40 3 3 2" xfId="18696"/>
    <cellStyle name="Normal 2 40 3 3 2 2" xfId="28406"/>
    <cellStyle name="Normal 2 40 3 3 3" xfId="28407"/>
    <cellStyle name="Normal 2 40 3 4" xfId="18697"/>
    <cellStyle name="Normal 2 40 3 4 2" xfId="28408"/>
    <cellStyle name="Normal 2 40 3 5" xfId="28409"/>
    <cellStyle name="Normal 2 40 4" xfId="7639"/>
    <cellStyle name="Normal 2 40 5" xfId="7640"/>
    <cellStyle name="Normal 2 40 5 2" xfId="18698"/>
    <cellStyle name="Normal 2 40 5 2 2" xfId="28410"/>
    <cellStyle name="Normal 2 40 5 3" xfId="28411"/>
    <cellStyle name="Normal 2 40 6" xfId="18699"/>
    <cellStyle name="Normal 2 40 6 2" xfId="28412"/>
    <cellStyle name="Normal 2 40 7" xfId="28413"/>
    <cellStyle name="Normal 2 41" xfId="7641"/>
    <cellStyle name="Normal 2 41 2" xfId="7642"/>
    <cellStyle name="Normal 2 41 2 2" xfId="7643"/>
    <cellStyle name="Normal 2 41 2 3" xfId="7644"/>
    <cellStyle name="Normal 2 41 2 3 2" xfId="18700"/>
    <cellStyle name="Normal 2 41 2 3 2 2" xfId="28414"/>
    <cellStyle name="Normal 2 41 2 3 3" xfId="28415"/>
    <cellStyle name="Normal 2 41 2 4" xfId="18701"/>
    <cellStyle name="Normal 2 41 2 4 2" xfId="28416"/>
    <cellStyle name="Normal 2 41 2 5" xfId="28417"/>
    <cellStyle name="Normal 2 41 3" xfId="7645"/>
    <cellStyle name="Normal 2 41 3 2" xfId="7646"/>
    <cellStyle name="Normal 2 41 3 3" xfId="7647"/>
    <cellStyle name="Normal 2 41 3 3 2" xfId="18702"/>
    <cellStyle name="Normal 2 41 3 3 2 2" xfId="28418"/>
    <cellStyle name="Normal 2 41 3 3 3" xfId="28419"/>
    <cellStyle name="Normal 2 41 3 4" xfId="18703"/>
    <cellStyle name="Normal 2 41 3 4 2" xfId="28420"/>
    <cellStyle name="Normal 2 41 3 5" xfId="28421"/>
    <cellStyle name="Normal 2 41 4" xfId="7648"/>
    <cellStyle name="Normal 2 41 5" xfId="7649"/>
    <cellStyle name="Normal 2 41 5 2" xfId="18704"/>
    <cellStyle name="Normal 2 41 5 2 2" xfId="28422"/>
    <cellStyle name="Normal 2 41 5 3" xfId="28423"/>
    <cellStyle name="Normal 2 41 6" xfId="18705"/>
    <cellStyle name="Normal 2 41 6 2" xfId="28424"/>
    <cellStyle name="Normal 2 41 7" xfId="28425"/>
    <cellStyle name="Normal 2 42" xfId="7650"/>
    <cellStyle name="Normal 2 42 2" xfId="7651"/>
    <cellStyle name="Normal 2 42 2 2" xfId="7652"/>
    <cellStyle name="Normal 2 42 2 3" xfId="7653"/>
    <cellStyle name="Normal 2 42 2 3 2" xfId="18706"/>
    <cellStyle name="Normal 2 42 2 3 2 2" xfId="28426"/>
    <cellStyle name="Normal 2 42 2 3 3" xfId="28427"/>
    <cellStyle name="Normal 2 42 2 4" xfId="18707"/>
    <cellStyle name="Normal 2 42 2 4 2" xfId="28428"/>
    <cellStyle name="Normal 2 42 2 5" xfId="28429"/>
    <cellStyle name="Normal 2 42 3" xfId="7654"/>
    <cellStyle name="Normal 2 42 3 2" xfId="7655"/>
    <cellStyle name="Normal 2 42 3 3" xfId="7656"/>
    <cellStyle name="Normal 2 42 3 3 2" xfId="18708"/>
    <cellStyle name="Normal 2 42 3 3 2 2" xfId="28430"/>
    <cellStyle name="Normal 2 42 3 3 3" xfId="28431"/>
    <cellStyle name="Normal 2 42 3 4" xfId="18709"/>
    <cellStyle name="Normal 2 42 3 4 2" xfId="28432"/>
    <cellStyle name="Normal 2 42 3 5" xfId="28433"/>
    <cellStyle name="Normal 2 42 4" xfId="7657"/>
    <cellStyle name="Normal 2 42 5" xfId="7658"/>
    <cellStyle name="Normal 2 42 5 2" xfId="18710"/>
    <cellStyle name="Normal 2 42 5 2 2" xfId="28434"/>
    <cellStyle name="Normal 2 42 5 3" xfId="28435"/>
    <cellStyle name="Normal 2 42 6" xfId="18711"/>
    <cellStyle name="Normal 2 42 6 2" xfId="28436"/>
    <cellStyle name="Normal 2 42 7" xfId="28437"/>
    <cellStyle name="Normal 2 43" xfId="7659"/>
    <cellStyle name="Normal 2 43 2" xfId="7660"/>
    <cellStyle name="Normal 2 43 2 2" xfId="7661"/>
    <cellStyle name="Normal 2 43 2 3" xfId="7662"/>
    <cellStyle name="Normal 2 43 2 3 2" xfId="18712"/>
    <cellStyle name="Normal 2 43 2 3 2 2" xfId="28438"/>
    <cellStyle name="Normal 2 43 2 3 3" xfId="28439"/>
    <cellStyle name="Normal 2 43 2 4" xfId="18713"/>
    <cellStyle name="Normal 2 43 2 4 2" xfId="28440"/>
    <cellStyle name="Normal 2 43 2 5" xfId="28441"/>
    <cellStyle name="Normal 2 43 3" xfId="7663"/>
    <cellStyle name="Normal 2 43 3 2" xfId="7664"/>
    <cellStyle name="Normal 2 43 3 3" xfId="7665"/>
    <cellStyle name="Normal 2 43 3 3 2" xfId="18714"/>
    <cellStyle name="Normal 2 43 3 3 2 2" xfId="28442"/>
    <cellStyle name="Normal 2 43 3 3 3" xfId="28443"/>
    <cellStyle name="Normal 2 43 3 4" xfId="18715"/>
    <cellStyle name="Normal 2 43 3 4 2" xfId="28444"/>
    <cellStyle name="Normal 2 43 3 5" xfId="28445"/>
    <cellStyle name="Normal 2 43 4" xfId="7666"/>
    <cellStyle name="Normal 2 43 5" xfId="7667"/>
    <cellStyle name="Normal 2 43 5 2" xfId="18716"/>
    <cellStyle name="Normal 2 43 5 2 2" xfId="28446"/>
    <cellStyle name="Normal 2 43 5 3" xfId="28447"/>
    <cellStyle name="Normal 2 43 6" xfId="18717"/>
    <cellStyle name="Normal 2 43 6 2" xfId="28448"/>
    <cellStyle name="Normal 2 43 7" xfId="28449"/>
    <cellStyle name="Normal 2 44" xfId="7668"/>
    <cellStyle name="Normal 2 44 2" xfId="7669"/>
    <cellStyle name="Normal 2 44 2 2" xfId="7670"/>
    <cellStyle name="Normal 2 44 2 3" xfId="7671"/>
    <cellStyle name="Normal 2 44 2 3 2" xfId="18718"/>
    <cellStyle name="Normal 2 44 2 3 2 2" xfId="28450"/>
    <cellStyle name="Normal 2 44 2 3 3" xfId="28451"/>
    <cellStyle name="Normal 2 44 2 4" xfId="18719"/>
    <cellStyle name="Normal 2 44 2 4 2" xfId="28452"/>
    <cellStyle name="Normal 2 44 2 5" xfId="28453"/>
    <cellStyle name="Normal 2 44 3" xfId="7672"/>
    <cellStyle name="Normal 2 44 3 2" xfId="7673"/>
    <cellStyle name="Normal 2 44 3 3" xfId="7674"/>
    <cellStyle name="Normal 2 44 3 3 2" xfId="18720"/>
    <cellStyle name="Normal 2 44 3 3 2 2" xfId="28454"/>
    <cellStyle name="Normal 2 44 3 3 3" xfId="28455"/>
    <cellStyle name="Normal 2 44 3 4" xfId="18721"/>
    <cellStyle name="Normal 2 44 3 4 2" xfId="28456"/>
    <cellStyle name="Normal 2 44 3 5" xfId="28457"/>
    <cellStyle name="Normal 2 44 4" xfId="7675"/>
    <cellStyle name="Normal 2 44 5" xfId="7676"/>
    <cellStyle name="Normal 2 44 5 2" xfId="18722"/>
    <cellStyle name="Normal 2 44 5 2 2" xfId="28458"/>
    <cellStyle name="Normal 2 44 5 3" xfId="28459"/>
    <cellStyle name="Normal 2 44 6" xfId="18723"/>
    <cellStyle name="Normal 2 44 6 2" xfId="28460"/>
    <cellStyle name="Normal 2 44 7" xfId="28461"/>
    <cellStyle name="Normal 2 45" xfId="7677"/>
    <cellStyle name="Normal 2 45 2" xfId="7678"/>
    <cellStyle name="Normal 2 45 2 2" xfId="7679"/>
    <cellStyle name="Normal 2 45 2 3" xfId="7680"/>
    <cellStyle name="Normal 2 45 2 3 2" xfId="18724"/>
    <cellStyle name="Normal 2 45 2 3 2 2" xfId="28462"/>
    <cellStyle name="Normal 2 45 2 3 3" xfId="28463"/>
    <cellStyle name="Normal 2 45 2 4" xfId="18725"/>
    <cellStyle name="Normal 2 45 2 4 2" xfId="28464"/>
    <cellStyle name="Normal 2 45 2 5" xfId="28465"/>
    <cellStyle name="Normal 2 45 3" xfId="7681"/>
    <cellStyle name="Normal 2 45 3 2" xfId="7682"/>
    <cellStyle name="Normal 2 45 3 3" xfId="7683"/>
    <cellStyle name="Normal 2 45 3 3 2" xfId="18726"/>
    <cellStyle name="Normal 2 45 3 3 2 2" xfId="28466"/>
    <cellStyle name="Normal 2 45 3 3 3" xfId="28467"/>
    <cellStyle name="Normal 2 45 3 4" xfId="18727"/>
    <cellStyle name="Normal 2 45 3 4 2" xfId="28468"/>
    <cellStyle name="Normal 2 45 3 5" xfId="28469"/>
    <cellStyle name="Normal 2 45 4" xfId="7684"/>
    <cellStyle name="Normal 2 45 5" xfId="7685"/>
    <cellStyle name="Normal 2 45 5 2" xfId="18728"/>
    <cellStyle name="Normal 2 45 5 2 2" xfId="28470"/>
    <cellStyle name="Normal 2 45 5 3" xfId="28471"/>
    <cellStyle name="Normal 2 45 6" xfId="18729"/>
    <cellStyle name="Normal 2 45 6 2" xfId="28472"/>
    <cellStyle name="Normal 2 45 7" xfId="28473"/>
    <cellStyle name="Normal 2 46" xfId="7686"/>
    <cellStyle name="Normal 2 46 2" xfId="7687"/>
    <cellStyle name="Normal 2 46 2 2" xfId="7688"/>
    <cellStyle name="Normal 2 46 2 3" xfId="7689"/>
    <cellStyle name="Normal 2 46 2 3 2" xfId="18730"/>
    <cellStyle name="Normal 2 46 2 3 2 2" xfId="28474"/>
    <cellStyle name="Normal 2 46 2 3 3" xfId="28475"/>
    <cellStyle name="Normal 2 46 2 4" xfId="18731"/>
    <cellStyle name="Normal 2 46 2 4 2" xfId="28476"/>
    <cellStyle name="Normal 2 46 2 5" xfId="28477"/>
    <cellStyle name="Normal 2 46 3" xfId="7690"/>
    <cellStyle name="Normal 2 46 3 2" xfId="7691"/>
    <cellStyle name="Normal 2 46 3 3" xfId="7692"/>
    <cellStyle name="Normal 2 46 3 3 2" xfId="18732"/>
    <cellStyle name="Normal 2 46 3 3 2 2" xfId="28478"/>
    <cellStyle name="Normal 2 46 3 3 3" xfId="28479"/>
    <cellStyle name="Normal 2 46 3 4" xfId="18733"/>
    <cellStyle name="Normal 2 46 3 4 2" xfId="28480"/>
    <cellStyle name="Normal 2 46 3 5" xfId="28481"/>
    <cellStyle name="Normal 2 46 4" xfId="7693"/>
    <cellStyle name="Normal 2 46 5" xfId="7694"/>
    <cellStyle name="Normal 2 46 5 2" xfId="18734"/>
    <cellStyle name="Normal 2 46 5 2 2" xfId="28482"/>
    <cellStyle name="Normal 2 46 5 3" xfId="28483"/>
    <cellStyle name="Normal 2 46 6" xfId="18735"/>
    <cellStyle name="Normal 2 46 6 2" xfId="28484"/>
    <cellStyle name="Normal 2 46 7" xfId="28485"/>
    <cellStyle name="Normal 2 47" xfId="7695"/>
    <cellStyle name="Normal 2 47 2" xfId="7696"/>
    <cellStyle name="Normal 2 47 2 2" xfId="7697"/>
    <cellStyle name="Normal 2 47 2 3" xfId="7698"/>
    <cellStyle name="Normal 2 47 2 3 2" xfId="18736"/>
    <cellStyle name="Normal 2 47 2 3 2 2" xfId="28486"/>
    <cellStyle name="Normal 2 47 2 3 3" xfId="28487"/>
    <cellStyle name="Normal 2 47 2 4" xfId="18737"/>
    <cellStyle name="Normal 2 47 2 4 2" xfId="28488"/>
    <cellStyle name="Normal 2 47 2 5" xfId="28489"/>
    <cellStyle name="Normal 2 47 3" xfId="7699"/>
    <cellStyle name="Normal 2 47 3 2" xfId="7700"/>
    <cellStyle name="Normal 2 47 3 3" xfId="7701"/>
    <cellStyle name="Normal 2 47 3 3 2" xfId="18738"/>
    <cellStyle name="Normal 2 47 3 3 2 2" xfId="28490"/>
    <cellStyle name="Normal 2 47 3 3 3" xfId="28491"/>
    <cellStyle name="Normal 2 47 3 4" xfId="18739"/>
    <cellStyle name="Normal 2 47 3 4 2" xfId="28492"/>
    <cellStyle name="Normal 2 47 3 5" xfId="28493"/>
    <cellStyle name="Normal 2 47 4" xfId="7702"/>
    <cellStyle name="Normal 2 47 5" xfId="7703"/>
    <cellStyle name="Normal 2 47 5 2" xfId="18740"/>
    <cellStyle name="Normal 2 47 5 2 2" xfId="28494"/>
    <cellStyle name="Normal 2 47 5 3" xfId="28495"/>
    <cellStyle name="Normal 2 47 6" xfId="18741"/>
    <cellStyle name="Normal 2 47 6 2" xfId="28496"/>
    <cellStyle name="Normal 2 47 7" xfId="28497"/>
    <cellStyle name="Normal 2 48" xfId="7704"/>
    <cellStyle name="Normal 2 48 2" xfId="7705"/>
    <cellStyle name="Normal 2 48 2 2" xfId="7706"/>
    <cellStyle name="Normal 2 48 2 3" xfId="7707"/>
    <cellStyle name="Normal 2 48 2 3 2" xfId="18742"/>
    <cellStyle name="Normal 2 48 2 3 2 2" xfId="28498"/>
    <cellStyle name="Normal 2 48 2 3 3" xfId="28499"/>
    <cellStyle name="Normal 2 48 2 4" xfId="18743"/>
    <cellStyle name="Normal 2 48 2 4 2" xfId="28500"/>
    <cellStyle name="Normal 2 48 2 5" xfId="28501"/>
    <cellStyle name="Normal 2 48 3" xfId="7708"/>
    <cellStyle name="Normal 2 48 3 2" xfId="7709"/>
    <cellStyle name="Normal 2 48 3 3" xfId="7710"/>
    <cellStyle name="Normal 2 48 3 3 2" xfId="18744"/>
    <cellStyle name="Normal 2 48 3 3 2 2" xfId="28502"/>
    <cellStyle name="Normal 2 48 3 3 3" xfId="28503"/>
    <cellStyle name="Normal 2 48 3 4" xfId="18745"/>
    <cellStyle name="Normal 2 48 3 4 2" xfId="28504"/>
    <cellStyle name="Normal 2 48 3 5" xfId="28505"/>
    <cellStyle name="Normal 2 48 4" xfId="7711"/>
    <cellStyle name="Normal 2 48 5" xfId="7712"/>
    <cellStyle name="Normal 2 48 5 2" xfId="18746"/>
    <cellStyle name="Normal 2 48 5 2 2" xfId="28506"/>
    <cellStyle name="Normal 2 48 5 3" xfId="28507"/>
    <cellStyle name="Normal 2 48 6" xfId="18747"/>
    <cellStyle name="Normal 2 48 6 2" xfId="28508"/>
    <cellStyle name="Normal 2 48 7" xfId="28509"/>
    <cellStyle name="Normal 2 49" xfId="7713"/>
    <cellStyle name="Normal 2 49 2" xfId="7714"/>
    <cellStyle name="Normal 2 49 2 2" xfId="7715"/>
    <cellStyle name="Normal 2 49 2 3" xfId="7716"/>
    <cellStyle name="Normal 2 49 2 3 2" xfId="18748"/>
    <cellStyle name="Normal 2 49 2 3 2 2" xfId="28510"/>
    <cellStyle name="Normal 2 49 2 3 3" xfId="28511"/>
    <cellStyle name="Normal 2 49 2 4" xfId="18749"/>
    <cellStyle name="Normal 2 49 2 4 2" xfId="28512"/>
    <cellStyle name="Normal 2 49 2 5" xfId="28513"/>
    <cellStyle name="Normal 2 49 3" xfId="7717"/>
    <cellStyle name="Normal 2 49 3 2" xfId="7718"/>
    <cellStyle name="Normal 2 49 3 3" xfId="7719"/>
    <cellStyle name="Normal 2 49 3 3 2" xfId="18750"/>
    <cellStyle name="Normal 2 49 3 3 2 2" xfId="28514"/>
    <cellStyle name="Normal 2 49 3 3 3" xfId="28515"/>
    <cellStyle name="Normal 2 49 3 4" xfId="18751"/>
    <cellStyle name="Normal 2 49 3 4 2" xfId="28516"/>
    <cellStyle name="Normal 2 49 3 5" xfId="28517"/>
    <cellStyle name="Normal 2 49 4" xfId="7720"/>
    <cellStyle name="Normal 2 49 5" xfId="7721"/>
    <cellStyle name="Normal 2 49 5 2" xfId="18752"/>
    <cellStyle name="Normal 2 49 5 2 2" xfId="28518"/>
    <cellStyle name="Normal 2 49 5 3" xfId="28519"/>
    <cellStyle name="Normal 2 49 6" xfId="18753"/>
    <cellStyle name="Normal 2 49 6 2" xfId="28520"/>
    <cellStyle name="Normal 2 49 7" xfId="28521"/>
    <cellStyle name="Normal 2 5" xfId="51"/>
    <cellStyle name="Normal 2 5 10" xfId="7722"/>
    <cellStyle name="Normal 2 5 10 2" xfId="28522"/>
    <cellStyle name="Normal 2 5 11" xfId="7723"/>
    <cellStyle name="Normal 2 5 11 2" xfId="18754"/>
    <cellStyle name="Normal 2 5 11 2 2" xfId="28523"/>
    <cellStyle name="Normal 2 5 11 3" xfId="28524"/>
    <cellStyle name="Normal 2 5 12" xfId="18755"/>
    <cellStyle name="Normal 2 5 12 2" xfId="28525"/>
    <cellStyle name="Normal 2 5 13" xfId="28526"/>
    <cellStyle name="Normal 2 5 2" xfId="7724"/>
    <cellStyle name="Normal 2 5 2 10" xfId="18756"/>
    <cellStyle name="Normal 2 5 2 10 2" xfId="28527"/>
    <cellStyle name="Normal 2 5 2 11" xfId="28528"/>
    <cellStyle name="Normal 2 5 2 2" xfId="7725"/>
    <cellStyle name="Normal 2 5 2 2 2" xfId="7726"/>
    <cellStyle name="Normal 2 5 2 2 2 2" xfId="7727"/>
    <cellStyle name="Normal 2 5 2 2 2 2 2" xfId="7728"/>
    <cellStyle name="Normal 2 5 2 2 2 2 2 2" xfId="28529"/>
    <cellStyle name="Normal 2 5 2 2 2 2 3" xfId="7729"/>
    <cellStyle name="Normal 2 5 2 2 2 2 3 2" xfId="18757"/>
    <cellStyle name="Normal 2 5 2 2 2 2 3 2 2" xfId="28530"/>
    <cellStyle name="Normal 2 5 2 2 2 2 3 3" xfId="28531"/>
    <cellStyle name="Normal 2 5 2 2 2 2 4" xfId="18758"/>
    <cellStyle name="Normal 2 5 2 2 2 2 4 2" xfId="28532"/>
    <cellStyle name="Normal 2 5 2 2 2 2 5" xfId="28533"/>
    <cellStyle name="Normal 2 5 2 2 2 3" xfId="7730"/>
    <cellStyle name="Normal 2 5 2 2 2 3 2" xfId="28534"/>
    <cellStyle name="Normal 2 5 2 2 2 4" xfId="7731"/>
    <cellStyle name="Normal 2 5 2 2 2 4 2" xfId="18759"/>
    <cellStyle name="Normal 2 5 2 2 2 4 2 2" xfId="28535"/>
    <cellStyle name="Normal 2 5 2 2 2 4 3" xfId="28536"/>
    <cellStyle name="Normal 2 5 2 2 2 5" xfId="18760"/>
    <cellStyle name="Normal 2 5 2 2 2 5 2" xfId="28537"/>
    <cellStyle name="Normal 2 5 2 2 2 6" xfId="28538"/>
    <cellStyle name="Normal 2 5 2 2 3" xfId="7732"/>
    <cellStyle name="Normal 2 5 2 2 3 2" xfId="7733"/>
    <cellStyle name="Normal 2 5 2 2 3 2 2" xfId="7734"/>
    <cellStyle name="Normal 2 5 2 2 3 2 3" xfId="7735"/>
    <cellStyle name="Normal 2 5 2 2 3 2 3 2" xfId="18761"/>
    <cellStyle name="Normal 2 5 2 2 3 2 3 2 2" xfId="28539"/>
    <cellStyle name="Normal 2 5 2 2 3 2 3 3" xfId="28540"/>
    <cellStyle name="Normal 2 5 2 2 3 2 4" xfId="18762"/>
    <cellStyle name="Normal 2 5 2 2 3 2 4 2" xfId="28541"/>
    <cellStyle name="Normal 2 5 2 2 3 2 5" xfId="28542"/>
    <cellStyle name="Normal 2 5 2 2 3 3" xfId="7736"/>
    <cellStyle name="Normal 2 5 2 2 3 4" xfId="7737"/>
    <cellStyle name="Normal 2 5 2 2 3 4 2" xfId="18763"/>
    <cellStyle name="Normal 2 5 2 2 3 4 2 2" xfId="28543"/>
    <cellStyle name="Normal 2 5 2 2 3 4 3" xfId="28544"/>
    <cellStyle name="Normal 2 5 2 2 3 5" xfId="18764"/>
    <cellStyle name="Normal 2 5 2 2 3 5 2" xfId="28545"/>
    <cellStyle name="Normal 2 5 2 2 3 6" xfId="28546"/>
    <cellStyle name="Normal 2 5 2 2 4" xfId="7738"/>
    <cellStyle name="Normal 2 5 2 2 4 2" xfId="7739"/>
    <cellStyle name="Normal 2 5 2 2 4 2 2" xfId="7740"/>
    <cellStyle name="Normal 2 5 2 2 4 2 3" xfId="7741"/>
    <cellStyle name="Normal 2 5 2 2 4 2 3 2" xfId="18765"/>
    <cellStyle name="Normal 2 5 2 2 4 2 3 2 2" xfId="28547"/>
    <cellStyle name="Normal 2 5 2 2 4 2 3 3" xfId="28548"/>
    <cellStyle name="Normal 2 5 2 2 4 2 4" xfId="18766"/>
    <cellStyle name="Normal 2 5 2 2 4 2 4 2" xfId="28549"/>
    <cellStyle name="Normal 2 5 2 2 4 2 5" xfId="28550"/>
    <cellStyle name="Normal 2 5 2 2 4 3" xfId="7742"/>
    <cellStyle name="Normal 2 5 2 2 4 4" xfId="7743"/>
    <cellStyle name="Normal 2 5 2 2 4 4 2" xfId="18767"/>
    <cellStyle name="Normal 2 5 2 2 4 4 2 2" xfId="28551"/>
    <cellStyle name="Normal 2 5 2 2 4 4 3" xfId="28552"/>
    <cellStyle name="Normal 2 5 2 2 4 5" xfId="18768"/>
    <cellStyle name="Normal 2 5 2 2 4 5 2" xfId="28553"/>
    <cellStyle name="Normal 2 5 2 2 4 6" xfId="28554"/>
    <cellStyle name="Normal 2 5 2 2 5" xfId="7744"/>
    <cellStyle name="Normal 2 5 2 2 5 2" xfId="7745"/>
    <cellStyle name="Normal 2 5 2 2 5 2 2" xfId="7746"/>
    <cellStyle name="Normal 2 5 2 2 5 2 3" xfId="7747"/>
    <cellStyle name="Normal 2 5 2 2 5 2 3 2" xfId="18769"/>
    <cellStyle name="Normal 2 5 2 2 5 2 3 2 2" xfId="28555"/>
    <cellStyle name="Normal 2 5 2 2 5 2 3 3" xfId="28556"/>
    <cellStyle name="Normal 2 5 2 2 5 2 4" xfId="18770"/>
    <cellStyle name="Normal 2 5 2 2 5 2 4 2" xfId="28557"/>
    <cellStyle name="Normal 2 5 2 2 5 2 5" xfId="28558"/>
    <cellStyle name="Normal 2 5 2 2 5 3" xfId="7748"/>
    <cellStyle name="Normal 2 5 2 2 5 4" xfId="7749"/>
    <cellStyle name="Normal 2 5 2 2 5 4 2" xfId="18771"/>
    <cellStyle name="Normal 2 5 2 2 5 4 2 2" xfId="28559"/>
    <cellStyle name="Normal 2 5 2 2 5 4 3" xfId="28560"/>
    <cellStyle name="Normal 2 5 2 2 5 5" xfId="18772"/>
    <cellStyle name="Normal 2 5 2 2 5 5 2" xfId="28561"/>
    <cellStyle name="Normal 2 5 2 2 5 6" xfId="28562"/>
    <cellStyle name="Normal 2 5 2 2 6" xfId="7750"/>
    <cellStyle name="Normal 2 5 2 3" xfId="7751"/>
    <cellStyle name="Normal 2 5 2 3 2" xfId="7752"/>
    <cellStyle name="Normal 2 5 2 4" xfId="7753"/>
    <cellStyle name="Normal 2 5 2 4 2" xfId="7754"/>
    <cellStyle name="Normal 2 5 2 5" xfId="7755"/>
    <cellStyle name="Normal 2 5 2 5 2" xfId="7756"/>
    <cellStyle name="Normal 2 5 2 6" xfId="7757"/>
    <cellStyle name="Normal 2 5 2 6 2" xfId="7758"/>
    <cellStyle name="Normal 2 5 2 6 3" xfId="7759"/>
    <cellStyle name="Normal 2 5 2 6 3 2" xfId="18773"/>
    <cellStyle name="Normal 2 5 2 6 3 2 2" xfId="28563"/>
    <cellStyle name="Normal 2 5 2 6 3 3" xfId="28564"/>
    <cellStyle name="Normal 2 5 2 6 4" xfId="18774"/>
    <cellStyle name="Normal 2 5 2 6 4 2" xfId="28565"/>
    <cellStyle name="Normal 2 5 2 6 5" xfId="28566"/>
    <cellStyle name="Normal 2 5 2 7" xfId="7760"/>
    <cellStyle name="Normal 2 5 2 7 2" xfId="7761"/>
    <cellStyle name="Normal 2 5 2 7 3" xfId="7762"/>
    <cellStyle name="Normal 2 5 2 7 3 2" xfId="18775"/>
    <cellStyle name="Normal 2 5 2 7 3 2 2" xfId="28567"/>
    <cellStyle name="Normal 2 5 2 7 3 3" xfId="28568"/>
    <cellStyle name="Normal 2 5 2 7 4" xfId="18776"/>
    <cellStyle name="Normal 2 5 2 7 4 2" xfId="28569"/>
    <cellStyle name="Normal 2 5 2 7 5" xfId="28570"/>
    <cellStyle name="Normal 2 5 2 8" xfId="7763"/>
    <cellStyle name="Normal 2 5 2 9" xfId="7764"/>
    <cellStyle name="Normal 2 5 2 9 2" xfId="18777"/>
    <cellStyle name="Normal 2 5 2 9 2 2" xfId="28571"/>
    <cellStyle name="Normal 2 5 2 9 3" xfId="28572"/>
    <cellStyle name="Normal 2 5 3" xfId="7765"/>
    <cellStyle name="Normal 2 5 3 2" xfId="7766"/>
    <cellStyle name="Normal 2 5 3 2 2" xfId="7767"/>
    <cellStyle name="Normal 2 5 3 2 2 2" xfId="28573"/>
    <cellStyle name="Normal 2 5 3 2 3" xfId="7768"/>
    <cellStyle name="Normal 2 5 3 2 3 2" xfId="18778"/>
    <cellStyle name="Normal 2 5 3 2 3 2 2" xfId="28574"/>
    <cellStyle name="Normal 2 5 3 2 3 3" xfId="28575"/>
    <cellStyle name="Normal 2 5 3 2 4" xfId="18779"/>
    <cellStyle name="Normal 2 5 3 2 4 2" xfId="28576"/>
    <cellStyle name="Normal 2 5 3 2 5" xfId="28577"/>
    <cellStyle name="Normal 2 5 3 3" xfId="7769"/>
    <cellStyle name="Normal 2 5 3 3 2" xfId="7770"/>
    <cellStyle name="Normal 2 5 3 3 3" xfId="28578"/>
    <cellStyle name="Normal 2 5 3 4" xfId="7771"/>
    <cellStyle name="Normal 2 5 3 5" xfId="7772"/>
    <cellStyle name="Normal 2 5 3 5 2" xfId="18780"/>
    <cellStyle name="Normal 2 5 3 5 2 2" xfId="28579"/>
    <cellStyle name="Normal 2 5 3 5 3" xfId="28580"/>
    <cellStyle name="Normal 2 5 3 6" xfId="18781"/>
    <cellStyle name="Normal 2 5 3 6 2" xfId="28581"/>
    <cellStyle name="Normal 2 5 3 7" xfId="28582"/>
    <cellStyle name="Normal 2 5 4" xfId="7773"/>
    <cellStyle name="Normal 2 5 4 2" xfId="7774"/>
    <cellStyle name="Normal 2 5 4 2 2" xfId="7775"/>
    <cellStyle name="Normal 2 5 4 2 2 2" xfId="28583"/>
    <cellStyle name="Normal 2 5 4 2 3" xfId="7776"/>
    <cellStyle name="Normal 2 5 4 2 3 2" xfId="18782"/>
    <cellStyle name="Normal 2 5 4 2 3 2 2" xfId="28584"/>
    <cellStyle name="Normal 2 5 4 2 3 3" xfId="28585"/>
    <cellStyle name="Normal 2 5 4 2 4" xfId="18783"/>
    <cellStyle name="Normal 2 5 4 2 4 2" xfId="28586"/>
    <cellStyle name="Normal 2 5 4 2 5" xfId="28587"/>
    <cellStyle name="Normal 2 5 4 3" xfId="7777"/>
    <cellStyle name="Normal 2 5 4 3 2" xfId="28588"/>
    <cellStyle name="Normal 2 5 4 4" xfId="7778"/>
    <cellStyle name="Normal 2 5 4 4 2" xfId="18784"/>
    <cellStyle name="Normal 2 5 4 4 2 2" xfId="28589"/>
    <cellStyle name="Normal 2 5 4 4 3" xfId="28590"/>
    <cellStyle name="Normal 2 5 4 5" xfId="18785"/>
    <cellStyle name="Normal 2 5 4 5 2" xfId="28591"/>
    <cellStyle name="Normal 2 5 4 6" xfId="28592"/>
    <cellStyle name="Normal 2 5 5" xfId="7779"/>
    <cellStyle name="Normal 2 5 5 2" xfId="7780"/>
    <cellStyle name="Normal 2 5 5 2 2" xfId="7781"/>
    <cellStyle name="Normal 2 5 5 2 3" xfId="7782"/>
    <cellStyle name="Normal 2 5 5 2 3 2" xfId="18786"/>
    <cellStyle name="Normal 2 5 5 2 3 2 2" xfId="28593"/>
    <cellStyle name="Normal 2 5 5 2 3 3" xfId="28594"/>
    <cellStyle name="Normal 2 5 5 2 4" xfId="18787"/>
    <cellStyle name="Normal 2 5 5 2 4 2" xfId="28595"/>
    <cellStyle name="Normal 2 5 5 2 5" xfId="28596"/>
    <cellStyle name="Normal 2 5 5 3" xfId="7783"/>
    <cellStyle name="Normal 2 5 5 4" xfId="7784"/>
    <cellStyle name="Normal 2 5 5 4 2" xfId="18788"/>
    <cellStyle name="Normal 2 5 5 4 2 2" xfId="28597"/>
    <cellStyle name="Normal 2 5 5 4 3" xfId="28598"/>
    <cellStyle name="Normal 2 5 5 5" xfId="18789"/>
    <cellStyle name="Normal 2 5 5 5 2" xfId="28599"/>
    <cellStyle name="Normal 2 5 5 6" xfId="28600"/>
    <cellStyle name="Normal 2 5 6" xfId="7785"/>
    <cellStyle name="Normal 2 5 6 2" xfId="7786"/>
    <cellStyle name="Normal 2 5 6 2 2" xfId="7787"/>
    <cellStyle name="Normal 2 5 6 2 3" xfId="7788"/>
    <cellStyle name="Normal 2 5 6 2 3 2" xfId="18790"/>
    <cellStyle name="Normal 2 5 6 2 3 2 2" xfId="28601"/>
    <cellStyle name="Normal 2 5 6 2 3 3" xfId="28602"/>
    <cellStyle name="Normal 2 5 6 2 4" xfId="18791"/>
    <cellStyle name="Normal 2 5 6 2 4 2" xfId="28603"/>
    <cellStyle name="Normal 2 5 6 2 5" xfId="28604"/>
    <cellStyle name="Normal 2 5 6 3" xfId="7789"/>
    <cellStyle name="Normal 2 5 6 4" xfId="7790"/>
    <cellStyle name="Normal 2 5 6 4 2" xfId="18792"/>
    <cellStyle name="Normal 2 5 6 4 2 2" xfId="28605"/>
    <cellStyle name="Normal 2 5 6 4 3" xfId="28606"/>
    <cellStyle name="Normal 2 5 6 5" xfId="18793"/>
    <cellStyle name="Normal 2 5 6 5 2" xfId="28607"/>
    <cellStyle name="Normal 2 5 6 6" xfId="28608"/>
    <cellStyle name="Normal 2 5 7" xfId="7791"/>
    <cellStyle name="Normal 2 5 7 2" xfId="7792"/>
    <cellStyle name="Normal 2 5 7 2 2" xfId="7793"/>
    <cellStyle name="Normal 2 5 7 2 2 2" xfId="28609"/>
    <cellStyle name="Normal 2 5 7 2 3" xfId="7794"/>
    <cellStyle name="Normal 2 5 7 2 3 2" xfId="18794"/>
    <cellStyle name="Normal 2 5 7 2 3 2 2" xfId="28610"/>
    <cellStyle name="Normal 2 5 7 2 3 3" xfId="28611"/>
    <cellStyle name="Normal 2 5 7 2 4" xfId="18795"/>
    <cellStyle name="Normal 2 5 7 2 4 2" xfId="28612"/>
    <cellStyle name="Normal 2 5 7 2 5" xfId="28613"/>
    <cellStyle name="Normal 2 5 7 3" xfId="7795"/>
    <cellStyle name="Normal 2 5 7 3 2" xfId="7796"/>
    <cellStyle name="Normal 2 5 7 4" xfId="7797"/>
    <cellStyle name="Normal 2 5 7 4 2" xfId="28614"/>
    <cellStyle name="Normal 2 5 7 5" xfId="7798"/>
    <cellStyle name="Normal 2 5 7 5 2" xfId="18796"/>
    <cellStyle name="Normal 2 5 7 5 2 2" xfId="28615"/>
    <cellStyle name="Normal 2 5 7 5 3" xfId="28616"/>
    <cellStyle name="Normal 2 5 7 6" xfId="18797"/>
    <cellStyle name="Normal 2 5 7 6 2" xfId="28617"/>
    <cellStyle name="Normal 2 5 7 7" xfId="28618"/>
    <cellStyle name="Normal 2 5 8" xfId="7799"/>
    <cellStyle name="Normal 2 5 8 2" xfId="7800"/>
    <cellStyle name="Normal 2 5 8 2 2" xfId="28619"/>
    <cellStyle name="Normal 2 5 8 3" xfId="7801"/>
    <cellStyle name="Normal 2 5 8 3 2" xfId="18798"/>
    <cellStyle name="Normal 2 5 8 3 2 2" xfId="28620"/>
    <cellStyle name="Normal 2 5 8 3 3" xfId="28621"/>
    <cellStyle name="Normal 2 5 8 4" xfId="18799"/>
    <cellStyle name="Normal 2 5 8 4 2" xfId="28622"/>
    <cellStyle name="Normal 2 5 8 5" xfId="28623"/>
    <cellStyle name="Normal 2 5 9" xfId="7802"/>
    <cellStyle name="Normal 2 5 9 2" xfId="7803"/>
    <cellStyle name="Normal 2 5 9 3" xfId="7804"/>
    <cellStyle name="Normal 2 5 9 3 2" xfId="18800"/>
    <cellStyle name="Normal 2 5 9 3 2 2" xfId="28624"/>
    <cellStyle name="Normal 2 5 9 3 3" xfId="28625"/>
    <cellStyle name="Normal 2 5 9 4" xfId="18801"/>
    <cellStyle name="Normal 2 5 9 4 2" xfId="28626"/>
    <cellStyle name="Normal 2 5 9 5" xfId="28627"/>
    <cellStyle name="Normal 2 50" xfId="7805"/>
    <cellStyle name="Normal 2 50 2" xfId="7806"/>
    <cellStyle name="Normal 2 50 2 2" xfId="7807"/>
    <cellStyle name="Normal 2 50 2 3" xfId="7808"/>
    <cellStyle name="Normal 2 50 2 3 2" xfId="18802"/>
    <cellStyle name="Normal 2 50 2 3 2 2" xfId="28628"/>
    <cellStyle name="Normal 2 50 2 3 3" xfId="28629"/>
    <cellStyle name="Normal 2 50 2 4" xfId="18803"/>
    <cellStyle name="Normal 2 50 2 4 2" xfId="28630"/>
    <cellStyle name="Normal 2 50 2 5" xfId="28631"/>
    <cellStyle name="Normal 2 50 3" xfId="7809"/>
    <cellStyle name="Normal 2 50 3 2" xfId="7810"/>
    <cellStyle name="Normal 2 50 3 3" xfId="7811"/>
    <cellStyle name="Normal 2 50 3 3 2" xfId="18804"/>
    <cellStyle name="Normal 2 50 3 3 2 2" xfId="28632"/>
    <cellStyle name="Normal 2 50 3 3 3" xfId="28633"/>
    <cellStyle name="Normal 2 50 3 4" xfId="18805"/>
    <cellStyle name="Normal 2 50 3 4 2" xfId="28634"/>
    <cellStyle name="Normal 2 50 3 5" xfId="28635"/>
    <cellStyle name="Normal 2 50 4" xfId="7812"/>
    <cellStyle name="Normal 2 50 5" xfId="7813"/>
    <cellStyle name="Normal 2 50 5 2" xfId="18806"/>
    <cellStyle name="Normal 2 50 5 2 2" xfId="28636"/>
    <cellStyle name="Normal 2 50 5 3" xfId="28637"/>
    <cellStyle name="Normal 2 50 6" xfId="18807"/>
    <cellStyle name="Normal 2 50 6 2" xfId="28638"/>
    <cellStyle name="Normal 2 50 7" xfId="28639"/>
    <cellStyle name="Normal 2 51" xfId="7814"/>
    <cellStyle name="Normal 2 51 2" xfId="7815"/>
    <cellStyle name="Normal 2 51 2 2" xfId="7816"/>
    <cellStyle name="Normal 2 51 2 3" xfId="7817"/>
    <cellStyle name="Normal 2 51 2 3 2" xfId="18808"/>
    <cellStyle name="Normal 2 51 2 3 2 2" xfId="28640"/>
    <cellStyle name="Normal 2 51 2 3 3" xfId="28641"/>
    <cellStyle name="Normal 2 51 2 4" xfId="18809"/>
    <cellStyle name="Normal 2 51 2 4 2" xfId="28642"/>
    <cellStyle name="Normal 2 51 2 5" xfId="28643"/>
    <cellStyle name="Normal 2 51 3" xfId="7818"/>
    <cellStyle name="Normal 2 51 3 2" xfId="7819"/>
    <cellStyle name="Normal 2 51 3 3" xfId="7820"/>
    <cellStyle name="Normal 2 51 3 3 2" xfId="18810"/>
    <cellStyle name="Normal 2 51 3 3 2 2" xfId="28644"/>
    <cellStyle name="Normal 2 51 3 3 3" xfId="28645"/>
    <cellStyle name="Normal 2 51 3 4" xfId="18811"/>
    <cellStyle name="Normal 2 51 3 4 2" xfId="28646"/>
    <cellStyle name="Normal 2 51 3 5" xfId="28647"/>
    <cellStyle name="Normal 2 51 4" xfId="7821"/>
    <cellStyle name="Normal 2 51 5" xfId="7822"/>
    <cellStyle name="Normal 2 51 5 2" xfId="18812"/>
    <cellStyle name="Normal 2 51 5 2 2" xfId="28648"/>
    <cellStyle name="Normal 2 51 5 3" xfId="28649"/>
    <cellStyle name="Normal 2 51 6" xfId="18813"/>
    <cellStyle name="Normal 2 51 6 2" xfId="28650"/>
    <cellStyle name="Normal 2 51 7" xfId="28651"/>
    <cellStyle name="Normal 2 52" xfId="7823"/>
    <cellStyle name="Normal 2 52 2" xfId="7824"/>
    <cellStyle name="Normal 2 52 2 2" xfId="7825"/>
    <cellStyle name="Normal 2 52 2 3" xfId="7826"/>
    <cellStyle name="Normal 2 52 2 3 2" xfId="18814"/>
    <cellStyle name="Normal 2 52 2 3 2 2" xfId="28652"/>
    <cellStyle name="Normal 2 52 2 3 3" xfId="28653"/>
    <cellStyle name="Normal 2 52 2 4" xfId="18815"/>
    <cellStyle name="Normal 2 52 2 4 2" xfId="28654"/>
    <cellStyle name="Normal 2 52 2 5" xfId="28655"/>
    <cellStyle name="Normal 2 52 3" xfId="7827"/>
    <cellStyle name="Normal 2 52 3 2" xfId="7828"/>
    <cellStyle name="Normal 2 52 3 3" xfId="7829"/>
    <cellStyle name="Normal 2 52 3 3 2" xfId="18816"/>
    <cellStyle name="Normal 2 52 3 3 2 2" xfId="28656"/>
    <cellStyle name="Normal 2 52 3 3 3" xfId="28657"/>
    <cellStyle name="Normal 2 52 3 4" xfId="18817"/>
    <cellStyle name="Normal 2 52 3 4 2" xfId="28658"/>
    <cellStyle name="Normal 2 52 3 5" xfId="28659"/>
    <cellStyle name="Normal 2 52 4" xfId="7830"/>
    <cellStyle name="Normal 2 52 5" xfId="7831"/>
    <cellStyle name="Normal 2 52 5 2" xfId="18818"/>
    <cellStyle name="Normal 2 52 5 2 2" xfId="28660"/>
    <cellStyle name="Normal 2 52 5 3" xfId="28661"/>
    <cellStyle name="Normal 2 52 6" xfId="18819"/>
    <cellStyle name="Normal 2 52 6 2" xfId="28662"/>
    <cellStyle name="Normal 2 52 7" xfId="28663"/>
    <cellStyle name="Normal 2 53" xfId="7832"/>
    <cellStyle name="Normal 2 53 2" xfId="7833"/>
    <cellStyle name="Normal 2 53 2 2" xfId="7834"/>
    <cellStyle name="Normal 2 53 2 3" xfId="7835"/>
    <cellStyle name="Normal 2 53 2 3 2" xfId="18820"/>
    <cellStyle name="Normal 2 53 2 3 2 2" xfId="28664"/>
    <cellStyle name="Normal 2 53 2 3 3" xfId="28665"/>
    <cellStyle name="Normal 2 53 2 4" xfId="18821"/>
    <cellStyle name="Normal 2 53 2 4 2" xfId="28666"/>
    <cellStyle name="Normal 2 53 2 5" xfId="28667"/>
    <cellStyle name="Normal 2 53 3" xfId="7836"/>
    <cellStyle name="Normal 2 53 3 2" xfId="7837"/>
    <cellStyle name="Normal 2 53 3 3" xfId="7838"/>
    <cellStyle name="Normal 2 53 3 3 2" xfId="18822"/>
    <cellStyle name="Normal 2 53 3 3 2 2" xfId="28668"/>
    <cellStyle name="Normal 2 53 3 3 3" xfId="28669"/>
    <cellStyle name="Normal 2 53 3 4" xfId="18823"/>
    <cellStyle name="Normal 2 53 3 4 2" xfId="28670"/>
    <cellStyle name="Normal 2 53 3 5" xfId="28671"/>
    <cellStyle name="Normal 2 53 4" xfId="7839"/>
    <cellStyle name="Normal 2 53 5" xfId="7840"/>
    <cellStyle name="Normal 2 53 5 2" xfId="18824"/>
    <cellStyle name="Normal 2 53 5 2 2" xfId="28672"/>
    <cellStyle name="Normal 2 53 5 3" xfId="28673"/>
    <cellStyle name="Normal 2 53 6" xfId="18825"/>
    <cellStyle name="Normal 2 53 6 2" xfId="28674"/>
    <cellStyle name="Normal 2 53 7" xfId="28675"/>
    <cellStyle name="Normal 2 54" xfId="7841"/>
    <cellStyle name="Normal 2 54 2" xfId="7842"/>
    <cellStyle name="Normal 2 54 2 2" xfId="7843"/>
    <cellStyle name="Normal 2 54 2 3" xfId="7844"/>
    <cellStyle name="Normal 2 54 2 3 2" xfId="18826"/>
    <cellStyle name="Normal 2 54 2 3 2 2" xfId="28676"/>
    <cellStyle name="Normal 2 54 2 3 3" xfId="28677"/>
    <cellStyle name="Normal 2 54 2 4" xfId="18827"/>
    <cellStyle name="Normal 2 54 2 4 2" xfId="28678"/>
    <cellStyle name="Normal 2 54 2 5" xfId="28679"/>
    <cellStyle name="Normal 2 54 3" xfId="7845"/>
    <cellStyle name="Normal 2 54 3 2" xfId="7846"/>
    <cellStyle name="Normal 2 54 3 3" xfId="7847"/>
    <cellStyle name="Normal 2 54 3 3 2" xfId="18828"/>
    <cellStyle name="Normal 2 54 3 3 2 2" xfId="28680"/>
    <cellStyle name="Normal 2 54 3 3 3" xfId="28681"/>
    <cellStyle name="Normal 2 54 3 4" xfId="18829"/>
    <cellStyle name="Normal 2 54 3 4 2" xfId="28682"/>
    <cellStyle name="Normal 2 54 3 5" xfId="28683"/>
    <cellStyle name="Normal 2 54 4" xfId="7848"/>
    <cellStyle name="Normal 2 54 5" xfId="7849"/>
    <cellStyle name="Normal 2 54 5 2" xfId="18830"/>
    <cellStyle name="Normal 2 54 5 2 2" xfId="28684"/>
    <cellStyle name="Normal 2 54 5 3" xfId="28685"/>
    <cellStyle name="Normal 2 54 6" xfId="18831"/>
    <cellStyle name="Normal 2 54 6 2" xfId="28686"/>
    <cellStyle name="Normal 2 54 7" xfId="28687"/>
    <cellStyle name="Normal 2 55" xfId="7850"/>
    <cellStyle name="Normal 2 55 2" xfId="7851"/>
    <cellStyle name="Normal 2 55 2 2" xfId="7852"/>
    <cellStyle name="Normal 2 55 2 3" xfId="7853"/>
    <cellStyle name="Normal 2 55 2 3 2" xfId="18832"/>
    <cellStyle name="Normal 2 55 2 3 2 2" xfId="28688"/>
    <cellStyle name="Normal 2 55 2 3 3" xfId="28689"/>
    <cellStyle name="Normal 2 55 2 4" xfId="18833"/>
    <cellStyle name="Normal 2 55 2 4 2" xfId="28690"/>
    <cellStyle name="Normal 2 55 2 5" xfId="28691"/>
    <cellStyle name="Normal 2 55 3" xfId="7854"/>
    <cellStyle name="Normal 2 55 3 2" xfId="7855"/>
    <cellStyle name="Normal 2 55 3 3" xfId="7856"/>
    <cellStyle name="Normal 2 55 3 3 2" xfId="18834"/>
    <cellStyle name="Normal 2 55 3 3 2 2" xfId="28692"/>
    <cellStyle name="Normal 2 55 3 3 3" xfId="28693"/>
    <cellStyle name="Normal 2 55 3 4" xfId="18835"/>
    <cellStyle name="Normal 2 55 3 4 2" xfId="28694"/>
    <cellStyle name="Normal 2 55 3 5" xfId="28695"/>
    <cellStyle name="Normal 2 55 4" xfId="7857"/>
    <cellStyle name="Normal 2 55 5" xfId="7858"/>
    <cellStyle name="Normal 2 55 5 2" xfId="18836"/>
    <cellStyle name="Normal 2 55 5 2 2" xfId="28696"/>
    <cellStyle name="Normal 2 55 5 3" xfId="28697"/>
    <cellStyle name="Normal 2 55 6" xfId="18837"/>
    <cellStyle name="Normal 2 55 6 2" xfId="28698"/>
    <cellStyle name="Normal 2 55 7" xfId="28699"/>
    <cellStyle name="Normal 2 56" xfId="7859"/>
    <cellStyle name="Normal 2 56 2" xfId="7860"/>
    <cellStyle name="Normal 2 56 2 2" xfId="7861"/>
    <cellStyle name="Normal 2 56 2 3" xfId="7862"/>
    <cellStyle name="Normal 2 56 2 3 2" xfId="18838"/>
    <cellStyle name="Normal 2 56 2 3 2 2" xfId="28700"/>
    <cellStyle name="Normal 2 56 2 3 3" xfId="28701"/>
    <cellStyle name="Normal 2 56 2 4" xfId="18839"/>
    <cellStyle name="Normal 2 56 2 4 2" xfId="28702"/>
    <cellStyle name="Normal 2 56 2 5" xfId="28703"/>
    <cellStyle name="Normal 2 56 3" xfId="7863"/>
    <cellStyle name="Normal 2 56 3 2" xfId="7864"/>
    <cellStyle name="Normal 2 56 3 3" xfId="7865"/>
    <cellStyle name="Normal 2 56 3 3 2" xfId="18840"/>
    <cellStyle name="Normal 2 56 3 3 2 2" xfId="28704"/>
    <cellStyle name="Normal 2 56 3 3 3" xfId="28705"/>
    <cellStyle name="Normal 2 56 3 4" xfId="18841"/>
    <cellStyle name="Normal 2 56 3 4 2" xfId="28706"/>
    <cellStyle name="Normal 2 56 3 5" xfId="28707"/>
    <cellStyle name="Normal 2 56 4" xfId="7866"/>
    <cellStyle name="Normal 2 56 5" xfId="7867"/>
    <cellStyle name="Normal 2 56 5 2" xfId="18842"/>
    <cellStyle name="Normal 2 56 5 2 2" xfId="28708"/>
    <cellStyle name="Normal 2 56 5 3" xfId="28709"/>
    <cellStyle name="Normal 2 56 6" xfId="18843"/>
    <cellStyle name="Normal 2 56 6 2" xfId="28710"/>
    <cellStyle name="Normal 2 56 7" xfId="28711"/>
    <cellStyle name="Normal 2 57" xfId="7868"/>
    <cellStyle name="Normal 2 57 2" xfId="7869"/>
    <cellStyle name="Normal 2 57 2 2" xfId="7870"/>
    <cellStyle name="Normal 2 57 2 3" xfId="7871"/>
    <cellStyle name="Normal 2 57 2 3 2" xfId="18844"/>
    <cellStyle name="Normal 2 57 2 3 2 2" xfId="28712"/>
    <cellStyle name="Normal 2 57 2 3 3" xfId="28713"/>
    <cellStyle name="Normal 2 57 2 4" xfId="18845"/>
    <cellStyle name="Normal 2 57 2 4 2" xfId="28714"/>
    <cellStyle name="Normal 2 57 2 5" xfId="28715"/>
    <cellStyle name="Normal 2 57 3" xfId="7872"/>
    <cellStyle name="Normal 2 57 3 2" xfId="7873"/>
    <cellStyle name="Normal 2 57 3 3" xfId="7874"/>
    <cellStyle name="Normal 2 57 3 3 2" xfId="18846"/>
    <cellStyle name="Normal 2 57 3 3 2 2" xfId="28716"/>
    <cellStyle name="Normal 2 57 3 3 3" xfId="28717"/>
    <cellStyle name="Normal 2 57 3 4" xfId="18847"/>
    <cellStyle name="Normal 2 57 3 4 2" xfId="28718"/>
    <cellStyle name="Normal 2 57 3 5" xfId="28719"/>
    <cellStyle name="Normal 2 57 4" xfId="7875"/>
    <cellStyle name="Normal 2 57 5" xfId="7876"/>
    <cellStyle name="Normal 2 57 5 2" xfId="18848"/>
    <cellStyle name="Normal 2 57 5 2 2" xfId="28720"/>
    <cellStyle name="Normal 2 57 5 3" xfId="28721"/>
    <cellStyle name="Normal 2 57 6" xfId="18849"/>
    <cellStyle name="Normal 2 57 6 2" xfId="28722"/>
    <cellStyle name="Normal 2 57 7" xfId="28723"/>
    <cellStyle name="Normal 2 58" xfId="7877"/>
    <cellStyle name="Normal 2 58 2" xfId="7878"/>
    <cellStyle name="Normal 2 58 2 2" xfId="7879"/>
    <cellStyle name="Normal 2 58 2 3" xfId="7880"/>
    <cellStyle name="Normal 2 58 2 3 2" xfId="18850"/>
    <cellStyle name="Normal 2 58 2 3 2 2" xfId="28724"/>
    <cellStyle name="Normal 2 58 2 3 3" xfId="28725"/>
    <cellStyle name="Normal 2 58 2 4" xfId="18851"/>
    <cellStyle name="Normal 2 58 2 4 2" xfId="28726"/>
    <cellStyle name="Normal 2 58 2 5" xfId="28727"/>
    <cellStyle name="Normal 2 58 3" xfId="7881"/>
    <cellStyle name="Normal 2 58 3 2" xfId="7882"/>
    <cellStyle name="Normal 2 58 3 3" xfId="7883"/>
    <cellStyle name="Normal 2 58 3 3 2" xfId="18852"/>
    <cellStyle name="Normal 2 58 3 3 2 2" xfId="28728"/>
    <cellStyle name="Normal 2 58 3 3 3" xfId="28729"/>
    <cellStyle name="Normal 2 58 3 4" xfId="18853"/>
    <cellStyle name="Normal 2 58 3 4 2" xfId="28730"/>
    <cellStyle name="Normal 2 58 3 5" xfId="28731"/>
    <cellStyle name="Normal 2 58 4" xfId="7884"/>
    <cellStyle name="Normal 2 58 5" xfId="7885"/>
    <cellStyle name="Normal 2 58 5 2" xfId="18854"/>
    <cellStyle name="Normal 2 58 5 2 2" xfId="28732"/>
    <cellStyle name="Normal 2 58 5 3" xfId="28733"/>
    <cellStyle name="Normal 2 58 6" xfId="18855"/>
    <cellStyle name="Normal 2 58 6 2" xfId="28734"/>
    <cellStyle name="Normal 2 58 7" xfId="28735"/>
    <cellStyle name="Normal 2 59" xfId="7886"/>
    <cellStyle name="Normal 2 59 2" xfId="7887"/>
    <cellStyle name="Normal 2 59 2 2" xfId="7888"/>
    <cellStyle name="Normal 2 59 2 3" xfId="7889"/>
    <cellStyle name="Normal 2 59 2 3 2" xfId="18856"/>
    <cellStyle name="Normal 2 59 2 3 2 2" xfId="28736"/>
    <cellStyle name="Normal 2 59 2 3 3" xfId="28737"/>
    <cellStyle name="Normal 2 59 2 4" xfId="18857"/>
    <cellStyle name="Normal 2 59 2 4 2" xfId="28738"/>
    <cellStyle name="Normal 2 59 2 5" xfId="28739"/>
    <cellStyle name="Normal 2 59 3" xfId="7890"/>
    <cellStyle name="Normal 2 59 3 2" xfId="7891"/>
    <cellStyle name="Normal 2 59 3 3" xfId="7892"/>
    <cellStyle name="Normal 2 59 3 3 2" xfId="18858"/>
    <cellStyle name="Normal 2 59 3 3 2 2" xfId="28740"/>
    <cellStyle name="Normal 2 59 3 3 3" xfId="28741"/>
    <cellStyle name="Normal 2 59 3 4" xfId="18859"/>
    <cellStyle name="Normal 2 59 3 4 2" xfId="28742"/>
    <cellStyle name="Normal 2 59 3 5" xfId="28743"/>
    <cellStyle name="Normal 2 59 4" xfId="7893"/>
    <cellStyle name="Normal 2 59 5" xfId="7894"/>
    <cellStyle name="Normal 2 59 5 2" xfId="18860"/>
    <cellStyle name="Normal 2 59 5 2 2" xfId="28744"/>
    <cellStyle name="Normal 2 59 5 3" xfId="28745"/>
    <cellStyle name="Normal 2 59 6" xfId="18861"/>
    <cellStyle name="Normal 2 59 6 2" xfId="28746"/>
    <cellStyle name="Normal 2 59 7" xfId="28747"/>
    <cellStyle name="Normal 2 6" xfId="52"/>
    <cellStyle name="Normal 2 6 10" xfId="18862"/>
    <cellStyle name="Normal 2 6 10 2" xfId="28748"/>
    <cellStyle name="Normal 2 6 11" xfId="28749"/>
    <cellStyle name="Normal 2 6 2" xfId="7895"/>
    <cellStyle name="Normal 2 6 2 2" xfId="7896"/>
    <cellStyle name="Normal 2 6 2 2 2" xfId="7897"/>
    <cellStyle name="Normal 2 6 2 2 3" xfId="7898"/>
    <cellStyle name="Normal 2 6 2 2 3 2" xfId="18863"/>
    <cellStyle name="Normal 2 6 2 2 3 2 2" xfId="28750"/>
    <cellStyle name="Normal 2 6 2 2 3 3" xfId="28751"/>
    <cellStyle name="Normal 2 6 2 2 4" xfId="18864"/>
    <cellStyle name="Normal 2 6 2 2 4 2" xfId="28752"/>
    <cellStyle name="Normal 2 6 2 2 5" xfId="28753"/>
    <cellStyle name="Normal 2 6 2 3" xfId="7899"/>
    <cellStyle name="Normal 2 6 2 4" xfId="18865"/>
    <cellStyle name="Normal 2 6 2 4 2" xfId="28754"/>
    <cellStyle name="Normal 2 6 3" xfId="7900"/>
    <cellStyle name="Normal 2 6 3 2" xfId="7901"/>
    <cellStyle name="Normal 2 6 3 2 2" xfId="7902"/>
    <cellStyle name="Normal 2 6 3 3" xfId="7903"/>
    <cellStyle name="Normal 2 6 3 4" xfId="18866"/>
    <cellStyle name="Normal 2 6 3 4 2" xfId="28755"/>
    <cellStyle name="Normal 2 6 4" xfId="7904"/>
    <cellStyle name="Normal 2 6 4 2" xfId="7905"/>
    <cellStyle name="Normal 2 6 4 2 2" xfId="28756"/>
    <cellStyle name="Normal 2 6 4 3" xfId="7906"/>
    <cellStyle name="Normal 2 6 4 3 2" xfId="18867"/>
    <cellStyle name="Normal 2 6 4 3 2 2" xfId="28757"/>
    <cellStyle name="Normal 2 6 4 3 3" xfId="28758"/>
    <cellStyle name="Normal 2 6 4 4" xfId="18868"/>
    <cellStyle name="Normal 2 6 4 4 2" xfId="28759"/>
    <cellStyle name="Normal 2 6 4 5" xfId="28760"/>
    <cellStyle name="Normal 2 6 5" xfId="7907"/>
    <cellStyle name="Normal 2 6 5 2" xfId="7908"/>
    <cellStyle name="Normal 2 6 5 2 2" xfId="28761"/>
    <cellStyle name="Normal 2 6 5 3" xfId="7909"/>
    <cellStyle name="Normal 2 6 5 3 2" xfId="18869"/>
    <cellStyle name="Normal 2 6 5 3 2 2" xfId="28762"/>
    <cellStyle name="Normal 2 6 5 3 3" xfId="28763"/>
    <cellStyle name="Normal 2 6 5 4" xfId="18870"/>
    <cellStyle name="Normal 2 6 5 4 2" xfId="28764"/>
    <cellStyle name="Normal 2 6 5 5" xfId="28765"/>
    <cellStyle name="Normal 2 6 6" xfId="7910"/>
    <cellStyle name="Normal 2 6 6 2" xfId="7911"/>
    <cellStyle name="Normal 2 6 6 3" xfId="7912"/>
    <cellStyle name="Normal 2 6 6 3 2" xfId="18871"/>
    <cellStyle name="Normal 2 6 6 3 2 2" xfId="28766"/>
    <cellStyle name="Normal 2 6 6 3 3" xfId="28767"/>
    <cellStyle name="Normal 2 6 6 4" xfId="18872"/>
    <cellStyle name="Normal 2 6 6 4 2" xfId="28768"/>
    <cellStyle name="Normal 2 6 6 5" xfId="28769"/>
    <cellStyle name="Normal 2 6 7" xfId="7913"/>
    <cellStyle name="Normal 2 6 7 2" xfId="7914"/>
    <cellStyle name="Normal 2 6 7 3" xfId="7915"/>
    <cellStyle name="Normal 2 6 7 3 2" xfId="18873"/>
    <cellStyle name="Normal 2 6 7 3 2 2" xfId="28770"/>
    <cellStyle name="Normal 2 6 7 3 3" xfId="28771"/>
    <cellStyle name="Normal 2 6 7 4" xfId="18874"/>
    <cellStyle name="Normal 2 6 7 4 2" xfId="28772"/>
    <cellStyle name="Normal 2 6 7 5" xfId="28773"/>
    <cellStyle name="Normal 2 6 8" xfId="7916"/>
    <cellStyle name="Normal 2 6 9" xfId="7917"/>
    <cellStyle name="Normal 2 6 9 2" xfId="18875"/>
    <cellStyle name="Normal 2 6 9 2 2" xfId="28774"/>
    <cellStyle name="Normal 2 6 9 3" xfId="28775"/>
    <cellStyle name="Normal 2 60" xfId="7918"/>
    <cellStyle name="Normal 2 60 2" xfId="7919"/>
    <cellStyle name="Normal 2 60 2 2" xfId="7920"/>
    <cellStyle name="Normal 2 60 2 3" xfId="7921"/>
    <cellStyle name="Normal 2 60 2 3 2" xfId="18876"/>
    <cellStyle name="Normal 2 60 2 3 2 2" xfId="28776"/>
    <cellStyle name="Normal 2 60 2 3 3" xfId="28777"/>
    <cellStyle name="Normal 2 60 2 4" xfId="18877"/>
    <cellStyle name="Normal 2 60 2 4 2" xfId="28778"/>
    <cellStyle name="Normal 2 60 2 5" xfId="28779"/>
    <cellStyle name="Normal 2 60 3" xfId="7922"/>
    <cellStyle name="Normal 2 60 3 2" xfId="7923"/>
    <cellStyle name="Normal 2 60 3 3" xfId="7924"/>
    <cellStyle name="Normal 2 60 3 3 2" xfId="18878"/>
    <cellStyle name="Normal 2 60 3 3 2 2" xfId="28780"/>
    <cellStyle name="Normal 2 60 3 3 3" xfId="28781"/>
    <cellStyle name="Normal 2 60 3 4" xfId="18879"/>
    <cellStyle name="Normal 2 60 3 4 2" xfId="28782"/>
    <cellStyle name="Normal 2 60 3 5" xfId="28783"/>
    <cellStyle name="Normal 2 60 4" xfId="7925"/>
    <cellStyle name="Normal 2 60 5" xfId="7926"/>
    <cellStyle name="Normal 2 60 5 2" xfId="18880"/>
    <cellStyle name="Normal 2 60 5 2 2" xfId="28784"/>
    <cellStyle name="Normal 2 60 5 3" xfId="28785"/>
    <cellStyle name="Normal 2 60 6" xfId="18881"/>
    <cellStyle name="Normal 2 60 6 2" xfId="28786"/>
    <cellStyle name="Normal 2 60 7" xfId="28787"/>
    <cellStyle name="Normal 2 61" xfId="7927"/>
    <cellStyle name="Normal 2 61 2" xfId="7928"/>
    <cellStyle name="Normal 2 61 2 2" xfId="7929"/>
    <cellStyle name="Normal 2 61 2 3" xfId="7930"/>
    <cellStyle name="Normal 2 61 2 3 2" xfId="18882"/>
    <cellStyle name="Normal 2 61 2 3 2 2" xfId="28788"/>
    <cellStyle name="Normal 2 61 2 3 3" xfId="28789"/>
    <cellStyle name="Normal 2 61 2 4" xfId="18883"/>
    <cellStyle name="Normal 2 61 2 4 2" xfId="28790"/>
    <cellStyle name="Normal 2 61 2 5" xfId="28791"/>
    <cellStyle name="Normal 2 61 3" xfId="7931"/>
    <cellStyle name="Normal 2 61 3 2" xfId="7932"/>
    <cellStyle name="Normal 2 61 3 3" xfId="7933"/>
    <cellStyle name="Normal 2 61 3 3 2" xfId="18884"/>
    <cellStyle name="Normal 2 61 3 3 2 2" xfId="28792"/>
    <cellStyle name="Normal 2 61 3 3 3" xfId="28793"/>
    <cellStyle name="Normal 2 61 3 4" xfId="18885"/>
    <cellStyle name="Normal 2 61 3 4 2" xfId="28794"/>
    <cellStyle name="Normal 2 61 3 5" xfId="28795"/>
    <cellStyle name="Normal 2 61 4" xfId="7934"/>
    <cellStyle name="Normal 2 61 5" xfId="7935"/>
    <cellStyle name="Normal 2 61 5 2" xfId="18886"/>
    <cellStyle name="Normal 2 61 5 2 2" xfId="28796"/>
    <cellStyle name="Normal 2 61 5 3" xfId="28797"/>
    <cellStyle name="Normal 2 61 6" xfId="18887"/>
    <cellStyle name="Normal 2 61 6 2" xfId="28798"/>
    <cellStyle name="Normal 2 61 7" xfId="28799"/>
    <cellStyle name="Normal 2 62" xfId="7936"/>
    <cellStyle name="Normal 2 62 2" xfId="7937"/>
    <cellStyle name="Normal 2 62 2 2" xfId="7938"/>
    <cellStyle name="Normal 2 62 2 3" xfId="7939"/>
    <cellStyle name="Normal 2 62 2 3 2" xfId="18888"/>
    <cellStyle name="Normal 2 62 2 3 2 2" xfId="28800"/>
    <cellStyle name="Normal 2 62 2 3 3" xfId="28801"/>
    <cellStyle name="Normal 2 62 2 4" xfId="18889"/>
    <cellStyle name="Normal 2 62 2 4 2" xfId="28802"/>
    <cellStyle name="Normal 2 62 2 5" xfId="28803"/>
    <cellStyle name="Normal 2 62 3" xfId="7940"/>
    <cellStyle name="Normal 2 62 3 2" xfId="7941"/>
    <cellStyle name="Normal 2 62 3 3" xfId="7942"/>
    <cellStyle name="Normal 2 62 3 3 2" xfId="18890"/>
    <cellStyle name="Normal 2 62 3 3 2 2" xfId="28804"/>
    <cellStyle name="Normal 2 62 3 3 3" xfId="28805"/>
    <cellStyle name="Normal 2 62 3 4" xfId="18891"/>
    <cellStyle name="Normal 2 62 3 4 2" xfId="28806"/>
    <cellStyle name="Normal 2 62 3 5" xfId="28807"/>
    <cellStyle name="Normal 2 62 4" xfId="7943"/>
    <cellStyle name="Normal 2 62 5" xfId="7944"/>
    <cellStyle name="Normal 2 62 5 2" xfId="18892"/>
    <cellStyle name="Normal 2 62 5 2 2" xfId="28808"/>
    <cellStyle name="Normal 2 62 5 3" xfId="28809"/>
    <cellStyle name="Normal 2 62 6" xfId="18893"/>
    <cellStyle name="Normal 2 62 6 2" xfId="28810"/>
    <cellStyle name="Normal 2 62 7" xfId="28811"/>
    <cellStyle name="Normal 2 63" xfId="7945"/>
    <cellStyle name="Normal 2 63 2" xfId="7946"/>
    <cellStyle name="Normal 2 63 2 2" xfId="7947"/>
    <cellStyle name="Normal 2 63 2 3" xfId="7948"/>
    <cellStyle name="Normal 2 63 2 3 2" xfId="18894"/>
    <cellStyle name="Normal 2 63 2 3 2 2" xfId="28812"/>
    <cellStyle name="Normal 2 63 2 3 3" xfId="28813"/>
    <cellStyle name="Normal 2 63 2 4" xfId="18895"/>
    <cellStyle name="Normal 2 63 2 4 2" xfId="28814"/>
    <cellStyle name="Normal 2 63 2 5" xfId="28815"/>
    <cellStyle name="Normal 2 63 3" xfId="7949"/>
    <cellStyle name="Normal 2 63 3 2" xfId="7950"/>
    <cellStyle name="Normal 2 63 3 3" xfId="7951"/>
    <cellStyle name="Normal 2 63 3 3 2" xfId="18896"/>
    <cellStyle name="Normal 2 63 3 3 2 2" xfId="28816"/>
    <cellStyle name="Normal 2 63 3 3 3" xfId="28817"/>
    <cellStyle name="Normal 2 63 3 4" xfId="18897"/>
    <cellStyle name="Normal 2 63 3 4 2" xfId="28818"/>
    <cellStyle name="Normal 2 63 3 5" xfId="28819"/>
    <cellStyle name="Normal 2 63 4" xfId="7952"/>
    <cellStyle name="Normal 2 63 5" xfId="7953"/>
    <cellStyle name="Normal 2 63 5 2" xfId="18898"/>
    <cellStyle name="Normal 2 63 5 2 2" xfId="28820"/>
    <cellStyle name="Normal 2 63 5 3" xfId="28821"/>
    <cellStyle name="Normal 2 63 6" xfId="18899"/>
    <cellStyle name="Normal 2 63 6 2" xfId="28822"/>
    <cellStyle name="Normal 2 63 7" xfId="28823"/>
    <cellStyle name="Normal 2 64" xfId="7954"/>
    <cellStyle name="Normal 2 64 2" xfId="7955"/>
    <cellStyle name="Normal 2 64 2 2" xfId="7956"/>
    <cellStyle name="Normal 2 64 2 3" xfId="7957"/>
    <cellStyle name="Normal 2 64 2 3 2" xfId="18900"/>
    <cellStyle name="Normal 2 64 2 3 2 2" xfId="28824"/>
    <cellStyle name="Normal 2 64 2 3 3" xfId="28825"/>
    <cellStyle name="Normal 2 64 2 4" xfId="18901"/>
    <cellStyle name="Normal 2 64 2 4 2" xfId="28826"/>
    <cellStyle name="Normal 2 64 2 5" xfId="28827"/>
    <cellStyle name="Normal 2 64 3" xfId="7958"/>
    <cellStyle name="Normal 2 64 3 2" xfId="7959"/>
    <cellStyle name="Normal 2 64 3 3" xfId="7960"/>
    <cellStyle name="Normal 2 64 3 3 2" xfId="18902"/>
    <cellStyle name="Normal 2 64 3 3 2 2" xfId="28828"/>
    <cellStyle name="Normal 2 64 3 3 3" xfId="28829"/>
    <cellStyle name="Normal 2 64 3 4" xfId="18903"/>
    <cellStyle name="Normal 2 64 3 4 2" xfId="28830"/>
    <cellStyle name="Normal 2 64 3 5" xfId="28831"/>
    <cellStyle name="Normal 2 64 4" xfId="7961"/>
    <cellStyle name="Normal 2 64 5" xfId="7962"/>
    <cellStyle name="Normal 2 64 5 2" xfId="18904"/>
    <cellStyle name="Normal 2 64 5 2 2" xfId="28832"/>
    <cellStyle name="Normal 2 64 5 3" xfId="28833"/>
    <cellStyle name="Normal 2 64 6" xfId="18905"/>
    <cellStyle name="Normal 2 64 6 2" xfId="28834"/>
    <cellStyle name="Normal 2 64 7" xfId="28835"/>
    <cellStyle name="Normal 2 65" xfId="7963"/>
    <cellStyle name="Normal 2 65 2" xfId="7964"/>
    <cellStyle name="Normal 2 65 2 2" xfId="28836"/>
    <cellStyle name="Normal 2 65 3" xfId="7965"/>
    <cellStyle name="Normal 2 65 3 2" xfId="18906"/>
    <cellStyle name="Normal 2 65 3 2 2" xfId="28837"/>
    <cellStyle name="Normal 2 65 3 3" xfId="28838"/>
    <cellStyle name="Normal 2 65 4" xfId="18907"/>
    <cellStyle name="Normal 2 65 4 2" xfId="28839"/>
    <cellStyle name="Normal 2 65 5" xfId="28840"/>
    <cellStyle name="Normal 2 66" xfId="7966"/>
    <cellStyle name="Normal 2 66 2" xfId="7967"/>
    <cellStyle name="Normal 2 66 2 2" xfId="28841"/>
    <cellStyle name="Normal 2 66 3" xfId="7968"/>
    <cellStyle name="Normal 2 66 3 2" xfId="18908"/>
    <cellStyle name="Normal 2 66 3 2 2" xfId="28842"/>
    <cellStyle name="Normal 2 66 3 3" xfId="28843"/>
    <cellStyle name="Normal 2 66 4" xfId="18909"/>
    <cellStyle name="Normal 2 66 4 2" xfId="28844"/>
    <cellStyle name="Normal 2 66 5" xfId="28845"/>
    <cellStyle name="Normal 2 67" xfId="7969"/>
    <cellStyle name="Normal 2 67 2" xfId="7970"/>
    <cellStyle name="Normal 2 67 2 2" xfId="28846"/>
    <cellStyle name="Normal 2 67 3" xfId="7971"/>
    <cellStyle name="Normal 2 67 3 2" xfId="18910"/>
    <cellStyle name="Normal 2 67 3 2 2" xfId="28847"/>
    <cellStyle name="Normal 2 67 3 3" xfId="28848"/>
    <cellStyle name="Normal 2 67 4" xfId="18911"/>
    <cellStyle name="Normal 2 67 4 2" xfId="28849"/>
    <cellStyle name="Normal 2 67 5" xfId="28850"/>
    <cellStyle name="Normal 2 68" xfId="7972"/>
    <cellStyle name="Normal 2 68 2" xfId="7973"/>
    <cellStyle name="Normal 2 68 2 2" xfId="28851"/>
    <cellStyle name="Normal 2 68 3" xfId="7974"/>
    <cellStyle name="Normal 2 68 3 2" xfId="18912"/>
    <cellStyle name="Normal 2 68 3 2 2" xfId="28852"/>
    <cellStyle name="Normal 2 68 3 3" xfId="28853"/>
    <cellStyle name="Normal 2 68 4" xfId="18913"/>
    <cellStyle name="Normal 2 68 4 2" xfId="28854"/>
    <cellStyle name="Normal 2 68 5" xfId="28855"/>
    <cellStyle name="Normal 2 69" xfId="7975"/>
    <cellStyle name="Normal 2 69 2" xfId="7976"/>
    <cellStyle name="Normal 2 69 2 2" xfId="28856"/>
    <cellStyle name="Normal 2 69 3" xfId="7977"/>
    <cellStyle name="Normal 2 69 3 2" xfId="18914"/>
    <cellStyle name="Normal 2 69 3 2 2" xfId="28857"/>
    <cellStyle name="Normal 2 69 3 3" xfId="28858"/>
    <cellStyle name="Normal 2 69 4" xfId="18915"/>
    <cellStyle name="Normal 2 69 4 2" xfId="28859"/>
    <cellStyle name="Normal 2 69 5" xfId="28860"/>
    <cellStyle name="Normal 2 7" xfId="53"/>
    <cellStyle name="Normal 2 7 10" xfId="7978"/>
    <cellStyle name="Normal 2 7 10 2" xfId="7979"/>
    <cellStyle name="Normal 2 7 10 3" xfId="7980"/>
    <cellStyle name="Normal 2 7 10 3 2" xfId="18916"/>
    <cellStyle name="Normal 2 7 10 3 2 2" xfId="28861"/>
    <cellStyle name="Normal 2 7 10 3 3" xfId="28862"/>
    <cellStyle name="Normal 2 7 10 4" xfId="18917"/>
    <cellStyle name="Normal 2 7 10 4 2" xfId="28863"/>
    <cellStyle name="Normal 2 7 10 5" xfId="28864"/>
    <cellStyle name="Normal 2 7 11" xfId="7981"/>
    <cellStyle name="Normal 2 7 12" xfId="7982"/>
    <cellStyle name="Normal 2 7 12 2" xfId="18918"/>
    <cellStyle name="Normal 2 7 12 2 2" xfId="28865"/>
    <cellStyle name="Normal 2 7 12 3" xfId="28866"/>
    <cellStyle name="Normal 2 7 13" xfId="18919"/>
    <cellStyle name="Normal 2 7 13 2" xfId="28867"/>
    <cellStyle name="Normal 2 7 14" xfId="28868"/>
    <cellStyle name="Normal 2 7 2" xfId="7983"/>
    <cellStyle name="Normal 2 7 2 2" xfId="7984"/>
    <cellStyle name="Normal 2 7 2 2 2" xfId="7985"/>
    <cellStyle name="Normal 2 7 2 3" xfId="7986"/>
    <cellStyle name="Normal 2 7 2 4" xfId="18920"/>
    <cellStyle name="Normal 2 7 2 4 2" xfId="28869"/>
    <cellStyle name="Normal 2 7 3" xfId="7987"/>
    <cellStyle name="Normal 2 7 3 2" xfId="7988"/>
    <cellStyle name="Normal 2 7 3 2 2" xfId="7989"/>
    <cellStyle name="Normal 2 7 3 3" xfId="7990"/>
    <cellStyle name="Normal 2 7 3 4" xfId="18921"/>
    <cellStyle name="Normal 2 7 3 4 2" xfId="28870"/>
    <cellStyle name="Normal 2 7 4" xfId="7991"/>
    <cellStyle name="Normal 2 7 4 2" xfId="7992"/>
    <cellStyle name="Normal 2 7 4 2 2" xfId="7993"/>
    <cellStyle name="Normal 2 7 4 3" xfId="7994"/>
    <cellStyle name="Normal 2 7 4 4" xfId="7995"/>
    <cellStyle name="Normal 2 7 4 4 2" xfId="18922"/>
    <cellStyle name="Normal 2 7 4 4 2 2" xfId="28871"/>
    <cellStyle name="Normal 2 7 4 4 3" xfId="28872"/>
    <cellStyle name="Normal 2 7 4 5" xfId="18923"/>
    <cellStyle name="Normal 2 7 4 5 2" xfId="28873"/>
    <cellStyle name="Normal 2 7 4 6" xfId="28874"/>
    <cellStyle name="Normal 2 7 5" xfId="7996"/>
    <cellStyle name="Normal 2 7 5 2" xfId="7997"/>
    <cellStyle name="Normal 2 7 5 3" xfId="28875"/>
    <cellStyle name="Normal 2 7 6" xfId="7998"/>
    <cellStyle name="Normal 2 7 6 2" xfId="7999"/>
    <cellStyle name="Normal 2 7 7" xfId="8000"/>
    <cellStyle name="Normal 2 7 7 2" xfId="8001"/>
    <cellStyle name="Normal 2 7 8" xfId="8002"/>
    <cellStyle name="Normal 2 7 8 2" xfId="8003"/>
    <cellStyle name="Normal 2 7 9" xfId="8004"/>
    <cellStyle name="Normal 2 7 9 2" xfId="8005"/>
    <cellStyle name="Normal 2 70" xfId="8006"/>
    <cellStyle name="Normal 2 70 2" xfId="8007"/>
    <cellStyle name="Normal 2 70 2 2" xfId="28876"/>
    <cellStyle name="Normal 2 70 3" xfId="8008"/>
    <cellStyle name="Normal 2 70 3 2" xfId="18924"/>
    <cellStyle name="Normal 2 70 3 2 2" xfId="28877"/>
    <cellStyle name="Normal 2 70 3 3" xfId="28878"/>
    <cellStyle name="Normal 2 70 4" xfId="18925"/>
    <cellStyle name="Normal 2 70 4 2" xfId="28879"/>
    <cellStyle name="Normal 2 70 5" xfId="28880"/>
    <cellStyle name="Normal 2 71" xfId="8009"/>
    <cellStyle name="Normal 2 71 2" xfId="8010"/>
    <cellStyle name="Normal 2 71 2 2" xfId="8011"/>
    <cellStyle name="Normal 2 71 2 3" xfId="8012"/>
    <cellStyle name="Normal 2 71 2 3 2" xfId="18926"/>
    <cellStyle name="Normal 2 71 2 3 2 2" xfId="28881"/>
    <cellStyle name="Normal 2 71 2 3 3" xfId="28882"/>
    <cellStyle name="Normal 2 71 2 4" xfId="18927"/>
    <cellStyle name="Normal 2 71 2 4 2" xfId="28883"/>
    <cellStyle name="Normal 2 71 2 5" xfId="28884"/>
    <cellStyle name="Normal 2 71 3" xfId="8013"/>
    <cellStyle name="Normal 2 71 4" xfId="8014"/>
    <cellStyle name="Normal 2 71 4 2" xfId="18928"/>
    <cellStyle name="Normal 2 71 4 2 2" xfId="28885"/>
    <cellStyle name="Normal 2 71 4 3" xfId="28886"/>
    <cellStyle name="Normal 2 71 5" xfId="18929"/>
    <cellStyle name="Normal 2 71 5 2" xfId="28887"/>
    <cellStyle name="Normal 2 71 6" xfId="28888"/>
    <cellStyle name="Normal 2 72" xfId="8015"/>
    <cellStyle name="Normal 2 72 2" xfId="8016"/>
    <cellStyle name="Normal 2 72 2 2" xfId="8017"/>
    <cellStyle name="Normal 2 72 2 3" xfId="8018"/>
    <cellStyle name="Normal 2 72 2 3 2" xfId="18930"/>
    <cellStyle name="Normal 2 72 2 3 2 2" xfId="28889"/>
    <cellStyle name="Normal 2 72 2 3 3" xfId="28890"/>
    <cellStyle name="Normal 2 72 2 4" xfId="18931"/>
    <cellStyle name="Normal 2 72 2 4 2" xfId="28891"/>
    <cellStyle name="Normal 2 72 2 5" xfId="28892"/>
    <cellStyle name="Normal 2 72 3" xfId="8019"/>
    <cellStyle name="Normal 2 72 4" xfId="8020"/>
    <cellStyle name="Normal 2 72 4 2" xfId="18932"/>
    <cellStyle name="Normal 2 72 4 2 2" xfId="28893"/>
    <cellStyle name="Normal 2 72 4 3" xfId="28894"/>
    <cellStyle name="Normal 2 72 5" xfId="18933"/>
    <cellStyle name="Normal 2 72 5 2" xfId="28895"/>
    <cellStyle name="Normal 2 72 6" xfId="28896"/>
    <cellStyle name="Normal 2 73" xfId="8021"/>
    <cellStyle name="Normal 2 73 2" xfId="8022"/>
    <cellStyle name="Normal 2 73 2 2" xfId="8023"/>
    <cellStyle name="Normal 2 73 2 3" xfId="8024"/>
    <cellStyle name="Normal 2 73 2 3 2" xfId="18934"/>
    <cellStyle name="Normal 2 73 2 3 2 2" xfId="28897"/>
    <cellStyle name="Normal 2 73 2 3 3" xfId="28898"/>
    <cellStyle name="Normal 2 73 2 4" xfId="18935"/>
    <cellStyle name="Normal 2 73 2 4 2" xfId="28899"/>
    <cellStyle name="Normal 2 73 2 5" xfId="28900"/>
    <cellStyle name="Normal 2 73 3" xfId="8025"/>
    <cellStyle name="Normal 2 73 4" xfId="8026"/>
    <cellStyle name="Normal 2 73 4 2" xfId="18936"/>
    <cellStyle name="Normal 2 73 4 2 2" xfId="28901"/>
    <cellStyle name="Normal 2 73 4 3" xfId="28902"/>
    <cellStyle name="Normal 2 73 5" xfId="18937"/>
    <cellStyle name="Normal 2 73 5 2" xfId="28903"/>
    <cellStyle name="Normal 2 73 6" xfId="28904"/>
    <cellStyle name="Normal 2 74" xfId="8027"/>
    <cellStyle name="Normal 2 74 2" xfId="8028"/>
    <cellStyle name="Normal 2 74 2 2" xfId="8029"/>
    <cellStyle name="Normal 2 74 2 3" xfId="8030"/>
    <cellStyle name="Normal 2 74 2 3 2" xfId="18938"/>
    <cellStyle name="Normal 2 74 2 3 2 2" xfId="28905"/>
    <cellStyle name="Normal 2 74 2 3 3" xfId="28906"/>
    <cellStyle name="Normal 2 74 2 4" xfId="18939"/>
    <cellStyle name="Normal 2 74 2 4 2" xfId="28907"/>
    <cellStyle name="Normal 2 74 2 5" xfId="28908"/>
    <cellStyle name="Normal 2 74 3" xfId="8031"/>
    <cellStyle name="Normal 2 74 4" xfId="8032"/>
    <cellStyle name="Normal 2 74 4 2" xfId="18940"/>
    <cellStyle name="Normal 2 74 4 2 2" xfId="28909"/>
    <cellStyle name="Normal 2 74 4 3" xfId="28910"/>
    <cellStyle name="Normal 2 74 5" xfId="18941"/>
    <cellStyle name="Normal 2 74 5 2" xfId="28911"/>
    <cellStyle name="Normal 2 74 6" xfId="28912"/>
    <cellStyle name="Normal 2 75" xfId="8033"/>
    <cellStyle name="Normal 2 75 2" xfId="8034"/>
    <cellStyle name="Normal 2 75 2 2" xfId="8035"/>
    <cellStyle name="Normal 2 75 2 3" xfId="8036"/>
    <cellStyle name="Normal 2 75 2 3 2" xfId="18942"/>
    <cellStyle name="Normal 2 75 2 3 2 2" xfId="28913"/>
    <cellStyle name="Normal 2 75 2 3 3" xfId="28914"/>
    <cellStyle name="Normal 2 75 2 4" xfId="18943"/>
    <cellStyle name="Normal 2 75 2 4 2" xfId="28915"/>
    <cellStyle name="Normal 2 75 2 5" xfId="28916"/>
    <cellStyle name="Normal 2 75 3" xfId="8037"/>
    <cellStyle name="Normal 2 75 4" xfId="8038"/>
    <cellStyle name="Normal 2 75 4 2" xfId="18944"/>
    <cellStyle name="Normal 2 75 4 2 2" xfId="28917"/>
    <cellStyle name="Normal 2 75 4 3" xfId="28918"/>
    <cellStyle name="Normal 2 75 5" xfId="18945"/>
    <cellStyle name="Normal 2 75 5 2" xfId="28919"/>
    <cellStyle name="Normal 2 75 6" xfId="28920"/>
    <cellStyle name="Normal 2 76" xfId="8039"/>
    <cellStyle name="Normal 2 76 2" xfId="8040"/>
    <cellStyle name="Normal 2 76 2 2" xfId="8041"/>
    <cellStyle name="Normal 2 76 2 3" xfId="8042"/>
    <cellStyle name="Normal 2 76 2 3 2" xfId="18946"/>
    <cellStyle name="Normal 2 76 2 3 2 2" xfId="28921"/>
    <cellStyle name="Normal 2 76 2 3 3" xfId="28922"/>
    <cellStyle name="Normal 2 76 2 4" xfId="18947"/>
    <cellStyle name="Normal 2 76 2 4 2" xfId="28923"/>
    <cellStyle name="Normal 2 76 2 5" xfId="28924"/>
    <cellStyle name="Normal 2 76 3" xfId="8043"/>
    <cellStyle name="Normal 2 76 4" xfId="8044"/>
    <cellStyle name="Normal 2 76 4 2" xfId="18948"/>
    <cellStyle name="Normal 2 76 4 2 2" xfId="28925"/>
    <cellStyle name="Normal 2 76 4 3" xfId="28926"/>
    <cellStyle name="Normal 2 76 5" xfId="18949"/>
    <cellStyle name="Normal 2 76 5 2" xfId="28927"/>
    <cellStyle name="Normal 2 76 6" xfId="28928"/>
    <cellStyle name="Normal 2 77" xfId="8045"/>
    <cellStyle name="Normal 2 77 2" xfId="8046"/>
    <cellStyle name="Normal 2 77 2 2" xfId="8047"/>
    <cellStyle name="Normal 2 77 2 3" xfId="8048"/>
    <cellStyle name="Normal 2 77 2 3 2" xfId="18950"/>
    <cellStyle name="Normal 2 77 2 3 2 2" xfId="28929"/>
    <cellStyle name="Normal 2 77 2 3 3" xfId="28930"/>
    <cellStyle name="Normal 2 77 2 4" xfId="18951"/>
    <cellStyle name="Normal 2 77 2 4 2" xfId="28931"/>
    <cellStyle name="Normal 2 77 2 5" xfId="28932"/>
    <cellStyle name="Normal 2 77 3" xfId="8049"/>
    <cellStyle name="Normal 2 77 4" xfId="8050"/>
    <cellStyle name="Normal 2 77 4 2" xfId="18952"/>
    <cellStyle name="Normal 2 77 4 2 2" xfId="28933"/>
    <cellStyle name="Normal 2 77 4 3" xfId="28934"/>
    <cellStyle name="Normal 2 77 5" xfId="18953"/>
    <cellStyle name="Normal 2 77 5 2" xfId="28935"/>
    <cellStyle name="Normal 2 77 6" xfId="28936"/>
    <cellStyle name="Normal 2 78" xfId="8051"/>
    <cellStyle name="Normal 2 78 2" xfId="8052"/>
    <cellStyle name="Normal 2 78 2 2" xfId="8053"/>
    <cellStyle name="Normal 2 78 2 3" xfId="8054"/>
    <cellStyle name="Normal 2 78 2 3 2" xfId="18954"/>
    <cellStyle name="Normal 2 78 2 3 2 2" xfId="28937"/>
    <cellStyle name="Normal 2 78 2 3 3" xfId="28938"/>
    <cellStyle name="Normal 2 78 2 4" xfId="18955"/>
    <cellStyle name="Normal 2 78 2 4 2" xfId="28939"/>
    <cellStyle name="Normal 2 78 2 5" xfId="28940"/>
    <cellStyle name="Normal 2 78 3" xfId="8055"/>
    <cellStyle name="Normal 2 78 4" xfId="8056"/>
    <cellStyle name="Normal 2 78 4 2" xfId="18956"/>
    <cellStyle name="Normal 2 78 4 2 2" xfId="28941"/>
    <cellStyle name="Normal 2 78 4 3" xfId="28942"/>
    <cellStyle name="Normal 2 78 5" xfId="18957"/>
    <cellStyle name="Normal 2 78 5 2" xfId="28943"/>
    <cellStyle name="Normal 2 78 6" xfId="28944"/>
    <cellStyle name="Normal 2 79" xfId="8057"/>
    <cellStyle name="Normal 2 79 2" xfId="8058"/>
    <cellStyle name="Normal 2 79 2 2" xfId="8059"/>
    <cellStyle name="Normal 2 79 2 3" xfId="8060"/>
    <cellStyle name="Normal 2 79 2 3 2" xfId="18958"/>
    <cellStyle name="Normal 2 79 2 3 2 2" xfId="28945"/>
    <cellStyle name="Normal 2 79 2 3 3" xfId="28946"/>
    <cellStyle name="Normal 2 79 2 4" xfId="18959"/>
    <cellStyle name="Normal 2 79 2 4 2" xfId="28947"/>
    <cellStyle name="Normal 2 79 2 5" xfId="28948"/>
    <cellStyle name="Normal 2 79 3" xfId="8061"/>
    <cellStyle name="Normal 2 79 4" xfId="8062"/>
    <cellStyle name="Normal 2 79 4 2" xfId="18960"/>
    <cellStyle name="Normal 2 79 4 2 2" xfId="28949"/>
    <cellStyle name="Normal 2 79 4 3" xfId="28950"/>
    <cellStyle name="Normal 2 79 5" xfId="18961"/>
    <cellStyle name="Normal 2 79 5 2" xfId="28951"/>
    <cellStyle name="Normal 2 79 6" xfId="28952"/>
    <cellStyle name="Normal 2 8" xfId="54"/>
    <cellStyle name="Normal 2 8 2" xfId="8063"/>
    <cellStyle name="Normal 2 8 2 2" xfId="8064"/>
    <cellStyle name="Normal 2 8 2 3" xfId="18962"/>
    <cellStyle name="Normal 2 8 2 3 2" xfId="28953"/>
    <cellStyle name="Normal 2 8 3" xfId="8065"/>
    <cellStyle name="Normal 2 8 3 2" xfId="8066"/>
    <cellStyle name="Normal 2 8 4" xfId="8067"/>
    <cellStyle name="Normal 2 8 4 2" xfId="8068"/>
    <cellStyle name="Normal 2 8 4 3" xfId="8069"/>
    <cellStyle name="Normal 2 8 4 3 2" xfId="18963"/>
    <cellStyle name="Normal 2 8 4 3 2 2" xfId="28954"/>
    <cellStyle name="Normal 2 8 4 3 3" xfId="28955"/>
    <cellStyle name="Normal 2 8 4 4" xfId="18964"/>
    <cellStyle name="Normal 2 8 4 4 2" xfId="28956"/>
    <cellStyle name="Normal 2 8 4 5" xfId="28957"/>
    <cellStyle name="Normal 2 8 5" xfId="8070"/>
    <cellStyle name="Normal 2 8 5 2" xfId="8071"/>
    <cellStyle name="Normal 2 8 5 3" xfId="8072"/>
    <cellStyle name="Normal 2 8 5 3 2" xfId="18965"/>
    <cellStyle name="Normal 2 8 5 3 2 2" xfId="28958"/>
    <cellStyle name="Normal 2 8 5 3 3" xfId="28959"/>
    <cellStyle name="Normal 2 8 5 4" xfId="18966"/>
    <cellStyle name="Normal 2 8 5 4 2" xfId="28960"/>
    <cellStyle name="Normal 2 8 5 5" xfId="28961"/>
    <cellStyle name="Normal 2 8 6" xfId="8073"/>
    <cellStyle name="Normal 2 8 7" xfId="8074"/>
    <cellStyle name="Normal 2 8 7 2" xfId="18967"/>
    <cellStyle name="Normal 2 8 7 2 2" xfId="28962"/>
    <cellStyle name="Normal 2 8 7 3" xfId="28963"/>
    <cellStyle name="Normal 2 8 8" xfId="18968"/>
    <cellStyle name="Normal 2 8 8 2" xfId="28964"/>
    <cellStyle name="Normal 2 8 9" xfId="28965"/>
    <cellStyle name="Normal 2 80" xfId="8075"/>
    <cellStyle name="Normal 2 80 2" xfId="8076"/>
    <cellStyle name="Normal 2 80 2 2" xfId="8077"/>
    <cellStyle name="Normal 2 80 2 3" xfId="8078"/>
    <cellStyle name="Normal 2 80 2 3 2" xfId="18969"/>
    <cellStyle name="Normal 2 80 2 3 2 2" xfId="28966"/>
    <cellStyle name="Normal 2 80 2 3 3" xfId="28967"/>
    <cellStyle name="Normal 2 80 2 4" xfId="18970"/>
    <cellStyle name="Normal 2 80 2 4 2" xfId="28968"/>
    <cellStyle name="Normal 2 80 2 5" xfId="28969"/>
    <cellStyle name="Normal 2 80 3" xfId="8079"/>
    <cellStyle name="Normal 2 80 4" xfId="8080"/>
    <cellStyle name="Normal 2 80 4 2" xfId="18971"/>
    <cellStyle name="Normal 2 80 4 2 2" xfId="28970"/>
    <cellStyle name="Normal 2 80 4 3" xfId="28971"/>
    <cellStyle name="Normal 2 80 5" xfId="18972"/>
    <cellStyle name="Normal 2 80 5 2" xfId="28972"/>
    <cellStyle name="Normal 2 80 6" xfId="28973"/>
    <cellStyle name="Normal 2 81" xfId="8081"/>
    <cellStyle name="Normal 2 81 2" xfId="8082"/>
    <cellStyle name="Normal 2 81 2 2" xfId="8083"/>
    <cellStyle name="Normal 2 81 2 3" xfId="8084"/>
    <cellStyle name="Normal 2 81 2 3 2" xfId="18973"/>
    <cellStyle name="Normal 2 81 2 3 2 2" xfId="28974"/>
    <cellStyle name="Normal 2 81 2 3 3" xfId="28975"/>
    <cellStyle name="Normal 2 81 2 4" xfId="18974"/>
    <cellStyle name="Normal 2 81 2 4 2" xfId="28976"/>
    <cellStyle name="Normal 2 81 2 5" xfId="28977"/>
    <cellStyle name="Normal 2 81 3" xfId="8085"/>
    <cellStyle name="Normal 2 81 4" xfId="8086"/>
    <cellStyle name="Normal 2 81 4 2" xfId="18975"/>
    <cellStyle name="Normal 2 81 4 2 2" xfId="28978"/>
    <cellStyle name="Normal 2 81 4 3" xfId="28979"/>
    <cellStyle name="Normal 2 81 5" xfId="18976"/>
    <cellStyle name="Normal 2 81 5 2" xfId="28980"/>
    <cellStyle name="Normal 2 81 6" xfId="28981"/>
    <cellStyle name="Normal 2 82" xfId="8087"/>
    <cellStyle name="Normal 2 82 2" xfId="8088"/>
    <cellStyle name="Normal 2 82 2 2" xfId="8089"/>
    <cellStyle name="Normal 2 82 2 3" xfId="8090"/>
    <cellStyle name="Normal 2 82 2 3 2" xfId="18977"/>
    <cellStyle name="Normal 2 82 2 3 2 2" xfId="28982"/>
    <cellStyle name="Normal 2 82 2 3 3" xfId="28983"/>
    <cellStyle name="Normal 2 82 2 4" xfId="18978"/>
    <cellStyle name="Normal 2 82 2 4 2" xfId="28984"/>
    <cellStyle name="Normal 2 82 2 5" xfId="28985"/>
    <cellStyle name="Normal 2 82 3" xfId="8091"/>
    <cellStyle name="Normal 2 82 4" xfId="8092"/>
    <cellStyle name="Normal 2 82 4 2" xfId="18979"/>
    <cellStyle name="Normal 2 82 4 2 2" xfId="28986"/>
    <cellStyle name="Normal 2 82 4 3" xfId="28987"/>
    <cellStyle name="Normal 2 82 5" xfId="18980"/>
    <cellStyle name="Normal 2 82 5 2" xfId="28988"/>
    <cellStyle name="Normal 2 82 6" xfId="28989"/>
    <cellStyle name="Normal 2 83" xfId="8093"/>
    <cellStyle name="Normal 2 83 2" xfId="8094"/>
    <cellStyle name="Normal 2 83 2 2" xfId="8095"/>
    <cellStyle name="Normal 2 83 2 3" xfId="8096"/>
    <cellStyle name="Normal 2 83 2 3 2" xfId="18981"/>
    <cellStyle name="Normal 2 83 2 3 2 2" xfId="28990"/>
    <cellStyle name="Normal 2 83 2 3 3" xfId="28991"/>
    <cellStyle name="Normal 2 83 2 4" xfId="18982"/>
    <cellStyle name="Normal 2 83 2 4 2" xfId="28992"/>
    <cellStyle name="Normal 2 83 2 5" xfId="28993"/>
    <cellStyle name="Normal 2 83 3" xfId="8097"/>
    <cellStyle name="Normal 2 83 4" xfId="8098"/>
    <cellStyle name="Normal 2 83 4 2" xfId="18983"/>
    <cellStyle name="Normal 2 83 4 2 2" xfId="28994"/>
    <cellStyle name="Normal 2 83 4 3" xfId="28995"/>
    <cellStyle name="Normal 2 83 5" xfId="18984"/>
    <cellStyle name="Normal 2 83 5 2" xfId="28996"/>
    <cellStyle name="Normal 2 83 6" xfId="28997"/>
    <cellStyle name="Normal 2 84" xfId="8099"/>
    <cellStyle name="Normal 2 84 2" xfId="8100"/>
    <cellStyle name="Normal 2 84 2 2" xfId="8101"/>
    <cellStyle name="Normal 2 84 2 3" xfId="8102"/>
    <cellStyle name="Normal 2 84 2 3 2" xfId="18985"/>
    <cellStyle name="Normal 2 84 2 3 2 2" xfId="28998"/>
    <cellStyle name="Normal 2 84 2 3 3" xfId="28999"/>
    <cellStyle name="Normal 2 84 2 4" xfId="18986"/>
    <cellStyle name="Normal 2 84 2 4 2" xfId="29000"/>
    <cellStyle name="Normal 2 84 2 5" xfId="29001"/>
    <cellStyle name="Normal 2 84 3" xfId="8103"/>
    <cellStyle name="Normal 2 84 4" xfId="8104"/>
    <cellStyle name="Normal 2 84 4 2" xfId="18987"/>
    <cellStyle name="Normal 2 84 4 2 2" xfId="29002"/>
    <cellStyle name="Normal 2 84 4 3" xfId="29003"/>
    <cellStyle name="Normal 2 84 5" xfId="18988"/>
    <cellStyle name="Normal 2 84 5 2" xfId="29004"/>
    <cellStyle name="Normal 2 84 6" xfId="29005"/>
    <cellStyle name="Normal 2 85" xfId="8105"/>
    <cellStyle name="Normal 2 85 2" xfId="8106"/>
    <cellStyle name="Normal 2 85 2 2" xfId="8107"/>
    <cellStyle name="Normal 2 85 2 3" xfId="8108"/>
    <cellStyle name="Normal 2 85 2 3 2" xfId="18989"/>
    <cellStyle name="Normal 2 85 2 3 2 2" xfId="29006"/>
    <cellStyle name="Normal 2 85 2 3 3" xfId="29007"/>
    <cellStyle name="Normal 2 85 2 4" xfId="18990"/>
    <cellStyle name="Normal 2 85 2 4 2" xfId="29008"/>
    <cellStyle name="Normal 2 85 2 5" xfId="29009"/>
    <cellStyle name="Normal 2 85 3" xfId="8109"/>
    <cellStyle name="Normal 2 85 4" xfId="8110"/>
    <cellStyle name="Normal 2 85 4 2" xfId="18991"/>
    <cellStyle name="Normal 2 85 4 2 2" xfId="29010"/>
    <cellStyle name="Normal 2 85 4 3" xfId="29011"/>
    <cellStyle name="Normal 2 85 5" xfId="18992"/>
    <cellStyle name="Normal 2 85 5 2" xfId="29012"/>
    <cellStyle name="Normal 2 85 6" xfId="29013"/>
    <cellStyle name="Normal 2 86" xfId="8111"/>
    <cellStyle name="Normal 2 86 2" xfId="8112"/>
    <cellStyle name="Normal 2 86 2 2" xfId="8113"/>
    <cellStyle name="Normal 2 86 2 3" xfId="8114"/>
    <cellStyle name="Normal 2 86 2 3 2" xfId="18993"/>
    <cellStyle name="Normal 2 86 2 3 2 2" xfId="29014"/>
    <cellStyle name="Normal 2 86 2 3 3" xfId="29015"/>
    <cellStyle name="Normal 2 86 2 4" xfId="18994"/>
    <cellStyle name="Normal 2 86 2 4 2" xfId="29016"/>
    <cellStyle name="Normal 2 86 2 5" xfId="29017"/>
    <cellStyle name="Normal 2 86 3" xfId="8115"/>
    <cellStyle name="Normal 2 86 4" xfId="8116"/>
    <cellStyle name="Normal 2 86 4 2" xfId="18995"/>
    <cellStyle name="Normal 2 86 4 2 2" xfId="29018"/>
    <cellStyle name="Normal 2 86 4 3" xfId="29019"/>
    <cellStyle name="Normal 2 86 5" xfId="18996"/>
    <cellStyle name="Normal 2 86 5 2" xfId="29020"/>
    <cellStyle name="Normal 2 86 6" xfId="29021"/>
    <cellStyle name="Normal 2 87" xfId="8117"/>
    <cellStyle name="Normal 2 87 2" xfId="8118"/>
    <cellStyle name="Normal 2 87 2 2" xfId="8119"/>
    <cellStyle name="Normal 2 87 2 3" xfId="8120"/>
    <cellStyle name="Normal 2 87 2 3 2" xfId="18997"/>
    <cellStyle name="Normal 2 87 2 3 2 2" xfId="29022"/>
    <cellStyle name="Normal 2 87 2 3 3" xfId="29023"/>
    <cellStyle name="Normal 2 87 2 4" xfId="18998"/>
    <cellStyle name="Normal 2 87 2 4 2" xfId="29024"/>
    <cellStyle name="Normal 2 87 2 5" xfId="29025"/>
    <cellStyle name="Normal 2 87 3" xfId="8121"/>
    <cellStyle name="Normal 2 87 4" xfId="8122"/>
    <cellStyle name="Normal 2 87 4 2" xfId="18999"/>
    <cellStyle name="Normal 2 87 4 2 2" xfId="29026"/>
    <cellStyle name="Normal 2 87 4 3" xfId="29027"/>
    <cellStyle name="Normal 2 87 5" xfId="19000"/>
    <cellStyle name="Normal 2 87 5 2" xfId="29028"/>
    <cellStyle name="Normal 2 87 6" xfId="29029"/>
    <cellStyle name="Normal 2 88" xfId="8123"/>
    <cellStyle name="Normal 2 88 2" xfId="8124"/>
    <cellStyle name="Normal 2 89" xfId="8125"/>
    <cellStyle name="Normal 2 89 2" xfId="8126"/>
    <cellStyle name="Normal 2 9" xfId="55"/>
    <cellStyle name="Normal 2 9 2" xfId="8127"/>
    <cellStyle name="Normal 2 9 2 2" xfId="8128"/>
    <cellStyle name="Normal 2 9 3" xfId="8129"/>
    <cellStyle name="Normal 2 9 3 2" xfId="8130"/>
    <cellStyle name="Normal 2 9 4" xfId="8131"/>
    <cellStyle name="Normal 2 9 4 2" xfId="8132"/>
    <cellStyle name="Normal 2 9 4 3" xfId="8133"/>
    <cellStyle name="Normal 2 9 4 3 2" xfId="19001"/>
    <cellStyle name="Normal 2 9 4 3 2 2" xfId="29030"/>
    <cellStyle name="Normal 2 9 4 3 3" xfId="29031"/>
    <cellStyle name="Normal 2 9 4 4" xfId="19002"/>
    <cellStyle name="Normal 2 9 4 4 2" xfId="29032"/>
    <cellStyle name="Normal 2 9 4 5" xfId="29033"/>
    <cellStyle name="Normal 2 9 5" xfId="8134"/>
    <cellStyle name="Normal 2 9 5 2" xfId="8135"/>
    <cellStyle name="Normal 2 9 5 3" xfId="8136"/>
    <cellStyle name="Normal 2 9 5 3 2" xfId="19003"/>
    <cellStyle name="Normal 2 9 5 3 2 2" xfId="29034"/>
    <cellStyle name="Normal 2 9 5 3 3" xfId="29035"/>
    <cellStyle name="Normal 2 9 5 4" xfId="19004"/>
    <cellStyle name="Normal 2 9 5 4 2" xfId="29036"/>
    <cellStyle name="Normal 2 9 5 5" xfId="29037"/>
    <cellStyle name="Normal 2 9 6" xfId="8137"/>
    <cellStyle name="Normal 2 9 7" xfId="8138"/>
    <cellStyle name="Normal 2 9 7 2" xfId="19005"/>
    <cellStyle name="Normal 2 9 7 2 2" xfId="29038"/>
    <cellStyle name="Normal 2 9 7 3" xfId="29039"/>
    <cellStyle name="Normal 2 9 8" xfId="8139"/>
    <cellStyle name="Normal 2 90" xfId="8140"/>
    <cellStyle name="Normal 2 90 2" xfId="8141"/>
    <cellStyle name="Normal 2 90 2 2" xfId="8142"/>
    <cellStyle name="Normal 2 90 2 3" xfId="8143"/>
    <cellStyle name="Normal 2 90 2 3 2" xfId="19006"/>
    <cellStyle name="Normal 2 90 2 3 2 2" xfId="29040"/>
    <cellStyle name="Normal 2 90 2 3 3" xfId="29041"/>
    <cellStyle name="Normal 2 90 2 4" xfId="19007"/>
    <cellStyle name="Normal 2 90 2 4 2" xfId="29042"/>
    <cellStyle name="Normal 2 90 2 5" xfId="29043"/>
    <cellStyle name="Normal 2 90 3" xfId="8144"/>
    <cellStyle name="Normal 2 90 4" xfId="8145"/>
    <cellStyle name="Normal 2 90 4 2" xfId="19008"/>
    <cellStyle name="Normal 2 90 4 2 2" xfId="29044"/>
    <cellStyle name="Normal 2 90 4 3" xfId="29045"/>
    <cellStyle name="Normal 2 90 5" xfId="19009"/>
    <cellStyle name="Normal 2 90 5 2" xfId="29046"/>
    <cellStyle name="Normal 2 90 6" xfId="29047"/>
    <cellStyle name="Normal 2 91" xfId="8146"/>
    <cellStyle name="Normal 2 91 2" xfId="8147"/>
    <cellStyle name="Normal 2 91 2 2" xfId="8148"/>
    <cellStyle name="Normal 2 91 2 3" xfId="8149"/>
    <cellStyle name="Normal 2 91 2 3 2" xfId="19010"/>
    <cellStyle name="Normal 2 91 2 3 2 2" xfId="29048"/>
    <cellStyle name="Normal 2 91 2 3 3" xfId="29049"/>
    <cellStyle name="Normal 2 91 2 4" xfId="19011"/>
    <cellStyle name="Normal 2 91 2 4 2" xfId="29050"/>
    <cellStyle name="Normal 2 91 2 5" xfId="29051"/>
    <cellStyle name="Normal 2 91 3" xfId="8150"/>
    <cellStyle name="Normal 2 91 4" xfId="8151"/>
    <cellStyle name="Normal 2 91 4 2" xfId="19012"/>
    <cellStyle name="Normal 2 91 4 2 2" xfId="29052"/>
    <cellStyle name="Normal 2 91 4 3" xfId="29053"/>
    <cellStyle name="Normal 2 91 5" xfId="19013"/>
    <cellStyle name="Normal 2 91 5 2" xfId="29054"/>
    <cellStyle name="Normal 2 91 6" xfId="29055"/>
    <cellStyle name="Normal 2 92" xfId="8152"/>
    <cellStyle name="Normal 2 92 2" xfId="8153"/>
    <cellStyle name="Normal 2 92 2 2" xfId="8154"/>
    <cellStyle name="Normal 2 92 2 3" xfId="8155"/>
    <cellStyle name="Normal 2 92 2 3 2" xfId="19014"/>
    <cellStyle name="Normal 2 92 2 3 2 2" xfId="29056"/>
    <cellStyle name="Normal 2 92 2 3 3" xfId="29057"/>
    <cellStyle name="Normal 2 92 2 4" xfId="19015"/>
    <cellStyle name="Normal 2 92 2 4 2" xfId="29058"/>
    <cellStyle name="Normal 2 92 2 5" xfId="29059"/>
    <cellStyle name="Normal 2 92 3" xfId="8156"/>
    <cellStyle name="Normal 2 92 4" xfId="8157"/>
    <cellStyle name="Normal 2 92 4 2" xfId="19016"/>
    <cellStyle name="Normal 2 92 4 2 2" xfId="29060"/>
    <cellStyle name="Normal 2 92 4 3" xfId="29061"/>
    <cellStyle name="Normal 2 92 5" xfId="19017"/>
    <cellStyle name="Normal 2 92 5 2" xfId="29062"/>
    <cellStyle name="Normal 2 92 6" xfId="29063"/>
    <cellStyle name="Normal 2 93" xfId="8158"/>
    <cellStyle name="Normal 2 93 2" xfId="8159"/>
    <cellStyle name="Normal 2 93 2 2" xfId="8160"/>
    <cellStyle name="Normal 2 93 2 3" xfId="8161"/>
    <cellStyle name="Normal 2 93 2 3 2" xfId="19018"/>
    <cellStyle name="Normal 2 93 2 3 2 2" xfId="29064"/>
    <cellStyle name="Normal 2 93 2 3 3" xfId="29065"/>
    <cellStyle name="Normal 2 93 2 4" xfId="19019"/>
    <cellStyle name="Normal 2 93 2 4 2" xfId="29066"/>
    <cellStyle name="Normal 2 93 2 5" xfId="29067"/>
    <cellStyle name="Normal 2 93 3" xfId="8162"/>
    <cellStyle name="Normal 2 93 4" xfId="8163"/>
    <cellStyle name="Normal 2 93 4 2" xfId="19020"/>
    <cellStyle name="Normal 2 93 4 2 2" xfId="29068"/>
    <cellStyle name="Normal 2 93 4 3" xfId="29069"/>
    <cellStyle name="Normal 2 93 5" xfId="19021"/>
    <cellStyle name="Normal 2 93 5 2" xfId="29070"/>
    <cellStyle name="Normal 2 93 6" xfId="29071"/>
    <cellStyle name="Normal 2 94" xfId="8164"/>
    <cellStyle name="Normal 2 94 2" xfId="8165"/>
    <cellStyle name="Normal 2 94 2 2" xfId="8166"/>
    <cellStyle name="Normal 2 94 2 3" xfId="8167"/>
    <cellStyle name="Normal 2 94 2 3 2" xfId="19022"/>
    <cellStyle name="Normal 2 94 2 3 2 2" xfId="29072"/>
    <cellStyle name="Normal 2 94 2 3 3" xfId="29073"/>
    <cellStyle name="Normal 2 94 2 4" xfId="19023"/>
    <cellStyle name="Normal 2 94 2 4 2" xfId="29074"/>
    <cellStyle name="Normal 2 94 2 5" xfId="29075"/>
    <cellStyle name="Normal 2 94 3" xfId="8168"/>
    <cellStyle name="Normal 2 94 4" xfId="8169"/>
    <cellStyle name="Normal 2 94 4 2" xfId="19024"/>
    <cellStyle name="Normal 2 94 4 2 2" xfId="29076"/>
    <cellStyle name="Normal 2 94 4 3" xfId="29077"/>
    <cellStyle name="Normal 2 94 5" xfId="19025"/>
    <cellStyle name="Normal 2 94 5 2" xfId="29078"/>
    <cellStyle name="Normal 2 94 6" xfId="29079"/>
    <cellStyle name="Normal 2 95" xfId="8170"/>
    <cellStyle name="Normal 2 95 2" xfId="8171"/>
    <cellStyle name="Normal 2 95 2 2" xfId="8172"/>
    <cellStyle name="Normal 2 95 2 3" xfId="8173"/>
    <cellStyle name="Normal 2 95 2 3 2" xfId="19026"/>
    <cellStyle name="Normal 2 95 2 3 2 2" xfId="29080"/>
    <cellStyle name="Normal 2 95 2 3 3" xfId="29081"/>
    <cellStyle name="Normal 2 95 2 4" xfId="19027"/>
    <cellStyle name="Normal 2 95 2 4 2" xfId="29082"/>
    <cellStyle name="Normal 2 95 2 5" xfId="29083"/>
    <cellStyle name="Normal 2 95 3" xfId="8174"/>
    <cellStyle name="Normal 2 95 4" xfId="8175"/>
    <cellStyle name="Normal 2 95 4 2" xfId="19028"/>
    <cellStyle name="Normal 2 95 4 2 2" xfId="29084"/>
    <cellStyle name="Normal 2 95 4 3" xfId="29085"/>
    <cellStyle name="Normal 2 95 5" xfId="19029"/>
    <cellStyle name="Normal 2 95 5 2" xfId="29086"/>
    <cellStyle name="Normal 2 95 6" xfId="29087"/>
    <cellStyle name="Normal 2 96" xfId="8176"/>
    <cellStyle name="Normal 2 96 2" xfId="8177"/>
    <cellStyle name="Normal 2 96 2 2" xfId="8178"/>
    <cellStyle name="Normal 2 96 2 3" xfId="8179"/>
    <cellStyle name="Normal 2 96 2 3 2" xfId="19030"/>
    <cellStyle name="Normal 2 96 2 3 2 2" xfId="29088"/>
    <cellStyle name="Normal 2 96 2 3 3" xfId="29089"/>
    <cellStyle name="Normal 2 96 2 4" xfId="19031"/>
    <cellStyle name="Normal 2 96 2 4 2" xfId="29090"/>
    <cellStyle name="Normal 2 96 2 5" xfId="29091"/>
    <cellStyle name="Normal 2 96 3" xfId="8180"/>
    <cellStyle name="Normal 2 96 4" xfId="8181"/>
    <cellStyle name="Normal 2 96 4 2" xfId="19032"/>
    <cellStyle name="Normal 2 96 4 2 2" xfId="29092"/>
    <cellStyle name="Normal 2 96 4 3" xfId="29093"/>
    <cellStyle name="Normal 2 96 5" xfId="19033"/>
    <cellStyle name="Normal 2 96 5 2" xfId="29094"/>
    <cellStyle name="Normal 2 96 6" xfId="29095"/>
    <cellStyle name="Normal 2 97" xfId="8182"/>
    <cellStyle name="Normal 2 97 2" xfId="8183"/>
    <cellStyle name="Normal 2 97 2 2" xfId="8184"/>
    <cellStyle name="Normal 2 97 2 3" xfId="8185"/>
    <cellStyle name="Normal 2 97 2 3 2" xfId="19034"/>
    <cellStyle name="Normal 2 97 2 3 2 2" xfId="29096"/>
    <cellStyle name="Normal 2 97 2 3 3" xfId="29097"/>
    <cellStyle name="Normal 2 97 2 4" xfId="19035"/>
    <cellStyle name="Normal 2 97 2 4 2" xfId="29098"/>
    <cellStyle name="Normal 2 97 2 5" xfId="29099"/>
    <cellStyle name="Normal 2 97 3" xfId="8186"/>
    <cellStyle name="Normal 2 97 4" xfId="8187"/>
    <cellStyle name="Normal 2 97 4 2" xfId="19036"/>
    <cellStyle name="Normal 2 97 4 2 2" xfId="29100"/>
    <cellStyle name="Normal 2 97 4 3" xfId="29101"/>
    <cellStyle name="Normal 2 97 5" xfId="19037"/>
    <cellStyle name="Normal 2 97 5 2" xfId="29102"/>
    <cellStyle name="Normal 2 97 6" xfId="29103"/>
    <cellStyle name="Normal 2 98" xfId="8188"/>
    <cellStyle name="Normal 2 98 2" xfId="8189"/>
    <cellStyle name="Normal 2 98 2 2" xfId="8190"/>
    <cellStyle name="Normal 2 98 2 3" xfId="8191"/>
    <cellStyle name="Normal 2 98 2 3 2" xfId="19038"/>
    <cellStyle name="Normal 2 98 2 3 2 2" xfId="29104"/>
    <cellStyle name="Normal 2 98 2 3 3" xfId="29105"/>
    <cellStyle name="Normal 2 98 2 4" xfId="19039"/>
    <cellStyle name="Normal 2 98 2 4 2" xfId="29106"/>
    <cellStyle name="Normal 2 98 2 5" xfId="29107"/>
    <cellStyle name="Normal 2 98 3" xfId="8192"/>
    <cellStyle name="Normal 2 98 4" xfId="8193"/>
    <cellStyle name="Normal 2 98 4 2" xfId="19040"/>
    <cellStyle name="Normal 2 98 4 2 2" xfId="29108"/>
    <cellStyle name="Normal 2 98 4 3" xfId="29109"/>
    <cellStyle name="Normal 2 98 5" xfId="19041"/>
    <cellStyle name="Normal 2 98 5 2" xfId="29110"/>
    <cellStyle name="Normal 2 98 6" xfId="29111"/>
    <cellStyle name="Normal 2 99" xfId="8194"/>
    <cellStyle name="Normal 2 99 2" xfId="8195"/>
    <cellStyle name="Normal 2 99 2 2" xfId="8196"/>
    <cellStyle name="Normal 2 99 2 3" xfId="8197"/>
    <cellStyle name="Normal 2 99 2 3 2" xfId="19042"/>
    <cellStyle name="Normal 2 99 2 3 2 2" xfId="29112"/>
    <cellStyle name="Normal 2 99 2 3 3" xfId="29113"/>
    <cellStyle name="Normal 2 99 2 4" xfId="19043"/>
    <cellStyle name="Normal 2 99 2 4 2" xfId="29114"/>
    <cellStyle name="Normal 2 99 2 5" xfId="29115"/>
    <cellStyle name="Normal 2 99 3" xfId="8198"/>
    <cellStyle name="Normal 2 99 4" xfId="8199"/>
    <cellStyle name="Normal 2 99 4 2" xfId="19044"/>
    <cellStyle name="Normal 2 99 4 2 2" xfId="29116"/>
    <cellStyle name="Normal 2 99 4 3" xfId="29117"/>
    <cellStyle name="Normal 2 99 5" xfId="19045"/>
    <cellStyle name="Normal 2 99 5 2" xfId="29118"/>
    <cellStyle name="Normal 2 99 6" xfId="29119"/>
    <cellStyle name="Normal 20" xfId="8200"/>
    <cellStyle name="Normal 20 10" xfId="29120"/>
    <cellStyle name="Normal 20 2" xfId="8201"/>
    <cellStyle name="Normal 20 2 2" xfId="8202"/>
    <cellStyle name="Normal 20 2 2 2" xfId="29121"/>
    <cellStyle name="Normal 20 2 3" xfId="8203"/>
    <cellStyle name="Normal 20 2 4" xfId="8204"/>
    <cellStyle name="Normal 20 2 4 2" xfId="19046"/>
    <cellStyle name="Normal 20 2 4 2 2" xfId="29122"/>
    <cellStyle name="Normal 20 2 4 3" xfId="29123"/>
    <cellStyle name="Normal 20 2 5" xfId="19047"/>
    <cellStyle name="Normal 20 2 5 2" xfId="29124"/>
    <cellStyle name="Normal 20 2 6" xfId="29125"/>
    <cellStyle name="Normal 20 3" xfId="8205"/>
    <cellStyle name="Normal 20 3 2" xfId="8206"/>
    <cellStyle name="Normal 20 3 3" xfId="8207"/>
    <cellStyle name="Normal 20 3 3 2" xfId="19048"/>
    <cellStyle name="Normal 20 3 3 2 2" xfId="29126"/>
    <cellStyle name="Normal 20 3 3 3" xfId="29127"/>
    <cellStyle name="Normal 20 3 4" xfId="19049"/>
    <cellStyle name="Normal 20 3 4 2" xfId="29128"/>
    <cellStyle name="Normal 20 3 5" xfId="29129"/>
    <cellStyle name="Normal 20 4" xfId="8208"/>
    <cellStyle name="Normal 20 4 2" xfId="8209"/>
    <cellStyle name="Normal 20 4 2 2" xfId="19050"/>
    <cellStyle name="Normal 20 4 2 2 2" xfId="29130"/>
    <cellStyle name="Normal 20 4 2 3" xfId="29131"/>
    <cellStyle name="Normal 20 4 3" xfId="19051"/>
    <cellStyle name="Normal 20 4 3 2" xfId="29132"/>
    <cellStyle name="Normal 20 4 4" xfId="29133"/>
    <cellStyle name="Normal 20 5" xfId="8210"/>
    <cellStyle name="Normal 20 5 2" xfId="8211"/>
    <cellStyle name="Normal 20 5 2 2" xfId="19052"/>
    <cellStyle name="Normal 20 5 2 2 2" xfId="29134"/>
    <cellStyle name="Normal 20 5 2 3" xfId="29135"/>
    <cellStyle name="Normal 20 5 3" xfId="19053"/>
    <cellStyle name="Normal 20 5 3 2" xfId="29136"/>
    <cellStyle name="Normal 20 5 4" xfId="29137"/>
    <cellStyle name="Normal 20 6" xfId="8212"/>
    <cellStyle name="Normal 20 6 2" xfId="8213"/>
    <cellStyle name="Normal 20 6 2 2" xfId="19054"/>
    <cellStyle name="Normal 20 6 2 2 2" xfId="29138"/>
    <cellStyle name="Normal 20 6 2 3" xfId="29139"/>
    <cellStyle name="Normal 20 6 3" xfId="19055"/>
    <cellStyle name="Normal 20 6 3 2" xfId="29140"/>
    <cellStyle name="Normal 20 6 4" xfId="29141"/>
    <cellStyle name="Normal 20 7" xfId="8214"/>
    <cellStyle name="Normal 20 7 2" xfId="8215"/>
    <cellStyle name="Normal 20 7 2 2" xfId="19056"/>
    <cellStyle name="Normal 20 7 2 2 2" xfId="29142"/>
    <cellStyle name="Normal 20 7 2 3" xfId="29143"/>
    <cellStyle name="Normal 20 7 3" xfId="19057"/>
    <cellStyle name="Normal 20 7 3 2" xfId="29144"/>
    <cellStyle name="Normal 20 7 4" xfId="29145"/>
    <cellStyle name="Normal 20 8" xfId="8216"/>
    <cellStyle name="Normal 20 9" xfId="19058"/>
    <cellStyle name="Normal 20 9 2" xfId="29146"/>
    <cellStyle name="Normal 200" xfId="8217"/>
    <cellStyle name="Normal 200 2" xfId="19059"/>
    <cellStyle name="Normal 201" xfId="8218"/>
    <cellStyle name="Normal 201 2" xfId="19060"/>
    <cellStyle name="Normal 201 3" xfId="19061"/>
    <cellStyle name="Normal 201 3 2" xfId="29147"/>
    <cellStyle name="Normal 201 4" xfId="29148"/>
    <cellStyle name="Normal 202" xfId="8219"/>
    <cellStyle name="Normal 202 2" xfId="33720"/>
    <cellStyle name="Normal 202 2 2 2" xfId="33754"/>
    <cellStyle name="Normal 203" xfId="8220"/>
    <cellStyle name="Normal 203 2 2 2 2 2" xfId="33738"/>
    <cellStyle name="Normal 204" xfId="121"/>
    <cellStyle name="Normal 205" xfId="14448"/>
    <cellStyle name="Normal 205 2" xfId="33613"/>
    <cellStyle name="Normal 206" xfId="19062"/>
    <cellStyle name="Normal 207" xfId="33611"/>
    <cellStyle name="Normal 207 2 2 2 2" xfId="33762"/>
    <cellStyle name="Normal 207 4 2" xfId="33763"/>
    <cellStyle name="Normal 208" xfId="33614"/>
    <cellStyle name="Normal 209" xfId="33615"/>
    <cellStyle name="Normal 21" xfId="8221"/>
    <cellStyle name="Normal 21 10" xfId="29149"/>
    <cellStyle name="Normal 21 2" xfId="8222"/>
    <cellStyle name="Normal 21 2 2" xfId="8223"/>
    <cellStyle name="Normal 21 2 2 2" xfId="29150"/>
    <cellStyle name="Normal 21 2 3" xfId="8224"/>
    <cellStyle name="Normal 21 2 4" xfId="8225"/>
    <cellStyle name="Normal 21 2 4 2" xfId="19063"/>
    <cellStyle name="Normal 21 2 4 2 2" xfId="29151"/>
    <cellStyle name="Normal 21 2 4 3" xfId="29152"/>
    <cellStyle name="Normal 21 2 5" xfId="19064"/>
    <cellStyle name="Normal 21 2 5 2" xfId="29153"/>
    <cellStyle name="Normal 21 2 6" xfId="29154"/>
    <cellStyle name="Normal 21 3" xfId="8226"/>
    <cellStyle name="Normal 21 3 2" xfId="8227"/>
    <cellStyle name="Normal 21 3 3" xfId="8228"/>
    <cellStyle name="Normal 21 3 3 2" xfId="19065"/>
    <cellStyle name="Normal 21 3 3 2 2" xfId="29155"/>
    <cellStyle name="Normal 21 3 3 3" xfId="29156"/>
    <cellStyle name="Normal 21 3 4" xfId="19066"/>
    <cellStyle name="Normal 21 3 4 2" xfId="29157"/>
    <cellStyle name="Normal 21 3 5" xfId="29158"/>
    <cellStyle name="Normal 21 4" xfId="8229"/>
    <cellStyle name="Normal 21 4 2" xfId="8230"/>
    <cellStyle name="Normal 21 4 2 2" xfId="19067"/>
    <cellStyle name="Normal 21 4 2 2 2" xfId="29159"/>
    <cellStyle name="Normal 21 4 2 3" xfId="29160"/>
    <cellStyle name="Normal 21 4 3" xfId="19068"/>
    <cellStyle name="Normal 21 4 3 2" xfId="29161"/>
    <cellStyle name="Normal 21 4 4" xfId="29162"/>
    <cellStyle name="Normal 21 5" xfId="8231"/>
    <cellStyle name="Normal 21 5 2" xfId="8232"/>
    <cellStyle name="Normal 21 5 2 2" xfId="19069"/>
    <cellStyle name="Normal 21 5 2 2 2" xfId="29163"/>
    <cellStyle name="Normal 21 5 2 3" xfId="29164"/>
    <cellStyle name="Normal 21 5 3" xfId="19070"/>
    <cellStyle name="Normal 21 5 3 2" xfId="29165"/>
    <cellStyle name="Normal 21 5 4" xfId="29166"/>
    <cellStyle name="Normal 21 6" xfId="8233"/>
    <cellStyle name="Normal 21 6 2" xfId="8234"/>
    <cellStyle name="Normal 21 6 2 2" xfId="19071"/>
    <cellStyle name="Normal 21 6 2 2 2" xfId="29167"/>
    <cellStyle name="Normal 21 6 2 3" xfId="29168"/>
    <cellStyle name="Normal 21 6 3" xfId="19072"/>
    <cellStyle name="Normal 21 6 3 2" xfId="29169"/>
    <cellStyle name="Normal 21 6 4" xfId="29170"/>
    <cellStyle name="Normal 21 7" xfId="8235"/>
    <cellStyle name="Normal 21 7 2" xfId="8236"/>
    <cellStyle name="Normal 21 7 2 2" xfId="19073"/>
    <cellStyle name="Normal 21 7 2 2 2" xfId="29171"/>
    <cellStyle name="Normal 21 7 2 3" xfId="29172"/>
    <cellStyle name="Normal 21 7 3" xfId="19074"/>
    <cellStyle name="Normal 21 7 3 2" xfId="29173"/>
    <cellStyle name="Normal 21 7 4" xfId="29174"/>
    <cellStyle name="Normal 21 8" xfId="8237"/>
    <cellStyle name="Normal 21 8 2" xfId="19075"/>
    <cellStyle name="Normal 21 8 2 2" xfId="29175"/>
    <cellStyle name="Normal 21 8 3" xfId="29176"/>
    <cellStyle name="Normal 21 9" xfId="19076"/>
    <cellStyle name="Normal 21 9 2" xfId="29177"/>
    <cellStyle name="Normal 210" xfId="33616"/>
    <cellStyle name="Normal 211" xfId="33618"/>
    <cellStyle name="Normal 212" xfId="33632"/>
    <cellStyle name="Normal 213" xfId="33633"/>
    <cellStyle name="Normal 213 2 2" xfId="33736"/>
    <cellStyle name="Normal 214" xfId="33635"/>
    <cellStyle name="Normal 215" xfId="33660"/>
    <cellStyle name="Normal 216" xfId="33661"/>
    <cellStyle name="Normal 217" xfId="33662"/>
    <cellStyle name="Normal 218" xfId="33663"/>
    <cellStyle name="Normal 218 2" xfId="33671"/>
    <cellStyle name="Normal 219" xfId="33681"/>
    <cellStyle name="Normal 219 2" xfId="33713"/>
    <cellStyle name="Normal 22" xfId="8238"/>
    <cellStyle name="Normal 22 10" xfId="29178"/>
    <cellStyle name="Normal 22 2" xfId="8239"/>
    <cellStyle name="Normal 22 2 2" xfId="8240"/>
    <cellStyle name="Normal 22 2 2 2" xfId="29179"/>
    <cellStyle name="Normal 22 2 3" xfId="8241"/>
    <cellStyle name="Normal 22 2 4" xfId="8242"/>
    <cellStyle name="Normal 22 2 4 2" xfId="19077"/>
    <cellStyle name="Normal 22 2 4 2 2" xfId="29180"/>
    <cellStyle name="Normal 22 2 4 3" xfId="29181"/>
    <cellStyle name="Normal 22 2 5" xfId="19078"/>
    <cellStyle name="Normal 22 2 5 2" xfId="29182"/>
    <cellStyle name="Normal 22 2 6" xfId="29183"/>
    <cellStyle name="Normal 22 3" xfId="8243"/>
    <cellStyle name="Normal 22 3 2" xfId="8244"/>
    <cellStyle name="Normal 22 3 3" xfId="8245"/>
    <cellStyle name="Normal 22 3 3 2" xfId="19079"/>
    <cellStyle name="Normal 22 3 3 2 2" xfId="29184"/>
    <cellStyle name="Normal 22 3 3 3" xfId="29185"/>
    <cellStyle name="Normal 22 3 4" xfId="19080"/>
    <cellStyle name="Normal 22 3 4 2" xfId="29186"/>
    <cellStyle name="Normal 22 3 5" xfId="29187"/>
    <cellStyle name="Normal 22 4" xfId="8246"/>
    <cellStyle name="Normal 22 4 2" xfId="8247"/>
    <cellStyle name="Normal 22 4 2 2" xfId="19081"/>
    <cellStyle name="Normal 22 4 2 2 2" xfId="29188"/>
    <cellStyle name="Normal 22 4 2 3" xfId="29189"/>
    <cellStyle name="Normal 22 4 3" xfId="19082"/>
    <cellStyle name="Normal 22 4 3 2" xfId="29190"/>
    <cellStyle name="Normal 22 4 4" xfId="29191"/>
    <cellStyle name="Normal 22 5" xfId="8248"/>
    <cellStyle name="Normal 22 5 2" xfId="8249"/>
    <cellStyle name="Normal 22 5 2 2" xfId="19083"/>
    <cellStyle name="Normal 22 5 2 2 2" xfId="29192"/>
    <cellStyle name="Normal 22 5 2 3" xfId="29193"/>
    <cellStyle name="Normal 22 5 3" xfId="19084"/>
    <cellStyle name="Normal 22 5 3 2" xfId="29194"/>
    <cellStyle name="Normal 22 5 4" xfId="29195"/>
    <cellStyle name="Normal 22 6" xfId="8250"/>
    <cellStyle name="Normal 22 6 2" xfId="8251"/>
    <cellStyle name="Normal 22 6 2 2" xfId="19085"/>
    <cellStyle name="Normal 22 6 2 2 2" xfId="29196"/>
    <cellStyle name="Normal 22 6 2 3" xfId="29197"/>
    <cellStyle name="Normal 22 6 3" xfId="19086"/>
    <cellStyle name="Normal 22 6 3 2" xfId="29198"/>
    <cellStyle name="Normal 22 6 4" xfId="29199"/>
    <cellStyle name="Normal 22 7" xfId="8252"/>
    <cellStyle name="Normal 22 7 2" xfId="8253"/>
    <cellStyle name="Normal 22 7 2 2" xfId="19087"/>
    <cellStyle name="Normal 22 7 2 2 2" xfId="29200"/>
    <cellStyle name="Normal 22 7 2 3" xfId="29201"/>
    <cellStyle name="Normal 22 7 3" xfId="19088"/>
    <cellStyle name="Normal 22 7 3 2" xfId="29202"/>
    <cellStyle name="Normal 22 7 4" xfId="29203"/>
    <cellStyle name="Normal 22 8" xfId="8254"/>
    <cellStyle name="Normal 22 8 2" xfId="19089"/>
    <cellStyle name="Normal 22 8 2 2" xfId="29204"/>
    <cellStyle name="Normal 22 8 3" xfId="29205"/>
    <cellStyle name="Normal 22 9" xfId="19090"/>
    <cellStyle name="Normal 22 9 2" xfId="29206"/>
    <cellStyle name="Normal 220" xfId="33691"/>
    <cellStyle name="Normal 221" xfId="33692"/>
    <cellStyle name="Normal 222" xfId="33693"/>
    <cellStyle name="Normal 223" xfId="33707"/>
    <cellStyle name="Normal 224" xfId="33708"/>
    <cellStyle name="Normal 23" xfId="8255"/>
    <cellStyle name="Normal 23 10" xfId="29207"/>
    <cellStyle name="Normal 23 2" xfId="8256"/>
    <cellStyle name="Normal 23 2 2" xfId="8257"/>
    <cellStyle name="Normal 23 2 2 2" xfId="29208"/>
    <cellStyle name="Normal 23 2 3" xfId="8258"/>
    <cellStyle name="Normal 23 2 4" xfId="8259"/>
    <cellStyle name="Normal 23 2 4 2" xfId="19091"/>
    <cellStyle name="Normal 23 2 4 2 2" xfId="29209"/>
    <cellStyle name="Normal 23 2 4 3" xfId="29210"/>
    <cellStyle name="Normal 23 2 5" xfId="19092"/>
    <cellStyle name="Normal 23 2 5 2" xfId="29211"/>
    <cellStyle name="Normal 23 2 6" xfId="29212"/>
    <cellStyle name="Normal 23 3" xfId="8260"/>
    <cellStyle name="Normal 23 3 2" xfId="8261"/>
    <cellStyle name="Normal 23 3 3" xfId="8262"/>
    <cellStyle name="Normal 23 3 3 2" xfId="19093"/>
    <cellStyle name="Normal 23 3 3 2 2" xfId="29213"/>
    <cellStyle name="Normal 23 3 3 3" xfId="29214"/>
    <cellStyle name="Normal 23 3 4" xfId="19094"/>
    <cellStyle name="Normal 23 3 4 2" xfId="29215"/>
    <cellStyle name="Normal 23 3 5" xfId="29216"/>
    <cellStyle name="Normal 23 4" xfId="8263"/>
    <cellStyle name="Normal 23 4 2" xfId="8264"/>
    <cellStyle name="Normal 23 4 2 2" xfId="19095"/>
    <cellStyle name="Normal 23 4 2 2 2" xfId="29217"/>
    <cellStyle name="Normal 23 4 2 3" xfId="29218"/>
    <cellStyle name="Normal 23 4 3" xfId="19096"/>
    <cellStyle name="Normal 23 4 3 2" xfId="29219"/>
    <cellStyle name="Normal 23 4 4" xfId="29220"/>
    <cellStyle name="Normal 23 5" xfId="8265"/>
    <cellStyle name="Normal 23 5 2" xfId="8266"/>
    <cellStyle name="Normal 23 5 2 2" xfId="19097"/>
    <cellStyle name="Normal 23 5 2 2 2" xfId="29221"/>
    <cellStyle name="Normal 23 5 2 3" xfId="29222"/>
    <cellStyle name="Normal 23 5 3" xfId="19098"/>
    <cellStyle name="Normal 23 5 3 2" xfId="29223"/>
    <cellStyle name="Normal 23 5 4" xfId="29224"/>
    <cellStyle name="Normal 23 6" xfId="8267"/>
    <cellStyle name="Normal 23 6 2" xfId="8268"/>
    <cellStyle name="Normal 23 6 2 2" xfId="19099"/>
    <cellStyle name="Normal 23 6 2 2 2" xfId="29225"/>
    <cellStyle name="Normal 23 6 2 3" xfId="29226"/>
    <cellStyle name="Normal 23 6 3" xfId="19100"/>
    <cellStyle name="Normal 23 6 3 2" xfId="29227"/>
    <cellStyle name="Normal 23 6 4" xfId="29228"/>
    <cellStyle name="Normal 23 7" xfId="8269"/>
    <cellStyle name="Normal 23 7 2" xfId="8270"/>
    <cellStyle name="Normal 23 7 2 2" xfId="19101"/>
    <cellStyle name="Normal 23 7 2 2 2" xfId="29229"/>
    <cellStyle name="Normal 23 7 2 3" xfId="29230"/>
    <cellStyle name="Normal 23 7 3" xfId="19102"/>
    <cellStyle name="Normal 23 7 3 2" xfId="29231"/>
    <cellStyle name="Normal 23 7 4" xfId="29232"/>
    <cellStyle name="Normal 23 8" xfId="8271"/>
    <cellStyle name="Normal 23 8 2" xfId="19103"/>
    <cellStyle name="Normal 23 8 2 2" xfId="29233"/>
    <cellStyle name="Normal 23 8 3" xfId="29234"/>
    <cellStyle name="Normal 23 9" xfId="19104"/>
    <cellStyle name="Normal 23 9 2" xfId="29235"/>
    <cellStyle name="Normal 24" xfId="8272"/>
    <cellStyle name="Normal 24 10" xfId="29236"/>
    <cellStyle name="Normal 24 2" xfId="8273"/>
    <cellStyle name="Normal 24 2 2" xfId="8274"/>
    <cellStyle name="Normal 24 2 2 2" xfId="29237"/>
    <cellStyle name="Normal 24 2 3" xfId="8275"/>
    <cellStyle name="Normal 24 2 4" xfId="8276"/>
    <cellStyle name="Normal 24 2 4 2" xfId="19105"/>
    <cellStyle name="Normal 24 2 4 2 2" xfId="29238"/>
    <cellStyle name="Normal 24 2 4 3" xfId="29239"/>
    <cellStyle name="Normal 24 2 5" xfId="19106"/>
    <cellStyle name="Normal 24 2 5 2" xfId="29240"/>
    <cellStyle name="Normal 24 2 6" xfId="29241"/>
    <cellStyle name="Normal 24 3" xfId="8277"/>
    <cellStyle name="Normal 24 3 2" xfId="8278"/>
    <cellStyle name="Normal 24 3 3" xfId="8279"/>
    <cellStyle name="Normal 24 3 3 2" xfId="19107"/>
    <cellStyle name="Normal 24 3 3 2 2" xfId="29242"/>
    <cellStyle name="Normal 24 3 3 3" xfId="29243"/>
    <cellStyle name="Normal 24 3 4" xfId="19108"/>
    <cellStyle name="Normal 24 3 4 2" xfId="29244"/>
    <cellStyle name="Normal 24 3 5" xfId="29245"/>
    <cellStyle name="Normal 24 4" xfId="8280"/>
    <cellStyle name="Normal 24 4 2" xfId="8281"/>
    <cellStyle name="Normal 24 4 2 2" xfId="19109"/>
    <cellStyle name="Normal 24 4 2 2 2" xfId="29246"/>
    <cellStyle name="Normal 24 4 2 3" xfId="29247"/>
    <cellStyle name="Normal 24 4 3" xfId="19110"/>
    <cellStyle name="Normal 24 4 3 2" xfId="29248"/>
    <cellStyle name="Normal 24 4 4" xfId="29249"/>
    <cellStyle name="Normal 24 5" xfId="8282"/>
    <cellStyle name="Normal 24 5 2" xfId="8283"/>
    <cellStyle name="Normal 24 5 2 2" xfId="19111"/>
    <cellStyle name="Normal 24 5 2 2 2" xfId="29250"/>
    <cellStyle name="Normal 24 5 2 3" xfId="29251"/>
    <cellStyle name="Normal 24 5 3" xfId="19112"/>
    <cellStyle name="Normal 24 5 3 2" xfId="29252"/>
    <cellStyle name="Normal 24 5 4" xfId="29253"/>
    <cellStyle name="Normal 24 6" xfId="8284"/>
    <cellStyle name="Normal 24 6 2" xfId="8285"/>
    <cellStyle name="Normal 24 6 2 2" xfId="19113"/>
    <cellStyle name="Normal 24 6 2 2 2" xfId="29254"/>
    <cellStyle name="Normal 24 6 2 3" xfId="29255"/>
    <cellStyle name="Normal 24 6 3" xfId="19114"/>
    <cellStyle name="Normal 24 6 3 2" xfId="29256"/>
    <cellStyle name="Normal 24 6 4" xfId="29257"/>
    <cellStyle name="Normal 24 7" xfId="8286"/>
    <cellStyle name="Normal 24 7 2" xfId="8287"/>
    <cellStyle name="Normal 24 7 2 2" xfId="19115"/>
    <cellStyle name="Normal 24 7 2 2 2" xfId="29258"/>
    <cellStyle name="Normal 24 7 2 3" xfId="29259"/>
    <cellStyle name="Normal 24 7 3" xfId="19116"/>
    <cellStyle name="Normal 24 7 3 2" xfId="29260"/>
    <cellStyle name="Normal 24 7 4" xfId="29261"/>
    <cellStyle name="Normal 24 8" xfId="8288"/>
    <cellStyle name="Normal 24 8 2" xfId="19117"/>
    <cellStyle name="Normal 24 8 2 2" xfId="29262"/>
    <cellStyle name="Normal 24 8 3" xfId="29263"/>
    <cellStyle name="Normal 24 9" xfId="19118"/>
    <cellStyle name="Normal 24 9 2" xfId="29264"/>
    <cellStyle name="Normal 25" xfId="8289"/>
    <cellStyle name="Normal 25 10" xfId="29265"/>
    <cellStyle name="Normal 25 2" xfId="8290"/>
    <cellStyle name="Normal 25 2 2" xfId="8291"/>
    <cellStyle name="Normal 25 2 2 2" xfId="29266"/>
    <cellStyle name="Normal 25 2 3" xfId="8292"/>
    <cellStyle name="Normal 25 2 3 2" xfId="19119"/>
    <cellStyle name="Normal 25 2 3 2 2" xfId="29267"/>
    <cellStyle name="Normal 25 2 3 3" xfId="29268"/>
    <cellStyle name="Normal 25 2 4" xfId="19120"/>
    <cellStyle name="Normal 25 2 4 2" xfId="29269"/>
    <cellStyle name="Normal 25 2 5" xfId="29270"/>
    <cellStyle name="Normal 25 3" xfId="8293"/>
    <cellStyle name="Normal 25 3 2" xfId="8294"/>
    <cellStyle name="Normal 25 3 3" xfId="8295"/>
    <cellStyle name="Normal 25 3 3 2" xfId="19121"/>
    <cellStyle name="Normal 25 3 3 2 2" xfId="29271"/>
    <cellStyle name="Normal 25 3 3 3" xfId="29272"/>
    <cellStyle name="Normal 25 3 4" xfId="19122"/>
    <cellStyle name="Normal 25 3 4 2" xfId="29273"/>
    <cellStyle name="Normal 25 3 5" xfId="29274"/>
    <cellStyle name="Normal 25 4" xfId="8296"/>
    <cellStyle name="Normal 25 4 2" xfId="8297"/>
    <cellStyle name="Normal 25 4 2 2" xfId="19123"/>
    <cellStyle name="Normal 25 4 2 2 2" xfId="29275"/>
    <cellStyle name="Normal 25 4 2 3" xfId="29276"/>
    <cellStyle name="Normal 25 4 3" xfId="19124"/>
    <cellStyle name="Normal 25 4 3 2" xfId="29277"/>
    <cellStyle name="Normal 25 4 4" xfId="29278"/>
    <cellStyle name="Normal 25 5" xfId="8298"/>
    <cellStyle name="Normal 25 5 2" xfId="8299"/>
    <cellStyle name="Normal 25 5 2 2" xfId="19125"/>
    <cellStyle name="Normal 25 5 2 2 2" xfId="29279"/>
    <cellStyle name="Normal 25 5 2 3" xfId="29280"/>
    <cellStyle name="Normal 25 5 3" xfId="19126"/>
    <cellStyle name="Normal 25 5 3 2" xfId="29281"/>
    <cellStyle name="Normal 25 5 4" xfId="29282"/>
    <cellStyle name="Normal 25 6" xfId="8300"/>
    <cellStyle name="Normal 25 6 2" xfId="8301"/>
    <cellStyle name="Normal 25 6 2 2" xfId="19127"/>
    <cellStyle name="Normal 25 6 2 2 2" xfId="29283"/>
    <cellStyle name="Normal 25 6 2 3" xfId="29284"/>
    <cellStyle name="Normal 25 6 3" xfId="19128"/>
    <cellStyle name="Normal 25 6 3 2" xfId="29285"/>
    <cellStyle name="Normal 25 6 4" xfId="29286"/>
    <cellStyle name="Normal 25 7" xfId="8302"/>
    <cellStyle name="Normal 25 7 2" xfId="8303"/>
    <cellStyle name="Normal 25 7 2 2" xfId="19129"/>
    <cellStyle name="Normal 25 7 2 2 2" xfId="29287"/>
    <cellStyle name="Normal 25 7 2 3" xfId="29288"/>
    <cellStyle name="Normal 25 7 3" xfId="19130"/>
    <cellStyle name="Normal 25 7 3 2" xfId="29289"/>
    <cellStyle name="Normal 25 7 4" xfId="29290"/>
    <cellStyle name="Normal 25 8" xfId="8304"/>
    <cellStyle name="Normal 25 8 2" xfId="19131"/>
    <cellStyle name="Normal 25 8 2 2" xfId="29291"/>
    <cellStyle name="Normal 25 8 3" xfId="29292"/>
    <cellStyle name="Normal 25 9" xfId="19132"/>
    <cellStyle name="Normal 25 9 2" xfId="29293"/>
    <cellStyle name="Normal 26" xfId="8305"/>
    <cellStyle name="Normal 26 10" xfId="29294"/>
    <cellStyle name="Normal 26 2" xfId="8306"/>
    <cellStyle name="Normal 26 2 2" xfId="8307"/>
    <cellStyle name="Normal 26 2 2 2" xfId="29295"/>
    <cellStyle name="Normal 26 2 3" xfId="8308"/>
    <cellStyle name="Normal 26 2 3 2" xfId="19133"/>
    <cellStyle name="Normal 26 2 3 2 2" xfId="29296"/>
    <cellStyle name="Normal 26 2 3 3" xfId="29297"/>
    <cellStyle name="Normal 26 2 4" xfId="19134"/>
    <cellStyle name="Normal 26 2 4 2" xfId="29298"/>
    <cellStyle name="Normal 26 2 5" xfId="29299"/>
    <cellStyle name="Normal 26 3" xfId="8309"/>
    <cellStyle name="Normal 26 3 2" xfId="8310"/>
    <cellStyle name="Normal 26 3 3" xfId="8311"/>
    <cellStyle name="Normal 26 3 3 2" xfId="19135"/>
    <cellStyle name="Normal 26 3 3 2 2" xfId="29300"/>
    <cellStyle name="Normal 26 3 3 3" xfId="29301"/>
    <cellStyle name="Normal 26 3 4" xfId="19136"/>
    <cellStyle name="Normal 26 3 4 2" xfId="29302"/>
    <cellStyle name="Normal 26 3 5" xfId="29303"/>
    <cellStyle name="Normal 26 4" xfId="8312"/>
    <cellStyle name="Normal 26 4 2" xfId="8313"/>
    <cellStyle name="Normal 26 4 2 2" xfId="19137"/>
    <cellStyle name="Normal 26 4 2 2 2" xfId="29304"/>
    <cellStyle name="Normal 26 4 2 3" xfId="29305"/>
    <cellStyle name="Normal 26 4 3" xfId="19138"/>
    <cellStyle name="Normal 26 4 3 2" xfId="29306"/>
    <cellStyle name="Normal 26 4 4" xfId="29307"/>
    <cellStyle name="Normal 26 5" xfId="8314"/>
    <cellStyle name="Normal 26 5 2" xfId="8315"/>
    <cellStyle name="Normal 26 5 2 2" xfId="19139"/>
    <cellStyle name="Normal 26 5 2 2 2" xfId="29308"/>
    <cellStyle name="Normal 26 5 2 3" xfId="29309"/>
    <cellStyle name="Normal 26 5 3" xfId="19140"/>
    <cellStyle name="Normal 26 5 3 2" xfId="29310"/>
    <cellStyle name="Normal 26 5 4" xfId="29311"/>
    <cellStyle name="Normal 26 6" xfId="8316"/>
    <cellStyle name="Normal 26 6 2" xfId="8317"/>
    <cellStyle name="Normal 26 6 2 2" xfId="19141"/>
    <cellStyle name="Normal 26 6 2 2 2" xfId="29312"/>
    <cellStyle name="Normal 26 6 2 3" xfId="29313"/>
    <cellStyle name="Normal 26 6 3" xfId="19142"/>
    <cellStyle name="Normal 26 6 3 2" xfId="29314"/>
    <cellStyle name="Normal 26 6 4" xfId="29315"/>
    <cellStyle name="Normal 26 7" xfId="8318"/>
    <cellStyle name="Normal 26 7 2" xfId="8319"/>
    <cellStyle name="Normal 26 7 2 2" xfId="19143"/>
    <cellStyle name="Normal 26 7 2 2 2" xfId="29316"/>
    <cellStyle name="Normal 26 7 2 3" xfId="29317"/>
    <cellStyle name="Normal 26 7 3" xfId="19144"/>
    <cellStyle name="Normal 26 7 3 2" xfId="29318"/>
    <cellStyle name="Normal 26 7 4" xfId="29319"/>
    <cellStyle name="Normal 26 8" xfId="8320"/>
    <cellStyle name="Normal 26 8 2" xfId="19145"/>
    <cellStyle name="Normal 26 8 2 2" xfId="29320"/>
    <cellStyle name="Normal 26 8 3" xfId="29321"/>
    <cellStyle name="Normal 26 9" xfId="19146"/>
    <cellStyle name="Normal 26 9 2" xfId="29322"/>
    <cellStyle name="Normal 27" xfId="8321"/>
    <cellStyle name="Normal 27 10" xfId="29323"/>
    <cellStyle name="Normal 27 2" xfId="8322"/>
    <cellStyle name="Normal 27 2 2" xfId="8323"/>
    <cellStyle name="Normal 27 2 2 2" xfId="29324"/>
    <cellStyle name="Normal 27 2 3" xfId="8324"/>
    <cellStyle name="Normal 27 2 3 2" xfId="19147"/>
    <cellStyle name="Normal 27 2 3 2 2" xfId="29325"/>
    <cellStyle name="Normal 27 2 3 3" xfId="29326"/>
    <cellStyle name="Normal 27 2 4" xfId="19148"/>
    <cellStyle name="Normal 27 2 4 2" xfId="29327"/>
    <cellStyle name="Normal 27 2 5" xfId="29328"/>
    <cellStyle name="Normal 27 3" xfId="8325"/>
    <cellStyle name="Normal 27 3 2" xfId="8326"/>
    <cellStyle name="Normal 27 3 3" xfId="8327"/>
    <cellStyle name="Normal 27 3 3 2" xfId="19149"/>
    <cellStyle name="Normal 27 3 3 2 2" xfId="29329"/>
    <cellStyle name="Normal 27 3 3 3" xfId="29330"/>
    <cellStyle name="Normal 27 3 4" xfId="19150"/>
    <cellStyle name="Normal 27 3 4 2" xfId="29331"/>
    <cellStyle name="Normal 27 3 5" xfId="29332"/>
    <cellStyle name="Normal 27 4" xfId="8328"/>
    <cellStyle name="Normal 27 4 2" xfId="8329"/>
    <cellStyle name="Normal 27 4 2 2" xfId="19151"/>
    <cellStyle name="Normal 27 4 2 2 2" xfId="29333"/>
    <cellStyle name="Normal 27 4 2 3" xfId="29334"/>
    <cellStyle name="Normal 27 4 3" xfId="19152"/>
    <cellStyle name="Normal 27 4 3 2" xfId="29335"/>
    <cellStyle name="Normal 27 4 4" xfId="29336"/>
    <cellStyle name="Normal 27 5" xfId="8330"/>
    <cellStyle name="Normal 27 5 2" xfId="8331"/>
    <cellStyle name="Normal 27 5 2 2" xfId="19153"/>
    <cellStyle name="Normal 27 5 2 2 2" xfId="29337"/>
    <cellStyle name="Normal 27 5 2 3" xfId="29338"/>
    <cellStyle name="Normal 27 5 3" xfId="19154"/>
    <cellStyle name="Normal 27 5 3 2" xfId="29339"/>
    <cellStyle name="Normal 27 5 4" xfId="29340"/>
    <cellStyle name="Normal 27 6" xfId="8332"/>
    <cellStyle name="Normal 27 6 2" xfId="8333"/>
    <cellStyle name="Normal 27 6 2 2" xfId="19155"/>
    <cellStyle name="Normal 27 6 2 2 2" xfId="29341"/>
    <cellStyle name="Normal 27 6 2 3" xfId="29342"/>
    <cellStyle name="Normal 27 6 3" xfId="19156"/>
    <cellStyle name="Normal 27 6 3 2" xfId="29343"/>
    <cellStyle name="Normal 27 6 4" xfId="29344"/>
    <cellStyle name="Normal 27 7" xfId="8334"/>
    <cellStyle name="Normal 27 7 2" xfId="8335"/>
    <cellStyle name="Normal 27 7 2 2" xfId="19157"/>
    <cellStyle name="Normal 27 7 2 2 2" xfId="29345"/>
    <cellStyle name="Normal 27 7 2 3" xfId="29346"/>
    <cellStyle name="Normal 27 7 3" xfId="19158"/>
    <cellStyle name="Normal 27 7 3 2" xfId="29347"/>
    <cellStyle name="Normal 27 7 4" xfId="29348"/>
    <cellStyle name="Normal 27 8" xfId="8336"/>
    <cellStyle name="Normal 27 8 2" xfId="19159"/>
    <cellStyle name="Normal 27 8 2 2" xfId="29349"/>
    <cellStyle name="Normal 27 8 3" xfId="29350"/>
    <cellStyle name="Normal 27 9" xfId="19160"/>
    <cellStyle name="Normal 27 9 2" xfId="29351"/>
    <cellStyle name="Normal 28" xfId="8337"/>
    <cellStyle name="Normal 28 10" xfId="29352"/>
    <cellStyle name="Normal 28 2" xfId="8338"/>
    <cellStyle name="Normal 28 2 2" xfId="8339"/>
    <cellStyle name="Normal 28 2 2 2" xfId="29353"/>
    <cellStyle name="Normal 28 2 3" xfId="8340"/>
    <cellStyle name="Normal 28 2 3 2" xfId="19161"/>
    <cellStyle name="Normal 28 2 3 2 2" xfId="29354"/>
    <cellStyle name="Normal 28 2 3 3" xfId="29355"/>
    <cellStyle name="Normal 28 2 4" xfId="19162"/>
    <cellStyle name="Normal 28 2 4 2" xfId="29356"/>
    <cellStyle name="Normal 28 2 5" xfId="29357"/>
    <cellStyle name="Normal 28 3" xfId="8341"/>
    <cellStyle name="Normal 28 3 2" xfId="8342"/>
    <cellStyle name="Normal 28 3 3" xfId="8343"/>
    <cellStyle name="Normal 28 3 3 2" xfId="19163"/>
    <cellStyle name="Normal 28 3 3 2 2" xfId="29358"/>
    <cellStyle name="Normal 28 3 3 3" xfId="29359"/>
    <cellStyle name="Normal 28 3 4" xfId="19164"/>
    <cellStyle name="Normal 28 3 4 2" xfId="29360"/>
    <cellStyle name="Normal 28 3 5" xfId="29361"/>
    <cellStyle name="Normal 28 4" xfId="8344"/>
    <cellStyle name="Normal 28 4 2" xfId="8345"/>
    <cellStyle name="Normal 28 4 2 2" xfId="19165"/>
    <cellStyle name="Normal 28 4 2 2 2" xfId="29362"/>
    <cellStyle name="Normal 28 4 2 3" xfId="29363"/>
    <cellStyle name="Normal 28 4 3" xfId="19166"/>
    <cellStyle name="Normal 28 4 3 2" xfId="29364"/>
    <cellStyle name="Normal 28 4 4" xfId="29365"/>
    <cellStyle name="Normal 28 5" xfId="8346"/>
    <cellStyle name="Normal 28 5 2" xfId="8347"/>
    <cellStyle name="Normal 28 5 2 2" xfId="19167"/>
    <cellStyle name="Normal 28 5 2 2 2" xfId="29366"/>
    <cellStyle name="Normal 28 5 2 3" xfId="29367"/>
    <cellStyle name="Normal 28 5 3" xfId="19168"/>
    <cellStyle name="Normal 28 5 3 2" xfId="29368"/>
    <cellStyle name="Normal 28 5 4" xfId="29369"/>
    <cellStyle name="Normal 28 6" xfId="8348"/>
    <cellStyle name="Normal 28 6 2" xfId="8349"/>
    <cellStyle name="Normal 28 6 2 2" xfId="19169"/>
    <cellStyle name="Normal 28 6 2 2 2" xfId="29370"/>
    <cellStyle name="Normal 28 6 2 3" xfId="29371"/>
    <cellStyle name="Normal 28 6 3" xfId="19170"/>
    <cellStyle name="Normal 28 6 3 2" xfId="29372"/>
    <cellStyle name="Normal 28 6 4" xfId="29373"/>
    <cellStyle name="Normal 28 7" xfId="8350"/>
    <cellStyle name="Normal 28 7 2" xfId="8351"/>
    <cellStyle name="Normal 28 7 2 2" xfId="19171"/>
    <cellStyle name="Normal 28 7 2 2 2" xfId="29374"/>
    <cellStyle name="Normal 28 7 2 3" xfId="29375"/>
    <cellStyle name="Normal 28 7 3" xfId="19172"/>
    <cellStyle name="Normal 28 7 3 2" xfId="29376"/>
    <cellStyle name="Normal 28 7 4" xfId="29377"/>
    <cellStyle name="Normal 28 8" xfId="8352"/>
    <cellStyle name="Normal 28 8 2" xfId="19173"/>
    <cellStyle name="Normal 28 8 2 2" xfId="29378"/>
    <cellStyle name="Normal 28 8 3" xfId="29379"/>
    <cellStyle name="Normal 28 9" xfId="19174"/>
    <cellStyle name="Normal 28 9 2" xfId="29380"/>
    <cellStyle name="Normal 29" xfId="8353"/>
    <cellStyle name="Normal 29 2" xfId="8354"/>
    <cellStyle name="Normal 29 2 2" xfId="8355"/>
    <cellStyle name="Normal 29 2 2 2" xfId="19175"/>
    <cellStyle name="Normal 29 2 2 2 2" xfId="29381"/>
    <cellStyle name="Normal 29 2 2 3" xfId="29382"/>
    <cellStyle name="Normal 29 2 3" xfId="19176"/>
    <cellStyle name="Normal 29 2 3 2" xfId="29383"/>
    <cellStyle name="Normal 29 2 4" xfId="29384"/>
    <cellStyle name="Normal 29 3" xfId="8356"/>
    <cellStyle name="Normal 29 3 2" xfId="8357"/>
    <cellStyle name="Normal 29 3 2 2" xfId="19177"/>
    <cellStyle name="Normal 29 3 2 2 2" xfId="29385"/>
    <cellStyle name="Normal 29 3 2 3" xfId="29386"/>
    <cellStyle name="Normal 29 3 3" xfId="19178"/>
    <cellStyle name="Normal 29 3 3 2" xfId="29387"/>
    <cellStyle name="Normal 29 3 4" xfId="29388"/>
    <cellStyle name="Normal 29 4" xfId="8358"/>
    <cellStyle name="Normal 29 4 2" xfId="8359"/>
    <cellStyle name="Normal 29 4 2 2" xfId="19179"/>
    <cellStyle name="Normal 29 4 2 2 2" xfId="29389"/>
    <cellStyle name="Normal 29 4 2 3" xfId="29390"/>
    <cellStyle name="Normal 29 4 3" xfId="19180"/>
    <cellStyle name="Normal 29 4 3 2" xfId="29391"/>
    <cellStyle name="Normal 29 4 4" xfId="29392"/>
    <cellStyle name="Normal 29 5" xfId="8360"/>
    <cellStyle name="Normal 29 5 2" xfId="8361"/>
    <cellStyle name="Normal 29 5 2 2" xfId="19181"/>
    <cellStyle name="Normal 29 5 2 2 2" xfId="29393"/>
    <cellStyle name="Normal 29 5 2 3" xfId="29394"/>
    <cellStyle name="Normal 29 5 3" xfId="19182"/>
    <cellStyle name="Normal 29 5 3 2" xfId="29395"/>
    <cellStyle name="Normal 29 5 4" xfId="29396"/>
    <cellStyle name="Normal 29 6" xfId="8362"/>
    <cellStyle name="Normal 29 6 2" xfId="8363"/>
    <cellStyle name="Normal 29 6 2 2" xfId="19183"/>
    <cellStyle name="Normal 29 6 2 2 2" xfId="29397"/>
    <cellStyle name="Normal 29 6 2 3" xfId="29398"/>
    <cellStyle name="Normal 29 6 3" xfId="19184"/>
    <cellStyle name="Normal 29 6 3 2" xfId="29399"/>
    <cellStyle name="Normal 29 6 4" xfId="29400"/>
    <cellStyle name="Normal 29 7" xfId="8364"/>
    <cellStyle name="Normal 29 7 2" xfId="8365"/>
    <cellStyle name="Normal 29 7 2 2" xfId="19185"/>
    <cellStyle name="Normal 29 7 2 2 2" xfId="29401"/>
    <cellStyle name="Normal 29 7 2 3" xfId="29402"/>
    <cellStyle name="Normal 29 7 3" xfId="19186"/>
    <cellStyle name="Normal 29 7 3 2" xfId="29403"/>
    <cellStyle name="Normal 29 7 4" xfId="29404"/>
    <cellStyle name="Normal 3" xfId="56"/>
    <cellStyle name="Normal 3 10" xfId="8366"/>
    <cellStyle name="Normal 3 10 2" xfId="8367"/>
    <cellStyle name="Normal 3 10 2 2" xfId="8368"/>
    <cellStyle name="Normal 3 10 2 2 2" xfId="33623"/>
    <cellStyle name="Normal 3 10 2 2 2 2" xfId="33674"/>
    <cellStyle name="Normal 3 10 2 2 2 2 2" xfId="33740"/>
    <cellStyle name="Normal 3 10 2 2 2 4" xfId="33696"/>
    <cellStyle name="Normal 3 10 2 2 2 4 2" xfId="33779"/>
    <cellStyle name="Normal 3 10 3" xfId="8369"/>
    <cellStyle name="Normal 3 10 3 2" xfId="8370"/>
    <cellStyle name="Normal 3 10 4" xfId="8371"/>
    <cellStyle name="Normal 3 10 4 2" xfId="8372"/>
    <cellStyle name="Normal 3 10 5" xfId="8373"/>
    <cellStyle name="Normal 3 100" xfId="115"/>
    <cellStyle name="Normal 3 100 2" xfId="8374"/>
    <cellStyle name="Normal 3 100 3" xfId="33624"/>
    <cellStyle name="Normal 3 100 3 2" xfId="33677"/>
    <cellStyle name="Normal 3 100 3 4" xfId="33697"/>
    <cellStyle name="Normal 3 101" xfId="8375"/>
    <cellStyle name="Normal 3 101 2" xfId="19187"/>
    <cellStyle name="Normal 3 102" xfId="8376"/>
    <cellStyle name="Normal 3 102 2" xfId="19188"/>
    <cellStyle name="Normal 3 103" xfId="8377"/>
    <cellStyle name="Normal 3 103 2" xfId="19189"/>
    <cellStyle name="Normal 3 104" xfId="8378"/>
    <cellStyle name="Normal 3 104 2" xfId="8379"/>
    <cellStyle name="Normal 3 105" xfId="8380"/>
    <cellStyle name="Normal 3 105 2" xfId="19190"/>
    <cellStyle name="Normal 3 106" xfId="8381"/>
    <cellStyle name="Normal 3 106 2" xfId="8382"/>
    <cellStyle name="Normal 3 107" xfId="8383"/>
    <cellStyle name="Normal 3 107 2" xfId="8384"/>
    <cellStyle name="Normal 3 107 2 2" xfId="8385"/>
    <cellStyle name="Normal 3 107 2 2 2" xfId="8386"/>
    <cellStyle name="Normal 3 107 2 2 3" xfId="8387"/>
    <cellStyle name="Normal 3 107 2 2 3 2" xfId="19191"/>
    <cellStyle name="Normal 3 107 2 2 3 2 2" xfId="29405"/>
    <cellStyle name="Normal 3 107 2 2 3 3" xfId="29406"/>
    <cellStyle name="Normal 3 107 2 2 4" xfId="19192"/>
    <cellStyle name="Normal 3 107 2 2 4 2" xfId="29407"/>
    <cellStyle name="Normal 3 107 2 2 5" xfId="29408"/>
    <cellStyle name="Normal 3 107 2 3" xfId="8388"/>
    <cellStyle name="Normal 3 107 2 3 2" xfId="8389"/>
    <cellStyle name="Normal 3 107 2 3 3" xfId="8390"/>
    <cellStyle name="Normal 3 107 2 3 3 2" xfId="19193"/>
    <cellStyle name="Normal 3 107 2 3 3 2 2" xfId="29409"/>
    <cellStyle name="Normal 3 107 2 3 3 3" xfId="29410"/>
    <cellStyle name="Normal 3 107 2 3 4" xfId="19194"/>
    <cellStyle name="Normal 3 107 2 3 4 2" xfId="29411"/>
    <cellStyle name="Normal 3 107 2 3 5" xfId="29412"/>
    <cellStyle name="Normal 3 107 2 4" xfId="8391"/>
    <cellStyle name="Normal 3 107 2 4 2" xfId="8392"/>
    <cellStyle name="Normal 3 107 2 4 3" xfId="8393"/>
    <cellStyle name="Normal 3 107 2 4 3 2" xfId="19195"/>
    <cellStyle name="Normal 3 107 2 4 3 2 2" xfId="29413"/>
    <cellStyle name="Normal 3 107 2 4 3 3" xfId="29414"/>
    <cellStyle name="Normal 3 107 2 4 4" xfId="19196"/>
    <cellStyle name="Normal 3 107 2 4 4 2" xfId="29415"/>
    <cellStyle name="Normal 3 107 2 4 5" xfId="29416"/>
    <cellStyle name="Normal 3 107 2 5" xfId="8394"/>
    <cellStyle name="Normal 3 107 2 6" xfId="8395"/>
    <cellStyle name="Normal 3 107 2 6 2" xfId="19197"/>
    <cellStyle name="Normal 3 107 2 6 2 2" xfId="29417"/>
    <cellStyle name="Normal 3 107 2 6 3" xfId="29418"/>
    <cellStyle name="Normal 3 107 2 7" xfId="19198"/>
    <cellStyle name="Normal 3 107 2 7 2" xfId="29419"/>
    <cellStyle name="Normal 3 107 2 8" xfId="29420"/>
    <cellStyle name="Normal 3 107 3" xfId="8396"/>
    <cellStyle name="Normal 3 107 4" xfId="8397"/>
    <cellStyle name="Normal 3 107 4 2" xfId="19199"/>
    <cellStyle name="Normal 3 107 4 2 2" xfId="29421"/>
    <cellStyle name="Normal 3 107 4 3" xfId="29422"/>
    <cellStyle name="Normal 3 107 5" xfId="118"/>
    <cellStyle name="Normal 3 107 5 2" xfId="19200"/>
    <cellStyle name="Normal 3 107 5 2 2" xfId="29423"/>
    <cellStyle name="Normal 3 107 5 3" xfId="14449"/>
    <cellStyle name="Normal 3 107 6" xfId="19201"/>
    <cellStyle name="Normal 3 107 6 2" xfId="29424"/>
    <cellStyle name="Normal 3 107 7" xfId="29425"/>
    <cellStyle name="Normal 3 108" xfId="8398"/>
    <cellStyle name="Normal 3 108 2" xfId="8399"/>
    <cellStyle name="Normal 3 109" xfId="8400"/>
    <cellStyle name="Normal 3 109 2" xfId="8401"/>
    <cellStyle name="Normal 3 109 2 2" xfId="29426"/>
    <cellStyle name="Normal 3 109 3" xfId="8402"/>
    <cellStyle name="Normal 3 109 3 2" xfId="19202"/>
    <cellStyle name="Normal 3 109 3 2 2" xfId="29427"/>
    <cellStyle name="Normal 3 109 3 3" xfId="29428"/>
    <cellStyle name="Normal 3 109 4" xfId="19203"/>
    <cellStyle name="Normal 3 109 4 2" xfId="29429"/>
    <cellStyle name="Normal 3 109 5" xfId="29430"/>
    <cellStyle name="Normal 3 11" xfId="8403"/>
    <cellStyle name="Normal 3 11 2" xfId="8404"/>
    <cellStyle name="Normal 3 11 2 2" xfId="8405"/>
    <cellStyle name="Normal 3 11 3" xfId="8406"/>
    <cellStyle name="Normal 3 11 3 2" xfId="8407"/>
    <cellStyle name="Normal 3 11 4" xfId="8408"/>
    <cellStyle name="Normal 3 11 4 2" xfId="8409"/>
    <cellStyle name="Normal 3 11 5" xfId="8410"/>
    <cellStyle name="Normal 3 110" xfId="8411"/>
    <cellStyle name="Normal 3 110 2" xfId="8412"/>
    <cellStyle name="Normal 3 110 2 2" xfId="8413"/>
    <cellStyle name="Normal 3 110 2 3" xfId="8414"/>
    <cellStyle name="Normal 3 110 2 3 2" xfId="19204"/>
    <cellStyle name="Normal 3 110 2 3 2 2" xfId="29431"/>
    <cellStyle name="Normal 3 110 2 3 3" xfId="29432"/>
    <cellStyle name="Normal 3 110 2 4" xfId="19205"/>
    <cellStyle name="Normal 3 110 2 4 2" xfId="29433"/>
    <cellStyle name="Normal 3 110 2 5" xfId="29434"/>
    <cellStyle name="Normal 3 110 3" xfId="8415"/>
    <cellStyle name="Normal 3 110 3 2" xfId="8416"/>
    <cellStyle name="Normal 3 110 3 3" xfId="8417"/>
    <cellStyle name="Normal 3 110 3 3 2" xfId="19206"/>
    <cellStyle name="Normal 3 110 3 3 2 2" xfId="29435"/>
    <cellStyle name="Normal 3 110 3 3 3" xfId="29436"/>
    <cellStyle name="Normal 3 110 3 4" xfId="19207"/>
    <cellStyle name="Normal 3 110 3 4 2" xfId="29437"/>
    <cellStyle name="Normal 3 110 3 5" xfId="29438"/>
    <cellStyle name="Normal 3 110 4" xfId="8418"/>
    <cellStyle name="Normal 3 110 4 2" xfId="8419"/>
    <cellStyle name="Normal 3 110 4 3" xfId="8420"/>
    <cellStyle name="Normal 3 110 4 3 2" xfId="19208"/>
    <cellStyle name="Normal 3 110 4 3 2 2" xfId="29439"/>
    <cellStyle name="Normal 3 110 4 3 3" xfId="29440"/>
    <cellStyle name="Normal 3 110 4 4" xfId="19209"/>
    <cellStyle name="Normal 3 110 4 4 2" xfId="29441"/>
    <cellStyle name="Normal 3 110 4 5" xfId="29442"/>
    <cellStyle name="Normal 3 110 5" xfId="8421"/>
    <cellStyle name="Normal 3 110 6" xfId="8422"/>
    <cellStyle name="Normal 3 110 6 2" xfId="19210"/>
    <cellStyle name="Normal 3 110 6 2 2" xfId="29443"/>
    <cellStyle name="Normal 3 110 6 3" xfId="29444"/>
    <cellStyle name="Normal 3 110 7" xfId="19211"/>
    <cellStyle name="Normal 3 110 7 2" xfId="29445"/>
    <cellStyle name="Normal 3 110 8" xfId="29446"/>
    <cellStyle name="Normal 3 111" xfId="29447"/>
    <cellStyle name="Normal 3 12" xfId="8423"/>
    <cellStyle name="Normal 3 12 2" xfId="8424"/>
    <cellStyle name="Normal 3 12 2 2" xfId="8425"/>
    <cellStyle name="Normal 3 12 3" xfId="8426"/>
    <cellStyle name="Normal 3 12 4" xfId="8427"/>
    <cellStyle name="Normal 3 13" xfId="8428"/>
    <cellStyle name="Normal 3 13 2" xfId="8429"/>
    <cellStyle name="Normal 3 13 2 2" xfId="8430"/>
    <cellStyle name="Normal 3 13 3" xfId="8431"/>
    <cellStyle name="Normal 3 13 4" xfId="8432"/>
    <cellStyle name="Normal 3 14" xfId="8433"/>
    <cellStyle name="Normal 3 14 2" xfId="8434"/>
    <cellStyle name="Normal 3 14 2 2" xfId="8435"/>
    <cellStyle name="Normal 3 14 3" xfId="8436"/>
    <cellStyle name="Normal 3 14 4" xfId="8437"/>
    <cellStyle name="Normal 3 15" xfId="8438"/>
    <cellStyle name="Normal 3 15 2" xfId="8439"/>
    <cellStyle name="Normal 3 15 2 2" xfId="8440"/>
    <cellStyle name="Normal 3 15 3" xfId="8441"/>
    <cellStyle name="Normal 3 15 4" xfId="8442"/>
    <cellStyle name="Normal 3 16" xfId="8443"/>
    <cellStyle name="Normal 3 16 2" xfId="8444"/>
    <cellStyle name="Normal 3 16 2 2" xfId="8445"/>
    <cellStyle name="Normal 3 16 3" xfId="8446"/>
    <cellStyle name="Normal 3 16 4" xfId="8447"/>
    <cellStyle name="Normal 3 17" xfId="8448"/>
    <cellStyle name="Normal 3 17 2" xfId="8449"/>
    <cellStyle name="Normal 3 17 2 2" xfId="8450"/>
    <cellStyle name="Normal 3 17 3" xfId="8451"/>
    <cellStyle name="Normal 3 17 4" xfId="8452"/>
    <cellStyle name="Normal 3 18" xfId="8453"/>
    <cellStyle name="Normal 3 18 2" xfId="8454"/>
    <cellStyle name="Normal 3 18 2 2" xfId="8455"/>
    <cellStyle name="Normal 3 18 3" xfId="8456"/>
    <cellStyle name="Normal 3 18 4" xfId="8457"/>
    <cellStyle name="Normal 3 19" xfId="8458"/>
    <cellStyle name="Normal 3 19 2" xfId="8459"/>
    <cellStyle name="Normal 3 19 2 2" xfId="8460"/>
    <cellStyle name="Normal 3 19 3" xfId="8461"/>
    <cellStyle name="Normal 3 19 4" xfId="8462"/>
    <cellStyle name="Normal 3 2" xfId="8463"/>
    <cellStyle name="Normal 3 2 10" xfId="8464"/>
    <cellStyle name="Normal 3 2 10 2" xfId="8465"/>
    <cellStyle name="Normal 3 2 10 2 2" xfId="8466"/>
    <cellStyle name="Normal 3 2 10 2 3" xfId="8467"/>
    <cellStyle name="Normal 3 2 10 2 3 2" xfId="19212"/>
    <cellStyle name="Normal 3 2 10 2 3 2 2" xfId="29448"/>
    <cellStyle name="Normal 3 2 10 2 3 3" xfId="29449"/>
    <cellStyle name="Normal 3 2 10 2 4" xfId="19213"/>
    <cellStyle name="Normal 3 2 10 2 4 2" xfId="29450"/>
    <cellStyle name="Normal 3 2 10 2 5" xfId="29451"/>
    <cellStyle name="Normal 3 2 10 3" xfId="8468"/>
    <cellStyle name="Normal 3 2 10 3 2" xfId="8469"/>
    <cellStyle name="Normal 3 2 10 3 3" xfId="8470"/>
    <cellStyle name="Normal 3 2 10 3 3 2" xfId="19214"/>
    <cellStyle name="Normal 3 2 10 3 3 2 2" xfId="29452"/>
    <cellStyle name="Normal 3 2 10 3 3 3" xfId="29453"/>
    <cellStyle name="Normal 3 2 10 3 4" xfId="19215"/>
    <cellStyle name="Normal 3 2 10 3 4 2" xfId="29454"/>
    <cellStyle name="Normal 3 2 10 3 5" xfId="29455"/>
    <cellStyle name="Normal 3 2 10 4" xfId="8471"/>
    <cellStyle name="Normal 3 2 10 5" xfId="8472"/>
    <cellStyle name="Normal 3 2 10 5 2" xfId="19216"/>
    <cellStyle name="Normal 3 2 10 5 2 2" xfId="29456"/>
    <cellStyle name="Normal 3 2 10 5 3" xfId="29457"/>
    <cellStyle name="Normal 3 2 10 6" xfId="19217"/>
    <cellStyle name="Normal 3 2 10 6 2" xfId="29458"/>
    <cellStyle name="Normal 3 2 10 7" xfId="29459"/>
    <cellStyle name="Normal 3 2 11" xfId="8473"/>
    <cellStyle name="Normal 3 2 11 2" xfId="8474"/>
    <cellStyle name="Normal 3 2 11 2 2" xfId="8475"/>
    <cellStyle name="Normal 3 2 11 2 2 2" xfId="29460"/>
    <cellStyle name="Normal 3 2 11 2 3" xfId="8476"/>
    <cellStyle name="Normal 3 2 11 2 3 2" xfId="19218"/>
    <cellStyle name="Normal 3 2 11 2 3 2 2" xfId="29461"/>
    <cellStyle name="Normal 3 2 11 2 3 3" xfId="29462"/>
    <cellStyle name="Normal 3 2 11 2 4" xfId="19219"/>
    <cellStyle name="Normal 3 2 11 2 4 2" xfId="29463"/>
    <cellStyle name="Normal 3 2 11 2 5" xfId="29464"/>
    <cellStyle name="Normal 3 2 11 3" xfId="8477"/>
    <cellStyle name="Normal 3 2 11 3 2" xfId="8478"/>
    <cellStyle name="Normal 3 2 11 3 3" xfId="29465"/>
    <cellStyle name="Normal 3 2 11 4" xfId="8479"/>
    <cellStyle name="Normal 3 2 11 5" xfId="8480"/>
    <cellStyle name="Normal 3 2 11 5 2" xfId="19220"/>
    <cellStyle name="Normal 3 2 11 5 2 2" xfId="29466"/>
    <cellStyle name="Normal 3 2 11 5 3" xfId="29467"/>
    <cellStyle name="Normal 3 2 11 6" xfId="19221"/>
    <cellStyle name="Normal 3 2 11 6 2" xfId="29468"/>
    <cellStyle name="Normal 3 2 11 7" xfId="29469"/>
    <cellStyle name="Normal 3 2 12" xfId="8481"/>
    <cellStyle name="Normal 3 2 12 2" xfId="8482"/>
    <cellStyle name="Normal 3 2 12 2 2" xfId="8483"/>
    <cellStyle name="Normal 3 2 12 2 2 2" xfId="29470"/>
    <cellStyle name="Normal 3 2 12 2 3" xfId="8484"/>
    <cellStyle name="Normal 3 2 12 2 3 2" xfId="19222"/>
    <cellStyle name="Normal 3 2 12 2 3 2 2" xfId="29471"/>
    <cellStyle name="Normal 3 2 12 2 3 3" xfId="29472"/>
    <cellStyle name="Normal 3 2 12 2 4" xfId="19223"/>
    <cellStyle name="Normal 3 2 12 2 4 2" xfId="29473"/>
    <cellStyle name="Normal 3 2 12 2 5" xfId="29474"/>
    <cellStyle name="Normal 3 2 12 3" xfId="8485"/>
    <cellStyle name="Normal 3 2 12 3 2" xfId="8486"/>
    <cellStyle name="Normal 3 2 12 3 3" xfId="29475"/>
    <cellStyle name="Normal 3 2 12 4" xfId="8487"/>
    <cellStyle name="Normal 3 2 12 5" xfId="8488"/>
    <cellStyle name="Normal 3 2 12 5 2" xfId="19224"/>
    <cellStyle name="Normal 3 2 12 5 2 2" xfId="29476"/>
    <cellStyle name="Normal 3 2 12 5 3" xfId="29477"/>
    <cellStyle name="Normal 3 2 12 6" xfId="19225"/>
    <cellStyle name="Normal 3 2 12 6 2" xfId="29478"/>
    <cellStyle name="Normal 3 2 12 7" xfId="29479"/>
    <cellStyle name="Normal 3 2 13" xfId="8489"/>
    <cellStyle name="Normal 3 2 13 2" xfId="8490"/>
    <cellStyle name="Normal 3 2 13 2 2" xfId="8491"/>
    <cellStyle name="Normal 3 2 13 2 2 2" xfId="29480"/>
    <cellStyle name="Normal 3 2 13 2 3" xfId="8492"/>
    <cellStyle name="Normal 3 2 13 2 3 2" xfId="19226"/>
    <cellStyle name="Normal 3 2 13 2 3 2 2" xfId="29481"/>
    <cellStyle name="Normal 3 2 13 2 3 3" xfId="29482"/>
    <cellStyle name="Normal 3 2 13 2 4" xfId="19227"/>
    <cellStyle name="Normal 3 2 13 2 4 2" xfId="29483"/>
    <cellStyle name="Normal 3 2 13 2 5" xfId="29484"/>
    <cellStyle name="Normal 3 2 13 3" xfId="8493"/>
    <cellStyle name="Normal 3 2 13 3 2" xfId="29485"/>
    <cellStyle name="Normal 3 2 13 4" xfId="8494"/>
    <cellStyle name="Normal 3 2 13 4 2" xfId="19228"/>
    <cellStyle name="Normal 3 2 13 4 2 2" xfId="29486"/>
    <cellStyle name="Normal 3 2 13 4 3" xfId="29487"/>
    <cellStyle name="Normal 3 2 13 5" xfId="19229"/>
    <cellStyle name="Normal 3 2 13 5 2" xfId="29488"/>
    <cellStyle name="Normal 3 2 13 6" xfId="29489"/>
    <cellStyle name="Normal 3 2 14" xfId="8495"/>
    <cellStyle name="Normal 3 2 14 2" xfId="8496"/>
    <cellStyle name="Normal 3 2 14 2 2" xfId="8497"/>
    <cellStyle name="Normal 3 2 14 2 3" xfId="8498"/>
    <cellStyle name="Normal 3 2 14 2 3 2" xfId="19230"/>
    <cellStyle name="Normal 3 2 14 2 3 2 2" xfId="29490"/>
    <cellStyle name="Normal 3 2 14 2 3 3" xfId="29491"/>
    <cellStyle name="Normal 3 2 14 2 4" xfId="19231"/>
    <cellStyle name="Normal 3 2 14 2 4 2" xfId="29492"/>
    <cellStyle name="Normal 3 2 14 2 5" xfId="29493"/>
    <cellStyle name="Normal 3 2 14 3" xfId="8499"/>
    <cellStyle name="Normal 3 2 14 4" xfId="8500"/>
    <cellStyle name="Normal 3 2 14 4 2" xfId="19232"/>
    <cellStyle name="Normal 3 2 14 4 2 2" xfId="29494"/>
    <cellStyle name="Normal 3 2 14 4 3" xfId="29495"/>
    <cellStyle name="Normal 3 2 14 5" xfId="19233"/>
    <cellStyle name="Normal 3 2 14 5 2" xfId="29496"/>
    <cellStyle name="Normal 3 2 14 6" xfId="29497"/>
    <cellStyle name="Normal 3 2 15" xfId="8501"/>
    <cellStyle name="Normal 3 2 15 2" xfId="8502"/>
    <cellStyle name="Normal 3 2 15 2 2" xfId="8503"/>
    <cellStyle name="Normal 3 2 15 2 3" xfId="8504"/>
    <cellStyle name="Normal 3 2 15 2 3 2" xfId="19234"/>
    <cellStyle name="Normal 3 2 15 2 3 2 2" xfId="29498"/>
    <cellStyle name="Normal 3 2 15 2 3 3" xfId="29499"/>
    <cellStyle name="Normal 3 2 15 2 4" xfId="19235"/>
    <cellStyle name="Normal 3 2 15 2 4 2" xfId="29500"/>
    <cellStyle name="Normal 3 2 15 2 5" xfId="29501"/>
    <cellStyle name="Normal 3 2 15 3" xfId="8505"/>
    <cellStyle name="Normal 3 2 15 4" xfId="8506"/>
    <cellStyle name="Normal 3 2 15 4 2" xfId="19236"/>
    <cellStyle name="Normal 3 2 15 4 2 2" xfId="29502"/>
    <cellStyle name="Normal 3 2 15 4 3" xfId="29503"/>
    <cellStyle name="Normal 3 2 15 5" xfId="19237"/>
    <cellStyle name="Normal 3 2 15 5 2" xfId="29504"/>
    <cellStyle name="Normal 3 2 15 6" xfId="29505"/>
    <cellStyle name="Normal 3 2 16" xfId="8507"/>
    <cellStyle name="Normal 3 2 16 2" xfId="8508"/>
    <cellStyle name="Normal 3 2 16 2 2" xfId="8509"/>
    <cellStyle name="Normal 3 2 16 2 3" xfId="8510"/>
    <cellStyle name="Normal 3 2 16 2 3 2" xfId="19238"/>
    <cellStyle name="Normal 3 2 16 2 3 2 2" xfId="29506"/>
    <cellStyle name="Normal 3 2 16 2 3 3" xfId="29507"/>
    <cellStyle name="Normal 3 2 16 2 4" xfId="19239"/>
    <cellStyle name="Normal 3 2 16 2 4 2" xfId="29508"/>
    <cellStyle name="Normal 3 2 16 2 5" xfId="29509"/>
    <cellStyle name="Normal 3 2 16 3" xfId="8511"/>
    <cellStyle name="Normal 3 2 16 4" xfId="8512"/>
    <cellStyle name="Normal 3 2 16 4 2" xfId="19240"/>
    <cellStyle name="Normal 3 2 16 4 2 2" xfId="29510"/>
    <cellStyle name="Normal 3 2 16 4 3" xfId="29511"/>
    <cellStyle name="Normal 3 2 16 5" xfId="19241"/>
    <cellStyle name="Normal 3 2 16 5 2" xfId="29512"/>
    <cellStyle name="Normal 3 2 16 6" xfId="29513"/>
    <cellStyle name="Normal 3 2 17" xfId="8513"/>
    <cellStyle name="Normal 3 2 17 2" xfId="8514"/>
    <cellStyle name="Normal 3 2 17 2 2" xfId="8515"/>
    <cellStyle name="Normal 3 2 17 2 3" xfId="8516"/>
    <cellStyle name="Normal 3 2 17 2 3 2" xfId="19242"/>
    <cellStyle name="Normal 3 2 17 2 3 2 2" xfId="29514"/>
    <cellStyle name="Normal 3 2 17 2 3 3" xfId="29515"/>
    <cellStyle name="Normal 3 2 17 2 4" xfId="19243"/>
    <cellStyle name="Normal 3 2 17 2 4 2" xfId="29516"/>
    <cellStyle name="Normal 3 2 17 2 5" xfId="29517"/>
    <cellStyle name="Normal 3 2 17 3" xfId="8517"/>
    <cellStyle name="Normal 3 2 17 4" xfId="8518"/>
    <cellStyle name="Normal 3 2 17 4 2" xfId="19244"/>
    <cellStyle name="Normal 3 2 17 4 2 2" xfId="29518"/>
    <cellStyle name="Normal 3 2 17 4 3" xfId="29519"/>
    <cellStyle name="Normal 3 2 17 5" xfId="19245"/>
    <cellStyle name="Normal 3 2 17 5 2" xfId="29520"/>
    <cellStyle name="Normal 3 2 17 6" xfId="29521"/>
    <cellStyle name="Normal 3 2 18" xfId="8519"/>
    <cellStyle name="Normal 3 2 18 2" xfId="8520"/>
    <cellStyle name="Normal 3 2 18 2 2" xfId="29522"/>
    <cellStyle name="Normal 3 2 18 3" xfId="8521"/>
    <cellStyle name="Normal 3 2 18 3 2" xfId="19246"/>
    <cellStyle name="Normal 3 2 18 3 2 2" xfId="29523"/>
    <cellStyle name="Normal 3 2 18 3 3" xfId="29524"/>
    <cellStyle name="Normal 3 2 18 4" xfId="19247"/>
    <cellStyle name="Normal 3 2 18 4 2" xfId="29525"/>
    <cellStyle name="Normal 3 2 18 5" xfId="29526"/>
    <cellStyle name="Normal 3 2 19" xfId="8522"/>
    <cellStyle name="Normal 3 2 19 2" xfId="8523"/>
    <cellStyle name="Normal 3 2 19 2 2" xfId="29527"/>
    <cellStyle name="Normal 3 2 19 3" xfId="8524"/>
    <cellStyle name="Normal 3 2 19 3 2" xfId="19248"/>
    <cellStyle name="Normal 3 2 19 3 2 2" xfId="29528"/>
    <cellStyle name="Normal 3 2 19 3 3" xfId="29529"/>
    <cellStyle name="Normal 3 2 19 4" xfId="19249"/>
    <cellStyle name="Normal 3 2 19 4 2" xfId="29530"/>
    <cellStyle name="Normal 3 2 19 5" xfId="29531"/>
    <cellStyle name="Normal 3 2 2" xfId="8525"/>
    <cellStyle name="Normal 3 2 2 10" xfId="8526"/>
    <cellStyle name="Normal 3 2 2 10 2" xfId="8527"/>
    <cellStyle name="Normal 3 2 2 11" xfId="8528"/>
    <cellStyle name="Normal 3 2 2 11 2" xfId="8529"/>
    <cellStyle name="Normal 3 2 2 12" xfId="8530"/>
    <cellStyle name="Normal 3 2 2 12 2" xfId="8531"/>
    <cellStyle name="Normal 3 2 2 13" xfId="8532"/>
    <cellStyle name="Normal 3 2 2 13 2" xfId="8533"/>
    <cellStyle name="Normal 3 2 2 14" xfId="8534"/>
    <cellStyle name="Normal 3 2 2 14 2" xfId="8535"/>
    <cellStyle name="Normal 3 2 2 15" xfId="8536"/>
    <cellStyle name="Normal 3 2 2 15 2" xfId="8537"/>
    <cellStyle name="Normal 3 2 2 16" xfId="8538"/>
    <cellStyle name="Normal 3 2 2 16 2" xfId="8539"/>
    <cellStyle name="Normal 3 2 2 17" xfId="8540"/>
    <cellStyle name="Normal 3 2 2 17 2" xfId="8541"/>
    <cellStyle name="Normal 3 2 2 18" xfId="8542"/>
    <cellStyle name="Normal 3 2 2 18 2" xfId="8543"/>
    <cellStyle name="Normal 3 2 2 18 2 2" xfId="8544"/>
    <cellStyle name="Normal 3 2 2 18 2 2 2" xfId="19250"/>
    <cellStyle name="Normal 3 2 2 18 2 2 2 2" xfId="29532"/>
    <cellStyle name="Normal 3 2 2 18 2 2 3" xfId="29533"/>
    <cellStyle name="Normal 3 2 2 18 2 3" xfId="19251"/>
    <cellStyle name="Normal 3 2 2 18 2 3 2" xfId="29534"/>
    <cellStyle name="Normal 3 2 2 18 2 4" xfId="29535"/>
    <cellStyle name="Normal 3 2 2 18 3" xfId="8545"/>
    <cellStyle name="Normal 3 2 2 18 3 2" xfId="19252"/>
    <cellStyle name="Normal 3 2 2 18 3 2 2" xfId="29536"/>
    <cellStyle name="Normal 3 2 2 18 3 3" xfId="29537"/>
    <cellStyle name="Normal 3 2 2 18 4" xfId="19253"/>
    <cellStyle name="Normal 3 2 2 18 4 2" xfId="19254"/>
    <cellStyle name="Normal 3 2 2 18 4 2 2" xfId="29538"/>
    <cellStyle name="Normal 3 2 2 18 4 3" xfId="29539"/>
    <cellStyle name="Normal 3 2 2 18 5" xfId="19255"/>
    <cellStyle name="Normal 3 2 2 18 5 2" xfId="29540"/>
    <cellStyle name="Normal 3 2 2 18 6" xfId="29541"/>
    <cellStyle name="Normal 3 2 2 19" xfId="19256"/>
    <cellStyle name="Normal 3 2 2 19 2" xfId="19257"/>
    <cellStyle name="Normal 3 2 2 19 2 2" xfId="29542"/>
    <cellStyle name="Normal 3 2 2 19 3" xfId="29543"/>
    <cellStyle name="Normal 3 2 2 2" xfId="8546"/>
    <cellStyle name="Normal 3 2 2 2 10" xfId="8547"/>
    <cellStyle name="Normal 3 2 2 2 10 2" xfId="8548"/>
    <cellStyle name="Normal 3 2 2 2 10 2 2" xfId="8549"/>
    <cellStyle name="Normal 3 2 2 2 10 2 3" xfId="8550"/>
    <cellStyle name="Normal 3 2 2 2 10 2 3 2" xfId="19258"/>
    <cellStyle name="Normal 3 2 2 2 10 2 3 2 2" xfId="29544"/>
    <cellStyle name="Normal 3 2 2 2 10 2 3 3" xfId="29545"/>
    <cellStyle name="Normal 3 2 2 2 10 2 4" xfId="19259"/>
    <cellStyle name="Normal 3 2 2 2 10 2 4 2" xfId="29546"/>
    <cellStyle name="Normal 3 2 2 2 10 2 5" xfId="29547"/>
    <cellStyle name="Normal 3 2 2 2 10 3" xfId="8551"/>
    <cellStyle name="Normal 3 2 2 2 10 4" xfId="8552"/>
    <cellStyle name="Normal 3 2 2 2 10 4 2" xfId="19260"/>
    <cellStyle name="Normal 3 2 2 2 10 4 2 2" xfId="29548"/>
    <cellStyle name="Normal 3 2 2 2 10 4 3" xfId="29549"/>
    <cellStyle name="Normal 3 2 2 2 10 5" xfId="19261"/>
    <cellStyle name="Normal 3 2 2 2 10 5 2" xfId="29550"/>
    <cellStyle name="Normal 3 2 2 2 10 6" xfId="29551"/>
    <cellStyle name="Normal 3 2 2 2 11" xfId="8553"/>
    <cellStyle name="Normal 3 2 2 2 11 2" xfId="8554"/>
    <cellStyle name="Normal 3 2 2 2 11 2 2" xfId="8555"/>
    <cellStyle name="Normal 3 2 2 2 11 2 3" xfId="8556"/>
    <cellStyle name="Normal 3 2 2 2 11 2 3 2" xfId="19262"/>
    <cellStyle name="Normal 3 2 2 2 11 2 3 2 2" xfId="29552"/>
    <cellStyle name="Normal 3 2 2 2 11 2 3 3" xfId="29553"/>
    <cellStyle name="Normal 3 2 2 2 11 2 4" xfId="19263"/>
    <cellStyle name="Normal 3 2 2 2 11 2 4 2" xfId="29554"/>
    <cellStyle name="Normal 3 2 2 2 11 2 5" xfId="29555"/>
    <cellStyle name="Normal 3 2 2 2 11 3" xfId="8557"/>
    <cellStyle name="Normal 3 2 2 2 11 4" xfId="8558"/>
    <cellStyle name="Normal 3 2 2 2 11 4 2" xfId="19264"/>
    <cellStyle name="Normal 3 2 2 2 11 4 2 2" xfId="29556"/>
    <cellStyle name="Normal 3 2 2 2 11 4 3" xfId="29557"/>
    <cellStyle name="Normal 3 2 2 2 11 5" xfId="19265"/>
    <cellStyle name="Normal 3 2 2 2 11 5 2" xfId="29558"/>
    <cellStyle name="Normal 3 2 2 2 11 6" xfId="29559"/>
    <cellStyle name="Normal 3 2 2 2 12" xfId="8559"/>
    <cellStyle name="Normal 3 2 2 2 12 2" xfId="8560"/>
    <cellStyle name="Normal 3 2 2 2 12 2 2" xfId="8561"/>
    <cellStyle name="Normal 3 2 2 2 12 2 3" xfId="8562"/>
    <cellStyle name="Normal 3 2 2 2 12 2 3 2" xfId="19266"/>
    <cellStyle name="Normal 3 2 2 2 12 2 3 2 2" xfId="29560"/>
    <cellStyle name="Normal 3 2 2 2 12 2 3 3" xfId="29561"/>
    <cellStyle name="Normal 3 2 2 2 12 2 4" xfId="19267"/>
    <cellStyle name="Normal 3 2 2 2 12 2 4 2" xfId="29562"/>
    <cellStyle name="Normal 3 2 2 2 12 2 5" xfId="29563"/>
    <cellStyle name="Normal 3 2 2 2 12 3" xfId="8563"/>
    <cellStyle name="Normal 3 2 2 2 12 4" xfId="8564"/>
    <cellStyle name="Normal 3 2 2 2 12 4 2" xfId="19268"/>
    <cellStyle name="Normal 3 2 2 2 12 4 2 2" xfId="29564"/>
    <cellStyle name="Normal 3 2 2 2 12 4 3" xfId="29565"/>
    <cellStyle name="Normal 3 2 2 2 12 5" xfId="19269"/>
    <cellStyle name="Normal 3 2 2 2 12 5 2" xfId="29566"/>
    <cellStyle name="Normal 3 2 2 2 12 6" xfId="29567"/>
    <cellStyle name="Normal 3 2 2 2 13" xfId="8565"/>
    <cellStyle name="Normal 3 2 2 2 13 2" xfId="8566"/>
    <cellStyle name="Normal 3 2 2 2 13 2 2" xfId="8567"/>
    <cellStyle name="Normal 3 2 2 2 13 2 3" xfId="8568"/>
    <cellStyle name="Normal 3 2 2 2 13 2 3 2" xfId="19270"/>
    <cellStyle name="Normal 3 2 2 2 13 2 3 2 2" xfId="29568"/>
    <cellStyle name="Normal 3 2 2 2 13 2 3 3" xfId="29569"/>
    <cellStyle name="Normal 3 2 2 2 13 2 4" xfId="19271"/>
    <cellStyle name="Normal 3 2 2 2 13 2 4 2" xfId="29570"/>
    <cellStyle name="Normal 3 2 2 2 13 2 5" xfId="29571"/>
    <cellStyle name="Normal 3 2 2 2 13 3" xfId="8569"/>
    <cellStyle name="Normal 3 2 2 2 13 4" xfId="8570"/>
    <cellStyle name="Normal 3 2 2 2 13 4 2" xfId="19272"/>
    <cellStyle name="Normal 3 2 2 2 13 4 2 2" xfId="29572"/>
    <cellStyle name="Normal 3 2 2 2 13 4 3" xfId="29573"/>
    <cellStyle name="Normal 3 2 2 2 13 5" xfId="19273"/>
    <cellStyle name="Normal 3 2 2 2 13 5 2" xfId="29574"/>
    <cellStyle name="Normal 3 2 2 2 13 6" xfId="29575"/>
    <cellStyle name="Normal 3 2 2 2 14" xfId="8571"/>
    <cellStyle name="Normal 3 2 2 2 14 2" xfId="8572"/>
    <cellStyle name="Normal 3 2 2 2 14 2 2" xfId="8573"/>
    <cellStyle name="Normal 3 2 2 2 14 2 3" xfId="8574"/>
    <cellStyle name="Normal 3 2 2 2 14 2 3 2" xfId="19274"/>
    <cellStyle name="Normal 3 2 2 2 14 2 3 2 2" xfId="29576"/>
    <cellStyle name="Normal 3 2 2 2 14 2 3 3" xfId="29577"/>
    <cellStyle name="Normal 3 2 2 2 14 2 4" xfId="19275"/>
    <cellStyle name="Normal 3 2 2 2 14 2 4 2" xfId="29578"/>
    <cellStyle name="Normal 3 2 2 2 14 2 5" xfId="29579"/>
    <cellStyle name="Normal 3 2 2 2 14 3" xfId="8575"/>
    <cellStyle name="Normal 3 2 2 2 14 4" xfId="8576"/>
    <cellStyle name="Normal 3 2 2 2 14 4 2" xfId="19276"/>
    <cellStyle name="Normal 3 2 2 2 14 4 2 2" xfId="29580"/>
    <cellStyle name="Normal 3 2 2 2 14 4 3" xfId="29581"/>
    <cellStyle name="Normal 3 2 2 2 14 5" xfId="19277"/>
    <cellStyle name="Normal 3 2 2 2 14 5 2" xfId="29582"/>
    <cellStyle name="Normal 3 2 2 2 14 6" xfId="29583"/>
    <cellStyle name="Normal 3 2 2 2 15" xfId="8577"/>
    <cellStyle name="Normal 3 2 2 2 15 2" xfId="8578"/>
    <cellStyle name="Normal 3 2 2 2 15 2 2" xfId="8579"/>
    <cellStyle name="Normal 3 2 2 2 15 2 3" xfId="8580"/>
    <cellStyle name="Normal 3 2 2 2 15 2 3 2" xfId="19278"/>
    <cellStyle name="Normal 3 2 2 2 15 2 3 2 2" xfId="29584"/>
    <cellStyle name="Normal 3 2 2 2 15 2 3 3" xfId="29585"/>
    <cellStyle name="Normal 3 2 2 2 15 2 4" xfId="19279"/>
    <cellStyle name="Normal 3 2 2 2 15 2 4 2" xfId="29586"/>
    <cellStyle name="Normal 3 2 2 2 15 2 5" xfId="29587"/>
    <cellStyle name="Normal 3 2 2 2 15 3" xfId="8581"/>
    <cellStyle name="Normal 3 2 2 2 15 4" xfId="8582"/>
    <cellStyle name="Normal 3 2 2 2 15 4 2" xfId="19280"/>
    <cellStyle name="Normal 3 2 2 2 15 4 2 2" xfId="29588"/>
    <cellStyle name="Normal 3 2 2 2 15 4 3" xfId="29589"/>
    <cellStyle name="Normal 3 2 2 2 15 5" xfId="19281"/>
    <cellStyle name="Normal 3 2 2 2 15 5 2" xfId="29590"/>
    <cellStyle name="Normal 3 2 2 2 15 6" xfId="29591"/>
    <cellStyle name="Normal 3 2 2 2 16" xfId="8583"/>
    <cellStyle name="Normal 3 2 2 2 16 2" xfId="8584"/>
    <cellStyle name="Normal 3 2 2 2 16 2 2" xfId="29592"/>
    <cellStyle name="Normal 3 2 2 2 16 3" xfId="8585"/>
    <cellStyle name="Normal 3 2 2 2 16 3 2" xfId="19282"/>
    <cellStyle name="Normal 3 2 2 2 16 3 2 2" xfId="29593"/>
    <cellStyle name="Normal 3 2 2 2 16 3 3" xfId="29594"/>
    <cellStyle name="Normal 3 2 2 2 16 4" xfId="19283"/>
    <cellStyle name="Normal 3 2 2 2 16 4 2" xfId="29595"/>
    <cellStyle name="Normal 3 2 2 2 16 5" xfId="29596"/>
    <cellStyle name="Normal 3 2 2 2 17" xfId="8586"/>
    <cellStyle name="Normal 3 2 2 2 17 2" xfId="8587"/>
    <cellStyle name="Normal 3 2 2 2 17 2 2" xfId="29597"/>
    <cellStyle name="Normal 3 2 2 2 17 3" xfId="8588"/>
    <cellStyle name="Normal 3 2 2 2 17 3 2" xfId="19284"/>
    <cellStyle name="Normal 3 2 2 2 17 3 2 2" xfId="29598"/>
    <cellStyle name="Normal 3 2 2 2 17 3 3" xfId="29599"/>
    <cellStyle name="Normal 3 2 2 2 17 4" xfId="19285"/>
    <cellStyle name="Normal 3 2 2 2 17 4 2" xfId="29600"/>
    <cellStyle name="Normal 3 2 2 2 17 5" xfId="29601"/>
    <cellStyle name="Normal 3 2 2 2 18" xfId="8589"/>
    <cellStyle name="Normal 3 2 2 2 18 2" xfId="29602"/>
    <cellStyle name="Normal 3 2 2 2 19" xfId="8590"/>
    <cellStyle name="Normal 3 2 2 2 19 2" xfId="19286"/>
    <cellStyle name="Normal 3 2 2 2 19 2 2" xfId="29603"/>
    <cellStyle name="Normal 3 2 2 2 19 3" xfId="29604"/>
    <cellStyle name="Normal 3 2 2 2 2" xfId="8591"/>
    <cellStyle name="Normal 3 2 2 2 2 10" xfId="29605"/>
    <cellStyle name="Normal 3 2 2 2 2 2" xfId="8592"/>
    <cellStyle name="Normal 3 2 2 2 2 2 2" xfId="8593"/>
    <cellStyle name="Normal 3 2 2 2 2 2 2 2" xfId="8594"/>
    <cellStyle name="Normal 3 2 2 2 2 2 2 2 2" xfId="8595"/>
    <cellStyle name="Normal 3 2 2 2 2 2 2 2 2 2" xfId="29606"/>
    <cellStyle name="Normal 3 2 2 2 2 2 2 2 3" xfId="8596"/>
    <cellStyle name="Normal 3 2 2 2 2 2 2 2 3 2" xfId="19287"/>
    <cellStyle name="Normal 3 2 2 2 2 2 2 2 3 2 2" xfId="29607"/>
    <cellStyle name="Normal 3 2 2 2 2 2 2 2 3 3" xfId="29608"/>
    <cellStyle name="Normal 3 2 2 2 2 2 2 2 4" xfId="19288"/>
    <cellStyle name="Normal 3 2 2 2 2 2 2 2 4 2" xfId="29609"/>
    <cellStyle name="Normal 3 2 2 2 2 2 2 2 5" xfId="29610"/>
    <cellStyle name="Normal 3 2 2 2 2 2 2 3" xfId="8597"/>
    <cellStyle name="Normal 3 2 2 2 2 2 2 3 2" xfId="29611"/>
    <cellStyle name="Normal 3 2 2 2 2 2 2 4" xfId="8598"/>
    <cellStyle name="Normal 3 2 2 2 2 2 2 4 2" xfId="19289"/>
    <cellStyle name="Normal 3 2 2 2 2 2 2 4 2 2" xfId="29612"/>
    <cellStyle name="Normal 3 2 2 2 2 2 2 4 3" xfId="29613"/>
    <cellStyle name="Normal 3 2 2 2 2 2 2 5" xfId="19290"/>
    <cellStyle name="Normal 3 2 2 2 2 2 2 5 2" xfId="29614"/>
    <cellStyle name="Normal 3 2 2 2 2 2 2 6" xfId="29615"/>
    <cellStyle name="Normal 3 2 2 2 2 2 3" xfId="8599"/>
    <cellStyle name="Normal 3 2 2 2 2 2 3 2" xfId="8600"/>
    <cellStyle name="Normal 3 2 2 2 2 2 3 2 2" xfId="8601"/>
    <cellStyle name="Normal 3 2 2 2 2 2 3 2 3" xfId="8602"/>
    <cellStyle name="Normal 3 2 2 2 2 2 3 2 3 2" xfId="19291"/>
    <cellStyle name="Normal 3 2 2 2 2 2 3 2 3 2 2" xfId="29616"/>
    <cellStyle name="Normal 3 2 2 2 2 2 3 2 3 3" xfId="29617"/>
    <cellStyle name="Normal 3 2 2 2 2 2 3 2 4" xfId="19292"/>
    <cellStyle name="Normal 3 2 2 2 2 2 3 2 4 2" xfId="29618"/>
    <cellStyle name="Normal 3 2 2 2 2 2 3 2 5" xfId="29619"/>
    <cellStyle name="Normal 3 2 2 2 2 2 3 3" xfId="8603"/>
    <cellStyle name="Normal 3 2 2 2 2 2 3 4" xfId="8604"/>
    <cellStyle name="Normal 3 2 2 2 2 2 3 4 2" xfId="19293"/>
    <cellStyle name="Normal 3 2 2 2 2 2 3 4 2 2" xfId="29620"/>
    <cellStyle name="Normal 3 2 2 2 2 2 3 4 3" xfId="29621"/>
    <cellStyle name="Normal 3 2 2 2 2 2 3 5" xfId="19294"/>
    <cellStyle name="Normal 3 2 2 2 2 2 3 5 2" xfId="29622"/>
    <cellStyle name="Normal 3 2 2 2 2 2 3 6" xfId="29623"/>
    <cellStyle name="Normal 3 2 2 2 2 2 4" xfId="8605"/>
    <cellStyle name="Normal 3 2 2 2 2 2 4 2" xfId="8606"/>
    <cellStyle name="Normal 3 2 2 2 2 2 4 2 2" xfId="8607"/>
    <cellStyle name="Normal 3 2 2 2 2 2 4 2 3" xfId="8608"/>
    <cellStyle name="Normal 3 2 2 2 2 2 4 2 3 2" xfId="19295"/>
    <cellStyle name="Normal 3 2 2 2 2 2 4 2 3 2 2" xfId="29624"/>
    <cellStyle name="Normal 3 2 2 2 2 2 4 2 3 3" xfId="29625"/>
    <cellStyle name="Normal 3 2 2 2 2 2 4 2 4" xfId="19296"/>
    <cellStyle name="Normal 3 2 2 2 2 2 4 2 4 2" xfId="29626"/>
    <cellStyle name="Normal 3 2 2 2 2 2 4 2 5" xfId="29627"/>
    <cellStyle name="Normal 3 2 2 2 2 2 4 3" xfId="8609"/>
    <cellStyle name="Normal 3 2 2 2 2 2 4 4" xfId="8610"/>
    <cellStyle name="Normal 3 2 2 2 2 2 4 4 2" xfId="19297"/>
    <cellStyle name="Normal 3 2 2 2 2 2 4 4 2 2" xfId="29628"/>
    <cellStyle name="Normal 3 2 2 2 2 2 4 4 3" xfId="29629"/>
    <cellStyle name="Normal 3 2 2 2 2 2 4 5" xfId="19298"/>
    <cellStyle name="Normal 3 2 2 2 2 2 4 5 2" xfId="29630"/>
    <cellStyle name="Normal 3 2 2 2 2 2 4 6" xfId="29631"/>
    <cellStyle name="Normal 3 2 2 2 2 2 5" xfId="8611"/>
    <cellStyle name="Normal 3 2 2 2 2 2 5 2" xfId="8612"/>
    <cellStyle name="Normal 3 2 2 2 2 2 5 2 2" xfId="8613"/>
    <cellStyle name="Normal 3 2 2 2 2 2 5 2 3" xfId="8614"/>
    <cellStyle name="Normal 3 2 2 2 2 2 5 2 3 2" xfId="19299"/>
    <cellStyle name="Normal 3 2 2 2 2 2 5 2 3 2 2" xfId="29632"/>
    <cellStyle name="Normal 3 2 2 2 2 2 5 2 3 3" xfId="29633"/>
    <cellStyle name="Normal 3 2 2 2 2 2 5 2 4" xfId="19300"/>
    <cellStyle name="Normal 3 2 2 2 2 2 5 2 4 2" xfId="29634"/>
    <cellStyle name="Normal 3 2 2 2 2 2 5 2 5" xfId="29635"/>
    <cellStyle name="Normal 3 2 2 2 2 2 5 3" xfId="8615"/>
    <cellStyle name="Normal 3 2 2 2 2 2 5 4" xfId="8616"/>
    <cellStyle name="Normal 3 2 2 2 2 2 5 4 2" xfId="19301"/>
    <cellStyle name="Normal 3 2 2 2 2 2 5 4 2 2" xfId="29636"/>
    <cellStyle name="Normal 3 2 2 2 2 2 5 4 3" xfId="29637"/>
    <cellStyle name="Normal 3 2 2 2 2 2 5 5" xfId="19302"/>
    <cellStyle name="Normal 3 2 2 2 2 2 5 5 2" xfId="29638"/>
    <cellStyle name="Normal 3 2 2 2 2 2 5 6" xfId="29639"/>
    <cellStyle name="Normal 3 2 2 2 2 2 6" xfId="8617"/>
    <cellStyle name="Normal 3 2 2 2 2 3" xfId="8618"/>
    <cellStyle name="Normal 3 2 2 2 2 3 2" xfId="8619"/>
    <cellStyle name="Normal 3 2 2 2 2 4" xfId="8620"/>
    <cellStyle name="Normal 3 2 2 2 2 4 2" xfId="8621"/>
    <cellStyle name="Normal 3 2 2 2 2 5" xfId="8622"/>
    <cellStyle name="Normal 3 2 2 2 2 5 2" xfId="8623"/>
    <cellStyle name="Normal 3 2 2 2 2 6" xfId="8624"/>
    <cellStyle name="Normal 3 2 2 2 2 6 2" xfId="8625"/>
    <cellStyle name="Normal 3 2 2 2 2 6 3" xfId="8626"/>
    <cellStyle name="Normal 3 2 2 2 2 6 3 2" xfId="19303"/>
    <cellStyle name="Normal 3 2 2 2 2 6 3 2 2" xfId="29640"/>
    <cellStyle name="Normal 3 2 2 2 2 6 3 3" xfId="29641"/>
    <cellStyle name="Normal 3 2 2 2 2 6 4" xfId="19304"/>
    <cellStyle name="Normal 3 2 2 2 2 6 4 2" xfId="29642"/>
    <cellStyle name="Normal 3 2 2 2 2 6 5" xfId="29643"/>
    <cellStyle name="Normal 3 2 2 2 2 7" xfId="8627"/>
    <cellStyle name="Normal 3 2 2 2 2 8" xfId="8628"/>
    <cellStyle name="Normal 3 2 2 2 2 8 2" xfId="19305"/>
    <cellStyle name="Normal 3 2 2 2 2 8 2 2" xfId="29644"/>
    <cellStyle name="Normal 3 2 2 2 2 8 3" xfId="29645"/>
    <cellStyle name="Normal 3 2 2 2 2 9" xfId="19306"/>
    <cellStyle name="Normal 3 2 2 2 2 9 2" xfId="29646"/>
    <cellStyle name="Normal 3 2 2 2 20" xfId="19307"/>
    <cellStyle name="Normal 3 2 2 2 20 2" xfId="29647"/>
    <cellStyle name="Normal 3 2 2 2 21" xfId="29648"/>
    <cellStyle name="Normal 3 2 2 2 3" xfId="8629"/>
    <cellStyle name="Normal 3 2 2 2 3 2" xfId="8630"/>
    <cellStyle name="Normal 3 2 2 2 3 2 2" xfId="8631"/>
    <cellStyle name="Normal 3 2 2 2 3 2 3" xfId="8632"/>
    <cellStyle name="Normal 3 2 2 2 3 2 3 2" xfId="19308"/>
    <cellStyle name="Normal 3 2 2 2 3 2 3 2 2" xfId="29649"/>
    <cellStyle name="Normal 3 2 2 2 3 2 3 3" xfId="29650"/>
    <cellStyle name="Normal 3 2 2 2 3 2 4" xfId="19309"/>
    <cellStyle name="Normal 3 2 2 2 3 2 4 2" xfId="29651"/>
    <cellStyle name="Normal 3 2 2 2 3 2 5" xfId="29652"/>
    <cellStyle name="Normal 3 2 2 2 3 3" xfId="8633"/>
    <cellStyle name="Normal 3 2 2 2 3 4" xfId="8634"/>
    <cellStyle name="Normal 3 2 2 2 3 4 2" xfId="19310"/>
    <cellStyle name="Normal 3 2 2 2 3 4 2 2" xfId="29653"/>
    <cellStyle name="Normal 3 2 2 2 3 4 3" xfId="29654"/>
    <cellStyle name="Normal 3 2 2 2 3 5" xfId="19311"/>
    <cellStyle name="Normal 3 2 2 2 3 5 2" xfId="29655"/>
    <cellStyle name="Normal 3 2 2 2 3 6" xfId="29656"/>
    <cellStyle name="Normal 3 2 2 2 4" xfId="8635"/>
    <cellStyle name="Normal 3 2 2 2 4 2" xfId="8636"/>
    <cellStyle name="Normal 3 2 2 2 4 2 2" xfId="8637"/>
    <cellStyle name="Normal 3 2 2 2 4 2 3" xfId="8638"/>
    <cellStyle name="Normal 3 2 2 2 4 2 3 2" xfId="19312"/>
    <cellStyle name="Normal 3 2 2 2 4 2 3 2 2" xfId="29657"/>
    <cellStyle name="Normal 3 2 2 2 4 2 3 3" xfId="29658"/>
    <cellStyle name="Normal 3 2 2 2 4 2 4" xfId="19313"/>
    <cellStyle name="Normal 3 2 2 2 4 2 4 2" xfId="29659"/>
    <cellStyle name="Normal 3 2 2 2 4 2 5" xfId="29660"/>
    <cellStyle name="Normal 3 2 2 2 4 3" xfId="8639"/>
    <cellStyle name="Normal 3 2 2 2 4 4" xfId="8640"/>
    <cellStyle name="Normal 3 2 2 2 4 4 2" xfId="19314"/>
    <cellStyle name="Normal 3 2 2 2 4 4 2 2" xfId="29661"/>
    <cellStyle name="Normal 3 2 2 2 4 4 3" xfId="29662"/>
    <cellStyle name="Normal 3 2 2 2 4 5" xfId="19315"/>
    <cellStyle name="Normal 3 2 2 2 4 5 2" xfId="29663"/>
    <cellStyle name="Normal 3 2 2 2 4 6" xfId="29664"/>
    <cellStyle name="Normal 3 2 2 2 5" xfId="8641"/>
    <cellStyle name="Normal 3 2 2 2 5 2" xfId="8642"/>
    <cellStyle name="Normal 3 2 2 2 5 2 2" xfId="8643"/>
    <cellStyle name="Normal 3 2 2 2 5 2 3" xfId="8644"/>
    <cellStyle name="Normal 3 2 2 2 5 2 3 2" xfId="19316"/>
    <cellStyle name="Normal 3 2 2 2 5 2 3 2 2" xfId="29665"/>
    <cellStyle name="Normal 3 2 2 2 5 2 3 3" xfId="29666"/>
    <cellStyle name="Normal 3 2 2 2 5 2 4" xfId="19317"/>
    <cellStyle name="Normal 3 2 2 2 5 2 4 2" xfId="29667"/>
    <cellStyle name="Normal 3 2 2 2 5 2 5" xfId="29668"/>
    <cellStyle name="Normal 3 2 2 2 5 3" xfId="8645"/>
    <cellStyle name="Normal 3 2 2 2 5 4" xfId="8646"/>
    <cellStyle name="Normal 3 2 2 2 5 4 2" xfId="19318"/>
    <cellStyle name="Normal 3 2 2 2 5 4 2 2" xfId="29669"/>
    <cellStyle name="Normal 3 2 2 2 5 4 3" xfId="29670"/>
    <cellStyle name="Normal 3 2 2 2 5 5" xfId="19319"/>
    <cellStyle name="Normal 3 2 2 2 5 5 2" xfId="29671"/>
    <cellStyle name="Normal 3 2 2 2 5 6" xfId="29672"/>
    <cellStyle name="Normal 3 2 2 2 6" xfId="8647"/>
    <cellStyle name="Normal 3 2 2 2 6 2" xfId="8648"/>
    <cellStyle name="Normal 3 2 2 2 6 2 2" xfId="8649"/>
    <cellStyle name="Normal 3 2 2 2 6 2 3" xfId="8650"/>
    <cellStyle name="Normal 3 2 2 2 6 2 3 2" xfId="19320"/>
    <cellStyle name="Normal 3 2 2 2 6 2 3 2 2" xfId="29673"/>
    <cellStyle name="Normal 3 2 2 2 6 2 3 3" xfId="29674"/>
    <cellStyle name="Normal 3 2 2 2 6 2 4" xfId="19321"/>
    <cellStyle name="Normal 3 2 2 2 6 2 4 2" xfId="29675"/>
    <cellStyle name="Normal 3 2 2 2 6 2 5" xfId="29676"/>
    <cellStyle name="Normal 3 2 2 2 6 3" xfId="8651"/>
    <cellStyle name="Normal 3 2 2 2 6 4" xfId="8652"/>
    <cellStyle name="Normal 3 2 2 2 6 4 2" xfId="19322"/>
    <cellStyle name="Normal 3 2 2 2 6 4 2 2" xfId="29677"/>
    <cellStyle name="Normal 3 2 2 2 6 4 3" xfId="29678"/>
    <cellStyle name="Normal 3 2 2 2 6 5" xfId="19323"/>
    <cellStyle name="Normal 3 2 2 2 6 5 2" xfId="29679"/>
    <cellStyle name="Normal 3 2 2 2 6 6" xfId="29680"/>
    <cellStyle name="Normal 3 2 2 2 7" xfId="8653"/>
    <cellStyle name="Normal 3 2 2 2 7 2" xfId="8654"/>
    <cellStyle name="Normal 3 2 2 2 7 2 2" xfId="8655"/>
    <cellStyle name="Normal 3 2 2 2 7 2 3" xfId="8656"/>
    <cellStyle name="Normal 3 2 2 2 7 2 3 2" xfId="19324"/>
    <cellStyle name="Normal 3 2 2 2 7 2 3 2 2" xfId="29681"/>
    <cellStyle name="Normal 3 2 2 2 7 2 3 3" xfId="29682"/>
    <cellStyle name="Normal 3 2 2 2 7 2 4" xfId="19325"/>
    <cellStyle name="Normal 3 2 2 2 7 2 4 2" xfId="29683"/>
    <cellStyle name="Normal 3 2 2 2 7 2 5" xfId="29684"/>
    <cellStyle name="Normal 3 2 2 2 7 3" xfId="8657"/>
    <cellStyle name="Normal 3 2 2 2 7 4" xfId="8658"/>
    <cellStyle name="Normal 3 2 2 2 7 4 2" xfId="19326"/>
    <cellStyle name="Normal 3 2 2 2 7 4 2 2" xfId="29685"/>
    <cellStyle name="Normal 3 2 2 2 7 4 3" xfId="29686"/>
    <cellStyle name="Normal 3 2 2 2 7 5" xfId="19327"/>
    <cellStyle name="Normal 3 2 2 2 7 5 2" xfId="29687"/>
    <cellStyle name="Normal 3 2 2 2 7 6" xfId="29688"/>
    <cellStyle name="Normal 3 2 2 2 8" xfId="8659"/>
    <cellStyle name="Normal 3 2 2 2 8 2" xfId="8660"/>
    <cellStyle name="Normal 3 2 2 2 8 2 2" xfId="8661"/>
    <cellStyle name="Normal 3 2 2 2 8 2 3" xfId="8662"/>
    <cellStyle name="Normal 3 2 2 2 8 2 3 2" xfId="19328"/>
    <cellStyle name="Normal 3 2 2 2 8 2 3 2 2" xfId="29689"/>
    <cellStyle name="Normal 3 2 2 2 8 2 3 3" xfId="29690"/>
    <cellStyle name="Normal 3 2 2 2 8 2 4" xfId="19329"/>
    <cellStyle name="Normal 3 2 2 2 8 2 4 2" xfId="29691"/>
    <cellStyle name="Normal 3 2 2 2 8 2 5" xfId="29692"/>
    <cellStyle name="Normal 3 2 2 2 8 3" xfId="8663"/>
    <cellStyle name="Normal 3 2 2 2 8 4" xfId="8664"/>
    <cellStyle name="Normal 3 2 2 2 8 4 2" xfId="19330"/>
    <cellStyle name="Normal 3 2 2 2 8 4 2 2" xfId="29693"/>
    <cellStyle name="Normal 3 2 2 2 8 4 3" xfId="29694"/>
    <cellStyle name="Normal 3 2 2 2 8 5" xfId="19331"/>
    <cellStyle name="Normal 3 2 2 2 8 5 2" xfId="29695"/>
    <cellStyle name="Normal 3 2 2 2 8 6" xfId="29696"/>
    <cellStyle name="Normal 3 2 2 2 9" xfId="8665"/>
    <cellStyle name="Normal 3 2 2 2 9 2" xfId="8666"/>
    <cellStyle name="Normal 3 2 2 2 9 2 2" xfId="8667"/>
    <cellStyle name="Normal 3 2 2 2 9 2 3" xfId="8668"/>
    <cellStyle name="Normal 3 2 2 2 9 2 3 2" xfId="19332"/>
    <cellStyle name="Normal 3 2 2 2 9 2 3 2 2" xfId="29697"/>
    <cellStyle name="Normal 3 2 2 2 9 2 3 3" xfId="29698"/>
    <cellStyle name="Normal 3 2 2 2 9 2 4" xfId="19333"/>
    <cellStyle name="Normal 3 2 2 2 9 2 4 2" xfId="29699"/>
    <cellStyle name="Normal 3 2 2 2 9 2 5" xfId="29700"/>
    <cellStyle name="Normal 3 2 2 2 9 3" xfId="8669"/>
    <cellStyle name="Normal 3 2 2 2 9 4" xfId="8670"/>
    <cellStyle name="Normal 3 2 2 2 9 4 2" xfId="19334"/>
    <cellStyle name="Normal 3 2 2 2 9 4 2 2" xfId="29701"/>
    <cellStyle name="Normal 3 2 2 2 9 4 3" xfId="29702"/>
    <cellStyle name="Normal 3 2 2 2 9 5" xfId="19335"/>
    <cellStyle name="Normal 3 2 2 2 9 5 2" xfId="29703"/>
    <cellStyle name="Normal 3 2 2 2 9 6" xfId="29704"/>
    <cellStyle name="Normal 3 2 2 20" xfId="19336"/>
    <cellStyle name="Normal 3 2 2 20 2" xfId="29705"/>
    <cellStyle name="Normal 3 2 2 3" xfId="8671"/>
    <cellStyle name="Normal 3 2 2 3 2" xfId="8672"/>
    <cellStyle name="Normal 3 2 2 3 2 2" xfId="8673"/>
    <cellStyle name="Normal 3 2 2 3 3" xfId="8674"/>
    <cellStyle name="Normal 3 2 2 3 3 2" xfId="8675"/>
    <cellStyle name="Normal 3 2 2 3 3 3" xfId="8676"/>
    <cellStyle name="Normal 3 2 2 3 3 3 2" xfId="19337"/>
    <cellStyle name="Normal 3 2 2 3 3 3 2 2" xfId="29706"/>
    <cellStyle name="Normal 3 2 2 3 3 3 3" xfId="29707"/>
    <cellStyle name="Normal 3 2 2 3 3 4" xfId="19338"/>
    <cellStyle name="Normal 3 2 2 3 3 4 2" xfId="29708"/>
    <cellStyle name="Normal 3 2 2 3 3 5" xfId="29709"/>
    <cellStyle name="Normal 3 2 2 3 4" xfId="8677"/>
    <cellStyle name="Normal 3 2 2 4" xfId="8678"/>
    <cellStyle name="Normal 3 2 2 4 2" xfId="8679"/>
    <cellStyle name="Normal 3 2 2 4 2 2" xfId="8680"/>
    <cellStyle name="Normal 3 2 2 4 3" xfId="8681"/>
    <cellStyle name="Normal 3 2 2 5" xfId="8682"/>
    <cellStyle name="Normal 3 2 2 5 2" xfId="8683"/>
    <cellStyle name="Normal 3 2 2 6" xfId="8684"/>
    <cellStyle name="Normal 3 2 2 6 2" xfId="8685"/>
    <cellStyle name="Normal 3 2 2 7" xfId="8686"/>
    <cellStyle name="Normal 3 2 2 7 2" xfId="8687"/>
    <cellStyle name="Normal 3 2 2 8" xfId="8688"/>
    <cellStyle name="Normal 3 2 2 8 2" xfId="8689"/>
    <cellStyle name="Normal 3 2 2 9" xfId="8690"/>
    <cellStyle name="Normal 3 2 2 9 2" xfId="8691"/>
    <cellStyle name="Normal 3 2 20" xfId="8692"/>
    <cellStyle name="Normal 3 2 20 2" xfId="8693"/>
    <cellStyle name="Normal 3 2 20 2 2" xfId="29710"/>
    <cellStyle name="Normal 3 2 20 3" xfId="8694"/>
    <cellStyle name="Normal 3 2 20 3 2" xfId="8695"/>
    <cellStyle name="Normal 3 2 20 3 2 2" xfId="19339"/>
    <cellStyle name="Normal 3 2 20 3 2 2 2" xfId="29711"/>
    <cellStyle name="Normal 3 2 20 3 2 3" xfId="29712"/>
    <cellStyle name="Normal 3 2 20 3 3" xfId="19340"/>
    <cellStyle name="Normal 3 2 20 3 3 2" xfId="29713"/>
    <cellStyle name="Normal 3 2 20 3 4" xfId="29714"/>
    <cellStyle name="Normal 3 2 20 4" xfId="8696"/>
    <cellStyle name="Normal 3 2 20 4 2" xfId="8697"/>
    <cellStyle name="Normal 3 2 20 4 2 2" xfId="19341"/>
    <cellStyle name="Normal 3 2 20 4 2 2 2" xfId="29715"/>
    <cellStyle name="Normal 3 2 20 4 2 3" xfId="29716"/>
    <cellStyle name="Normal 3 2 20 4 3" xfId="19342"/>
    <cellStyle name="Normal 3 2 20 4 3 2" xfId="29717"/>
    <cellStyle name="Normal 3 2 20 4 4" xfId="29718"/>
    <cellStyle name="Normal 3 2 20 5" xfId="8698"/>
    <cellStyle name="Normal 3 2 20 5 2" xfId="19343"/>
    <cellStyle name="Normal 3 2 20 5 2 2" xfId="29719"/>
    <cellStyle name="Normal 3 2 20 5 3" xfId="29720"/>
    <cellStyle name="Normal 3 2 20 6" xfId="19344"/>
    <cellStyle name="Normal 3 2 20 6 2" xfId="29721"/>
    <cellStyle name="Normal 3 2 20 7" xfId="29722"/>
    <cellStyle name="Normal 3 2 21" xfId="8699"/>
    <cellStyle name="Normal 3 2 21 2" xfId="8700"/>
    <cellStyle name="Normal 3 2 21 3" xfId="8701"/>
    <cellStyle name="Normal 3 2 21 3 2" xfId="19345"/>
    <cellStyle name="Normal 3 2 21 3 2 2" xfId="29723"/>
    <cellStyle name="Normal 3 2 21 3 3" xfId="29724"/>
    <cellStyle name="Normal 3 2 21 4" xfId="19346"/>
    <cellStyle name="Normal 3 2 21 4 2" xfId="29725"/>
    <cellStyle name="Normal 3 2 21 5" xfId="29726"/>
    <cellStyle name="Normal 3 2 22" xfId="8702"/>
    <cellStyle name="Normal 3 2 22 2" xfId="19347"/>
    <cellStyle name="Normal 3 2 22 2 2" xfId="29727"/>
    <cellStyle name="Normal 3 2 22 3" xfId="29728"/>
    <cellStyle name="Normal 3 2 23" xfId="19348"/>
    <cellStyle name="Normal 3 2 23 2" xfId="29729"/>
    <cellStyle name="Normal 3 2 24" xfId="29730"/>
    <cellStyle name="Normal 3 2 3" xfId="8703"/>
    <cellStyle name="Normal 3 2 3 2" xfId="8704"/>
    <cellStyle name="Normal 3 2 3 2 2" xfId="8705"/>
    <cellStyle name="Normal 3 2 3 2 3" xfId="8706"/>
    <cellStyle name="Normal 3 2 3 2 3 2" xfId="19349"/>
    <cellStyle name="Normal 3 2 3 2 3 2 2" xfId="29731"/>
    <cellStyle name="Normal 3 2 3 2 3 3" xfId="29732"/>
    <cellStyle name="Normal 3 2 3 2 4" xfId="19350"/>
    <cellStyle name="Normal 3 2 3 2 4 2" xfId="29733"/>
    <cellStyle name="Normal 3 2 3 2 5" xfId="29734"/>
    <cellStyle name="Normal 3 2 3 3" xfId="8707"/>
    <cellStyle name="Normal 3 2 3 3 2" xfId="19351"/>
    <cellStyle name="Normal 3 2 3 3 2 2" xfId="29735"/>
    <cellStyle name="Normal 3 2 3 4" xfId="8708"/>
    <cellStyle name="Normal 3 2 3 4 2" xfId="8709"/>
    <cellStyle name="Normal 3 2 3 4 2 2" xfId="19352"/>
    <cellStyle name="Normal 3 2 3 4 2 2 2" xfId="29736"/>
    <cellStyle name="Normal 3 2 3 4 2 3" xfId="29737"/>
    <cellStyle name="Normal 3 2 3 4 3" xfId="19353"/>
    <cellStyle name="Normal 3 2 3 4 3 2" xfId="29738"/>
    <cellStyle name="Normal 3 2 3 4 4" xfId="29739"/>
    <cellStyle name="Normal 3 2 3 5" xfId="8710"/>
    <cellStyle name="Normal 3 2 3 5 2" xfId="19354"/>
    <cellStyle name="Normal 3 2 3 5 2 2" xfId="29740"/>
    <cellStyle name="Normal 3 2 3 5 3" xfId="29741"/>
    <cellStyle name="Normal 3 2 3 6" xfId="19355"/>
    <cellStyle name="Normal 3 2 3 6 2" xfId="29742"/>
    <cellStyle name="Normal 3 2 3 7" xfId="29743"/>
    <cellStyle name="Normal 3 2 4" xfId="8711"/>
    <cellStyle name="Normal 3 2 4 2" xfId="8712"/>
    <cellStyle name="Normal 3 2 4 2 2" xfId="8713"/>
    <cellStyle name="Normal 3 2 4 2 3" xfId="8714"/>
    <cellStyle name="Normal 3 2 4 2 3 2" xfId="19356"/>
    <cellStyle name="Normal 3 2 4 2 3 2 2" xfId="29744"/>
    <cellStyle name="Normal 3 2 4 2 3 3" xfId="29745"/>
    <cellStyle name="Normal 3 2 4 2 4" xfId="19357"/>
    <cellStyle name="Normal 3 2 4 2 4 2" xfId="29746"/>
    <cellStyle name="Normal 3 2 4 2 5" xfId="29747"/>
    <cellStyle name="Normal 3 2 4 3" xfId="8715"/>
    <cellStyle name="Normal 3 2 4 4" xfId="8716"/>
    <cellStyle name="Normal 3 2 4 4 2" xfId="19358"/>
    <cellStyle name="Normal 3 2 4 4 2 2" xfId="29748"/>
    <cellStyle name="Normal 3 2 4 4 3" xfId="29749"/>
    <cellStyle name="Normal 3 2 4 5" xfId="19359"/>
    <cellStyle name="Normal 3 2 4 5 2" xfId="29750"/>
    <cellStyle name="Normal 3 2 4 6" xfId="29751"/>
    <cellStyle name="Normal 3 2 5" xfId="8717"/>
    <cellStyle name="Normal 3 2 5 2" xfId="8718"/>
    <cellStyle name="Normal 3 2 5 2 2" xfId="8719"/>
    <cellStyle name="Normal 3 2 5 2 3" xfId="8720"/>
    <cellStyle name="Normal 3 2 5 2 3 2" xfId="19360"/>
    <cellStyle name="Normal 3 2 5 2 3 2 2" xfId="29752"/>
    <cellStyle name="Normal 3 2 5 2 3 3" xfId="29753"/>
    <cellStyle name="Normal 3 2 5 2 4" xfId="19361"/>
    <cellStyle name="Normal 3 2 5 2 4 2" xfId="29754"/>
    <cellStyle name="Normal 3 2 5 2 5" xfId="29755"/>
    <cellStyle name="Normal 3 2 5 3" xfId="8721"/>
    <cellStyle name="Normal 3 2 5 4" xfId="8722"/>
    <cellStyle name="Normal 3 2 5 4 2" xfId="19362"/>
    <cellStyle name="Normal 3 2 5 4 2 2" xfId="29756"/>
    <cellStyle name="Normal 3 2 5 4 3" xfId="29757"/>
    <cellStyle name="Normal 3 2 5 5" xfId="19363"/>
    <cellStyle name="Normal 3 2 5 5 2" xfId="29758"/>
    <cellStyle name="Normal 3 2 5 6" xfId="29759"/>
    <cellStyle name="Normal 3 2 6" xfId="8723"/>
    <cellStyle name="Normal 3 2 6 2" xfId="8724"/>
    <cellStyle name="Normal 3 2 6 2 2" xfId="8725"/>
    <cellStyle name="Normal 3 2 6 2 3" xfId="8726"/>
    <cellStyle name="Normal 3 2 6 2 3 2" xfId="19364"/>
    <cellStyle name="Normal 3 2 6 2 3 2 2" xfId="29760"/>
    <cellStyle name="Normal 3 2 6 2 3 3" xfId="29761"/>
    <cellStyle name="Normal 3 2 6 2 4" xfId="19365"/>
    <cellStyle name="Normal 3 2 6 2 4 2" xfId="29762"/>
    <cellStyle name="Normal 3 2 6 2 5" xfId="29763"/>
    <cellStyle name="Normal 3 2 6 3" xfId="8727"/>
    <cellStyle name="Normal 3 2 6 4" xfId="8728"/>
    <cellStyle name="Normal 3 2 6 4 2" xfId="19366"/>
    <cellStyle name="Normal 3 2 6 4 2 2" xfId="29764"/>
    <cellStyle name="Normal 3 2 6 4 3" xfId="29765"/>
    <cellStyle name="Normal 3 2 6 5" xfId="19367"/>
    <cellStyle name="Normal 3 2 6 5 2" xfId="29766"/>
    <cellStyle name="Normal 3 2 6 6" xfId="29767"/>
    <cellStyle name="Normal 3 2 7" xfId="8729"/>
    <cellStyle name="Normal 3 2 7 2" xfId="8730"/>
    <cellStyle name="Normal 3 2 7 2 2" xfId="8731"/>
    <cellStyle name="Normal 3 2 7 2 3" xfId="8732"/>
    <cellStyle name="Normal 3 2 7 2 3 2" xfId="19368"/>
    <cellStyle name="Normal 3 2 7 2 3 2 2" xfId="29768"/>
    <cellStyle name="Normal 3 2 7 2 3 3" xfId="29769"/>
    <cellStyle name="Normal 3 2 7 2 4" xfId="19369"/>
    <cellStyle name="Normal 3 2 7 2 4 2" xfId="29770"/>
    <cellStyle name="Normal 3 2 7 2 5" xfId="29771"/>
    <cellStyle name="Normal 3 2 7 3" xfId="8733"/>
    <cellStyle name="Normal 3 2 7 4" xfId="8734"/>
    <cellStyle name="Normal 3 2 7 4 2" xfId="19370"/>
    <cellStyle name="Normal 3 2 7 4 2 2" xfId="29772"/>
    <cellStyle name="Normal 3 2 7 4 3" xfId="29773"/>
    <cellStyle name="Normal 3 2 7 5" xfId="19371"/>
    <cellStyle name="Normal 3 2 7 5 2" xfId="29774"/>
    <cellStyle name="Normal 3 2 7 6" xfId="29775"/>
    <cellStyle name="Normal 3 2 8" xfId="8735"/>
    <cellStyle name="Normal 3 2 8 2" xfId="8736"/>
    <cellStyle name="Normal 3 2 8 2 2" xfId="8737"/>
    <cellStyle name="Normal 3 2 8 2 3" xfId="8738"/>
    <cellStyle name="Normal 3 2 8 2 3 2" xfId="19372"/>
    <cellStyle name="Normal 3 2 8 2 3 2 2" xfId="29776"/>
    <cellStyle name="Normal 3 2 8 2 3 3" xfId="29777"/>
    <cellStyle name="Normal 3 2 8 2 4" xfId="19373"/>
    <cellStyle name="Normal 3 2 8 2 4 2" xfId="29778"/>
    <cellStyle name="Normal 3 2 8 2 5" xfId="29779"/>
    <cellStyle name="Normal 3 2 8 3" xfId="8739"/>
    <cellStyle name="Normal 3 2 8 4" xfId="8740"/>
    <cellStyle name="Normal 3 2 8 4 2" xfId="19374"/>
    <cellStyle name="Normal 3 2 8 4 2 2" xfId="29780"/>
    <cellStyle name="Normal 3 2 8 4 3" xfId="29781"/>
    <cellStyle name="Normal 3 2 8 5" xfId="19375"/>
    <cellStyle name="Normal 3 2 8 5 2" xfId="29782"/>
    <cellStyle name="Normal 3 2 8 6" xfId="29783"/>
    <cellStyle name="Normal 3 2 9" xfId="8741"/>
    <cellStyle name="Normal 3 2 9 2" xfId="8742"/>
    <cellStyle name="Normal 3 2 9 2 2" xfId="8743"/>
    <cellStyle name="Normal 3 2 9 2 3" xfId="8744"/>
    <cellStyle name="Normal 3 2 9 2 3 2" xfId="19376"/>
    <cellStyle name="Normal 3 2 9 2 3 2 2" xfId="29784"/>
    <cellStyle name="Normal 3 2 9 2 3 3" xfId="29785"/>
    <cellStyle name="Normal 3 2 9 2 4" xfId="19377"/>
    <cellStyle name="Normal 3 2 9 2 4 2" xfId="29786"/>
    <cellStyle name="Normal 3 2 9 2 5" xfId="29787"/>
    <cellStyle name="Normal 3 2 9 3" xfId="8745"/>
    <cellStyle name="Normal 3 2 9 4" xfId="8746"/>
    <cellStyle name="Normal 3 2 9 4 2" xfId="19378"/>
    <cellStyle name="Normal 3 2 9 4 2 2" xfId="29788"/>
    <cellStyle name="Normal 3 2 9 4 3" xfId="29789"/>
    <cellStyle name="Normal 3 2 9 5" xfId="19379"/>
    <cellStyle name="Normal 3 2 9 5 2" xfId="29790"/>
    <cellStyle name="Normal 3 2 9 6" xfId="29791"/>
    <cellStyle name="Normal 3 20" xfId="8747"/>
    <cellStyle name="Normal 3 20 2" xfId="8748"/>
    <cellStyle name="Normal 3 20 2 2" xfId="8749"/>
    <cellStyle name="Normal 3 20 3" xfId="8750"/>
    <cellStyle name="Normal 3 20 3 2" xfId="8751"/>
    <cellStyle name="Normal 3 20 4" xfId="8752"/>
    <cellStyle name="Normal 3 20 5" xfId="19380"/>
    <cellStyle name="Normal 3 21" xfId="8753"/>
    <cellStyle name="Normal 3 21 2" xfId="8754"/>
    <cellStyle name="Normal 3 21 3" xfId="19381"/>
    <cellStyle name="Normal 3 22" xfId="8755"/>
    <cellStyle name="Normal 3 22 2" xfId="8756"/>
    <cellStyle name="Normal 3 23" xfId="8757"/>
    <cellStyle name="Normal 3 23 2" xfId="19382"/>
    <cellStyle name="Normal 3 24" xfId="8758"/>
    <cellStyle name="Normal 3 24 2" xfId="19383"/>
    <cellStyle name="Normal 3 25" xfId="8759"/>
    <cellStyle name="Normal 3 25 2" xfId="19384"/>
    <cellStyle name="Normal 3 26" xfId="8760"/>
    <cellStyle name="Normal 3 26 2" xfId="19385"/>
    <cellStyle name="Normal 3 27" xfId="8761"/>
    <cellStyle name="Normal 3 27 2" xfId="19386"/>
    <cellStyle name="Normal 3 28" xfId="8762"/>
    <cellStyle name="Normal 3 28 2" xfId="19387"/>
    <cellStyle name="Normal 3 29" xfId="8763"/>
    <cellStyle name="Normal 3 29 2" xfId="19388"/>
    <cellStyle name="Normal 3 3" xfId="8764"/>
    <cellStyle name="Normal 3 3 10" xfId="19389"/>
    <cellStyle name="Normal 3 3 10 2" xfId="29792"/>
    <cellStyle name="Normal 3 3 2" xfId="8765"/>
    <cellStyle name="Normal 3 3 2 2" xfId="8766"/>
    <cellStyle name="Normal 3 3 2 2 10" xfId="29793"/>
    <cellStyle name="Normal 3 3 2 2 2" xfId="8767"/>
    <cellStyle name="Normal 3 3 2 2 2 2" xfId="8768"/>
    <cellStyle name="Normal 3 3 2 2 2 2 2" xfId="8769"/>
    <cellStyle name="Normal 3 3 2 2 2 3" xfId="8770"/>
    <cellStyle name="Normal 3 3 2 2 3" xfId="8771"/>
    <cellStyle name="Normal 3 3 2 2 3 2" xfId="8772"/>
    <cellStyle name="Normal 3 3 2 2 4" xfId="8773"/>
    <cellStyle name="Normal 3 3 2 2 4 2" xfId="8774"/>
    <cellStyle name="Normal 3 3 2 2 5" xfId="8775"/>
    <cellStyle name="Normal 3 3 2 2 5 2" xfId="8776"/>
    <cellStyle name="Normal 3 3 2 2 6" xfId="8777"/>
    <cellStyle name="Normal 3 3 2 2 6 2" xfId="8778"/>
    <cellStyle name="Normal 3 3 2 2 6 3" xfId="8779"/>
    <cellStyle name="Normal 3 3 2 2 6 3 2" xfId="19390"/>
    <cellStyle name="Normal 3 3 2 2 6 3 2 2" xfId="29794"/>
    <cellStyle name="Normal 3 3 2 2 6 3 3" xfId="29795"/>
    <cellStyle name="Normal 3 3 2 2 6 4" xfId="19391"/>
    <cellStyle name="Normal 3 3 2 2 6 4 2" xfId="29796"/>
    <cellStyle name="Normal 3 3 2 2 6 5" xfId="29797"/>
    <cellStyle name="Normal 3 3 2 2 7" xfId="8780"/>
    <cellStyle name="Normal 3 3 2 2 8" xfId="8781"/>
    <cellStyle name="Normal 3 3 2 2 8 2" xfId="19392"/>
    <cellStyle name="Normal 3 3 2 2 8 2 2" xfId="29798"/>
    <cellStyle name="Normal 3 3 2 2 8 3" xfId="29799"/>
    <cellStyle name="Normal 3 3 2 2 9" xfId="19393"/>
    <cellStyle name="Normal 3 3 2 2 9 2" xfId="29800"/>
    <cellStyle name="Normal 3 3 2 3" xfId="8782"/>
    <cellStyle name="Normal 3 3 2 3 2" xfId="8783"/>
    <cellStyle name="Normal 3 3 2 3 2 2" xfId="8784"/>
    <cellStyle name="Normal 3 3 2 3 2 3" xfId="8785"/>
    <cellStyle name="Normal 3 3 2 3 2 3 2" xfId="19394"/>
    <cellStyle name="Normal 3 3 2 3 2 3 2 2" xfId="29801"/>
    <cellStyle name="Normal 3 3 2 3 2 3 3" xfId="29802"/>
    <cellStyle name="Normal 3 3 2 3 2 4" xfId="19395"/>
    <cellStyle name="Normal 3 3 2 3 2 4 2" xfId="29803"/>
    <cellStyle name="Normal 3 3 2 3 2 5" xfId="29804"/>
    <cellStyle name="Normal 3 3 2 3 3" xfId="8786"/>
    <cellStyle name="Normal 3 3 2 3 4" xfId="8787"/>
    <cellStyle name="Normal 3 3 2 3 4 2" xfId="19396"/>
    <cellStyle name="Normal 3 3 2 3 4 2 2" xfId="29805"/>
    <cellStyle name="Normal 3 3 2 3 4 3" xfId="29806"/>
    <cellStyle name="Normal 3 3 2 3 5" xfId="19397"/>
    <cellStyle name="Normal 3 3 2 3 5 2" xfId="29807"/>
    <cellStyle name="Normal 3 3 2 3 6" xfId="29808"/>
    <cellStyle name="Normal 3 3 2 4" xfId="8788"/>
    <cellStyle name="Normal 3 3 2 4 2" xfId="8789"/>
    <cellStyle name="Normal 3 3 2 4 2 2" xfId="8790"/>
    <cellStyle name="Normal 3 3 2 4 2 3" xfId="8791"/>
    <cellStyle name="Normal 3 3 2 4 2 3 2" xfId="19398"/>
    <cellStyle name="Normal 3 3 2 4 2 3 2 2" xfId="29809"/>
    <cellStyle name="Normal 3 3 2 4 2 3 3" xfId="29810"/>
    <cellStyle name="Normal 3 3 2 4 2 4" xfId="19399"/>
    <cellStyle name="Normal 3 3 2 4 2 4 2" xfId="29811"/>
    <cellStyle name="Normal 3 3 2 4 2 5" xfId="29812"/>
    <cellStyle name="Normal 3 3 2 4 3" xfId="8792"/>
    <cellStyle name="Normal 3 3 2 4 4" xfId="8793"/>
    <cellStyle name="Normal 3 3 2 4 4 2" xfId="19400"/>
    <cellStyle name="Normal 3 3 2 4 4 2 2" xfId="29813"/>
    <cellStyle name="Normal 3 3 2 4 4 3" xfId="29814"/>
    <cellStyle name="Normal 3 3 2 4 5" xfId="19401"/>
    <cellStyle name="Normal 3 3 2 4 5 2" xfId="29815"/>
    <cellStyle name="Normal 3 3 2 4 6" xfId="29816"/>
    <cellStyle name="Normal 3 3 2 5" xfId="8794"/>
    <cellStyle name="Normal 3 3 2 5 2" xfId="8795"/>
    <cellStyle name="Normal 3 3 2 5 2 2" xfId="8796"/>
    <cellStyle name="Normal 3 3 2 5 2 3" xfId="8797"/>
    <cellStyle name="Normal 3 3 2 5 2 3 2" xfId="19402"/>
    <cellStyle name="Normal 3 3 2 5 2 3 2 2" xfId="29817"/>
    <cellStyle name="Normal 3 3 2 5 2 3 3" xfId="29818"/>
    <cellStyle name="Normal 3 3 2 5 2 4" xfId="19403"/>
    <cellStyle name="Normal 3 3 2 5 2 4 2" xfId="29819"/>
    <cellStyle name="Normal 3 3 2 5 2 5" xfId="29820"/>
    <cellStyle name="Normal 3 3 2 5 3" xfId="8798"/>
    <cellStyle name="Normal 3 3 2 5 4" xfId="8799"/>
    <cellStyle name="Normal 3 3 2 5 4 2" xfId="19404"/>
    <cellStyle name="Normal 3 3 2 5 4 2 2" xfId="29821"/>
    <cellStyle name="Normal 3 3 2 5 4 3" xfId="29822"/>
    <cellStyle name="Normal 3 3 2 5 5" xfId="19405"/>
    <cellStyle name="Normal 3 3 2 5 5 2" xfId="29823"/>
    <cellStyle name="Normal 3 3 2 5 6" xfId="29824"/>
    <cellStyle name="Normal 3 3 2 6" xfId="8800"/>
    <cellStyle name="Normal 3 3 2 6 2" xfId="8801"/>
    <cellStyle name="Normal 3 3 2 7" xfId="8802"/>
    <cellStyle name="Normal 3 3 3" xfId="8803"/>
    <cellStyle name="Normal 3 3 3 2" xfId="8804"/>
    <cellStyle name="Normal 3 3 3 2 2" xfId="8805"/>
    <cellStyle name="Normal 3 3 3 3" xfId="8806"/>
    <cellStyle name="Normal 3 3 3 3 2" xfId="8807"/>
    <cellStyle name="Normal 3 3 3 3 3" xfId="8808"/>
    <cellStyle name="Normal 3 3 3 3 3 2" xfId="19406"/>
    <cellStyle name="Normal 3 3 3 3 3 2 2" xfId="29825"/>
    <cellStyle name="Normal 3 3 3 3 3 3" xfId="29826"/>
    <cellStyle name="Normal 3 3 3 3 4" xfId="19407"/>
    <cellStyle name="Normal 3 3 3 3 4 2" xfId="29827"/>
    <cellStyle name="Normal 3 3 3 3 5" xfId="29828"/>
    <cellStyle name="Normal 3 3 3 4" xfId="8809"/>
    <cellStyle name="Normal 3 3 3 4 2" xfId="8810"/>
    <cellStyle name="Normal 3 3 3 4 3" xfId="8811"/>
    <cellStyle name="Normal 3 3 3 4 3 2" xfId="19408"/>
    <cellStyle name="Normal 3 3 3 4 3 2 2" xfId="29829"/>
    <cellStyle name="Normal 3 3 3 4 3 3" xfId="29830"/>
    <cellStyle name="Normal 3 3 3 4 4" xfId="19409"/>
    <cellStyle name="Normal 3 3 3 4 4 2" xfId="29831"/>
    <cellStyle name="Normal 3 3 3 4 5" xfId="29832"/>
    <cellStyle name="Normal 3 3 3 5" xfId="8812"/>
    <cellStyle name="Normal 3 3 4" xfId="8813"/>
    <cellStyle name="Normal 3 3 4 2" xfId="8814"/>
    <cellStyle name="Normal 3 3 4 2 2" xfId="8815"/>
    <cellStyle name="Normal 3 3 4 3" xfId="8816"/>
    <cellStyle name="Normal 3 3 5" xfId="8817"/>
    <cellStyle name="Normal 3 3 5 2" xfId="8818"/>
    <cellStyle name="Normal 3 3 6" xfId="8819"/>
    <cellStyle name="Normal 3 3 6 2" xfId="8820"/>
    <cellStyle name="Normal 3 3 7" xfId="8821"/>
    <cellStyle name="Normal 3 3 7 2" xfId="8822"/>
    <cellStyle name="Normal 3 3 8" xfId="8823"/>
    <cellStyle name="Normal 3 3 9" xfId="8824"/>
    <cellStyle name="Normal 3 30" xfId="8825"/>
    <cellStyle name="Normal 3 30 2" xfId="19410"/>
    <cellStyle name="Normal 3 31" xfId="8826"/>
    <cellStyle name="Normal 3 31 2" xfId="19411"/>
    <cellStyle name="Normal 3 32" xfId="8827"/>
    <cellStyle name="Normal 3 32 2" xfId="19412"/>
    <cellStyle name="Normal 3 33" xfId="8828"/>
    <cellStyle name="Normal 3 33 2" xfId="19413"/>
    <cellStyle name="Normal 3 34" xfId="8829"/>
    <cellStyle name="Normal 3 34 2" xfId="19414"/>
    <cellStyle name="Normal 3 35" xfId="8830"/>
    <cellStyle name="Normal 3 35 2" xfId="19415"/>
    <cellStyle name="Normal 3 36" xfId="8831"/>
    <cellStyle name="Normal 3 36 2" xfId="19416"/>
    <cellStyle name="Normal 3 37" xfId="8832"/>
    <cellStyle name="Normal 3 37 2" xfId="19417"/>
    <cellStyle name="Normal 3 38" xfId="8833"/>
    <cellStyle name="Normal 3 38 2" xfId="19418"/>
    <cellStyle name="Normal 3 39" xfId="8834"/>
    <cellStyle name="Normal 3 39 2" xfId="19419"/>
    <cellStyle name="Normal 3 4" xfId="8835"/>
    <cellStyle name="Normal 3 4 10" xfId="8836"/>
    <cellStyle name="Normal 3 4 10 2" xfId="19420"/>
    <cellStyle name="Normal 3 4 11" xfId="8837"/>
    <cellStyle name="Normal 3 4 11 2" xfId="19421"/>
    <cellStyle name="Normal 3 4 12" xfId="19422"/>
    <cellStyle name="Normal 3 4 2" xfId="8838"/>
    <cellStyle name="Normal 3 4 2 2" xfId="8839"/>
    <cellStyle name="Normal 3 4 3" xfId="8840"/>
    <cellStyle name="Normal 3 4 3 2" xfId="8841"/>
    <cellStyle name="Normal 3 4 3 2 2" xfId="8842"/>
    <cellStyle name="Normal 3 4 4" xfId="8843"/>
    <cellStyle name="Normal 3 4 4 2" xfId="19423"/>
    <cellStyle name="Normal 3 4 5" xfId="8844"/>
    <cellStyle name="Normal 3 4 5 2" xfId="19424"/>
    <cellStyle name="Normal 3 4 6" xfId="8845"/>
    <cellStyle name="Normal 3 4 6 2" xfId="19425"/>
    <cellStyle name="Normal 3 4 7" xfId="8846"/>
    <cellStyle name="Normal 3 4 7 2" xfId="19426"/>
    <cellStyle name="Normal 3 4 8" xfId="8847"/>
    <cellStyle name="Normal 3 4 8 2" xfId="19427"/>
    <cellStyle name="Normal 3 4 9" xfId="8848"/>
    <cellStyle name="Normal 3 4 9 2" xfId="19428"/>
    <cellStyle name="Normal 3 40" xfId="8849"/>
    <cellStyle name="Normal 3 40 2" xfId="19429"/>
    <cellStyle name="Normal 3 41" xfId="8850"/>
    <cellStyle name="Normal 3 41 2" xfId="19430"/>
    <cellStyle name="Normal 3 42" xfId="8851"/>
    <cellStyle name="Normal 3 42 2" xfId="19431"/>
    <cellStyle name="Normal 3 43" xfId="8852"/>
    <cellStyle name="Normal 3 43 2" xfId="8853"/>
    <cellStyle name="Normal 3 43 2 2" xfId="8854"/>
    <cellStyle name="Normal 3 43 2 3" xfId="8855"/>
    <cellStyle name="Normal 3 43 2 3 2" xfId="19432"/>
    <cellStyle name="Normal 3 43 2 3 2 2" xfId="29833"/>
    <cellStyle name="Normal 3 43 2 3 3" xfId="29834"/>
    <cellStyle name="Normal 3 43 2 4" xfId="19433"/>
    <cellStyle name="Normal 3 43 2 4 2" xfId="29835"/>
    <cellStyle name="Normal 3 43 2 5" xfId="29836"/>
    <cellStyle name="Normal 3 43 3" xfId="8856"/>
    <cellStyle name="Normal 3 43 4" xfId="8857"/>
    <cellStyle name="Normal 3 43 4 2" xfId="19434"/>
    <cellStyle name="Normal 3 43 4 2 2" xfId="29837"/>
    <cellStyle name="Normal 3 43 4 3" xfId="29838"/>
    <cellStyle name="Normal 3 43 5" xfId="19435"/>
    <cellStyle name="Normal 3 43 5 2" xfId="29839"/>
    <cellStyle name="Normal 3 43 6" xfId="29840"/>
    <cellStyle name="Normal 3 44" xfId="8858"/>
    <cellStyle name="Normal 3 44 2" xfId="8859"/>
    <cellStyle name="Normal 3 44 2 2" xfId="8860"/>
    <cellStyle name="Normal 3 44 2 3" xfId="8861"/>
    <cellStyle name="Normal 3 44 2 3 2" xfId="19436"/>
    <cellStyle name="Normal 3 44 2 3 2 2" xfId="29841"/>
    <cellStyle name="Normal 3 44 2 3 3" xfId="29842"/>
    <cellStyle name="Normal 3 44 2 4" xfId="19437"/>
    <cellStyle name="Normal 3 44 2 4 2" xfId="29843"/>
    <cellStyle name="Normal 3 44 2 5" xfId="29844"/>
    <cellStyle name="Normal 3 44 3" xfId="8862"/>
    <cellStyle name="Normal 3 44 4" xfId="8863"/>
    <cellStyle name="Normal 3 44 4 2" xfId="19438"/>
    <cellStyle name="Normal 3 44 4 2 2" xfId="29845"/>
    <cellStyle name="Normal 3 44 4 3" xfId="29846"/>
    <cellStyle name="Normal 3 44 5" xfId="19439"/>
    <cellStyle name="Normal 3 44 5 2" xfId="29847"/>
    <cellStyle name="Normal 3 44 6" xfId="29848"/>
    <cellStyle name="Normal 3 45" xfId="8864"/>
    <cellStyle name="Normal 3 45 2" xfId="19440"/>
    <cellStyle name="Normal 3 46" xfId="8865"/>
    <cellStyle name="Normal 3 46 2" xfId="19441"/>
    <cellStyle name="Normal 3 47" xfId="8866"/>
    <cellStyle name="Normal 3 47 2" xfId="19442"/>
    <cellStyle name="Normal 3 48" xfId="8867"/>
    <cellStyle name="Normal 3 48 2" xfId="19443"/>
    <cellStyle name="Normal 3 49" xfId="8868"/>
    <cellStyle name="Normal 3 49 2" xfId="19444"/>
    <cellStyle name="Normal 3 5" xfId="8869"/>
    <cellStyle name="Normal 3 5 10" xfId="8870"/>
    <cellStyle name="Normal 3 5 10 2" xfId="8871"/>
    <cellStyle name="Normal 3 5 11" xfId="8872"/>
    <cellStyle name="Normal 3 5 11 2" xfId="8873"/>
    <cellStyle name="Normal 3 5 12" xfId="8874"/>
    <cellStyle name="Normal 3 5 12 2" xfId="8875"/>
    <cellStyle name="Normal 3 5 13" xfId="8876"/>
    <cellStyle name="Normal 3 5 13 2" xfId="8877"/>
    <cellStyle name="Normal 3 5 14" xfId="8878"/>
    <cellStyle name="Normal 3 5 14 2" xfId="8879"/>
    <cellStyle name="Normal 3 5 15" xfId="8880"/>
    <cellStyle name="Normal 3 5 15 2" xfId="8881"/>
    <cellStyle name="Normal 3 5 16" xfId="8882"/>
    <cellStyle name="Normal 3 5 16 2" xfId="8883"/>
    <cellStyle name="Normal 3 5 17" xfId="8884"/>
    <cellStyle name="Normal 3 5 17 2" xfId="8885"/>
    <cellStyle name="Normal 3 5 18" xfId="8886"/>
    <cellStyle name="Normal 3 5 2" xfId="8887"/>
    <cellStyle name="Normal 3 5 2 2" xfId="8888"/>
    <cellStyle name="Normal 3 5 2 2 2" xfId="8889"/>
    <cellStyle name="Normal 3 5 2 2 2 2" xfId="8890"/>
    <cellStyle name="Normal 3 5 2 2 2 2 2" xfId="8891"/>
    <cellStyle name="Normal 3 5 2 2 2 3" xfId="8892"/>
    <cellStyle name="Normal 3 5 2 2 3" xfId="8893"/>
    <cellStyle name="Normal 3 5 2 2 3 2" xfId="8894"/>
    <cellStyle name="Normal 3 5 2 2 4" xfId="8895"/>
    <cellStyle name="Normal 3 5 2 2 4 2" xfId="8896"/>
    <cellStyle name="Normal 3 5 2 2 5" xfId="8897"/>
    <cellStyle name="Normal 3 5 2 2 5 2" xfId="8898"/>
    <cellStyle name="Normal 3 5 2 2 6" xfId="8899"/>
    <cellStyle name="Normal 3 5 2 3" xfId="8900"/>
    <cellStyle name="Normal 3 5 2 3 2" xfId="8901"/>
    <cellStyle name="Normal 3 5 2 4" xfId="8902"/>
    <cellStyle name="Normal 3 5 2 4 2" xfId="8903"/>
    <cellStyle name="Normal 3 5 2 5" xfId="8904"/>
    <cellStyle name="Normal 3 5 2 5 2" xfId="8905"/>
    <cellStyle name="Normal 3 5 2 6" xfId="8906"/>
    <cellStyle name="Normal 3 5 3" xfId="8907"/>
    <cellStyle name="Normal 3 5 3 2" xfId="8908"/>
    <cellStyle name="Normal 3 5 3 2 2" xfId="8909"/>
    <cellStyle name="Normal 3 5 3 3" xfId="8910"/>
    <cellStyle name="Normal 3 5 3 3 2" xfId="8911"/>
    <cellStyle name="Normal 3 5 3 4" xfId="8912"/>
    <cellStyle name="Normal 3 5 4" xfId="8913"/>
    <cellStyle name="Normal 3 5 4 2" xfId="8914"/>
    <cellStyle name="Normal 3 5 4 2 2" xfId="8915"/>
    <cellStyle name="Normal 3 5 4 3" xfId="8916"/>
    <cellStyle name="Normal 3 5 5" xfId="8917"/>
    <cellStyle name="Normal 3 5 5 2" xfId="8918"/>
    <cellStyle name="Normal 3 5 6" xfId="8919"/>
    <cellStyle name="Normal 3 5 6 2" xfId="8920"/>
    <cellStyle name="Normal 3 5 7" xfId="8921"/>
    <cellStyle name="Normal 3 5 7 2" xfId="8922"/>
    <cellStyle name="Normal 3 5 8" xfId="8923"/>
    <cellStyle name="Normal 3 5 8 2" xfId="8924"/>
    <cellStyle name="Normal 3 5 9" xfId="8925"/>
    <cellStyle name="Normal 3 5 9 2" xfId="8926"/>
    <cellStyle name="Normal 3 50" xfId="8927"/>
    <cellStyle name="Normal 3 50 2" xfId="8928"/>
    <cellStyle name="Normal 3 51" xfId="8929"/>
    <cellStyle name="Normal 3 51 2" xfId="19445"/>
    <cellStyle name="Normal 3 52" xfId="8930"/>
    <cellStyle name="Normal 3 52 2" xfId="8931"/>
    <cellStyle name="Normal 3 53" xfId="8932"/>
    <cellStyle name="Normal 3 53 2" xfId="8933"/>
    <cellStyle name="Normal 3 54" xfId="8934"/>
    <cellStyle name="Normal 3 54 2" xfId="8935"/>
    <cellStyle name="Normal 3 55" xfId="8936"/>
    <cellStyle name="Normal 3 55 2" xfId="8937"/>
    <cellStyle name="Normal 3 56" xfId="8938"/>
    <cellStyle name="Normal 3 56 2" xfId="8939"/>
    <cellStyle name="Normal 3 57" xfId="8940"/>
    <cellStyle name="Normal 3 57 2" xfId="8941"/>
    <cellStyle name="Normal 3 58" xfId="8942"/>
    <cellStyle name="Normal 3 58 2" xfId="19446"/>
    <cellStyle name="Normal 3 59" xfId="8943"/>
    <cellStyle name="Normal 3 59 2" xfId="19447"/>
    <cellStyle name="Normal 3 6" xfId="8944"/>
    <cellStyle name="Normal 3 6 2" xfId="8945"/>
    <cellStyle name="Normal 3 6 2 2" xfId="8946"/>
    <cellStyle name="Normal 3 6 3" xfId="8947"/>
    <cellStyle name="Normal 3 6 3 2" xfId="8948"/>
    <cellStyle name="Normal 3 6 4" xfId="8949"/>
    <cellStyle name="Normal 3 6 4 2" xfId="8950"/>
    <cellStyle name="Normal 3 6 5" xfId="8951"/>
    <cellStyle name="Normal 3 60" xfId="8952"/>
    <cellStyle name="Normal 3 60 2" xfId="19448"/>
    <cellStyle name="Normal 3 61" xfId="8953"/>
    <cellStyle name="Normal 3 61 2" xfId="19449"/>
    <cellStyle name="Normal 3 62" xfId="8954"/>
    <cellStyle name="Normal 3 62 2" xfId="19450"/>
    <cellStyle name="Normal 3 63" xfId="8955"/>
    <cellStyle name="Normal 3 63 2" xfId="19451"/>
    <cellStyle name="Normal 3 64" xfId="8956"/>
    <cellStyle name="Normal 3 64 2" xfId="19452"/>
    <cellStyle name="Normal 3 65" xfId="8957"/>
    <cellStyle name="Normal 3 65 2" xfId="19453"/>
    <cellStyle name="Normal 3 66" xfId="8958"/>
    <cellStyle name="Normal 3 66 2" xfId="19454"/>
    <cellStyle name="Normal 3 67" xfId="8959"/>
    <cellStyle name="Normal 3 67 2" xfId="19455"/>
    <cellStyle name="Normal 3 68" xfId="8960"/>
    <cellStyle name="Normal 3 68 2" xfId="19456"/>
    <cellStyle name="Normal 3 69" xfId="8961"/>
    <cellStyle name="Normal 3 69 2" xfId="19457"/>
    <cellStyle name="Normal 3 7" xfId="8962"/>
    <cellStyle name="Normal 3 7 2" xfId="8963"/>
    <cellStyle name="Normal 3 70" xfId="8964"/>
    <cellStyle name="Normal 3 70 2" xfId="19458"/>
    <cellStyle name="Normal 3 71" xfId="8965"/>
    <cellStyle name="Normal 3 71 2" xfId="8966"/>
    <cellStyle name="Normal 3 72" xfId="8967"/>
    <cellStyle name="Normal 3 72 2" xfId="8968"/>
    <cellStyle name="Normal 3 73" xfId="8969"/>
    <cellStyle name="Normal 3 73 2" xfId="8970"/>
    <cellStyle name="Normal 3 74" xfId="8971"/>
    <cellStyle name="Normal 3 74 2" xfId="8972"/>
    <cellStyle name="Normal 3 75" xfId="8973"/>
    <cellStyle name="Normal 3 75 2" xfId="19459"/>
    <cellStyle name="Normal 3 76" xfId="8974"/>
    <cellStyle name="Normal 3 76 2" xfId="19460"/>
    <cellStyle name="Normal 3 77" xfId="8975"/>
    <cellStyle name="Normal 3 77 2" xfId="19461"/>
    <cellStyle name="Normal 3 78" xfId="8976"/>
    <cellStyle name="Normal 3 78 2" xfId="19462"/>
    <cellStyle name="Normal 3 79" xfId="8977"/>
    <cellStyle name="Normal 3 79 2" xfId="19463"/>
    <cellStyle name="Normal 3 8" xfId="8978"/>
    <cellStyle name="Normal 3 8 2" xfId="8979"/>
    <cellStyle name="Normal 3 8 2 2" xfId="8980"/>
    <cellStyle name="Normal 3 8 3" xfId="8981"/>
    <cellStyle name="Normal 3 8 3 2" xfId="8982"/>
    <cellStyle name="Normal 3 8 4" xfId="8983"/>
    <cellStyle name="Normal 3 8 4 2" xfId="8984"/>
    <cellStyle name="Normal 3 8 5" xfId="8985"/>
    <cellStyle name="Normal 3 80" xfId="8986"/>
    <cellStyle name="Normal 3 80 2" xfId="19464"/>
    <cellStyle name="Normal 3 81" xfId="8987"/>
    <cellStyle name="Normal 3 81 2" xfId="19465"/>
    <cellStyle name="Normal 3 82" xfId="8988"/>
    <cellStyle name="Normal 3 82 2" xfId="19466"/>
    <cellStyle name="Normal 3 83" xfId="8989"/>
    <cellStyle name="Normal 3 83 2" xfId="19467"/>
    <cellStyle name="Normal 3 84" xfId="8990"/>
    <cellStyle name="Normal 3 84 2" xfId="19468"/>
    <cellStyle name="Normal 3 85" xfId="8991"/>
    <cellStyle name="Normal 3 85 2" xfId="19469"/>
    <cellStyle name="Normal 3 86" xfId="8992"/>
    <cellStyle name="Normal 3 86 2" xfId="19470"/>
    <cellStyle name="Normal 3 87" xfId="8993"/>
    <cellStyle name="Normal 3 87 2" xfId="19471"/>
    <cellStyle name="Normal 3 88" xfId="8994"/>
    <cellStyle name="Normal 3 88 2" xfId="19472"/>
    <cellStyle name="Normal 3 89" xfId="8995"/>
    <cellStyle name="Normal 3 89 2" xfId="19473"/>
    <cellStyle name="Normal 3 9" xfId="8996"/>
    <cellStyle name="Normal 3 9 2" xfId="8997"/>
    <cellStyle name="Normal 3 9 2 2" xfId="8998"/>
    <cellStyle name="Normal 3 9 3" xfId="8999"/>
    <cellStyle name="Normal 3 9 3 2" xfId="9000"/>
    <cellStyle name="Normal 3 9 4" xfId="9001"/>
    <cellStyle name="Normal 3 9 4 2" xfId="9002"/>
    <cellStyle name="Normal 3 9 5" xfId="9003"/>
    <cellStyle name="Normal 3 90" xfId="9004"/>
    <cellStyle name="Normal 3 90 2" xfId="19474"/>
    <cellStyle name="Normal 3 91" xfId="9005"/>
    <cellStyle name="Normal 3 91 2" xfId="19475"/>
    <cellStyle name="Normal 3 92" xfId="9006"/>
    <cellStyle name="Normal 3 92 2" xfId="19476"/>
    <cellStyle name="Normal 3 93" xfId="9007"/>
    <cellStyle name="Normal 3 93 2" xfId="19477"/>
    <cellStyle name="Normal 3 94" xfId="9008"/>
    <cellStyle name="Normal 3 94 2" xfId="19478"/>
    <cellStyle name="Normal 3 95" xfId="9009"/>
    <cellStyle name="Normal 3 95 2" xfId="19479"/>
    <cellStyle name="Normal 3 96" xfId="9010"/>
    <cellStyle name="Normal 3 96 2" xfId="19480"/>
    <cellStyle name="Normal 3 97" xfId="9011"/>
    <cellStyle name="Normal 3 97 2" xfId="9012"/>
    <cellStyle name="Normal 3 98" xfId="9013"/>
    <cellStyle name="Normal 3 98 2" xfId="9014"/>
    <cellStyle name="Normal 3 99" xfId="9015"/>
    <cellStyle name="Normal 3 99 2" xfId="19481"/>
    <cellStyle name="Normal 30" xfId="9016"/>
    <cellStyle name="Normal 30 2" xfId="9017"/>
    <cellStyle name="Normal 30 2 2" xfId="9018"/>
    <cellStyle name="Normal 30 2 2 2" xfId="19482"/>
    <cellStyle name="Normal 30 2 2 2 2" xfId="29849"/>
    <cellStyle name="Normal 30 2 2 3" xfId="29850"/>
    <cellStyle name="Normal 30 2 3" xfId="19483"/>
    <cellStyle name="Normal 30 2 3 2" xfId="29851"/>
    <cellStyle name="Normal 30 2 4" xfId="29852"/>
    <cellStyle name="Normal 30 3" xfId="9019"/>
    <cellStyle name="Normal 30 3 2" xfId="9020"/>
    <cellStyle name="Normal 30 3 2 2" xfId="19484"/>
    <cellStyle name="Normal 30 3 2 2 2" xfId="29853"/>
    <cellStyle name="Normal 30 3 2 3" xfId="29854"/>
    <cellStyle name="Normal 30 3 3" xfId="19485"/>
    <cellStyle name="Normal 30 3 3 2" xfId="29855"/>
    <cellStyle name="Normal 30 3 4" xfId="29856"/>
    <cellStyle name="Normal 30 4" xfId="9021"/>
    <cellStyle name="Normal 30 4 2" xfId="9022"/>
    <cellStyle name="Normal 30 4 2 2" xfId="19486"/>
    <cellStyle name="Normal 30 4 2 2 2" xfId="29857"/>
    <cellStyle name="Normal 30 4 2 3" xfId="29858"/>
    <cellStyle name="Normal 30 4 3" xfId="19487"/>
    <cellStyle name="Normal 30 4 3 2" xfId="29859"/>
    <cellStyle name="Normal 30 4 4" xfId="29860"/>
    <cellStyle name="Normal 30 5" xfId="9023"/>
    <cellStyle name="Normal 30 5 2" xfId="9024"/>
    <cellStyle name="Normal 30 5 2 2" xfId="19488"/>
    <cellStyle name="Normal 30 5 2 2 2" xfId="29861"/>
    <cellStyle name="Normal 30 5 2 3" xfId="29862"/>
    <cellStyle name="Normal 30 5 3" xfId="19489"/>
    <cellStyle name="Normal 30 5 3 2" xfId="29863"/>
    <cellStyle name="Normal 30 5 4" xfId="29864"/>
    <cellStyle name="Normal 30 6" xfId="9025"/>
    <cellStyle name="Normal 30 6 2" xfId="9026"/>
    <cellStyle name="Normal 30 6 2 2" xfId="19490"/>
    <cellStyle name="Normal 30 6 2 2 2" xfId="29865"/>
    <cellStyle name="Normal 30 6 2 3" xfId="29866"/>
    <cellStyle name="Normal 30 6 3" xfId="19491"/>
    <cellStyle name="Normal 30 6 3 2" xfId="29867"/>
    <cellStyle name="Normal 30 6 4" xfId="29868"/>
    <cellStyle name="Normal 30 7" xfId="9027"/>
    <cellStyle name="Normal 30 7 2" xfId="9028"/>
    <cellStyle name="Normal 30 7 2 2" xfId="19492"/>
    <cellStyle name="Normal 30 7 2 2 2" xfId="29869"/>
    <cellStyle name="Normal 30 7 2 3" xfId="29870"/>
    <cellStyle name="Normal 30 7 3" xfId="19493"/>
    <cellStyle name="Normal 30 7 3 2" xfId="29871"/>
    <cellStyle name="Normal 30 7 4" xfId="29872"/>
    <cellStyle name="Normal 31" xfId="9029"/>
    <cellStyle name="Normal 31 2" xfId="9030"/>
    <cellStyle name="Normal 31 2 2" xfId="9031"/>
    <cellStyle name="Normal 31 3" xfId="9032"/>
    <cellStyle name="Normal 31 3 2" xfId="9033"/>
    <cellStyle name="Normal 31 3 3" xfId="9034"/>
    <cellStyle name="Normal 31 3 3 2" xfId="19494"/>
    <cellStyle name="Normal 31 3 3 2 2" xfId="29873"/>
    <cellStyle name="Normal 31 3 3 3" xfId="29874"/>
    <cellStyle name="Normal 31 3 4" xfId="19495"/>
    <cellStyle name="Normal 31 3 4 2" xfId="29875"/>
    <cellStyle name="Normal 31 3 5" xfId="29876"/>
    <cellStyle name="Normal 31 4" xfId="9035"/>
    <cellStyle name="Normal 31 4 2" xfId="9036"/>
    <cellStyle name="Normal 31 4 2 2" xfId="19496"/>
    <cellStyle name="Normal 31 4 2 2 2" xfId="29877"/>
    <cellStyle name="Normal 31 4 2 3" xfId="29878"/>
    <cellStyle name="Normal 31 4 3" xfId="19497"/>
    <cellStyle name="Normal 31 4 3 2" xfId="29879"/>
    <cellStyle name="Normal 31 4 4" xfId="29880"/>
    <cellStyle name="Normal 31 5" xfId="9037"/>
    <cellStyle name="Normal 31 5 2" xfId="9038"/>
    <cellStyle name="Normal 31 5 2 2" xfId="19498"/>
    <cellStyle name="Normal 31 5 2 2 2" xfId="29881"/>
    <cellStyle name="Normal 31 5 2 3" xfId="29882"/>
    <cellStyle name="Normal 31 5 3" xfId="19499"/>
    <cellStyle name="Normal 31 5 3 2" xfId="29883"/>
    <cellStyle name="Normal 31 5 4" xfId="29884"/>
    <cellStyle name="Normal 31 6" xfId="9039"/>
    <cellStyle name="Normal 31 6 2" xfId="9040"/>
    <cellStyle name="Normal 31 6 2 2" xfId="19500"/>
    <cellStyle name="Normal 31 6 2 2 2" xfId="29885"/>
    <cellStyle name="Normal 31 6 2 3" xfId="29886"/>
    <cellStyle name="Normal 31 6 3" xfId="19501"/>
    <cellStyle name="Normal 31 6 3 2" xfId="29887"/>
    <cellStyle name="Normal 31 6 4" xfId="29888"/>
    <cellStyle name="Normal 31 7" xfId="9041"/>
    <cellStyle name="Normal 31 7 2" xfId="9042"/>
    <cellStyle name="Normal 31 7 2 2" xfId="19502"/>
    <cellStyle name="Normal 31 7 2 2 2" xfId="29889"/>
    <cellStyle name="Normal 31 7 2 3" xfId="29890"/>
    <cellStyle name="Normal 31 7 3" xfId="19503"/>
    <cellStyle name="Normal 31 7 3 2" xfId="29891"/>
    <cellStyle name="Normal 31 7 4" xfId="29892"/>
    <cellStyle name="Normal 32" xfId="9043"/>
    <cellStyle name="Normal 32 2" xfId="9044"/>
    <cellStyle name="Normal 32 2 2" xfId="9045"/>
    <cellStyle name="Normal 32 2 3" xfId="9046"/>
    <cellStyle name="Normal 32 2 3 2" xfId="19504"/>
    <cellStyle name="Normal 32 2 3 2 2" xfId="29893"/>
    <cellStyle name="Normal 32 2 3 3" xfId="29894"/>
    <cellStyle name="Normal 32 2 4" xfId="19505"/>
    <cellStyle name="Normal 32 2 4 2" xfId="29895"/>
    <cellStyle name="Normal 32 2 5" xfId="29896"/>
    <cellStyle name="Normal 32 3" xfId="9047"/>
    <cellStyle name="Normal 32 3 2" xfId="9048"/>
    <cellStyle name="Normal 32 3 2 2" xfId="19506"/>
    <cellStyle name="Normal 32 3 2 2 2" xfId="29897"/>
    <cellStyle name="Normal 32 3 2 3" xfId="29898"/>
    <cellStyle name="Normal 32 3 3" xfId="19507"/>
    <cellStyle name="Normal 32 3 3 2" xfId="29899"/>
    <cellStyle name="Normal 32 3 4" xfId="29900"/>
    <cellStyle name="Normal 32 4" xfId="9049"/>
    <cellStyle name="Normal 32 4 2" xfId="9050"/>
    <cellStyle name="Normal 32 4 2 2" xfId="19508"/>
    <cellStyle name="Normal 32 4 2 2 2" xfId="29901"/>
    <cellStyle name="Normal 32 4 2 3" xfId="29902"/>
    <cellStyle name="Normal 32 4 3" xfId="19509"/>
    <cellStyle name="Normal 32 4 3 2" xfId="29903"/>
    <cellStyle name="Normal 32 4 4" xfId="29904"/>
    <cellStyle name="Normal 32 5" xfId="9051"/>
    <cellStyle name="Normal 32 5 2" xfId="9052"/>
    <cellStyle name="Normal 32 5 2 2" xfId="19510"/>
    <cellStyle name="Normal 32 5 2 2 2" xfId="29905"/>
    <cellStyle name="Normal 32 5 2 3" xfId="29906"/>
    <cellStyle name="Normal 32 5 3" xfId="19511"/>
    <cellStyle name="Normal 32 5 3 2" xfId="29907"/>
    <cellStyle name="Normal 32 5 4" xfId="29908"/>
    <cellStyle name="Normal 32 6" xfId="9053"/>
    <cellStyle name="Normal 32 6 2" xfId="9054"/>
    <cellStyle name="Normal 32 6 2 2" xfId="19512"/>
    <cellStyle name="Normal 32 6 2 2 2" xfId="29909"/>
    <cellStyle name="Normal 32 6 2 3" xfId="29910"/>
    <cellStyle name="Normal 32 6 3" xfId="19513"/>
    <cellStyle name="Normal 32 6 3 2" xfId="29911"/>
    <cellStyle name="Normal 32 6 4" xfId="29912"/>
    <cellStyle name="Normal 32 7" xfId="9055"/>
    <cellStyle name="Normal 32 7 2" xfId="9056"/>
    <cellStyle name="Normal 32 7 2 2" xfId="19514"/>
    <cellStyle name="Normal 32 7 2 2 2" xfId="29913"/>
    <cellStyle name="Normal 32 7 2 3" xfId="29914"/>
    <cellStyle name="Normal 32 7 3" xfId="19515"/>
    <cellStyle name="Normal 32 7 3 2" xfId="29915"/>
    <cellStyle name="Normal 32 7 4" xfId="29916"/>
    <cellStyle name="Normal 33" xfId="9057"/>
    <cellStyle name="Normal 33 2" xfId="9058"/>
    <cellStyle name="Normal 33 2 2" xfId="9059"/>
    <cellStyle name="Normal 33 2 2 2" xfId="19516"/>
    <cellStyle name="Normal 33 2 2 2 2" xfId="29917"/>
    <cellStyle name="Normal 33 2 2 3" xfId="29918"/>
    <cellStyle name="Normal 33 2 3" xfId="19517"/>
    <cellStyle name="Normal 33 2 3 2" xfId="29919"/>
    <cellStyle name="Normal 33 2 4" xfId="29920"/>
    <cellStyle name="Normal 33 3" xfId="9060"/>
    <cellStyle name="Normal 33 3 2" xfId="9061"/>
    <cellStyle name="Normal 33 3 2 2" xfId="19518"/>
    <cellStyle name="Normal 33 3 2 2 2" xfId="29921"/>
    <cellStyle name="Normal 33 3 2 3" xfId="29922"/>
    <cellStyle name="Normal 33 3 3" xfId="19519"/>
    <cellStyle name="Normal 33 3 3 2" xfId="29923"/>
    <cellStyle name="Normal 33 3 4" xfId="29924"/>
    <cellStyle name="Normal 33 4" xfId="9062"/>
    <cellStyle name="Normal 33 4 2" xfId="9063"/>
    <cellStyle name="Normal 33 4 2 2" xfId="19520"/>
    <cellStyle name="Normal 33 4 2 2 2" xfId="29925"/>
    <cellStyle name="Normal 33 4 2 3" xfId="29926"/>
    <cellStyle name="Normal 33 4 3" xfId="19521"/>
    <cellStyle name="Normal 33 4 3 2" xfId="29927"/>
    <cellStyle name="Normal 33 4 4" xfId="29928"/>
    <cellStyle name="Normal 33 5" xfId="9064"/>
    <cellStyle name="Normal 33 5 2" xfId="9065"/>
    <cellStyle name="Normal 33 5 2 2" xfId="19522"/>
    <cellStyle name="Normal 33 5 2 2 2" xfId="29929"/>
    <cellStyle name="Normal 33 5 2 3" xfId="29930"/>
    <cellStyle name="Normal 33 5 3" xfId="19523"/>
    <cellStyle name="Normal 33 5 3 2" xfId="29931"/>
    <cellStyle name="Normal 33 5 4" xfId="29932"/>
    <cellStyle name="Normal 33 6" xfId="9066"/>
    <cellStyle name="Normal 33 6 2" xfId="9067"/>
    <cellStyle name="Normal 33 6 2 2" xfId="19524"/>
    <cellStyle name="Normal 33 6 2 2 2" xfId="29933"/>
    <cellStyle name="Normal 33 6 2 3" xfId="29934"/>
    <cellStyle name="Normal 33 6 3" xfId="19525"/>
    <cellStyle name="Normal 33 6 3 2" xfId="29935"/>
    <cellStyle name="Normal 33 6 4" xfId="29936"/>
    <cellStyle name="Normal 33 7" xfId="9068"/>
    <cellStyle name="Normal 33 7 2" xfId="9069"/>
    <cellStyle name="Normal 33 7 2 2" xfId="19526"/>
    <cellStyle name="Normal 33 7 2 2 2" xfId="29937"/>
    <cellStyle name="Normal 33 7 2 3" xfId="29938"/>
    <cellStyle name="Normal 33 7 3" xfId="19527"/>
    <cellStyle name="Normal 33 7 3 2" xfId="29939"/>
    <cellStyle name="Normal 33 7 4" xfId="29940"/>
    <cellStyle name="Normal 34" xfId="9070"/>
    <cellStyle name="Normal 34 2" xfId="9071"/>
    <cellStyle name="Normal 35" xfId="9072"/>
    <cellStyle name="Normal 35 2" xfId="9073"/>
    <cellStyle name="Normal 36" xfId="9074"/>
    <cellStyle name="Normal 36 2" xfId="9075"/>
    <cellStyle name="Normal 36 2 2" xfId="9076"/>
    <cellStyle name="Normal 36 2 2 2" xfId="19528"/>
    <cellStyle name="Normal 36 2 2 2 2" xfId="29941"/>
    <cellStyle name="Normal 36 2 2 3" xfId="29942"/>
    <cellStyle name="Normal 36 2 3" xfId="19529"/>
    <cellStyle name="Normal 36 2 3 2" xfId="29943"/>
    <cellStyle name="Normal 36 2 4" xfId="29944"/>
    <cellStyle name="Normal 36 3" xfId="9077"/>
    <cellStyle name="Normal 36 3 2" xfId="9078"/>
    <cellStyle name="Normal 36 3 2 2" xfId="19530"/>
    <cellStyle name="Normal 36 3 2 2 2" xfId="29945"/>
    <cellStyle name="Normal 36 3 2 3" xfId="29946"/>
    <cellStyle name="Normal 36 3 3" xfId="19531"/>
    <cellStyle name="Normal 36 3 3 2" xfId="29947"/>
    <cellStyle name="Normal 36 3 4" xfId="29948"/>
    <cellStyle name="Normal 36 4" xfId="9079"/>
    <cellStyle name="Normal 36 4 2" xfId="9080"/>
    <cellStyle name="Normal 36 4 2 2" xfId="19532"/>
    <cellStyle name="Normal 36 4 2 2 2" xfId="29949"/>
    <cellStyle name="Normal 36 4 2 3" xfId="29950"/>
    <cellStyle name="Normal 36 4 3" xfId="19533"/>
    <cellStyle name="Normal 36 4 3 2" xfId="29951"/>
    <cellStyle name="Normal 36 4 4" xfId="29952"/>
    <cellStyle name="Normal 36 5" xfId="9081"/>
    <cellStyle name="Normal 36 5 2" xfId="9082"/>
    <cellStyle name="Normal 36 5 2 2" xfId="19534"/>
    <cellStyle name="Normal 36 5 2 2 2" xfId="29953"/>
    <cellStyle name="Normal 36 5 2 3" xfId="29954"/>
    <cellStyle name="Normal 36 5 3" xfId="19535"/>
    <cellStyle name="Normal 36 5 3 2" xfId="29955"/>
    <cellStyle name="Normal 36 5 4" xfId="29956"/>
    <cellStyle name="Normal 36 6" xfId="9083"/>
    <cellStyle name="Normal 36 6 2" xfId="9084"/>
    <cellStyle name="Normal 36 6 2 2" xfId="19536"/>
    <cellStyle name="Normal 36 6 2 2 2" xfId="29957"/>
    <cellStyle name="Normal 36 6 2 3" xfId="29958"/>
    <cellStyle name="Normal 36 6 3" xfId="19537"/>
    <cellStyle name="Normal 36 6 3 2" xfId="29959"/>
    <cellStyle name="Normal 36 6 4" xfId="29960"/>
    <cellStyle name="Normal 36 7" xfId="9085"/>
    <cellStyle name="Normal 36 7 2" xfId="9086"/>
    <cellStyle name="Normal 36 7 2 2" xfId="19538"/>
    <cellStyle name="Normal 36 7 2 2 2" xfId="29961"/>
    <cellStyle name="Normal 36 7 2 3" xfId="29962"/>
    <cellStyle name="Normal 36 7 3" xfId="19539"/>
    <cellStyle name="Normal 36 7 3 2" xfId="29963"/>
    <cellStyle name="Normal 36 7 4" xfId="29964"/>
    <cellStyle name="Normal 37" xfId="9087"/>
    <cellStyle name="Normal 37 2" xfId="9088"/>
    <cellStyle name="Normal 37 2 2" xfId="9089"/>
    <cellStyle name="Normal 37 2 2 2" xfId="19540"/>
    <cellStyle name="Normal 37 2 2 2 2" xfId="29965"/>
    <cellStyle name="Normal 37 2 2 3" xfId="29966"/>
    <cellStyle name="Normal 37 2 3" xfId="19541"/>
    <cellStyle name="Normal 37 2 3 2" xfId="29967"/>
    <cellStyle name="Normal 37 2 4" xfId="29968"/>
    <cellStyle name="Normal 37 3" xfId="9090"/>
    <cellStyle name="Normal 37 3 2" xfId="9091"/>
    <cellStyle name="Normal 37 3 2 2" xfId="19542"/>
    <cellStyle name="Normal 37 3 2 2 2" xfId="29969"/>
    <cellStyle name="Normal 37 3 2 3" xfId="29970"/>
    <cellStyle name="Normal 37 3 3" xfId="19543"/>
    <cellStyle name="Normal 37 3 3 2" xfId="29971"/>
    <cellStyle name="Normal 37 3 4" xfId="29972"/>
    <cellStyle name="Normal 37 4" xfId="9092"/>
    <cellStyle name="Normal 37 4 2" xfId="9093"/>
    <cellStyle name="Normal 37 4 2 2" xfId="19544"/>
    <cellStyle name="Normal 37 4 2 2 2" xfId="29973"/>
    <cellStyle name="Normal 37 4 2 3" xfId="29974"/>
    <cellStyle name="Normal 37 4 3" xfId="19545"/>
    <cellStyle name="Normal 37 4 3 2" xfId="29975"/>
    <cellStyle name="Normal 37 4 4" xfId="29976"/>
    <cellStyle name="Normal 37 5" xfId="9094"/>
    <cellStyle name="Normal 37 5 2" xfId="9095"/>
    <cellStyle name="Normal 37 5 2 2" xfId="19546"/>
    <cellStyle name="Normal 37 5 2 2 2" xfId="29977"/>
    <cellStyle name="Normal 37 5 2 3" xfId="29978"/>
    <cellStyle name="Normal 37 5 3" xfId="19547"/>
    <cellStyle name="Normal 37 5 3 2" xfId="29979"/>
    <cellStyle name="Normal 37 5 4" xfId="29980"/>
    <cellStyle name="Normal 37 6" xfId="9096"/>
    <cellStyle name="Normal 37 6 2" xfId="9097"/>
    <cellStyle name="Normal 37 6 2 2" xfId="19548"/>
    <cellStyle name="Normal 37 6 2 2 2" xfId="29981"/>
    <cellStyle name="Normal 37 6 2 3" xfId="29982"/>
    <cellStyle name="Normal 37 6 3" xfId="19549"/>
    <cellStyle name="Normal 37 6 3 2" xfId="29983"/>
    <cellStyle name="Normal 37 6 4" xfId="29984"/>
    <cellStyle name="Normal 37 7" xfId="9098"/>
    <cellStyle name="Normal 37 7 2" xfId="9099"/>
    <cellStyle name="Normal 37 7 2 2" xfId="19550"/>
    <cellStyle name="Normal 37 7 2 2 2" xfId="29985"/>
    <cellStyle name="Normal 37 7 2 3" xfId="29986"/>
    <cellStyle name="Normal 37 7 3" xfId="19551"/>
    <cellStyle name="Normal 37 7 3 2" xfId="29987"/>
    <cellStyle name="Normal 37 7 4" xfId="29988"/>
    <cellStyle name="Normal 38" xfId="9100"/>
    <cellStyle name="Normal 38 2" xfId="9101"/>
    <cellStyle name="Normal 38 2 2" xfId="9102"/>
    <cellStyle name="Normal 38 2 2 2" xfId="19552"/>
    <cellStyle name="Normal 38 2 2 2 2" xfId="29989"/>
    <cellStyle name="Normal 38 2 2 3" xfId="29990"/>
    <cellStyle name="Normal 38 2 3" xfId="19553"/>
    <cellStyle name="Normal 38 2 3 2" xfId="29991"/>
    <cellStyle name="Normal 38 2 4" xfId="29992"/>
    <cellStyle name="Normal 38 3" xfId="9103"/>
    <cellStyle name="Normal 38 3 2" xfId="9104"/>
    <cellStyle name="Normal 38 3 2 2" xfId="19554"/>
    <cellStyle name="Normal 38 3 2 2 2" xfId="29993"/>
    <cellStyle name="Normal 38 3 2 3" xfId="29994"/>
    <cellStyle name="Normal 38 3 3" xfId="19555"/>
    <cellStyle name="Normal 38 3 3 2" xfId="29995"/>
    <cellStyle name="Normal 38 3 4" xfId="29996"/>
    <cellStyle name="Normal 38 4" xfId="9105"/>
    <cellStyle name="Normal 38 4 2" xfId="9106"/>
    <cellStyle name="Normal 38 4 2 2" xfId="19556"/>
    <cellStyle name="Normal 38 4 2 2 2" xfId="29997"/>
    <cellStyle name="Normal 38 4 2 3" xfId="29998"/>
    <cellStyle name="Normal 38 4 3" xfId="19557"/>
    <cellStyle name="Normal 38 4 3 2" xfId="29999"/>
    <cellStyle name="Normal 38 4 4" xfId="30000"/>
    <cellStyle name="Normal 38 5" xfId="9107"/>
    <cellStyle name="Normal 38 5 2" xfId="9108"/>
    <cellStyle name="Normal 38 5 2 2" xfId="19558"/>
    <cellStyle name="Normal 38 5 2 2 2" xfId="30001"/>
    <cellStyle name="Normal 38 5 2 3" xfId="30002"/>
    <cellStyle name="Normal 38 5 3" xfId="19559"/>
    <cellStyle name="Normal 38 5 3 2" xfId="30003"/>
    <cellStyle name="Normal 38 5 4" xfId="30004"/>
    <cellStyle name="Normal 38 6" xfId="9109"/>
    <cellStyle name="Normal 38 6 2" xfId="9110"/>
    <cellStyle name="Normal 38 6 2 2" xfId="19560"/>
    <cellStyle name="Normal 38 6 2 2 2" xfId="30005"/>
    <cellStyle name="Normal 38 6 2 3" xfId="30006"/>
    <cellStyle name="Normal 38 6 3" xfId="19561"/>
    <cellStyle name="Normal 38 6 3 2" xfId="30007"/>
    <cellStyle name="Normal 38 6 4" xfId="30008"/>
    <cellStyle name="Normal 38 7" xfId="9111"/>
    <cellStyle name="Normal 38 7 2" xfId="9112"/>
    <cellStyle name="Normal 38 7 2 2" xfId="19562"/>
    <cellStyle name="Normal 38 7 2 2 2" xfId="30009"/>
    <cellStyle name="Normal 38 7 2 3" xfId="30010"/>
    <cellStyle name="Normal 38 7 3" xfId="19563"/>
    <cellStyle name="Normal 38 7 3 2" xfId="30011"/>
    <cellStyle name="Normal 38 7 4" xfId="30012"/>
    <cellStyle name="Normal 39" xfId="9113"/>
    <cellStyle name="Normal 39 2" xfId="9114"/>
    <cellStyle name="Normal 39 2 2" xfId="9115"/>
    <cellStyle name="Normal 39 2 2 2" xfId="19564"/>
    <cellStyle name="Normal 39 2 2 2 2" xfId="30013"/>
    <cellStyle name="Normal 39 2 2 3" xfId="30014"/>
    <cellStyle name="Normal 39 2 3" xfId="19565"/>
    <cellStyle name="Normal 39 2 3 2" xfId="30015"/>
    <cellStyle name="Normal 39 2 4" xfId="30016"/>
    <cellStyle name="Normal 39 3" xfId="9116"/>
    <cellStyle name="Normal 39 3 2" xfId="9117"/>
    <cellStyle name="Normal 39 3 2 2" xfId="19566"/>
    <cellStyle name="Normal 39 3 2 2 2" xfId="30017"/>
    <cellStyle name="Normal 39 3 2 3" xfId="30018"/>
    <cellStyle name="Normal 39 3 3" xfId="19567"/>
    <cellStyle name="Normal 39 3 3 2" xfId="30019"/>
    <cellStyle name="Normal 39 3 4" xfId="30020"/>
    <cellStyle name="Normal 39 4" xfId="9118"/>
    <cellStyle name="Normal 39 4 2" xfId="9119"/>
    <cellStyle name="Normal 39 4 2 2" xfId="19568"/>
    <cellStyle name="Normal 39 4 2 2 2" xfId="30021"/>
    <cellStyle name="Normal 39 4 2 3" xfId="30022"/>
    <cellStyle name="Normal 39 4 3" xfId="19569"/>
    <cellStyle name="Normal 39 4 3 2" xfId="30023"/>
    <cellStyle name="Normal 39 4 4" xfId="30024"/>
    <cellStyle name="Normal 39 5" xfId="9120"/>
    <cellStyle name="Normal 39 5 2" xfId="9121"/>
    <cellStyle name="Normal 39 5 2 2" xfId="19570"/>
    <cellStyle name="Normal 39 5 2 2 2" xfId="30025"/>
    <cellStyle name="Normal 39 5 2 3" xfId="30026"/>
    <cellStyle name="Normal 39 5 3" xfId="19571"/>
    <cellStyle name="Normal 39 5 3 2" xfId="30027"/>
    <cellStyle name="Normal 39 5 4" xfId="30028"/>
    <cellStyle name="Normal 39 6" xfId="9122"/>
    <cellStyle name="Normal 39 6 2" xfId="9123"/>
    <cellStyle name="Normal 39 6 2 2" xfId="19572"/>
    <cellStyle name="Normal 39 6 2 2 2" xfId="30029"/>
    <cellStyle name="Normal 39 6 2 3" xfId="30030"/>
    <cellStyle name="Normal 39 6 3" xfId="19573"/>
    <cellStyle name="Normal 39 6 3 2" xfId="30031"/>
    <cellStyle name="Normal 39 6 4" xfId="30032"/>
    <cellStyle name="Normal 39 7" xfId="9124"/>
    <cellStyle name="Normal 39 7 2" xfId="9125"/>
    <cellStyle name="Normal 39 7 2 2" xfId="19574"/>
    <cellStyle name="Normal 39 7 2 2 2" xfId="30033"/>
    <cellStyle name="Normal 39 7 2 3" xfId="30034"/>
    <cellStyle name="Normal 39 7 3" xfId="19575"/>
    <cellStyle name="Normal 39 7 3 2" xfId="30035"/>
    <cellStyle name="Normal 39 7 4" xfId="30036"/>
    <cellStyle name="Normal 4" xfId="57"/>
    <cellStyle name="Normal 4 10" xfId="9126"/>
    <cellStyle name="Normal 4 10 2" xfId="9127"/>
    <cellStyle name="Normal 4 10 2 2" xfId="9128"/>
    <cellStyle name="Normal 4 10 3" xfId="9129"/>
    <cellStyle name="Normal 4 10 3 2" xfId="9130"/>
    <cellStyle name="Normal 4 10 4" xfId="9131"/>
    <cellStyle name="Normal 4 10 5" xfId="19576"/>
    <cellStyle name="Normal 4 100" xfId="9132"/>
    <cellStyle name="Normal 4 100 2" xfId="19577"/>
    <cellStyle name="Normal 4 101" xfId="9133"/>
    <cellStyle name="Normal 4 101 2" xfId="9134"/>
    <cellStyle name="Normal 4 102" xfId="9135"/>
    <cellStyle name="Normal 4 102 2" xfId="9136"/>
    <cellStyle name="Normal 4 103" xfId="9137"/>
    <cellStyle name="Normal 4 103 2" xfId="9138"/>
    <cellStyle name="Normal 4 104" xfId="9139"/>
    <cellStyle name="Normal 4 104 2" xfId="9140"/>
    <cellStyle name="Normal 4 105" xfId="9141"/>
    <cellStyle name="Normal 4 105 2" xfId="9142"/>
    <cellStyle name="Normal 4 106" xfId="9143"/>
    <cellStyle name="Normal 4 106 2" xfId="9144"/>
    <cellStyle name="Normal 4 107" xfId="9145"/>
    <cellStyle name="Normal 4 107 2" xfId="19578"/>
    <cellStyle name="Normal 4 108" xfId="9146"/>
    <cellStyle name="Normal 4 108 2" xfId="19579"/>
    <cellStyle name="Normal 4 109" xfId="9147"/>
    <cellStyle name="Normal 4 109 2" xfId="19580"/>
    <cellStyle name="Normal 4 11" xfId="9148"/>
    <cellStyle name="Normal 4 11 2" xfId="9149"/>
    <cellStyle name="Normal 4 11 2 2" xfId="9150"/>
    <cellStyle name="Normal 4 11 3" xfId="9151"/>
    <cellStyle name="Normal 4 11 3 2" xfId="9152"/>
    <cellStyle name="Normal 4 11 4" xfId="9153"/>
    <cellStyle name="Normal 4 11 5" xfId="19581"/>
    <cellStyle name="Normal 4 110" xfId="9154"/>
    <cellStyle name="Normal 4 110 2" xfId="19582"/>
    <cellStyle name="Normal 4 111" xfId="9155"/>
    <cellStyle name="Normal 4 111 2" xfId="9156"/>
    <cellStyle name="Normal 4 112" xfId="9157"/>
    <cellStyle name="Normal 4 112 2" xfId="19583"/>
    <cellStyle name="Normal 4 113" xfId="9158"/>
    <cellStyle name="Normal 4 113 2" xfId="19584"/>
    <cellStyle name="Normal 4 114" xfId="9159"/>
    <cellStyle name="Normal 4 114 2" xfId="19585"/>
    <cellStyle name="Normal 4 115" xfId="9160"/>
    <cellStyle name="Normal 4 115 2" xfId="19586"/>
    <cellStyle name="Normal 4 116" xfId="9161"/>
    <cellStyle name="Normal 4 116 2" xfId="19587"/>
    <cellStyle name="Normal 4 117" xfId="9162"/>
    <cellStyle name="Normal 4 117 2" xfId="19588"/>
    <cellStyle name="Normal 4 118" xfId="9163"/>
    <cellStyle name="Normal 4 118 2" xfId="19589"/>
    <cellStyle name="Normal 4 119" xfId="9164"/>
    <cellStyle name="Normal 4 119 2" xfId="19590"/>
    <cellStyle name="Normal 4 12" xfId="9165"/>
    <cellStyle name="Normal 4 12 2" xfId="9166"/>
    <cellStyle name="Normal 4 12 3" xfId="19591"/>
    <cellStyle name="Normal 4 120" xfId="9167"/>
    <cellStyle name="Normal 4 120 2" xfId="9168"/>
    <cellStyle name="Normal 4 121" xfId="9169"/>
    <cellStyle name="Normal 4 121 2" xfId="9170"/>
    <cellStyle name="Normal 4 122" xfId="9171"/>
    <cellStyle name="Normal 4 122 2" xfId="9172"/>
    <cellStyle name="Normal 4 123" xfId="9173"/>
    <cellStyle name="Normal 4 123 2" xfId="9174"/>
    <cellStyle name="Normal 4 124" xfId="9175"/>
    <cellStyle name="Normal 4 124 2" xfId="19592"/>
    <cellStyle name="Normal 4 125" xfId="9176"/>
    <cellStyle name="Normal 4 125 2" xfId="19593"/>
    <cellStyle name="Normal 4 126" xfId="9177"/>
    <cellStyle name="Normal 4 126 2" xfId="19594"/>
    <cellStyle name="Normal 4 127" xfId="9178"/>
    <cellStyle name="Normal 4 127 2" xfId="19595"/>
    <cellStyle name="Normal 4 128" xfId="9179"/>
    <cellStyle name="Normal 4 128 2" xfId="19596"/>
    <cellStyle name="Normal 4 129" xfId="9180"/>
    <cellStyle name="Normal 4 129 2" xfId="19597"/>
    <cellStyle name="Normal 4 13" xfId="9181"/>
    <cellStyle name="Normal 4 13 2" xfId="9182"/>
    <cellStyle name="Normal 4 13 3" xfId="19598"/>
    <cellStyle name="Normal 4 130" xfId="9183"/>
    <cellStyle name="Normal 4 130 2" xfId="19599"/>
    <cellStyle name="Normal 4 131" xfId="9184"/>
    <cellStyle name="Normal 4 131 2" xfId="19600"/>
    <cellStyle name="Normal 4 132" xfId="9185"/>
    <cellStyle name="Normal 4 132 2" xfId="19601"/>
    <cellStyle name="Normal 4 133" xfId="9186"/>
    <cellStyle name="Normal 4 133 2" xfId="19602"/>
    <cellStyle name="Normal 4 134" xfId="9187"/>
    <cellStyle name="Normal 4 134 2" xfId="19603"/>
    <cellStyle name="Normal 4 135" xfId="9188"/>
    <cellStyle name="Normal 4 135 2" xfId="19604"/>
    <cellStyle name="Normal 4 136" xfId="9189"/>
    <cellStyle name="Normal 4 136 2" xfId="19605"/>
    <cellStyle name="Normal 4 137" xfId="9190"/>
    <cellStyle name="Normal 4 137 2" xfId="19606"/>
    <cellStyle name="Normal 4 138" xfId="9191"/>
    <cellStyle name="Normal 4 138 2" xfId="19607"/>
    <cellStyle name="Normal 4 139" xfId="9192"/>
    <cellStyle name="Normal 4 139 2" xfId="19608"/>
    <cellStyle name="Normal 4 14" xfId="9193"/>
    <cellStyle name="Normal 4 14 2" xfId="9194"/>
    <cellStyle name="Normal 4 14 3" xfId="19609"/>
    <cellStyle name="Normal 4 140" xfId="9195"/>
    <cellStyle name="Normal 4 140 2" xfId="19610"/>
    <cellStyle name="Normal 4 141" xfId="9196"/>
    <cellStyle name="Normal 4 141 2" xfId="19611"/>
    <cellStyle name="Normal 4 142" xfId="9197"/>
    <cellStyle name="Normal 4 142 2" xfId="19612"/>
    <cellStyle name="Normal 4 143" xfId="9198"/>
    <cellStyle name="Normal 4 143 2" xfId="19613"/>
    <cellStyle name="Normal 4 144" xfId="9199"/>
    <cellStyle name="Normal 4 144 2" xfId="19614"/>
    <cellStyle name="Normal 4 145" xfId="9200"/>
    <cellStyle name="Normal 4 145 2" xfId="19615"/>
    <cellStyle name="Normal 4 146" xfId="9201"/>
    <cellStyle name="Normal 4 146 2" xfId="9202"/>
    <cellStyle name="Normal 4 147" xfId="9203"/>
    <cellStyle name="Normal 4 147 2" xfId="9204"/>
    <cellStyle name="Normal 4 148" xfId="9205"/>
    <cellStyle name="Normal 4 148 2" xfId="19616"/>
    <cellStyle name="Normal 4 149" xfId="9206"/>
    <cellStyle name="Normal 4 149 2" xfId="19617"/>
    <cellStyle name="Normal 4 15" xfId="9207"/>
    <cellStyle name="Normal 4 15 2" xfId="9208"/>
    <cellStyle name="Normal 4 15 3" xfId="19618"/>
    <cellStyle name="Normal 4 150" xfId="9209"/>
    <cellStyle name="Normal 4 150 2" xfId="19619"/>
    <cellStyle name="Normal 4 151" xfId="9210"/>
    <cellStyle name="Normal 4 151 2" xfId="19620"/>
    <cellStyle name="Normal 4 152" xfId="9211"/>
    <cellStyle name="Normal 4 152 2" xfId="19621"/>
    <cellStyle name="Normal 4 153" xfId="9212"/>
    <cellStyle name="Normal 4 153 2" xfId="9213"/>
    <cellStyle name="Normal 4 154" xfId="9214"/>
    <cellStyle name="Normal 4 154 2" xfId="19622"/>
    <cellStyle name="Normal 4 155" xfId="9215"/>
    <cellStyle name="Normal 4 155 2" xfId="9216"/>
    <cellStyle name="Normal 4 156" xfId="9217"/>
    <cellStyle name="Normal 4 156 2" xfId="9218"/>
    <cellStyle name="Normal 4 156 2 2" xfId="9219"/>
    <cellStyle name="Normal 4 156 2 2 2" xfId="19623"/>
    <cellStyle name="Normal 4 156 2 2 2 2" xfId="30037"/>
    <cellStyle name="Normal 4 156 2 2 3" xfId="30038"/>
    <cellStyle name="Normal 4 156 2 3" xfId="19624"/>
    <cellStyle name="Normal 4 156 2 3 2" xfId="30039"/>
    <cellStyle name="Normal 4 156 2 4" xfId="30040"/>
    <cellStyle name="Normal 4 156 3" xfId="9220"/>
    <cellStyle name="Normal 4 156 3 2" xfId="19625"/>
    <cellStyle name="Normal 4 156 3 2 2" xfId="30041"/>
    <cellStyle name="Normal 4 156 3 3" xfId="30042"/>
    <cellStyle name="Normal 4 156 4" xfId="19626"/>
    <cellStyle name="Normal 4 156 4 2" xfId="30043"/>
    <cellStyle name="Normal 4 156 5" xfId="30044"/>
    <cellStyle name="Normal 4 157" xfId="9221"/>
    <cellStyle name="Normal 4 157 2" xfId="9222"/>
    <cellStyle name="Normal 4 157 2 2" xfId="19627"/>
    <cellStyle name="Normal 4 157 2 2 2" xfId="30045"/>
    <cellStyle name="Normal 4 157 2 3" xfId="30046"/>
    <cellStyle name="Normal 4 157 3" xfId="19628"/>
    <cellStyle name="Normal 4 157 3 2" xfId="30047"/>
    <cellStyle name="Normal 4 157 4" xfId="30048"/>
    <cellStyle name="Normal 4 158" xfId="9223"/>
    <cellStyle name="Normal 4 158 2" xfId="19629"/>
    <cellStyle name="Normal 4 158 2 2" xfId="19630"/>
    <cellStyle name="Normal 4 158 2 2 2" xfId="30049"/>
    <cellStyle name="Normal 4 158 2 3" xfId="30050"/>
    <cellStyle name="Normal 4 158 3" xfId="19631"/>
    <cellStyle name="Normal 4 158 3 2" xfId="30051"/>
    <cellStyle name="Normal 4 158 4" xfId="30052"/>
    <cellStyle name="Normal 4 159" xfId="19632"/>
    <cellStyle name="Normal 4 159 2" xfId="30053"/>
    <cellStyle name="Normal 4 16" xfId="9224"/>
    <cellStyle name="Normal 4 16 2" xfId="9225"/>
    <cellStyle name="Normal 4 16 3" xfId="19633"/>
    <cellStyle name="Normal 4 160" xfId="30054"/>
    <cellStyle name="Normal 4 161" xfId="33652"/>
    <cellStyle name="Normal 4 17" xfId="9226"/>
    <cellStyle name="Normal 4 17 2" xfId="9227"/>
    <cellStyle name="Normal 4 17 3" xfId="19634"/>
    <cellStyle name="Normal 4 18" xfId="9228"/>
    <cellStyle name="Normal 4 18 2" xfId="9229"/>
    <cellStyle name="Normal 4 18 3" xfId="19635"/>
    <cellStyle name="Normal 4 19" xfId="9230"/>
    <cellStyle name="Normal 4 19 2" xfId="9231"/>
    <cellStyle name="Normal 4 19 3" xfId="19636"/>
    <cellStyle name="Normal 4 2" xfId="9232"/>
    <cellStyle name="Normal 4 2 10" xfId="9233"/>
    <cellStyle name="Normal 4 2 10 2" xfId="9234"/>
    <cellStyle name="Normal 4 2 11" xfId="9235"/>
    <cellStyle name="Normal 4 2 11 2" xfId="9236"/>
    <cellStyle name="Normal 4 2 12" xfId="9237"/>
    <cellStyle name="Normal 4 2 12 2" xfId="9238"/>
    <cellStyle name="Normal 4 2 13" xfId="9239"/>
    <cellStyle name="Normal 4 2 13 2" xfId="9240"/>
    <cellStyle name="Normal 4 2 14" xfId="9241"/>
    <cellStyle name="Normal 4 2 14 2" xfId="9242"/>
    <cellStyle name="Normal 4 2 15" xfId="9243"/>
    <cellStyle name="Normal 4 2 15 2" xfId="9244"/>
    <cellStyle name="Normal 4 2 16" xfId="9245"/>
    <cellStyle name="Normal 4 2 16 2" xfId="9246"/>
    <cellStyle name="Normal 4 2 17" xfId="9247"/>
    <cellStyle name="Normal 4 2 17 2" xfId="9248"/>
    <cellStyle name="Normal 4 2 18" xfId="9249"/>
    <cellStyle name="Normal 4 2 18 2" xfId="9250"/>
    <cellStyle name="Normal 4 2 19" xfId="9251"/>
    <cellStyle name="Normal 4 2 2" xfId="9252"/>
    <cellStyle name="Normal 4 2 2 10" xfId="9253"/>
    <cellStyle name="Normal 4 2 2 10 2" xfId="9254"/>
    <cellStyle name="Normal 4 2 2 11" xfId="9255"/>
    <cellStyle name="Normal 4 2 2 2" xfId="9256"/>
    <cellStyle name="Normal 4 2 2 2 2" xfId="9257"/>
    <cellStyle name="Normal 4 2 2 2 2 2" xfId="9258"/>
    <cellStyle name="Normal 4 2 2 2 3" xfId="9259"/>
    <cellStyle name="Normal 4 2 2 3" xfId="9260"/>
    <cellStyle name="Normal 4 2 2 3 2" xfId="9261"/>
    <cellStyle name="Normal 4 2 2 4" xfId="9262"/>
    <cellStyle name="Normal 4 2 2 4 2" xfId="9263"/>
    <cellStyle name="Normal 4 2 2 5" xfId="9264"/>
    <cellStyle name="Normal 4 2 2 5 2" xfId="9265"/>
    <cellStyle name="Normal 4 2 2 6" xfId="9266"/>
    <cellStyle name="Normal 4 2 2 6 2" xfId="9267"/>
    <cellStyle name="Normal 4 2 2 7" xfId="9268"/>
    <cellStyle name="Normal 4 2 2 7 2" xfId="9269"/>
    <cellStyle name="Normal 4 2 2 8" xfId="9270"/>
    <cellStyle name="Normal 4 2 2 8 2" xfId="9271"/>
    <cellStyle name="Normal 4 2 2 9" xfId="9272"/>
    <cellStyle name="Normal 4 2 2 9 2" xfId="9273"/>
    <cellStyle name="Normal 4 2 20" xfId="19637"/>
    <cellStyle name="Normal 4 2 20 2" xfId="30055"/>
    <cellStyle name="Normal 4 2 3" xfId="9274"/>
    <cellStyle name="Normal 4 2 3 2" xfId="9275"/>
    <cellStyle name="Normal 4 2 4" xfId="9276"/>
    <cellStyle name="Normal 4 2 4 2" xfId="9277"/>
    <cellStyle name="Normal 4 2 4 2 2" xfId="9278"/>
    <cellStyle name="Normal 4 2 4 3" xfId="9279"/>
    <cellStyle name="Normal 4 2 5" xfId="9280"/>
    <cellStyle name="Normal 4 2 5 2" xfId="9281"/>
    <cellStyle name="Normal 4 2 5 2 2" xfId="9282"/>
    <cellStyle name="Normal 4 2 5 3" xfId="9283"/>
    <cellStyle name="Normal 4 2 6" xfId="9284"/>
    <cellStyle name="Normal 4 2 6 2" xfId="9285"/>
    <cellStyle name="Normal 4 2 6 2 2" xfId="9286"/>
    <cellStyle name="Normal 4 2 6 3" xfId="9287"/>
    <cellStyle name="Normal 4 2 7" xfId="9288"/>
    <cellStyle name="Normal 4 2 7 2" xfId="9289"/>
    <cellStyle name="Normal 4 2 7 2 2" xfId="9290"/>
    <cellStyle name="Normal 4 2 7 3" xfId="9291"/>
    <cellStyle name="Normal 4 2 8" xfId="9292"/>
    <cellStyle name="Normal 4 2 8 2" xfId="9293"/>
    <cellStyle name="Normal 4 2 8 2 2" xfId="9294"/>
    <cellStyle name="Normal 4 2 8 3" xfId="9295"/>
    <cellStyle name="Normal 4 2 9" xfId="9296"/>
    <cellStyle name="Normal 4 2 9 2" xfId="9297"/>
    <cellStyle name="Normal 4 2 9 2 2" xfId="9298"/>
    <cellStyle name="Normal 4 2 9 3" xfId="9299"/>
    <cellStyle name="Normal 4 20" xfId="9300"/>
    <cellStyle name="Normal 4 20 2" xfId="9301"/>
    <cellStyle name="Normal 4 20 3" xfId="19638"/>
    <cellStyle name="Normal 4 21" xfId="9302"/>
    <cellStyle name="Normal 4 21 2" xfId="9303"/>
    <cellStyle name="Normal 4 21 3" xfId="19639"/>
    <cellStyle name="Normal 4 22" xfId="9304"/>
    <cellStyle name="Normal 4 22 2" xfId="9305"/>
    <cellStyle name="Normal 4 22 3" xfId="19640"/>
    <cellStyle name="Normal 4 23" xfId="9306"/>
    <cellStyle name="Normal 4 23 2" xfId="9307"/>
    <cellStyle name="Normal 4 23 3" xfId="19641"/>
    <cellStyle name="Normal 4 24" xfId="9308"/>
    <cellStyle name="Normal 4 24 2" xfId="9309"/>
    <cellStyle name="Normal 4 24 3" xfId="19642"/>
    <cellStyle name="Normal 4 25" xfId="9310"/>
    <cellStyle name="Normal 4 25 2" xfId="9311"/>
    <cellStyle name="Normal 4 25 3" xfId="19643"/>
    <cellStyle name="Normal 4 26" xfId="9312"/>
    <cellStyle name="Normal 4 26 2" xfId="9313"/>
    <cellStyle name="Normal 4 26 3" xfId="19644"/>
    <cellStyle name="Normal 4 27" xfId="9314"/>
    <cellStyle name="Normal 4 27 2" xfId="9315"/>
    <cellStyle name="Normal 4 27 3" xfId="19645"/>
    <cellStyle name="Normal 4 28" xfId="9316"/>
    <cellStyle name="Normal 4 28 2" xfId="9317"/>
    <cellStyle name="Normal 4 28 3" xfId="19646"/>
    <cellStyle name="Normal 4 29" xfId="9318"/>
    <cellStyle name="Normal 4 29 2" xfId="9319"/>
    <cellStyle name="Normal 4 29 3" xfId="19647"/>
    <cellStyle name="Normal 4 3" xfId="9320"/>
    <cellStyle name="Normal 4 3 10" xfId="9321"/>
    <cellStyle name="Normal 4 3 10 2" xfId="19648"/>
    <cellStyle name="Normal 4 3 11" xfId="9322"/>
    <cellStyle name="Normal 4 3 11 2" xfId="19649"/>
    <cellStyle name="Normal 4 3 12" xfId="19650"/>
    <cellStyle name="Normal 4 3 2" xfId="9323"/>
    <cellStyle name="Normal 4 3 2 2" xfId="9324"/>
    <cellStyle name="Normal 4 3 3" xfId="9325"/>
    <cellStyle name="Normal 4 3 3 2" xfId="9326"/>
    <cellStyle name="Normal 4 3 3 2 2" xfId="9327"/>
    <cellStyle name="Normal 4 3 4" xfId="9328"/>
    <cellStyle name="Normal 4 3 4 2" xfId="19651"/>
    <cellStyle name="Normal 4 3 5" xfId="9329"/>
    <cellStyle name="Normal 4 3 5 2" xfId="19652"/>
    <cellStyle name="Normal 4 3 6" xfId="9330"/>
    <cellStyle name="Normal 4 3 6 2" xfId="19653"/>
    <cellStyle name="Normal 4 3 7" xfId="9331"/>
    <cellStyle name="Normal 4 3 7 2" xfId="19654"/>
    <cellStyle name="Normal 4 3 8" xfId="9332"/>
    <cellStyle name="Normal 4 3 8 2" xfId="19655"/>
    <cellStyle name="Normal 4 3 9" xfId="9333"/>
    <cellStyle name="Normal 4 3 9 2" xfId="19656"/>
    <cellStyle name="Normal 4 30" xfId="9334"/>
    <cellStyle name="Normal 4 30 2" xfId="9335"/>
    <cellStyle name="Normal 4 30 3" xfId="19657"/>
    <cellStyle name="Normal 4 31" xfId="9336"/>
    <cellStyle name="Normal 4 31 2" xfId="9337"/>
    <cellStyle name="Normal 4 31 3" xfId="19658"/>
    <cellStyle name="Normal 4 32" xfId="9338"/>
    <cellStyle name="Normal 4 32 2" xfId="9339"/>
    <cellStyle name="Normal 4 32 3" xfId="19659"/>
    <cellStyle name="Normal 4 33" xfId="9340"/>
    <cellStyle name="Normal 4 33 2" xfId="9341"/>
    <cellStyle name="Normal 4 33 3" xfId="19660"/>
    <cellStyle name="Normal 4 34" xfId="9342"/>
    <cellStyle name="Normal 4 34 2" xfId="9343"/>
    <cellStyle name="Normal 4 34 3" xfId="19661"/>
    <cellStyle name="Normal 4 35" xfId="9344"/>
    <cellStyle name="Normal 4 35 2" xfId="9345"/>
    <cellStyle name="Normal 4 35 3" xfId="19662"/>
    <cellStyle name="Normal 4 36" xfId="9346"/>
    <cellStyle name="Normal 4 36 2" xfId="9347"/>
    <cellStyle name="Normal 4 36 3" xfId="19663"/>
    <cellStyle name="Normal 4 37" xfId="9348"/>
    <cellStyle name="Normal 4 37 2" xfId="9349"/>
    <cellStyle name="Normal 4 37 3" xfId="19664"/>
    <cellStyle name="Normal 4 38" xfId="9350"/>
    <cellStyle name="Normal 4 38 2" xfId="9351"/>
    <cellStyle name="Normal 4 38 3" xfId="19665"/>
    <cellStyle name="Normal 4 39" xfId="9352"/>
    <cellStyle name="Normal 4 39 2" xfId="9353"/>
    <cellStyle name="Normal 4 39 3" xfId="19666"/>
    <cellStyle name="Normal 4 4" xfId="9354"/>
    <cellStyle name="Normal 4 4 2" xfId="9355"/>
    <cellStyle name="Normal 4 4 2 2" xfId="9356"/>
    <cellStyle name="Normal 4 4 2 2 2" xfId="9357"/>
    <cellStyle name="Normal 4 4 2 3" xfId="9358"/>
    <cellStyle name="Normal 4 4 2 3 2" xfId="9359"/>
    <cellStyle name="Normal 4 4 2 4" xfId="9360"/>
    <cellStyle name="Normal 4 4 2 4 2" xfId="9361"/>
    <cellStyle name="Normal 4 4 2 5" xfId="9362"/>
    <cellStyle name="Normal 4 4 2 5 2" xfId="9363"/>
    <cellStyle name="Normal 4 4 2 6" xfId="9364"/>
    <cellStyle name="Normal 4 4 3" xfId="9365"/>
    <cellStyle name="Normal 4 4 3 2" xfId="9366"/>
    <cellStyle name="Normal 4 4 4" xfId="9367"/>
    <cellStyle name="Normal 4 4 4 2" xfId="9368"/>
    <cellStyle name="Normal 4 4 4 2 2" xfId="9369"/>
    <cellStyle name="Normal 4 4 4 3" xfId="9370"/>
    <cellStyle name="Normal 4 4 5" xfId="9371"/>
    <cellStyle name="Normal 4 4 5 2" xfId="9372"/>
    <cellStyle name="Normal 4 4 6" xfId="9373"/>
    <cellStyle name="Normal 4 4 6 2" xfId="9374"/>
    <cellStyle name="Normal 4 4 7" xfId="9375"/>
    <cellStyle name="Normal 4 40" xfId="9376"/>
    <cellStyle name="Normal 4 40 2" xfId="9377"/>
    <cellStyle name="Normal 4 40 3" xfId="19667"/>
    <cellStyle name="Normal 4 41" xfId="9378"/>
    <cellStyle name="Normal 4 41 2" xfId="9379"/>
    <cellStyle name="Normal 4 41 3" xfId="19668"/>
    <cellStyle name="Normal 4 42" xfId="9380"/>
    <cellStyle name="Normal 4 42 2" xfId="9381"/>
    <cellStyle name="Normal 4 42 3" xfId="19669"/>
    <cellStyle name="Normal 4 43" xfId="9382"/>
    <cellStyle name="Normal 4 43 2" xfId="9383"/>
    <cellStyle name="Normal 4 43 3" xfId="19670"/>
    <cellStyle name="Normal 4 44" xfId="9384"/>
    <cellStyle name="Normal 4 44 2" xfId="9385"/>
    <cellStyle name="Normal 4 44 3" xfId="19671"/>
    <cellStyle name="Normal 4 45" xfId="9386"/>
    <cellStyle name="Normal 4 45 2" xfId="9387"/>
    <cellStyle name="Normal 4 45 3" xfId="19672"/>
    <cellStyle name="Normal 4 46" xfId="9388"/>
    <cellStyle name="Normal 4 46 2" xfId="9389"/>
    <cellStyle name="Normal 4 46 3" xfId="19673"/>
    <cellStyle name="Normal 4 47" xfId="9390"/>
    <cellStyle name="Normal 4 47 2" xfId="9391"/>
    <cellStyle name="Normal 4 47 3" xfId="19674"/>
    <cellStyle name="Normal 4 48" xfId="9392"/>
    <cellStyle name="Normal 4 48 2" xfId="9393"/>
    <cellStyle name="Normal 4 48 3" xfId="19675"/>
    <cellStyle name="Normal 4 49" xfId="9394"/>
    <cellStyle name="Normal 4 49 2" xfId="9395"/>
    <cellStyle name="Normal 4 49 3" xfId="19676"/>
    <cellStyle name="Normal 4 5" xfId="9396"/>
    <cellStyle name="Normal 4 5 2" xfId="9397"/>
    <cellStyle name="Normal 4 5 2 2" xfId="9398"/>
    <cellStyle name="Normal 4 5 3" xfId="9399"/>
    <cellStyle name="Normal 4 5 3 2" xfId="9400"/>
    <cellStyle name="Normal 4 5 4" xfId="9401"/>
    <cellStyle name="Normal 4 5 4 2" xfId="9402"/>
    <cellStyle name="Normal 4 5 5" xfId="9403"/>
    <cellStyle name="Normal 4 5 6" xfId="19677"/>
    <cellStyle name="Normal 4 50" xfId="9404"/>
    <cellStyle name="Normal 4 50 2" xfId="9405"/>
    <cellStyle name="Normal 4 50 3" xfId="19678"/>
    <cellStyle name="Normal 4 51" xfId="9406"/>
    <cellStyle name="Normal 4 51 2" xfId="9407"/>
    <cellStyle name="Normal 4 51 3" xfId="19679"/>
    <cellStyle name="Normal 4 52" xfId="9408"/>
    <cellStyle name="Normal 4 52 2" xfId="9409"/>
    <cellStyle name="Normal 4 52 3" xfId="19680"/>
    <cellStyle name="Normal 4 53" xfId="9410"/>
    <cellStyle name="Normal 4 53 2" xfId="9411"/>
    <cellStyle name="Normal 4 53 3" xfId="19681"/>
    <cellStyle name="Normal 4 54" xfId="9412"/>
    <cellStyle name="Normal 4 54 2" xfId="9413"/>
    <cellStyle name="Normal 4 54 3" xfId="19682"/>
    <cellStyle name="Normal 4 55" xfId="9414"/>
    <cellStyle name="Normal 4 55 2" xfId="9415"/>
    <cellStyle name="Normal 4 55 3" xfId="19683"/>
    <cellStyle name="Normal 4 56" xfId="9416"/>
    <cellStyle name="Normal 4 56 2" xfId="9417"/>
    <cellStyle name="Normal 4 56 3" xfId="19684"/>
    <cellStyle name="Normal 4 57" xfId="9418"/>
    <cellStyle name="Normal 4 57 2" xfId="9419"/>
    <cellStyle name="Normal 4 57 3" xfId="19685"/>
    <cellStyle name="Normal 4 58" xfId="9420"/>
    <cellStyle name="Normal 4 58 2" xfId="9421"/>
    <cellStyle name="Normal 4 58 3" xfId="19686"/>
    <cellStyle name="Normal 4 59" xfId="9422"/>
    <cellStyle name="Normal 4 59 2" xfId="9423"/>
    <cellStyle name="Normal 4 59 3" xfId="19687"/>
    <cellStyle name="Normal 4 6" xfId="9424"/>
    <cellStyle name="Normal 4 6 2" xfId="9425"/>
    <cellStyle name="Normal 4 6 2 2" xfId="9426"/>
    <cellStyle name="Normal 4 6 3" xfId="9427"/>
    <cellStyle name="Normal 4 6 3 2" xfId="9428"/>
    <cellStyle name="Normal 4 6 4" xfId="9429"/>
    <cellStyle name="Normal 4 6 4 2" xfId="9430"/>
    <cellStyle name="Normal 4 6 5" xfId="9431"/>
    <cellStyle name="Normal 4 6 6" xfId="19688"/>
    <cellStyle name="Normal 4 60" xfId="9432"/>
    <cellStyle name="Normal 4 60 2" xfId="9433"/>
    <cellStyle name="Normal 4 60 3" xfId="19689"/>
    <cellStyle name="Normal 4 61" xfId="9434"/>
    <cellStyle name="Normal 4 61 2" xfId="9435"/>
    <cellStyle name="Normal 4 61 3" xfId="19690"/>
    <cellStyle name="Normal 4 62" xfId="9436"/>
    <cellStyle name="Normal 4 62 2" xfId="19691"/>
    <cellStyle name="Normal 4 63" xfId="9437"/>
    <cellStyle name="Normal 4 63 2" xfId="19692"/>
    <cellStyle name="Normal 4 64" xfId="9438"/>
    <cellStyle name="Normal 4 64 2" xfId="19693"/>
    <cellStyle name="Normal 4 65" xfId="9439"/>
    <cellStyle name="Normal 4 65 2" xfId="19694"/>
    <cellStyle name="Normal 4 66" xfId="9440"/>
    <cellStyle name="Normal 4 66 2" xfId="19695"/>
    <cellStyle name="Normal 4 67" xfId="9441"/>
    <cellStyle name="Normal 4 67 2" xfId="19696"/>
    <cellStyle name="Normal 4 68" xfId="9442"/>
    <cellStyle name="Normal 4 68 2" xfId="19697"/>
    <cellStyle name="Normal 4 69" xfId="9443"/>
    <cellStyle name="Normal 4 69 2" xfId="19698"/>
    <cellStyle name="Normal 4 7" xfId="9444"/>
    <cellStyle name="Normal 4 7 2" xfId="9445"/>
    <cellStyle name="Normal 4 7 2 2" xfId="9446"/>
    <cellStyle name="Normal 4 7 3" xfId="9447"/>
    <cellStyle name="Normal 4 7 3 2" xfId="9448"/>
    <cellStyle name="Normal 4 7 4" xfId="9449"/>
    <cellStyle name="Normal 4 7 4 2" xfId="9450"/>
    <cellStyle name="Normal 4 7 5" xfId="9451"/>
    <cellStyle name="Normal 4 7 6" xfId="19699"/>
    <cellStyle name="Normal 4 70" xfId="9452"/>
    <cellStyle name="Normal 4 70 2" xfId="19700"/>
    <cellStyle name="Normal 4 71" xfId="9453"/>
    <cellStyle name="Normal 4 71 2" xfId="19701"/>
    <cellStyle name="Normal 4 72" xfId="9454"/>
    <cellStyle name="Normal 4 72 2" xfId="19702"/>
    <cellStyle name="Normal 4 73" xfId="9455"/>
    <cellStyle name="Normal 4 73 2" xfId="19703"/>
    <cellStyle name="Normal 4 74" xfId="9456"/>
    <cellStyle name="Normal 4 74 2" xfId="19704"/>
    <cellStyle name="Normal 4 75" xfId="9457"/>
    <cellStyle name="Normal 4 75 2" xfId="19705"/>
    <cellStyle name="Normal 4 76" xfId="9458"/>
    <cellStyle name="Normal 4 76 2" xfId="19706"/>
    <cellStyle name="Normal 4 77" xfId="9459"/>
    <cellStyle name="Normal 4 77 2" xfId="9460"/>
    <cellStyle name="Normal 4 78" xfId="9461"/>
    <cellStyle name="Normal 4 78 2" xfId="19707"/>
    <cellStyle name="Normal 4 79" xfId="9462"/>
    <cellStyle name="Normal 4 79 2" xfId="19708"/>
    <cellStyle name="Normal 4 8" xfId="9463"/>
    <cellStyle name="Normal 4 8 2" xfId="9464"/>
    <cellStyle name="Normal 4 8 2 2" xfId="9465"/>
    <cellStyle name="Normal 4 8 3" xfId="9466"/>
    <cellStyle name="Normal 4 8 3 2" xfId="9467"/>
    <cellStyle name="Normal 4 8 4" xfId="9468"/>
    <cellStyle name="Normal 4 8 4 2" xfId="9469"/>
    <cellStyle name="Normal 4 8 5" xfId="9470"/>
    <cellStyle name="Normal 4 8 6" xfId="19709"/>
    <cellStyle name="Normal 4 80" xfId="9471"/>
    <cellStyle name="Normal 4 80 2" xfId="19710"/>
    <cellStyle name="Normal 4 81" xfId="9472"/>
    <cellStyle name="Normal 4 81 2" xfId="19711"/>
    <cellStyle name="Normal 4 82" xfId="9473"/>
    <cellStyle name="Normal 4 82 2" xfId="19712"/>
    <cellStyle name="Normal 4 83" xfId="9474"/>
    <cellStyle name="Normal 4 83 2" xfId="19713"/>
    <cellStyle name="Normal 4 84" xfId="9475"/>
    <cellStyle name="Normal 4 84 2" xfId="19714"/>
    <cellStyle name="Normal 4 85" xfId="9476"/>
    <cellStyle name="Normal 4 85 2" xfId="19715"/>
    <cellStyle name="Normal 4 86" xfId="9477"/>
    <cellStyle name="Normal 4 86 2" xfId="19716"/>
    <cellStyle name="Normal 4 87" xfId="9478"/>
    <cellStyle name="Normal 4 87 2" xfId="19717"/>
    <cellStyle name="Normal 4 88" xfId="9479"/>
    <cellStyle name="Normal 4 88 2" xfId="19718"/>
    <cellStyle name="Normal 4 89" xfId="9480"/>
    <cellStyle name="Normal 4 89 2" xfId="19719"/>
    <cellStyle name="Normal 4 9" xfId="9481"/>
    <cellStyle name="Normal 4 9 2" xfId="9482"/>
    <cellStyle name="Normal 4 9 2 2" xfId="9483"/>
    <cellStyle name="Normal 4 9 3" xfId="9484"/>
    <cellStyle name="Normal 4 9 3 2" xfId="9485"/>
    <cellStyle name="Normal 4 9 4" xfId="9486"/>
    <cellStyle name="Normal 4 9 5" xfId="19720"/>
    <cellStyle name="Normal 4 90" xfId="9487"/>
    <cellStyle name="Normal 4 90 2" xfId="19721"/>
    <cellStyle name="Normal 4 91" xfId="9488"/>
    <cellStyle name="Normal 4 91 2" xfId="19722"/>
    <cellStyle name="Normal 4 92" xfId="9489"/>
    <cellStyle name="Normal 4 92 2" xfId="9490"/>
    <cellStyle name="Normal 4 93" xfId="9491"/>
    <cellStyle name="Normal 4 93 2" xfId="9492"/>
    <cellStyle name="Normal 4 94" xfId="9493"/>
    <cellStyle name="Normal 4 94 2" xfId="9494"/>
    <cellStyle name="Normal 4 95" xfId="9495"/>
    <cellStyle name="Normal 4 95 2" xfId="9496"/>
    <cellStyle name="Normal 4 96" xfId="9497"/>
    <cellStyle name="Normal 4 96 2" xfId="19723"/>
    <cellStyle name="Normal 4 97" xfId="9498"/>
    <cellStyle name="Normal 4 97 2" xfId="19724"/>
    <cellStyle name="Normal 4 98" xfId="9499"/>
    <cellStyle name="Normal 4 98 2" xfId="19725"/>
    <cellStyle name="Normal 4 99" xfId="9500"/>
    <cellStyle name="Normal 4 99 2" xfId="9501"/>
    <cellStyle name="Normal 40" xfId="9502"/>
    <cellStyle name="Normal 40 2" xfId="9503"/>
    <cellStyle name="Normal 40 2 2" xfId="9504"/>
    <cellStyle name="Normal 40 2 2 2" xfId="19726"/>
    <cellStyle name="Normal 40 2 2 2 2" xfId="30056"/>
    <cellStyle name="Normal 40 2 2 3" xfId="30057"/>
    <cellStyle name="Normal 40 2 3" xfId="19727"/>
    <cellStyle name="Normal 40 2 3 2" xfId="30058"/>
    <cellStyle name="Normal 40 2 4" xfId="30059"/>
    <cellStyle name="Normal 40 3" xfId="9505"/>
    <cellStyle name="Normal 40 3 2" xfId="9506"/>
    <cellStyle name="Normal 40 3 2 2" xfId="19728"/>
    <cellStyle name="Normal 40 3 2 2 2" xfId="30060"/>
    <cellStyle name="Normal 40 3 2 3" xfId="30061"/>
    <cellStyle name="Normal 40 3 3" xfId="19729"/>
    <cellStyle name="Normal 40 3 3 2" xfId="30062"/>
    <cellStyle name="Normal 40 3 4" xfId="30063"/>
    <cellStyle name="Normal 40 4" xfId="9507"/>
    <cellStyle name="Normal 40 4 2" xfId="9508"/>
    <cellStyle name="Normal 40 4 2 2" xfId="19730"/>
    <cellStyle name="Normal 40 4 2 2 2" xfId="30064"/>
    <cellStyle name="Normal 40 4 2 3" xfId="30065"/>
    <cellStyle name="Normal 40 4 3" xfId="19731"/>
    <cellStyle name="Normal 40 4 3 2" xfId="30066"/>
    <cellStyle name="Normal 40 4 4" xfId="30067"/>
    <cellStyle name="Normal 40 5" xfId="9509"/>
    <cellStyle name="Normal 40 5 2" xfId="9510"/>
    <cellStyle name="Normal 40 5 2 2" xfId="19732"/>
    <cellStyle name="Normal 40 5 2 2 2" xfId="30068"/>
    <cellStyle name="Normal 40 5 2 3" xfId="30069"/>
    <cellStyle name="Normal 40 5 3" xfId="19733"/>
    <cellStyle name="Normal 40 5 3 2" xfId="30070"/>
    <cellStyle name="Normal 40 5 4" xfId="30071"/>
    <cellStyle name="Normal 40 6" xfId="9511"/>
    <cellStyle name="Normal 40 6 2" xfId="9512"/>
    <cellStyle name="Normal 40 6 2 2" xfId="19734"/>
    <cellStyle name="Normal 40 6 2 2 2" xfId="30072"/>
    <cellStyle name="Normal 40 6 2 3" xfId="30073"/>
    <cellStyle name="Normal 40 6 3" xfId="19735"/>
    <cellStyle name="Normal 40 6 3 2" xfId="30074"/>
    <cellStyle name="Normal 40 6 4" xfId="30075"/>
    <cellStyle name="Normal 40 7" xfId="9513"/>
    <cellStyle name="Normal 40 7 2" xfId="9514"/>
    <cellStyle name="Normal 40 7 2 2" xfId="19736"/>
    <cellStyle name="Normal 40 7 2 2 2" xfId="30076"/>
    <cellStyle name="Normal 40 7 2 3" xfId="30077"/>
    <cellStyle name="Normal 40 7 3" xfId="19737"/>
    <cellStyle name="Normal 40 7 3 2" xfId="30078"/>
    <cellStyle name="Normal 40 7 4" xfId="30079"/>
    <cellStyle name="Normal 41" xfId="9515"/>
    <cellStyle name="Normal 41 2" xfId="9516"/>
    <cellStyle name="Normal 41 2 2" xfId="9517"/>
    <cellStyle name="Normal 41 2 2 2" xfId="19738"/>
    <cellStyle name="Normal 41 2 2 2 2" xfId="30080"/>
    <cellStyle name="Normal 41 2 2 3" xfId="30081"/>
    <cellStyle name="Normal 41 2 3" xfId="19739"/>
    <cellStyle name="Normal 41 2 3 2" xfId="30082"/>
    <cellStyle name="Normal 41 2 4" xfId="30083"/>
    <cellStyle name="Normal 41 3" xfId="9518"/>
    <cellStyle name="Normal 41 3 2" xfId="9519"/>
    <cellStyle name="Normal 41 3 2 2" xfId="19740"/>
    <cellStyle name="Normal 41 3 2 2 2" xfId="30084"/>
    <cellStyle name="Normal 41 3 2 3" xfId="30085"/>
    <cellStyle name="Normal 41 3 3" xfId="19741"/>
    <cellStyle name="Normal 41 3 3 2" xfId="30086"/>
    <cellStyle name="Normal 41 3 4" xfId="30087"/>
    <cellStyle name="Normal 41 4" xfId="9520"/>
    <cellStyle name="Normal 41 4 2" xfId="9521"/>
    <cellStyle name="Normal 41 4 2 2" xfId="19742"/>
    <cellStyle name="Normal 41 4 2 2 2" xfId="30088"/>
    <cellStyle name="Normal 41 4 2 3" xfId="30089"/>
    <cellStyle name="Normal 41 4 3" xfId="19743"/>
    <cellStyle name="Normal 41 4 3 2" xfId="30090"/>
    <cellStyle name="Normal 41 4 4" xfId="30091"/>
    <cellStyle name="Normal 41 5" xfId="9522"/>
    <cellStyle name="Normal 41 5 2" xfId="9523"/>
    <cellStyle name="Normal 41 5 2 2" xfId="19744"/>
    <cellStyle name="Normal 41 5 2 2 2" xfId="30092"/>
    <cellStyle name="Normal 41 5 2 3" xfId="30093"/>
    <cellStyle name="Normal 41 5 3" xfId="19745"/>
    <cellStyle name="Normal 41 5 3 2" xfId="30094"/>
    <cellStyle name="Normal 41 5 4" xfId="30095"/>
    <cellStyle name="Normal 41 6" xfId="9524"/>
    <cellStyle name="Normal 41 6 2" xfId="9525"/>
    <cellStyle name="Normal 41 6 2 2" xfId="19746"/>
    <cellStyle name="Normal 41 6 2 2 2" xfId="30096"/>
    <cellStyle name="Normal 41 6 2 3" xfId="30097"/>
    <cellStyle name="Normal 41 6 3" xfId="19747"/>
    <cellStyle name="Normal 41 6 3 2" xfId="30098"/>
    <cellStyle name="Normal 41 6 4" xfId="30099"/>
    <cellStyle name="Normal 41 7" xfId="9526"/>
    <cellStyle name="Normal 41 7 2" xfId="9527"/>
    <cellStyle name="Normal 41 7 2 2" xfId="19748"/>
    <cellStyle name="Normal 41 7 2 2 2" xfId="30100"/>
    <cellStyle name="Normal 41 7 2 3" xfId="30101"/>
    <cellStyle name="Normal 41 7 3" xfId="19749"/>
    <cellStyle name="Normal 41 7 3 2" xfId="30102"/>
    <cellStyle name="Normal 41 7 4" xfId="30103"/>
    <cellStyle name="Normal 42" xfId="9528"/>
    <cellStyle name="Normal 42 2" xfId="9529"/>
    <cellStyle name="Normal 42 2 2" xfId="9530"/>
    <cellStyle name="Normal 42 2 3" xfId="9531"/>
    <cellStyle name="Normal 42 2 3 2" xfId="19750"/>
    <cellStyle name="Normal 42 2 3 2 2" xfId="30104"/>
    <cellStyle name="Normal 42 2 3 3" xfId="30105"/>
    <cellStyle name="Normal 42 2 4" xfId="19751"/>
    <cellStyle name="Normal 42 2 4 2" xfId="30106"/>
    <cellStyle name="Normal 42 2 5" xfId="30107"/>
    <cellStyle name="Normal 42 3" xfId="9532"/>
    <cellStyle name="Normal 42 3 2" xfId="9533"/>
    <cellStyle name="Normal 42 3 2 2" xfId="19752"/>
    <cellStyle name="Normal 42 3 2 2 2" xfId="30108"/>
    <cellStyle name="Normal 42 3 2 3" xfId="30109"/>
    <cellStyle name="Normal 42 3 3" xfId="19753"/>
    <cellStyle name="Normal 42 3 3 2" xfId="30110"/>
    <cellStyle name="Normal 42 3 4" xfId="30111"/>
    <cellStyle name="Normal 42 4" xfId="9534"/>
    <cellStyle name="Normal 42 4 2" xfId="9535"/>
    <cellStyle name="Normal 42 4 2 2" xfId="19754"/>
    <cellStyle name="Normal 42 4 2 2 2" xfId="30112"/>
    <cellStyle name="Normal 42 4 2 3" xfId="30113"/>
    <cellStyle name="Normal 42 4 3" xfId="19755"/>
    <cellStyle name="Normal 42 4 3 2" xfId="30114"/>
    <cellStyle name="Normal 42 4 4" xfId="30115"/>
    <cellStyle name="Normal 42 5" xfId="9536"/>
    <cellStyle name="Normal 42 5 2" xfId="9537"/>
    <cellStyle name="Normal 42 5 2 2" xfId="19756"/>
    <cellStyle name="Normal 42 5 2 2 2" xfId="30116"/>
    <cellStyle name="Normal 42 5 2 3" xfId="30117"/>
    <cellStyle name="Normal 42 5 3" xfId="19757"/>
    <cellStyle name="Normal 42 5 3 2" xfId="30118"/>
    <cellStyle name="Normal 42 5 4" xfId="30119"/>
    <cellStyle name="Normal 42 6" xfId="9538"/>
    <cellStyle name="Normal 42 6 2" xfId="9539"/>
    <cellStyle name="Normal 42 6 2 2" xfId="19758"/>
    <cellStyle name="Normal 42 6 2 2 2" xfId="30120"/>
    <cellStyle name="Normal 42 6 2 3" xfId="30121"/>
    <cellStyle name="Normal 42 6 3" xfId="19759"/>
    <cellStyle name="Normal 42 6 3 2" xfId="30122"/>
    <cellStyle name="Normal 42 6 4" xfId="30123"/>
    <cellStyle name="Normal 42 7" xfId="9540"/>
    <cellStyle name="Normal 42 7 2" xfId="9541"/>
    <cellStyle name="Normal 42 7 2 2" xfId="19760"/>
    <cellStyle name="Normal 42 7 2 2 2" xfId="30124"/>
    <cellStyle name="Normal 42 7 2 3" xfId="30125"/>
    <cellStyle name="Normal 42 7 3" xfId="19761"/>
    <cellStyle name="Normal 42 7 3 2" xfId="30126"/>
    <cellStyle name="Normal 42 7 4" xfId="30127"/>
    <cellStyle name="Normal 42 8" xfId="19762"/>
    <cellStyle name="Normal 42 8 2" xfId="30128"/>
    <cellStyle name="Normal 43" xfId="9542"/>
    <cellStyle name="Normal 43 2" xfId="9543"/>
    <cellStyle name="Normal 43 2 2" xfId="9544"/>
    <cellStyle name="Normal 43 2 2 2" xfId="30129"/>
    <cellStyle name="Normal 43 2 3" xfId="9545"/>
    <cellStyle name="Normal 43 2 3 2" xfId="19763"/>
    <cellStyle name="Normal 43 2 3 2 2" xfId="30130"/>
    <cellStyle name="Normal 43 2 3 3" xfId="30131"/>
    <cellStyle name="Normal 43 2 4" xfId="19764"/>
    <cellStyle name="Normal 43 2 4 2" xfId="30132"/>
    <cellStyle name="Normal 43 2 5" xfId="30133"/>
    <cellStyle name="Normal 43 3" xfId="9546"/>
    <cellStyle name="Normal 43 3 2" xfId="9547"/>
    <cellStyle name="Normal 43 3 2 2" xfId="19765"/>
    <cellStyle name="Normal 43 3 2 2 2" xfId="30134"/>
    <cellStyle name="Normal 43 3 2 3" xfId="30135"/>
    <cellStyle name="Normal 43 3 3" xfId="19766"/>
    <cellStyle name="Normal 43 3 3 2" xfId="30136"/>
    <cellStyle name="Normal 43 3 4" xfId="30137"/>
    <cellStyle name="Normal 43 4" xfId="9548"/>
    <cellStyle name="Normal 43 4 2" xfId="9549"/>
    <cellStyle name="Normal 43 4 2 2" xfId="19767"/>
    <cellStyle name="Normal 43 4 2 2 2" xfId="30138"/>
    <cellStyle name="Normal 43 4 2 3" xfId="30139"/>
    <cellStyle name="Normal 43 4 3" xfId="19768"/>
    <cellStyle name="Normal 43 4 3 2" xfId="30140"/>
    <cellStyle name="Normal 43 4 4" xfId="30141"/>
    <cellStyle name="Normal 43 5" xfId="9550"/>
    <cellStyle name="Normal 43 5 2" xfId="9551"/>
    <cellStyle name="Normal 43 5 2 2" xfId="19769"/>
    <cellStyle name="Normal 43 5 2 2 2" xfId="30142"/>
    <cellStyle name="Normal 43 5 2 3" xfId="30143"/>
    <cellStyle name="Normal 43 5 3" xfId="19770"/>
    <cellStyle name="Normal 43 5 3 2" xfId="30144"/>
    <cellStyle name="Normal 43 5 4" xfId="30145"/>
    <cellStyle name="Normal 43 6" xfId="9552"/>
    <cellStyle name="Normal 43 6 2" xfId="9553"/>
    <cellStyle name="Normal 43 6 2 2" xfId="19771"/>
    <cellStyle name="Normal 43 6 2 2 2" xfId="30146"/>
    <cellStyle name="Normal 43 6 2 3" xfId="30147"/>
    <cellStyle name="Normal 43 6 3" xfId="19772"/>
    <cellStyle name="Normal 43 6 3 2" xfId="30148"/>
    <cellStyle name="Normal 43 6 4" xfId="30149"/>
    <cellStyle name="Normal 43 7" xfId="9554"/>
    <cellStyle name="Normal 43 7 2" xfId="9555"/>
    <cellStyle name="Normal 43 7 2 2" xfId="19773"/>
    <cellStyle name="Normal 43 7 2 2 2" xfId="30150"/>
    <cellStyle name="Normal 43 7 2 3" xfId="30151"/>
    <cellStyle name="Normal 43 7 3" xfId="19774"/>
    <cellStyle name="Normal 43 7 3 2" xfId="30152"/>
    <cellStyle name="Normal 43 7 4" xfId="30153"/>
    <cellStyle name="Normal 43 8" xfId="19775"/>
    <cellStyle name="Normal 43 8 2" xfId="19776"/>
    <cellStyle name="Normal 43 8 2 2" xfId="30154"/>
    <cellStyle name="Normal 43 8 3" xfId="30155"/>
    <cellStyle name="Normal 44" xfId="9556"/>
    <cellStyle name="Normal 44 2" xfId="9557"/>
    <cellStyle name="Normal 44 2 2" xfId="9558"/>
    <cellStyle name="Normal 44 2 2 2" xfId="19777"/>
    <cellStyle name="Normal 44 2 2 2 2" xfId="30156"/>
    <cellStyle name="Normal 44 2 2 3" xfId="30157"/>
    <cellStyle name="Normal 44 2 3" xfId="19778"/>
    <cellStyle name="Normal 44 2 3 2" xfId="30158"/>
    <cellStyle name="Normal 44 2 4" xfId="30159"/>
    <cellStyle name="Normal 44 3" xfId="9559"/>
    <cellStyle name="Normal 44 3 2" xfId="9560"/>
    <cellStyle name="Normal 44 3 2 2" xfId="19779"/>
    <cellStyle name="Normal 44 3 2 2 2" xfId="30160"/>
    <cellStyle name="Normal 44 3 2 3" xfId="30161"/>
    <cellStyle name="Normal 44 3 3" xfId="19780"/>
    <cellStyle name="Normal 44 3 3 2" xfId="30162"/>
    <cellStyle name="Normal 44 3 4" xfId="30163"/>
    <cellStyle name="Normal 44 4" xfId="9561"/>
    <cellStyle name="Normal 44 4 2" xfId="9562"/>
    <cellStyle name="Normal 44 4 2 2" xfId="19781"/>
    <cellStyle name="Normal 44 4 2 2 2" xfId="30164"/>
    <cellStyle name="Normal 44 4 2 3" xfId="30165"/>
    <cellStyle name="Normal 44 4 3" xfId="19782"/>
    <cellStyle name="Normal 44 4 3 2" xfId="30166"/>
    <cellStyle name="Normal 44 4 4" xfId="30167"/>
    <cellStyle name="Normal 44 5" xfId="9563"/>
    <cellStyle name="Normal 44 5 2" xfId="9564"/>
    <cellStyle name="Normal 44 5 2 2" xfId="19783"/>
    <cellStyle name="Normal 44 5 2 2 2" xfId="30168"/>
    <cellStyle name="Normal 44 5 2 3" xfId="30169"/>
    <cellStyle name="Normal 44 5 3" xfId="19784"/>
    <cellStyle name="Normal 44 5 3 2" xfId="30170"/>
    <cellStyle name="Normal 44 5 4" xfId="30171"/>
    <cellStyle name="Normal 44 6" xfId="9565"/>
    <cellStyle name="Normal 44 6 2" xfId="9566"/>
    <cellStyle name="Normal 44 6 2 2" xfId="19785"/>
    <cellStyle name="Normal 44 6 2 2 2" xfId="30172"/>
    <cellStyle name="Normal 44 6 2 3" xfId="30173"/>
    <cellStyle name="Normal 44 6 3" xfId="19786"/>
    <cellStyle name="Normal 44 6 3 2" xfId="30174"/>
    <cellStyle name="Normal 44 6 4" xfId="30175"/>
    <cellStyle name="Normal 44 7" xfId="9567"/>
    <cellStyle name="Normal 44 7 2" xfId="9568"/>
    <cellStyle name="Normal 44 7 2 2" xfId="19787"/>
    <cellStyle name="Normal 44 7 2 2 2" xfId="30176"/>
    <cellStyle name="Normal 44 7 2 3" xfId="30177"/>
    <cellStyle name="Normal 44 7 3" xfId="19788"/>
    <cellStyle name="Normal 44 7 3 2" xfId="30178"/>
    <cellStyle name="Normal 44 7 4" xfId="30179"/>
    <cellStyle name="Normal 44 8" xfId="33775"/>
    <cellStyle name="Normal 45" xfId="9569"/>
    <cellStyle name="Normal 45 2" xfId="9570"/>
    <cellStyle name="Normal 45 2 2" xfId="9571"/>
    <cellStyle name="Normal 45 2 2 2" xfId="19789"/>
    <cellStyle name="Normal 45 2 2 2 2" xfId="30180"/>
    <cellStyle name="Normal 45 2 2 3" xfId="30181"/>
    <cellStyle name="Normal 45 2 3" xfId="19790"/>
    <cellStyle name="Normal 45 2 3 2" xfId="30182"/>
    <cellStyle name="Normal 45 2 4" xfId="30183"/>
    <cellStyle name="Normal 45 3" xfId="9572"/>
    <cellStyle name="Normal 45 3 2" xfId="9573"/>
    <cellStyle name="Normal 45 3 2 2" xfId="19791"/>
    <cellStyle name="Normal 45 3 2 2 2" xfId="30184"/>
    <cellStyle name="Normal 45 3 2 3" xfId="30185"/>
    <cellStyle name="Normal 45 3 3" xfId="19792"/>
    <cellStyle name="Normal 45 3 3 2" xfId="30186"/>
    <cellStyle name="Normal 45 3 4" xfId="30187"/>
    <cellStyle name="Normal 45 4" xfId="9574"/>
    <cellStyle name="Normal 45 4 2" xfId="9575"/>
    <cellStyle name="Normal 45 4 2 2" xfId="19793"/>
    <cellStyle name="Normal 45 4 2 2 2" xfId="30188"/>
    <cellStyle name="Normal 45 4 2 3" xfId="30189"/>
    <cellStyle name="Normal 45 4 3" xfId="19794"/>
    <cellStyle name="Normal 45 4 3 2" xfId="30190"/>
    <cellStyle name="Normal 45 4 4" xfId="30191"/>
    <cellStyle name="Normal 45 5" xfId="9576"/>
    <cellStyle name="Normal 45 5 2" xfId="9577"/>
    <cellStyle name="Normal 45 5 2 2" xfId="19795"/>
    <cellStyle name="Normal 45 5 2 2 2" xfId="30192"/>
    <cellStyle name="Normal 45 5 2 3" xfId="30193"/>
    <cellStyle name="Normal 45 5 3" xfId="19796"/>
    <cellStyle name="Normal 45 5 3 2" xfId="30194"/>
    <cellStyle name="Normal 45 5 4" xfId="30195"/>
    <cellStyle name="Normal 45 6" xfId="9578"/>
    <cellStyle name="Normal 45 6 2" xfId="9579"/>
    <cellStyle name="Normal 45 6 2 2" xfId="19797"/>
    <cellStyle name="Normal 45 6 2 2 2" xfId="30196"/>
    <cellStyle name="Normal 45 6 2 3" xfId="30197"/>
    <cellStyle name="Normal 45 6 3" xfId="19798"/>
    <cellStyle name="Normal 45 6 3 2" xfId="30198"/>
    <cellStyle name="Normal 45 6 4" xfId="30199"/>
    <cellStyle name="Normal 45 7" xfId="9580"/>
    <cellStyle name="Normal 45 7 2" xfId="9581"/>
    <cellStyle name="Normal 45 7 2 2" xfId="19799"/>
    <cellStyle name="Normal 45 7 2 2 2" xfId="30200"/>
    <cellStyle name="Normal 45 7 2 3" xfId="30201"/>
    <cellStyle name="Normal 45 7 3" xfId="19800"/>
    <cellStyle name="Normal 45 7 3 2" xfId="30202"/>
    <cellStyle name="Normal 45 7 4" xfId="30203"/>
    <cellStyle name="Normal 46" xfId="9582"/>
    <cellStyle name="Normal 46 2" xfId="9583"/>
    <cellStyle name="Normal 46 2 2" xfId="9584"/>
    <cellStyle name="Normal 46 2 2 2" xfId="19801"/>
    <cellStyle name="Normal 46 2 2 2 2" xfId="30204"/>
    <cellStyle name="Normal 46 2 2 3" xfId="30205"/>
    <cellStyle name="Normal 46 2 3" xfId="19802"/>
    <cellStyle name="Normal 46 2 3 2" xfId="30206"/>
    <cellStyle name="Normal 46 2 4" xfId="30207"/>
    <cellStyle name="Normal 46 3" xfId="9585"/>
    <cellStyle name="Normal 46 3 2" xfId="9586"/>
    <cellStyle name="Normal 46 3 2 2" xfId="19803"/>
    <cellStyle name="Normal 46 3 2 2 2" xfId="30208"/>
    <cellStyle name="Normal 46 3 2 3" xfId="30209"/>
    <cellStyle name="Normal 46 3 3" xfId="19804"/>
    <cellStyle name="Normal 46 3 3 2" xfId="30210"/>
    <cellStyle name="Normal 46 3 4" xfId="30211"/>
    <cellStyle name="Normal 46 4" xfId="9587"/>
    <cellStyle name="Normal 46 4 2" xfId="9588"/>
    <cellStyle name="Normal 46 4 2 2" xfId="19805"/>
    <cellStyle name="Normal 46 4 2 2 2" xfId="30212"/>
    <cellStyle name="Normal 46 4 2 3" xfId="30213"/>
    <cellStyle name="Normal 46 4 3" xfId="19806"/>
    <cellStyle name="Normal 46 4 3 2" xfId="30214"/>
    <cellStyle name="Normal 46 4 4" xfId="30215"/>
    <cellStyle name="Normal 46 5" xfId="9589"/>
    <cellStyle name="Normal 46 5 2" xfId="9590"/>
    <cellStyle name="Normal 46 5 2 2" xfId="19807"/>
    <cellStyle name="Normal 46 5 2 2 2" xfId="30216"/>
    <cellStyle name="Normal 46 5 2 3" xfId="30217"/>
    <cellStyle name="Normal 46 5 3" xfId="19808"/>
    <cellStyle name="Normal 46 5 3 2" xfId="30218"/>
    <cellStyle name="Normal 46 5 4" xfId="30219"/>
    <cellStyle name="Normal 46 6" xfId="9591"/>
    <cellStyle name="Normal 46 6 2" xfId="9592"/>
    <cellStyle name="Normal 46 6 2 2" xfId="19809"/>
    <cellStyle name="Normal 46 6 2 2 2" xfId="30220"/>
    <cellStyle name="Normal 46 6 2 3" xfId="30221"/>
    <cellStyle name="Normal 46 6 3" xfId="19810"/>
    <cellStyle name="Normal 46 6 3 2" xfId="30222"/>
    <cellStyle name="Normal 46 6 4" xfId="30223"/>
    <cellStyle name="Normal 46 7" xfId="9593"/>
    <cellStyle name="Normal 46 7 2" xfId="9594"/>
    <cellStyle name="Normal 46 7 2 2" xfId="19811"/>
    <cellStyle name="Normal 46 7 2 2 2" xfId="30224"/>
    <cellStyle name="Normal 46 7 2 3" xfId="30225"/>
    <cellStyle name="Normal 46 7 3" xfId="19812"/>
    <cellStyle name="Normal 46 7 3 2" xfId="30226"/>
    <cellStyle name="Normal 46 7 4" xfId="30227"/>
    <cellStyle name="Normal 47" xfId="9595"/>
    <cellStyle name="Normal 47 2" xfId="9596"/>
    <cellStyle name="Normal 47 2 2" xfId="9597"/>
    <cellStyle name="Normal 47 2 2 2" xfId="19813"/>
    <cellStyle name="Normal 47 2 2 2 2" xfId="30228"/>
    <cellStyle name="Normal 47 2 2 3" xfId="30229"/>
    <cellStyle name="Normal 47 2 3" xfId="19814"/>
    <cellStyle name="Normal 47 2 3 2" xfId="30230"/>
    <cellStyle name="Normal 47 2 4" xfId="30231"/>
    <cellStyle name="Normal 47 3" xfId="9598"/>
    <cellStyle name="Normal 47 3 2" xfId="9599"/>
    <cellStyle name="Normal 47 3 2 2" xfId="19815"/>
    <cellStyle name="Normal 47 3 2 2 2" xfId="30232"/>
    <cellStyle name="Normal 47 3 2 3" xfId="30233"/>
    <cellStyle name="Normal 47 3 3" xfId="19816"/>
    <cellStyle name="Normal 47 3 3 2" xfId="30234"/>
    <cellStyle name="Normal 47 3 4" xfId="30235"/>
    <cellStyle name="Normal 47 4" xfId="9600"/>
    <cellStyle name="Normal 47 4 2" xfId="9601"/>
    <cellStyle name="Normal 47 4 2 2" xfId="19817"/>
    <cellStyle name="Normal 47 4 2 2 2" xfId="30236"/>
    <cellStyle name="Normal 47 4 2 3" xfId="30237"/>
    <cellStyle name="Normal 47 4 3" xfId="19818"/>
    <cellStyle name="Normal 47 4 3 2" xfId="30238"/>
    <cellStyle name="Normal 47 4 4" xfId="30239"/>
    <cellStyle name="Normal 47 5" xfId="9602"/>
    <cellStyle name="Normal 47 5 2" xfId="9603"/>
    <cellStyle name="Normal 47 5 2 2" xfId="19819"/>
    <cellStyle name="Normal 47 5 2 2 2" xfId="30240"/>
    <cellStyle name="Normal 47 5 2 3" xfId="30241"/>
    <cellStyle name="Normal 47 5 3" xfId="19820"/>
    <cellStyle name="Normal 47 5 3 2" xfId="30242"/>
    <cellStyle name="Normal 47 5 4" xfId="30243"/>
    <cellStyle name="Normal 47 6" xfId="9604"/>
    <cellStyle name="Normal 47 6 2" xfId="9605"/>
    <cellStyle name="Normal 47 6 2 2" xfId="19821"/>
    <cellStyle name="Normal 47 6 2 2 2" xfId="30244"/>
    <cellStyle name="Normal 47 6 2 3" xfId="30245"/>
    <cellStyle name="Normal 47 6 3" xfId="19822"/>
    <cellStyle name="Normal 47 6 3 2" xfId="30246"/>
    <cellStyle name="Normal 47 6 4" xfId="30247"/>
    <cellStyle name="Normal 47 7" xfId="9606"/>
    <cellStyle name="Normal 47 7 2" xfId="9607"/>
    <cellStyle name="Normal 47 7 2 2" xfId="19823"/>
    <cellStyle name="Normal 47 7 2 2 2" xfId="30248"/>
    <cellStyle name="Normal 47 7 2 3" xfId="30249"/>
    <cellStyle name="Normal 47 7 3" xfId="19824"/>
    <cellStyle name="Normal 47 7 3 2" xfId="30250"/>
    <cellStyle name="Normal 47 7 4" xfId="30251"/>
    <cellStyle name="Normal 48" xfId="9608"/>
    <cellStyle name="Normal 48 2" xfId="9609"/>
    <cellStyle name="Normal 48 2 2" xfId="9610"/>
    <cellStyle name="Normal 48 2 2 2" xfId="19825"/>
    <cellStyle name="Normal 48 2 2 2 2" xfId="30252"/>
    <cellStyle name="Normal 48 2 2 3" xfId="30253"/>
    <cellStyle name="Normal 48 2 3" xfId="19826"/>
    <cellStyle name="Normal 48 2 3 2" xfId="30254"/>
    <cellStyle name="Normal 48 2 4" xfId="30255"/>
    <cellStyle name="Normal 48 3" xfId="9611"/>
    <cellStyle name="Normal 48 3 2" xfId="9612"/>
    <cellStyle name="Normal 48 3 2 2" xfId="19827"/>
    <cellStyle name="Normal 48 3 2 2 2" xfId="30256"/>
    <cellStyle name="Normal 48 3 2 3" xfId="30257"/>
    <cellStyle name="Normal 48 3 3" xfId="19828"/>
    <cellStyle name="Normal 48 3 3 2" xfId="30258"/>
    <cellStyle name="Normal 48 3 4" xfId="30259"/>
    <cellStyle name="Normal 48 4" xfId="9613"/>
    <cellStyle name="Normal 48 4 2" xfId="9614"/>
    <cellStyle name="Normal 48 4 2 2" xfId="19829"/>
    <cellStyle name="Normal 48 4 2 2 2" xfId="30260"/>
    <cellStyle name="Normal 48 4 2 3" xfId="30261"/>
    <cellStyle name="Normal 48 4 3" xfId="19830"/>
    <cellStyle name="Normal 48 4 3 2" xfId="30262"/>
    <cellStyle name="Normal 48 4 4" xfId="30263"/>
    <cellStyle name="Normal 48 5" xfId="9615"/>
    <cellStyle name="Normal 48 5 2" xfId="9616"/>
    <cellStyle name="Normal 48 5 2 2" xfId="19831"/>
    <cellStyle name="Normal 48 5 2 2 2" xfId="30264"/>
    <cellStyle name="Normal 48 5 2 3" xfId="30265"/>
    <cellStyle name="Normal 48 5 3" xfId="19832"/>
    <cellStyle name="Normal 48 5 3 2" xfId="30266"/>
    <cellStyle name="Normal 48 5 4" xfId="30267"/>
    <cellStyle name="Normal 48 6" xfId="9617"/>
    <cellStyle name="Normal 48 6 2" xfId="9618"/>
    <cellStyle name="Normal 48 6 2 2" xfId="19833"/>
    <cellStyle name="Normal 48 6 2 2 2" xfId="30268"/>
    <cellStyle name="Normal 48 6 2 3" xfId="30269"/>
    <cellStyle name="Normal 48 6 3" xfId="19834"/>
    <cellStyle name="Normal 48 6 3 2" xfId="30270"/>
    <cellStyle name="Normal 48 6 4" xfId="30271"/>
    <cellStyle name="Normal 48 7" xfId="9619"/>
    <cellStyle name="Normal 48 7 2" xfId="9620"/>
    <cellStyle name="Normal 48 7 2 2" xfId="19835"/>
    <cellStyle name="Normal 48 7 2 2 2" xfId="30272"/>
    <cellStyle name="Normal 48 7 2 3" xfId="30273"/>
    <cellStyle name="Normal 48 7 3" xfId="19836"/>
    <cellStyle name="Normal 48 7 3 2" xfId="30274"/>
    <cellStyle name="Normal 48 7 4" xfId="30275"/>
    <cellStyle name="Normal 49" xfId="9621"/>
    <cellStyle name="Normal 49 2" xfId="9622"/>
    <cellStyle name="Normal 49 2 2" xfId="9623"/>
    <cellStyle name="Normal 49 2 2 2" xfId="19837"/>
    <cellStyle name="Normal 49 2 2 2 2" xfId="30276"/>
    <cellStyle name="Normal 49 2 2 3" xfId="30277"/>
    <cellStyle name="Normal 49 2 3" xfId="19838"/>
    <cellStyle name="Normal 49 2 3 2" xfId="30278"/>
    <cellStyle name="Normal 49 2 4" xfId="30279"/>
    <cellStyle name="Normal 49 3" xfId="9624"/>
    <cellStyle name="Normal 49 3 2" xfId="9625"/>
    <cellStyle name="Normal 49 3 2 2" xfId="19839"/>
    <cellStyle name="Normal 49 3 2 2 2" xfId="30280"/>
    <cellStyle name="Normal 49 3 2 3" xfId="30281"/>
    <cellStyle name="Normal 49 3 3" xfId="19840"/>
    <cellStyle name="Normal 49 3 3 2" xfId="30282"/>
    <cellStyle name="Normal 49 3 4" xfId="30283"/>
    <cellStyle name="Normal 49 4" xfId="9626"/>
    <cellStyle name="Normal 49 4 2" xfId="9627"/>
    <cellStyle name="Normal 49 4 2 2" xfId="19841"/>
    <cellStyle name="Normal 49 4 2 2 2" xfId="30284"/>
    <cellStyle name="Normal 49 4 2 3" xfId="30285"/>
    <cellStyle name="Normal 49 4 3" xfId="19842"/>
    <cellStyle name="Normal 49 4 3 2" xfId="30286"/>
    <cellStyle name="Normal 49 4 4" xfId="30287"/>
    <cellStyle name="Normal 49 5" xfId="9628"/>
    <cellStyle name="Normal 49 5 2" xfId="9629"/>
    <cellStyle name="Normal 49 5 2 2" xfId="19843"/>
    <cellStyle name="Normal 49 5 2 2 2" xfId="30288"/>
    <cellStyle name="Normal 49 5 2 3" xfId="30289"/>
    <cellStyle name="Normal 49 5 3" xfId="19844"/>
    <cellStyle name="Normal 49 5 3 2" xfId="30290"/>
    <cellStyle name="Normal 49 5 4" xfId="30291"/>
    <cellStyle name="Normal 49 6" xfId="9630"/>
    <cellStyle name="Normal 49 6 2" xfId="9631"/>
    <cellStyle name="Normal 49 6 2 2" xfId="19845"/>
    <cellStyle name="Normal 49 6 2 2 2" xfId="30292"/>
    <cellStyle name="Normal 49 6 2 3" xfId="30293"/>
    <cellStyle name="Normal 49 6 3" xfId="19846"/>
    <cellStyle name="Normal 49 6 3 2" xfId="30294"/>
    <cellStyle name="Normal 49 6 4" xfId="30295"/>
    <cellStyle name="Normal 49 7" xfId="9632"/>
    <cellStyle name="Normal 49 7 2" xfId="9633"/>
    <cellStyle name="Normal 49 7 2 2" xfId="19847"/>
    <cellStyle name="Normal 49 7 2 2 2" xfId="30296"/>
    <cellStyle name="Normal 49 7 2 3" xfId="30297"/>
    <cellStyle name="Normal 49 7 3" xfId="19848"/>
    <cellStyle name="Normal 49 7 3 2" xfId="30298"/>
    <cellStyle name="Normal 49 7 4" xfId="30299"/>
    <cellStyle name="Normal 5" xfId="58"/>
    <cellStyle name="Normal 5 10" xfId="9634"/>
    <cellStyle name="Normal 5 10 2" xfId="9635"/>
    <cellStyle name="Normal 5 10 2 2" xfId="9636"/>
    <cellStyle name="Normal 5 10 2 3" xfId="9637"/>
    <cellStyle name="Normal 5 10 2 3 2" xfId="19849"/>
    <cellStyle name="Normal 5 10 2 3 2 2" xfId="30300"/>
    <cellStyle name="Normal 5 10 2 3 3" xfId="30301"/>
    <cellStyle name="Normal 5 10 2 4" xfId="19850"/>
    <cellStyle name="Normal 5 10 2 4 2" xfId="30302"/>
    <cellStyle name="Normal 5 10 2 5" xfId="30303"/>
    <cellStyle name="Normal 5 10 3" xfId="9638"/>
    <cellStyle name="Normal 5 10 3 2" xfId="9639"/>
    <cellStyle name="Normal 5 10 3 3" xfId="9640"/>
    <cellStyle name="Normal 5 10 3 3 2" xfId="19851"/>
    <cellStyle name="Normal 5 10 3 3 2 2" xfId="30304"/>
    <cellStyle name="Normal 5 10 3 3 3" xfId="30305"/>
    <cellStyle name="Normal 5 10 3 4" xfId="19852"/>
    <cellStyle name="Normal 5 10 3 4 2" xfId="30306"/>
    <cellStyle name="Normal 5 10 3 5" xfId="30307"/>
    <cellStyle name="Normal 5 10 4" xfId="9641"/>
    <cellStyle name="Normal 5 10 5" xfId="9642"/>
    <cellStyle name="Normal 5 10 5 2" xfId="19853"/>
    <cellStyle name="Normal 5 10 5 2 2" xfId="30308"/>
    <cellStyle name="Normal 5 10 5 3" xfId="30309"/>
    <cellStyle name="Normal 5 10 6" xfId="19854"/>
    <cellStyle name="Normal 5 10 6 2" xfId="30310"/>
    <cellStyle name="Normal 5 10 7" xfId="30311"/>
    <cellStyle name="Normal 5 100" xfId="9643"/>
    <cellStyle name="Normal 5 100 2" xfId="9644"/>
    <cellStyle name="Normal 5 100 2 2" xfId="9645"/>
    <cellStyle name="Normal 5 100 2 3" xfId="9646"/>
    <cellStyle name="Normal 5 100 2 3 2" xfId="19855"/>
    <cellStyle name="Normal 5 100 2 3 2 2" xfId="30312"/>
    <cellStyle name="Normal 5 100 2 3 3" xfId="30313"/>
    <cellStyle name="Normal 5 100 2 4" xfId="19856"/>
    <cellStyle name="Normal 5 100 2 4 2" xfId="30314"/>
    <cellStyle name="Normal 5 100 2 5" xfId="30315"/>
    <cellStyle name="Normal 5 100 3" xfId="9647"/>
    <cellStyle name="Normal 5 100 4" xfId="9648"/>
    <cellStyle name="Normal 5 100 4 2" xfId="19857"/>
    <cellStyle name="Normal 5 100 4 2 2" xfId="30316"/>
    <cellStyle name="Normal 5 100 4 3" xfId="30317"/>
    <cellStyle name="Normal 5 100 5" xfId="19858"/>
    <cellStyle name="Normal 5 100 5 2" xfId="30318"/>
    <cellStyle name="Normal 5 100 6" xfId="30319"/>
    <cellStyle name="Normal 5 101" xfId="9649"/>
    <cellStyle name="Normal 5 101 2" xfId="19859"/>
    <cellStyle name="Normal 5 102" xfId="9650"/>
    <cellStyle name="Normal 5 102 2" xfId="19860"/>
    <cellStyle name="Normal 5 103" xfId="9651"/>
    <cellStyle name="Normal 5 103 2" xfId="19861"/>
    <cellStyle name="Normal 5 104" xfId="9652"/>
    <cellStyle name="Normal 5 104 2" xfId="19862"/>
    <cellStyle name="Normal 5 105" xfId="9653"/>
    <cellStyle name="Normal 5 105 2" xfId="19863"/>
    <cellStyle name="Normal 5 106" xfId="9654"/>
    <cellStyle name="Normal 5 106 2" xfId="19864"/>
    <cellStyle name="Normal 5 107" xfId="9655"/>
    <cellStyle name="Normal 5 107 2" xfId="9656"/>
    <cellStyle name="Normal 5 107 2 2" xfId="9657"/>
    <cellStyle name="Normal 5 107 2 3" xfId="9658"/>
    <cellStyle name="Normal 5 107 2 3 2" xfId="19865"/>
    <cellStyle name="Normal 5 107 2 3 2 2" xfId="30320"/>
    <cellStyle name="Normal 5 107 2 3 3" xfId="30321"/>
    <cellStyle name="Normal 5 107 2 4" xfId="19866"/>
    <cellStyle name="Normal 5 107 2 4 2" xfId="30322"/>
    <cellStyle name="Normal 5 107 2 5" xfId="30323"/>
    <cellStyle name="Normal 5 107 3" xfId="9659"/>
    <cellStyle name="Normal 5 107 4" xfId="9660"/>
    <cellStyle name="Normal 5 107 4 2" xfId="19867"/>
    <cellStyle name="Normal 5 107 4 2 2" xfId="30324"/>
    <cellStyle name="Normal 5 107 4 3" xfId="30325"/>
    <cellStyle name="Normal 5 107 5" xfId="19868"/>
    <cellStyle name="Normal 5 107 5 2" xfId="30326"/>
    <cellStyle name="Normal 5 107 6" xfId="30327"/>
    <cellStyle name="Normal 5 108" xfId="9661"/>
    <cellStyle name="Normal 5 108 2" xfId="9662"/>
    <cellStyle name="Normal 5 108 2 2" xfId="9663"/>
    <cellStyle name="Normal 5 108 2 3" xfId="9664"/>
    <cellStyle name="Normal 5 108 2 3 2" xfId="19869"/>
    <cellStyle name="Normal 5 108 2 3 2 2" xfId="30328"/>
    <cellStyle name="Normal 5 108 2 3 3" xfId="30329"/>
    <cellStyle name="Normal 5 108 2 4" xfId="19870"/>
    <cellStyle name="Normal 5 108 2 4 2" xfId="30330"/>
    <cellStyle name="Normal 5 108 2 5" xfId="30331"/>
    <cellStyle name="Normal 5 108 3" xfId="9665"/>
    <cellStyle name="Normal 5 108 4" xfId="9666"/>
    <cellStyle name="Normal 5 108 4 2" xfId="19871"/>
    <cellStyle name="Normal 5 108 4 2 2" xfId="30332"/>
    <cellStyle name="Normal 5 108 4 3" xfId="30333"/>
    <cellStyle name="Normal 5 108 5" xfId="19872"/>
    <cellStyle name="Normal 5 108 5 2" xfId="30334"/>
    <cellStyle name="Normal 5 108 6" xfId="30335"/>
    <cellStyle name="Normal 5 109" xfId="9667"/>
    <cellStyle name="Normal 5 109 2" xfId="9668"/>
    <cellStyle name="Normal 5 109 2 2" xfId="9669"/>
    <cellStyle name="Normal 5 109 2 3" xfId="9670"/>
    <cellStyle name="Normal 5 109 2 3 2" xfId="19873"/>
    <cellStyle name="Normal 5 109 2 3 2 2" xfId="30336"/>
    <cellStyle name="Normal 5 109 2 3 3" xfId="30337"/>
    <cellStyle name="Normal 5 109 2 4" xfId="19874"/>
    <cellStyle name="Normal 5 109 2 4 2" xfId="30338"/>
    <cellStyle name="Normal 5 109 2 5" xfId="30339"/>
    <cellStyle name="Normal 5 109 3" xfId="9671"/>
    <cellStyle name="Normal 5 109 4" xfId="9672"/>
    <cellStyle name="Normal 5 109 4 2" xfId="19875"/>
    <cellStyle name="Normal 5 109 4 2 2" xfId="30340"/>
    <cellStyle name="Normal 5 109 4 3" xfId="30341"/>
    <cellStyle name="Normal 5 109 5" xfId="19876"/>
    <cellStyle name="Normal 5 109 5 2" xfId="30342"/>
    <cellStyle name="Normal 5 109 6" xfId="30343"/>
    <cellStyle name="Normal 5 11" xfId="9673"/>
    <cellStyle name="Normal 5 11 2" xfId="9674"/>
    <cellStyle name="Normal 5 11 2 2" xfId="9675"/>
    <cellStyle name="Normal 5 11 2 3" xfId="9676"/>
    <cellStyle name="Normal 5 11 2 3 2" xfId="19877"/>
    <cellStyle name="Normal 5 11 2 3 2 2" xfId="30344"/>
    <cellStyle name="Normal 5 11 2 3 3" xfId="30345"/>
    <cellStyle name="Normal 5 11 2 4" xfId="19878"/>
    <cellStyle name="Normal 5 11 2 4 2" xfId="30346"/>
    <cellStyle name="Normal 5 11 2 5" xfId="30347"/>
    <cellStyle name="Normal 5 11 3" xfId="9677"/>
    <cellStyle name="Normal 5 11 3 2" xfId="9678"/>
    <cellStyle name="Normal 5 11 3 3" xfId="9679"/>
    <cellStyle name="Normal 5 11 3 3 2" xfId="19879"/>
    <cellStyle name="Normal 5 11 3 3 2 2" xfId="30348"/>
    <cellStyle name="Normal 5 11 3 3 3" xfId="30349"/>
    <cellStyle name="Normal 5 11 3 4" xfId="19880"/>
    <cellStyle name="Normal 5 11 3 4 2" xfId="30350"/>
    <cellStyle name="Normal 5 11 3 5" xfId="30351"/>
    <cellStyle name="Normal 5 11 4" xfId="9680"/>
    <cellStyle name="Normal 5 11 4 2" xfId="19881"/>
    <cellStyle name="Normal 5 11 4 2 2" xfId="30352"/>
    <cellStyle name="Normal 5 11 4 3" xfId="30353"/>
    <cellStyle name="Normal 5 11 5" xfId="19882"/>
    <cellStyle name="Normal 5 11 5 2" xfId="30354"/>
    <cellStyle name="Normal 5 11 6" xfId="30355"/>
    <cellStyle name="Normal 5 110" xfId="9681"/>
    <cellStyle name="Normal 5 110 2" xfId="9682"/>
    <cellStyle name="Normal 5 110 2 2" xfId="9683"/>
    <cellStyle name="Normal 5 110 2 3" xfId="9684"/>
    <cellStyle name="Normal 5 110 2 3 2" xfId="19883"/>
    <cellStyle name="Normal 5 110 2 3 2 2" xfId="30356"/>
    <cellStyle name="Normal 5 110 2 3 3" xfId="30357"/>
    <cellStyle name="Normal 5 110 2 4" xfId="19884"/>
    <cellStyle name="Normal 5 110 2 4 2" xfId="30358"/>
    <cellStyle name="Normal 5 110 2 5" xfId="30359"/>
    <cellStyle name="Normal 5 110 3" xfId="9685"/>
    <cellStyle name="Normal 5 110 4" xfId="9686"/>
    <cellStyle name="Normal 5 110 4 2" xfId="19885"/>
    <cellStyle name="Normal 5 110 4 2 2" xfId="30360"/>
    <cellStyle name="Normal 5 110 4 3" xfId="30361"/>
    <cellStyle name="Normal 5 110 5" xfId="19886"/>
    <cellStyle name="Normal 5 110 5 2" xfId="30362"/>
    <cellStyle name="Normal 5 110 6" xfId="30363"/>
    <cellStyle name="Normal 5 111" xfId="9687"/>
    <cellStyle name="Normal 5 111 2" xfId="9688"/>
    <cellStyle name="Normal 5 111 2 2" xfId="9689"/>
    <cellStyle name="Normal 5 111 2 3" xfId="9690"/>
    <cellStyle name="Normal 5 111 2 3 2" xfId="19887"/>
    <cellStyle name="Normal 5 111 2 3 2 2" xfId="30364"/>
    <cellStyle name="Normal 5 111 2 3 3" xfId="30365"/>
    <cellStyle name="Normal 5 111 2 4" xfId="19888"/>
    <cellStyle name="Normal 5 111 2 4 2" xfId="30366"/>
    <cellStyle name="Normal 5 111 2 5" xfId="30367"/>
    <cellStyle name="Normal 5 111 3" xfId="9691"/>
    <cellStyle name="Normal 5 111 4" xfId="9692"/>
    <cellStyle name="Normal 5 111 4 2" xfId="19889"/>
    <cellStyle name="Normal 5 111 4 2 2" xfId="30368"/>
    <cellStyle name="Normal 5 111 4 3" xfId="30369"/>
    <cellStyle name="Normal 5 111 5" xfId="19890"/>
    <cellStyle name="Normal 5 111 5 2" xfId="30370"/>
    <cellStyle name="Normal 5 111 6" xfId="30371"/>
    <cellStyle name="Normal 5 112" xfId="9693"/>
    <cellStyle name="Normal 5 112 2" xfId="9694"/>
    <cellStyle name="Normal 5 112 2 2" xfId="9695"/>
    <cellStyle name="Normal 5 112 2 3" xfId="9696"/>
    <cellStyle name="Normal 5 112 2 3 2" xfId="19891"/>
    <cellStyle name="Normal 5 112 2 3 2 2" xfId="30372"/>
    <cellStyle name="Normal 5 112 2 3 3" xfId="30373"/>
    <cellStyle name="Normal 5 112 2 4" xfId="19892"/>
    <cellStyle name="Normal 5 112 2 4 2" xfId="30374"/>
    <cellStyle name="Normal 5 112 2 5" xfId="30375"/>
    <cellStyle name="Normal 5 112 3" xfId="9697"/>
    <cellStyle name="Normal 5 112 4" xfId="9698"/>
    <cellStyle name="Normal 5 112 4 2" xfId="19893"/>
    <cellStyle name="Normal 5 112 4 2 2" xfId="30376"/>
    <cellStyle name="Normal 5 112 4 3" xfId="30377"/>
    <cellStyle name="Normal 5 112 5" xfId="19894"/>
    <cellStyle name="Normal 5 112 5 2" xfId="30378"/>
    <cellStyle name="Normal 5 112 6" xfId="30379"/>
    <cellStyle name="Normal 5 113" xfId="9699"/>
    <cellStyle name="Normal 5 113 2" xfId="9700"/>
    <cellStyle name="Normal 5 113 2 2" xfId="9701"/>
    <cellStyle name="Normal 5 113 2 3" xfId="9702"/>
    <cellStyle name="Normal 5 113 2 3 2" xfId="19895"/>
    <cellStyle name="Normal 5 113 2 3 2 2" xfId="30380"/>
    <cellStyle name="Normal 5 113 2 3 3" xfId="30381"/>
    <cellStyle name="Normal 5 113 2 4" xfId="19896"/>
    <cellStyle name="Normal 5 113 2 4 2" xfId="30382"/>
    <cellStyle name="Normal 5 113 2 5" xfId="30383"/>
    <cellStyle name="Normal 5 113 3" xfId="9703"/>
    <cellStyle name="Normal 5 113 4" xfId="9704"/>
    <cellStyle name="Normal 5 113 4 2" xfId="19897"/>
    <cellStyle name="Normal 5 113 4 2 2" xfId="30384"/>
    <cellStyle name="Normal 5 113 4 3" xfId="30385"/>
    <cellStyle name="Normal 5 113 5" xfId="19898"/>
    <cellStyle name="Normal 5 113 5 2" xfId="30386"/>
    <cellStyle name="Normal 5 113 6" xfId="30387"/>
    <cellStyle name="Normal 5 114" xfId="9705"/>
    <cellStyle name="Normal 5 114 2" xfId="9706"/>
    <cellStyle name="Normal 5 114 2 2" xfId="9707"/>
    <cellStyle name="Normal 5 114 2 3" xfId="9708"/>
    <cellStyle name="Normal 5 114 2 3 2" xfId="19899"/>
    <cellStyle name="Normal 5 114 2 3 2 2" xfId="30388"/>
    <cellStyle name="Normal 5 114 2 3 3" xfId="30389"/>
    <cellStyle name="Normal 5 114 2 4" xfId="19900"/>
    <cellStyle name="Normal 5 114 2 4 2" xfId="30390"/>
    <cellStyle name="Normal 5 114 2 5" xfId="30391"/>
    <cellStyle name="Normal 5 114 3" xfId="9709"/>
    <cellStyle name="Normal 5 114 4" xfId="9710"/>
    <cellStyle name="Normal 5 114 4 2" xfId="19901"/>
    <cellStyle name="Normal 5 114 4 2 2" xfId="30392"/>
    <cellStyle name="Normal 5 114 4 3" xfId="30393"/>
    <cellStyle name="Normal 5 114 5" xfId="19902"/>
    <cellStyle name="Normal 5 114 5 2" xfId="30394"/>
    <cellStyle name="Normal 5 114 6" xfId="30395"/>
    <cellStyle name="Normal 5 115" xfId="9711"/>
    <cellStyle name="Normal 5 115 2" xfId="9712"/>
    <cellStyle name="Normal 5 115 2 2" xfId="9713"/>
    <cellStyle name="Normal 5 115 2 3" xfId="9714"/>
    <cellStyle name="Normal 5 115 2 3 2" xfId="19903"/>
    <cellStyle name="Normal 5 115 2 3 2 2" xfId="30396"/>
    <cellStyle name="Normal 5 115 2 3 3" xfId="30397"/>
    <cellStyle name="Normal 5 115 2 4" xfId="19904"/>
    <cellStyle name="Normal 5 115 2 4 2" xfId="30398"/>
    <cellStyle name="Normal 5 115 2 5" xfId="30399"/>
    <cellStyle name="Normal 5 115 3" xfId="9715"/>
    <cellStyle name="Normal 5 115 4" xfId="9716"/>
    <cellStyle name="Normal 5 115 4 2" xfId="19905"/>
    <cellStyle name="Normal 5 115 4 2 2" xfId="30400"/>
    <cellStyle name="Normal 5 115 4 3" xfId="30401"/>
    <cellStyle name="Normal 5 115 5" xfId="19906"/>
    <cellStyle name="Normal 5 115 5 2" xfId="30402"/>
    <cellStyle name="Normal 5 115 6" xfId="30403"/>
    <cellStyle name="Normal 5 116" xfId="9717"/>
    <cellStyle name="Normal 5 116 2" xfId="9718"/>
    <cellStyle name="Normal 5 116 2 2" xfId="9719"/>
    <cellStyle name="Normal 5 116 2 3" xfId="9720"/>
    <cellStyle name="Normal 5 116 2 3 2" xfId="19907"/>
    <cellStyle name="Normal 5 116 2 3 2 2" xfId="30404"/>
    <cellStyle name="Normal 5 116 2 3 3" xfId="30405"/>
    <cellStyle name="Normal 5 116 2 4" xfId="19908"/>
    <cellStyle name="Normal 5 116 2 4 2" xfId="30406"/>
    <cellStyle name="Normal 5 116 2 5" xfId="30407"/>
    <cellStyle name="Normal 5 116 3" xfId="9721"/>
    <cellStyle name="Normal 5 116 4" xfId="9722"/>
    <cellStyle name="Normal 5 116 4 2" xfId="19909"/>
    <cellStyle name="Normal 5 116 4 2 2" xfId="30408"/>
    <cellStyle name="Normal 5 116 4 3" xfId="30409"/>
    <cellStyle name="Normal 5 116 5" xfId="19910"/>
    <cellStyle name="Normal 5 116 5 2" xfId="30410"/>
    <cellStyle name="Normal 5 116 6" xfId="30411"/>
    <cellStyle name="Normal 5 117" xfId="9723"/>
    <cellStyle name="Normal 5 117 2" xfId="9724"/>
    <cellStyle name="Normal 5 117 2 2" xfId="9725"/>
    <cellStyle name="Normal 5 117 2 3" xfId="9726"/>
    <cellStyle name="Normal 5 117 2 3 2" xfId="19911"/>
    <cellStyle name="Normal 5 117 2 3 2 2" xfId="30412"/>
    <cellStyle name="Normal 5 117 2 3 3" xfId="30413"/>
    <cellStyle name="Normal 5 117 2 4" xfId="19912"/>
    <cellStyle name="Normal 5 117 2 4 2" xfId="30414"/>
    <cellStyle name="Normal 5 117 2 5" xfId="30415"/>
    <cellStyle name="Normal 5 117 3" xfId="9727"/>
    <cellStyle name="Normal 5 117 4" xfId="9728"/>
    <cellStyle name="Normal 5 117 4 2" xfId="19913"/>
    <cellStyle name="Normal 5 117 4 2 2" xfId="30416"/>
    <cellStyle name="Normal 5 117 4 3" xfId="30417"/>
    <cellStyle name="Normal 5 117 5" xfId="19914"/>
    <cellStyle name="Normal 5 117 5 2" xfId="30418"/>
    <cellStyle name="Normal 5 117 6" xfId="30419"/>
    <cellStyle name="Normal 5 118" xfId="9729"/>
    <cellStyle name="Normal 5 118 2" xfId="9730"/>
    <cellStyle name="Normal 5 118 2 2" xfId="9731"/>
    <cellStyle name="Normal 5 118 2 3" xfId="9732"/>
    <cellStyle name="Normal 5 118 2 3 2" xfId="19915"/>
    <cellStyle name="Normal 5 118 2 3 2 2" xfId="30420"/>
    <cellStyle name="Normal 5 118 2 3 3" xfId="30421"/>
    <cellStyle name="Normal 5 118 2 4" xfId="19916"/>
    <cellStyle name="Normal 5 118 2 4 2" xfId="30422"/>
    <cellStyle name="Normal 5 118 2 5" xfId="30423"/>
    <cellStyle name="Normal 5 118 3" xfId="9733"/>
    <cellStyle name="Normal 5 118 4" xfId="9734"/>
    <cellStyle name="Normal 5 118 4 2" xfId="19917"/>
    <cellStyle name="Normal 5 118 4 2 2" xfId="30424"/>
    <cellStyle name="Normal 5 118 4 3" xfId="30425"/>
    <cellStyle name="Normal 5 118 5" xfId="19918"/>
    <cellStyle name="Normal 5 118 5 2" xfId="30426"/>
    <cellStyle name="Normal 5 118 6" xfId="30427"/>
    <cellStyle name="Normal 5 119" xfId="9735"/>
    <cellStyle name="Normal 5 119 2" xfId="19919"/>
    <cellStyle name="Normal 5 12" xfId="9736"/>
    <cellStyle name="Normal 5 12 2" xfId="9737"/>
    <cellStyle name="Normal 5 12 2 2" xfId="9738"/>
    <cellStyle name="Normal 5 12 2 3" xfId="9739"/>
    <cellStyle name="Normal 5 12 2 3 2" xfId="19920"/>
    <cellStyle name="Normal 5 12 2 3 2 2" xfId="30428"/>
    <cellStyle name="Normal 5 12 2 3 3" xfId="30429"/>
    <cellStyle name="Normal 5 12 2 4" xfId="19921"/>
    <cellStyle name="Normal 5 12 2 4 2" xfId="30430"/>
    <cellStyle name="Normal 5 12 2 5" xfId="30431"/>
    <cellStyle name="Normal 5 12 3" xfId="9740"/>
    <cellStyle name="Normal 5 12 3 2" xfId="9741"/>
    <cellStyle name="Normal 5 12 3 3" xfId="9742"/>
    <cellStyle name="Normal 5 12 3 3 2" xfId="19922"/>
    <cellStyle name="Normal 5 12 3 3 2 2" xfId="30432"/>
    <cellStyle name="Normal 5 12 3 3 3" xfId="30433"/>
    <cellStyle name="Normal 5 12 3 4" xfId="19923"/>
    <cellStyle name="Normal 5 12 3 4 2" xfId="30434"/>
    <cellStyle name="Normal 5 12 3 5" xfId="30435"/>
    <cellStyle name="Normal 5 12 4" xfId="9743"/>
    <cellStyle name="Normal 5 12 5" xfId="9744"/>
    <cellStyle name="Normal 5 12 5 2" xfId="19924"/>
    <cellStyle name="Normal 5 12 5 2 2" xfId="30436"/>
    <cellStyle name="Normal 5 12 5 3" xfId="30437"/>
    <cellStyle name="Normal 5 12 6" xfId="19925"/>
    <cellStyle name="Normal 5 12 6 2" xfId="30438"/>
    <cellStyle name="Normal 5 12 7" xfId="30439"/>
    <cellStyle name="Normal 5 120" xfId="9745"/>
    <cellStyle name="Normal 5 120 2" xfId="19926"/>
    <cellStyle name="Normal 5 121" xfId="9746"/>
    <cellStyle name="Normal 5 121 2" xfId="19927"/>
    <cellStyle name="Normal 5 122" xfId="9747"/>
    <cellStyle name="Normal 5 122 2" xfId="19928"/>
    <cellStyle name="Normal 5 123" xfId="9748"/>
    <cellStyle name="Normal 5 123 2" xfId="9749"/>
    <cellStyle name="Normal 5 123 2 2" xfId="30440"/>
    <cellStyle name="Normal 5 123 3" xfId="9750"/>
    <cellStyle name="Normal 5 123 3 2" xfId="19929"/>
    <cellStyle name="Normal 5 123 3 2 2" xfId="30441"/>
    <cellStyle name="Normal 5 123 3 3" xfId="30442"/>
    <cellStyle name="Normal 5 123 4" xfId="19930"/>
    <cellStyle name="Normal 5 123 4 2" xfId="30443"/>
    <cellStyle name="Normal 5 123 5" xfId="30444"/>
    <cellStyle name="Normal 5 124" xfId="9751"/>
    <cellStyle name="Normal 5 124 2" xfId="9752"/>
    <cellStyle name="Normal 5 124 2 2" xfId="30445"/>
    <cellStyle name="Normal 5 124 3" xfId="9753"/>
    <cellStyle name="Normal 5 124 3 2" xfId="19931"/>
    <cellStyle name="Normal 5 124 3 2 2" xfId="30446"/>
    <cellStyle name="Normal 5 124 3 3" xfId="30447"/>
    <cellStyle name="Normal 5 124 4" xfId="19932"/>
    <cellStyle name="Normal 5 124 4 2" xfId="30448"/>
    <cellStyle name="Normal 5 124 5" xfId="30449"/>
    <cellStyle name="Normal 5 125" xfId="9754"/>
    <cellStyle name="Normal 5 125 2" xfId="9755"/>
    <cellStyle name="Normal 5 125 2 2" xfId="30450"/>
    <cellStyle name="Normal 5 125 3" xfId="9756"/>
    <cellStyle name="Normal 5 125 3 2" xfId="19933"/>
    <cellStyle name="Normal 5 125 3 2 2" xfId="30451"/>
    <cellStyle name="Normal 5 125 3 3" xfId="30452"/>
    <cellStyle name="Normal 5 125 4" xfId="19934"/>
    <cellStyle name="Normal 5 125 4 2" xfId="30453"/>
    <cellStyle name="Normal 5 125 5" xfId="30454"/>
    <cellStyle name="Normal 5 126" xfId="9757"/>
    <cellStyle name="Normal 5 126 2" xfId="9758"/>
    <cellStyle name="Normal 5 126 2 2" xfId="30455"/>
    <cellStyle name="Normal 5 126 3" xfId="9759"/>
    <cellStyle name="Normal 5 126 3 2" xfId="19935"/>
    <cellStyle name="Normal 5 126 3 2 2" xfId="30456"/>
    <cellStyle name="Normal 5 126 3 3" xfId="30457"/>
    <cellStyle name="Normal 5 126 4" xfId="19936"/>
    <cellStyle name="Normal 5 126 4 2" xfId="30458"/>
    <cellStyle name="Normal 5 126 5" xfId="30459"/>
    <cellStyle name="Normal 5 127" xfId="9760"/>
    <cellStyle name="Normal 5 127 2" xfId="9761"/>
    <cellStyle name="Normal 5 127 2 2" xfId="30460"/>
    <cellStyle name="Normal 5 127 3" xfId="9762"/>
    <cellStyle name="Normal 5 127 3 2" xfId="19937"/>
    <cellStyle name="Normal 5 127 3 2 2" xfId="30461"/>
    <cellStyle name="Normal 5 127 3 3" xfId="30462"/>
    <cellStyle name="Normal 5 127 4" xfId="19938"/>
    <cellStyle name="Normal 5 127 4 2" xfId="30463"/>
    <cellStyle name="Normal 5 127 5" xfId="30464"/>
    <cellStyle name="Normal 5 128" xfId="9763"/>
    <cellStyle name="Normal 5 128 2" xfId="9764"/>
    <cellStyle name="Normal 5 128 2 2" xfId="30465"/>
    <cellStyle name="Normal 5 128 3" xfId="9765"/>
    <cellStyle name="Normal 5 128 3 2" xfId="19939"/>
    <cellStyle name="Normal 5 128 3 2 2" xfId="30466"/>
    <cellStyle name="Normal 5 128 3 3" xfId="30467"/>
    <cellStyle name="Normal 5 128 4" xfId="19940"/>
    <cellStyle name="Normal 5 128 4 2" xfId="30468"/>
    <cellStyle name="Normal 5 128 5" xfId="30469"/>
    <cellStyle name="Normal 5 129" xfId="9766"/>
    <cellStyle name="Normal 5 129 2" xfId="9767"/>
    <cellStyle name="Normal 5 129 2 2" xfId="30470"/>
    <cellStyle name="Normal 5 129 3" xfId="9768"/>
    <cellStyle name="Normal 5 129 3 2" xfId="19941"/>
    <cellStyle name="Normal 5 129 3 2 2" xfId="30471"/>
    <cellStyle name="Normal 5 129 3 3" xfId="30472"/>
    <cellStyle name="Normal 5 129 4" xfId="19942"/>
    <cellStyle name="Normal 5 129 4 2" xfId="30473"/>
    <cellStyle name="Normal 5 129 5" xfId="30474"/>
    <cellStyle name="Normal 5 13" xfId="9769"/>
    <cellStyle name="Normal 5 13 2" xfId="9770"/>
    <cellStyle name="Normal 5 13 2 2" xfId="9771"/>
    <cellStyle name="Normal 5 13 2 3" xfId="9772"/>
    <cellStyle name="Normal 5 13 2 3 2" xfId="19943"/>
    <cellStyle name="Normal 5 13 2 3 2 2" xfId="30475"/>
    <cellStyle name="Normal 5 13 2 3 3" xfId="30476"/>
    <cellStyle name="Normal 5 13 2 4" xfId="19944"/>
    <cellStyle name="Normal 5 13 2 4 2" xfId="30477"/>
    <cellStyle name="Normal 5 13 2 5" xfId="30478"/>
    <cellStyle name="Normal 5 13 3" xfId="9773"/>
    <cellStyle name="Normal 5 13 3 2" xfId="9774"/>
    <cellStyle name="Normal 5 13 3 3" xfId="9775"/>
    <cellStyle name="Normal 5 13 3 3 2" xfId="19945"/>
    <cellStyle name="Normal 5 13 3 3 2 2" xfId="30479"/>
    <cellStyle name="Normal 5 13 3 3 3" xfId="30480"/>
    <cellStyle name="Normal 5 13 3 4" xfId="19946"/>
    <cellStyle name="Normal 5 13 3 4 2" xfId="30481"/>
    <cellStyle name="Normal 5 13 3 5" xfId="30482"/>
    <cellStyle name="Normal 5 13 4" xfId="9776"/>
    <cellStyle name="Normal 5 13 5" xfId="9777"/>
    <cellStyle name="Normal 5 13 5 2" xfId="19947"/>
    <cellStyle name="Normal 5 13 5 2 2" xfId="30483"/>
    <cellStyle name="Normal 5 13 5 3" xfId="30484"/>
    <cellStyle name="Normal 5 13 6" xfId="19948"/>
    <cellStyle name="Normal 5 13 6 2" xfId="30485"/>
    <cellStyle name="Normal 5 13 7" xfId="30486"/>
    <cellStyle name="Normal 5 130" xfId="9778"/>
    <cellStyle name="Normal 5 130 2" xfId="9779"/>
    <cellStyle name="Normal 5 130 2 2" xfId="30487"/>
    <cellStyle name="Normal 5 130 3" xfId="9780"/>
    <cellStyle name="Normal 5 130 3 2" xfId="19949"/>
    <cellStyle name="Normal 5 130 3 2 2" xfId="30488"/>
    <cellStyle name="Normal 5 130 3 3" xfId="30489"/>
    <cellStyle name="Normal 5 130 4" xfId="19950"/>
    <cellStyle name="Normal 5 130 4 2" xfId="30490"/>
    <cellStyle name="Normal 5 130 5" xfId="30491"/>
    <cellStyle name="Normal 5 131" xfId="9781"/>
    <cellStyle name="Normal 5 131 2" xfId="9782"/>
    <cellStyle name="Normal 5 131 2 2" xfId="30492"/>
    <cellStyle name="Normal 5 131 3" xfId="9783"/>
    <cellStyle name="Normal 5 131 3 2" xfId="19951"/>
    <cellStyle name="Normal 5 131 3 2 2" xfId="30493"/>
    <cellStyle name="Normal 5 131 3 3" xfId="30494"/>
    <cellStyle name="Normal 5 131 4" xfId="19952"/>
    <cellStyle name="Normal 5 131 4 2" xfId="30495"/>
    <cellStyle name="Normal 5 131 5" xfId="30496"/>
    <cellStyle name="Normal 5 132" xfId="9784"/>
    <cellStyle name="Normal 5 132 2" xfId="9785"/>
    <cellStyle name="Normal 5 132 2 2" xfId="30497"/>
    <cellStyle name="Normal 5 132 3" xfId="9786"/>
    <cellStyle name="Normal 5 132 3 2" xfId="19953"/>
    <cellStyle name="Normal 5 132 3 2 2" xfId="30498"/>
    <cellStyle name="Normal 5 132 3 3" xfId="30499"/>
    <cellStyle name="Normal 5 132 4" xfId="19954"/>
    <cellStyle name="Normal 5 132 4 2" xfId="30500"/>
    <cellStyle name="Normal 5 132 5" xfId="30501"/>
    <cellStyle name="Normal 5 133" xfId="9787"/>
    <cellStyle name="Normal 5 133 2" xfId="9788"/>
    <cellStyle name="Normal 5 133 2 2" xfId="30502"/>
    <cellStyle name="Normal 5 133 3" xfId="9789"/>
    <cellStyle name="Normal 5 133 3 2" xfId="19955"/>
    <cellStyle name="Normal 5 133 3 2 2" xfId="30503"/>
    <cellStyle name="Normal 5 133 3 3" xfId="30504"/>
    <cellStyle name="Normal 5 133 4" xfId="19956"/>
    <cellStyle name="Normal 5 133 4 2" xfId="30505"/>
    <cellStyle name="Normal 5 133 5" xfId="30506"/>
    <cellStyle name="Normal 5 134" xfId="9790"/>
    <cellStyle name="Normal 5 134 2" xfId="9791"/>
    <cellStyle name="Normal 5 134 2 2" xfId="30507"/>
    <cellStyle name="Normal 5 134 3" xfId="9792"/>
    <cellStyle name="Normal 5 134 3 2" xfId="19957"/>
    <cellStyle name="Normal 5 134 3 2 2" xfId="30508"/>
    <cellStyle name="Normal 5 134 3 3" xfId="30509"/>
    <cellStyle name="Normal 5 134 4" xfId="19958"/>
    <cellStyle name="Normal 5 134 4 2" xfId="30510"/>
    <cellStyle name="Normal 5 134 5" xfId="30511"/>
    <cellStyle name="Normal 5 135" xfId="9793"/>
    <cellStyle name="Normal 5 135 2" xfId="9794"/>
    <cellStyle name="Normal 5 135 2 2" xfId="30512"/>
    <cellStyle name="Normal 5 135 3" xfId="9795"/>
    <cellStyle name="Normal 5 135 3 2" xfId="19959"/>
    <cellStyle name="Normal 5 135 3 2 2" xfId="30513"/>
    <cellStyle name="Normal 5 135 3 3" xfId="30514"/>
    <cellStyle name="Normal 5 135 4" xfId="19960"/>
    <cellStyle name="Normal 5 135 4 2" xfId="30515"/>
    <cellStyle name="Normal 5 135 5" xfId="30516"/>
    <cellStyle name="Normal 5 136" xfId="9796"/>
    <cellStyle name="Normal 5 136 2" xfId="9797"/>
    <cellStyle name="Normal 5 136 2 2" xfId="30517"/>
    <cellStyle name="Normal 5 136 3" xfId="9798"/>
    <cellStyle name="Normal 5 136 3 2" xfId="19961"/>
    <cellStyle name="Normal 5 136 3 2 2" xfId="30518"/>
    <cellStyle name="Normal 5 136 3 3" xfId="30519"/>
    <cellStyle name="Normal 5 136 4" xfId="19962"/>
    <cellStyle name="Normal 5 136 4 2" xfId="30520"/>
    <cellStyle name="Normal 5 136 5" xfId="30521"/>
    <cellStyle name="Normal 5 137" xfId="9799"/>
    <cellStyle name="Normal 5 137 2" xfId="9800"/>
    <cellStyle name="Normal 5 137 2 2" xfId="30522"/>
    <cellStyle name="Normal 5 137 3" xfId="9801"/>
    <cellStyle name="Normal 5 137 3 2" xfId="19963"/>
    <cellStyle name="Normal 5 137 3 2 2" xfId="30523"/>
    <cellStyle name="Normal 5 137 3 3" xfId="30524"/>
    <cellStyle name="Normal 5 137 4" xfId="19964"/>
    <cellStyle name="Normal 5 137 4 2" xfId="30525"/>
    <cellStyle name="Normal 5 137 5" xfId="30526"/>
    <cellStyle name="Normal 5 138" xfId="9802"/>
    <cellStyle name="Normal 5 138 2" xfId="9803"/>
    <cellStyle name="Normal 5 138 2 2" xfId="30527"/>
    <cellStyle name="Normal 5 138 3" xfId="9804"/>
    <cellStyle name="Normal 5 138 3 2" xfId="19965"/>
    <cellStyle name="Normal 5 138 3 2 2" xfId="30528"/>
    <cellStyle name="Normal 5 138 3 3" xfId="30529"/>
    <cellStyle name="Normal 5 138 4" xfId="19966"/>
    <cellStyle name="Normal 5 138 4 2" xfId="30530"/>
    <cellStyle name="Normal 5 138 5" xfId="30531"/>
    <cellStyle name="Normal 5 139" xfId="9805"/>
    <cellStyle name="Normal 5 139 2" xfId="9806"/>
    <cellStyle name="Normal 5 139 2 2" xfId="30532"/>
    <cellStyle name="Normal 5 139 3" xfId="9807"/>
    <cellStyle name="Normal 5 139 3 2" xfId="19967"/>
    <cellStyle name="Normal 5 139 3 2 2" xfId="30533"/>
    <cellStyle name="Normal 5 139 3 3" xfId="30534"/>
    <cellStyle name="Normal 5 139 4" xfId="19968"/>
    <cellStyle name="Normal 5 139 4 2" xfId="30535"/>
    <cellStyle name="Normal 5 139 5" xfId="30536"/>
    <cellStyle name="Normal 5 14" xfId="9808"/>
    <cellStyle name="Normal 5 14 2" xfId="9809"/>
    <cellStyle name="Normal 5 14 2 2" xfId="9810"/>
    <cellStyle name="Normal 5 14 2 3" xfId="9811"/>
    <cellStyle name="Normal 5 14 2 3 2" xfId="19969"/>
    <cellStyle name="Normal 5 14 2 3 2 2" xfId="30537"/>
    <cellStyle name="Normal 5 14 2 3 3" xfId="30538"/>
    <cellStyle name="Normal 5 14 2 4" xfId="19970"/>
    <cellStyle name="Normal 5 14 2 4 2" xfId="30539"/>
    <cellStyle name="Normal 5 14 2 5" xfId="30540"/>
    <cellStyle name="Normal 5 14 3" xfId="9812"/>
    <cellStyle name="Normal 5 14 3 2" xfId="9813"/>
    <cellStyle name="Normal 5 14 3 3" xfId="9814"/>
    <cellStyle name="Normal 5 14 3 3 2" xfId="19971"/>
    <cellStyle name="Normal 5 14 3 3 2 2" xfId="30541"/>
    <cellStyle name="Normal 5 14 3 3 3" xfId="30542"/>
    <cellStyle name="Normal 5 14 3 4" xfId="19972"/>
    <cellStyle name="Normal 5 14 3 4 2" xfId="30543"/>
    <cellStyle name="Normal 5 14 3 5" xfId="30544"/>
    <cellStyle name="Normal 5 14 4" xfId="9815"/>
    <cellStyle name="Normal 5 14 5" xfId="9816"/>
    <cellStyle name="Normal 5 14 5 2" xfId="19973"/>
    <cellStyle name="Normal 5 14 5 2 2" xfId="30545"/>
    <cellStyle name="Normal 5 14 5 3" xfId="30546"/>
    <cellStyle name="Normal 5 14 6" xfId="19974"/>
    <cellStyle name="Normal 5 14 6 2" xfId="30547"/>
    <cellStyle name="Normal 5 14 7" xfId="30548"/>
    <cellStyle name="Normal 5 140" xfId="9817"/>
    <cellStyle name="Normal 5 140 2" xfId="9818"/>
    <cellStyle name="Normal 5 140 2 2" xfId="30549"/>
    <cellStyle name="Normal 5 140 3" xfId="9819"/>
    <cellStyle name="Normal 5 140 3 2" xfId="19975"/>
    <cellStyle name="Normal 5 140 3 2 2" xfId="30550"/>
    <cellStyle name="Normal 5 140 3 3" xfId="30551"/>
    <cellStyle name="Normal 5 140 4" xfId="19976"/>
    <cellStyle name="Normal 5 140 4 2" xfId="30552"/>
    <cellStyle name="Normal 5 140 5" xfId="30553"/>
    <cellStyle name="Normal 5 141" xfId="9820"/>
    <cellStyle name="Normal 5 141 2" xfId="9821"/>
    <cellStyle name="Normal 5 141 2 2" xfId="30554"/>
    <cellStyle name="Normal 5 141 3" xfId="9822"/>
    <cellStyle name="Normal 5 141 3 2" xfId="19977"/>
    <cellStyle name="Normal 5 141 3 2 2" xfId="30555"/>
    <cellStyle name="Normal 5 141 3 3" xfId="30556"/>
    <cellStyle name="Normal 5 141 4" xfId="19978"/>
    <cellStyle name="Normal 5 141 4 2" xfId="30557"/>
    <cellStyle name="Normal 5 141 5" xfId="30558"/>
    <cellStyle name="Normal 5 142" xfId="9823"/>
    <cellStyle name="Normal 5 142 2" xfId="9824"/>
    <cellStyle name="Normal 5 142 2 2" xfId="30559"/>
    <cellStyle name="Normal 5 142 3" xfId="9825"/>
    <cellStyle name="Normal 5 142 3 2" xfId="19979"/>
    <cellStyle name="Normal 5 142 3 2 2" xfId="30560"/>
    <cellStyle name="Normal 5 142 3 3" xfId="30561"/>
    <cellStyle name="Normal 5 142 4" xfId="19980"/>
    <cellStyle name="Normal 5 142 4 2" xfId="30562"/>
    <cellStyle name="Normal 5 142 5" xfId="30563"/>
    <cellStyle name="Normal 5 143" xfId="9826"/>
    <cellStyle name="Normal 5 143 2" xfId="9827"/>
    <cellStyle name="Normal 5 143 2 2" xfId="30564"/>
    <cellStyle name="Normal 5 143 3" xfId="9828"/>
    <cellStyle name="Normal 5 143 3 2" xfId="19981"/>
    <cellStyle name="Normal 5 143 3 2 2" xfId="30565"/>
    <cellStyle name="Normal 5 143 3 3" xfId="30566"/>
    <cellStyle name="Normal 5 143 4" xfId="19982"/>
    <cellStyle name="Normal 5 143 4 2" xfId="30567"/>
    <cellStyle name="Normal 5 143 5" xfId="30568"/>
    <cellStyle name="Normal 5 144" xfId="9829"/>
    <cellStyle name="Normal 5 144 2" xfId="9830"/>
    <cellStyle name="Normal 5 144 2 2" xfId="30569"/>
    <cellStyle name="Normal 5 144 3" xfId="9831"/>
    <cellStyle name="Normal 5 144 3 2" xfId="19983"/>
    <cellStyle name="Normal 5 144 3 2 2" xfId="30570"/>
    <cellStyle name="Normal 5 144 3 3" xfId="30571"/>
    <cellStyle name="Normal 5 144 4" xfId="19984"/>
    <cellStyle name="Normal 5 144 4 2" xfId="30572"/>
    <cellStyle name="Normal 5 144 5" xfId="30573"/>
    <cellStyle name="Normal 5 145" xfId="9832"/>
    <cellStyle name="Normal 5 145 2" xfId="19985"/>
    <cellStyle name="Normal 5 146" xfId="9833"/>
    <cellStyle name="Normal 5 146 2" xfId="19986"/>
    <cellStyle name="Normal 5 147" xfId="9834"/>
    <cellStyle name="Normal 5 147 2" xfId="9835"/>
    <cellStyle name="Normal 5 147 2 2" xfId="30574"/>
    <cellStyle name="Normal 5 147 3" xfId="9836"/>
    <cellStyle name="Normal 5 147 3 2" xfId="19987"/>
    <cellStyle name="Normal 5 147 3 2 2" xfId="30575"/>
    <cellStyle name="Normal 5 147 3 3" xfId="30576"/>
    <cellStyle name="Normal 5 147 4" xfId="19988"/>
    <cellStyle name="Normal 5 147 4 2" xfId="30577"/>
    <cellStyle name="Normal 5 147 5" xfId="30578"/>
    <cellStyle name="Normal 5 148" xfId="9837"/>
    <cellStyle name="Normal 5 148 2" xfId="9838"/>
    <cellStyle name="Normal 5 148 2 2" xfId="30579"/>
    <cellStyle name="Normal 5 148 3" xfId="9839"/>
    <cellStyle name="Normal 5 148 3 2" xfId="19989"/>
    <cellStyle name="Normal 5 148 3 2 2" xfId="30580"/>
    <cellStyle name="Normal 5 148 3 3" xfId="30581"/>
    <cellStyle name="Normal 5 148 4" xfId="19990"/>
    <cellStyle name="Normal 5 148 4 2" xfId="30582"/>
    <cellStyle name="Normal 5 148 5" xfId="30583"/>
    <cellStyle name="Normal 5 149" xfId="9840"/>
    <cellStyle name="Normal 5 149 2" xfId="9841"/>
    <cellStyle name="Normal 5 149 2 2" xfId="30584"/>
    <cellStyle name="Normal 5 149 3" xfId="9842"/>
    <cellStyle name="Normal 5 149 3 2" xfId="19991"/>
    <cellStyle name="Normal 5 149 3 2 2" xfId="30585"/>
    <cellStyle name="Normal 5 149 3 3" xfId="30586"/>
    <cellStyle name="Normal 5 149 4" xfId="19992"/>
    <cellStyle name="Normal 5 149 4 2" xfId="30587"/>
    <cellStyle name="Normal 5 149 5" xfId="30588"/>
    <cellStyle name="Normal 5 15" xfId="9843"/>
    <cellStyle name="Normal 5 15 2" xfId="9844"/>
    <cellStyle name="Normal 5 15 2 2" xfId="9845"/>
    <cellStyle name="Normal 5 15 2 3" xfId="9846"/>
    <cellStyle name="Normal 5 15 2 3 2" xfId="19993"/>
    <cellStyle name="Normal 5 15 2 3 2 2" xfId="30589"/>
    <cellStyle name="Normal 5 15 2 3 3" xfId="30590"/>
    <cellStyle name="Normal 5 15 2 4" xfId="19994"/>
    <cellStyle name="Normal 5 15 2 4 2" xfId="30591"/>
    <cellStyle name="Normal 5 15 2 5" xfId="30592"/>
    <cellStyle name="Normal 5 15 3" xfId="9847"/>
    <cellStyle name="Normal 5 15 3 2" xfId="9848"/>
    <cellStyle name="Normal 5 15 3 3" xfId="9849"/>
    <cellStyle name="Normal 5 15 3 3 2" xfId="19995"/>
    <cellStyle name="Normal 5 15 3 3 2 2" xfId="30593"/>
    <cellStyle name="Normal 5 15 3 3 3" xfId="30594"/>
    <cellStyle name="Normal 5 15 3 4" xfId="19996"/>
    <cellStyle name="Normal 5 15 3 4 2" xfId="30595"/>
    <cellStyle name="Normal 5 15 3 5" xfId="30596"/>
    <cellStyle name="Normal 5 15 4" xfId="9850"/>
    <cellStyle name="Normal 5 15 5" xfId="9851"/>
    <cellStyle name="Normal 5 15 5 2" xfId="19997"/>
    <cellStyle name="Normal 5 15 5 2 2" xfId="30597"/>
    <cellStyle name="Normal 5 15 5 3" xfId="30598"/>
    <cellStyle name="Normal 5 15 6" xfId="19998"/>
    <cellStyle name="Normal 5 15 6 2" xfId="30599"/>
    <cellStyle name="Normal 5 15 7" xfId="30600"/>
    <cellStyle name="Normal 5 150" xfId="9852"/>
    <cellStyle name="Normal 5 150 2" xfId="9853"/>
    <cellStyle name="Normal 5 150 2 2" xfId="30601"/>
    <cellStyle name="Normal 5 150 3" xfId="9854"/>
    <cellStyle name="Normal 5 150 3 2" xfId="19999"/>
    <cellStyle name="Normal 5 150 3 2 2" xfId="30602"/>
    <cellStyle name="Normal 5 150 3 3" xfId="30603"/>
    <cellStyle name="Normal 5 150 4" xfId="20000"/>
    <cellStyle name="Normal 5 150 4 2" xfId="30604"/>
    <cellStyle name="Normal 5 150 5" xfId="30605"/>
    <cellStyle name="Normal 5 151" xfId="9855"/>
    <cellStyle name="Normal 5 151 2" xfId="9856"/>
    <cellStyle name="Normal 5 151 2 2" xfId="30606"/>
    <cellStyle name="Normal 5 151 3" xfId="9857"/>
    <cellStyle name="Normal 5 151 3 2" xfId="20001"/>
    <cellStyle name="Normal 5 151 3 2 2" xfId="30607"/>
    <cellStyle name="Normal 5 151 3 3" xfId="30608"/>
    <cellStyle name="Normal 5 151 4" xfId="20002"/>
    <cellStyle name="Normal 5 151 4 2" xfId="30609"/>
    <cellStyle name="Normal 5 151 5" xfId="30610"/>
    <cellStyle name="Normal 5 152" xfId="9858"/>
    <cellStyle name="Normal 5 152 2" xfId="9859"/>
    <cellStyle name="Normal 5 152 2 2" xfId="30611"/>
    <cellStyle name="Normal 5 152 3" xfId="9860"/>
    <cellStyle name="Normal 5 152 3 2" xfId="20003"/>
    <cellStyle name="Normal 5 152 3 2 2" xfId="30612"/>
    <cellStyle name="Normal 5 152 3 3" xfId="30613"/>
    <cellStyle name="Normal 5 152 4" xfId="20004"/>
    <cellStyle name="Normal 5 152 4 2" xfId="30614"/>
    <cellStyle name="Normal 5 152 5" xfId="30615"/>
    <cellStyle name="Normal 5 153" xfId="9861"/>
    <cellStyle name="Normal 5 153 2" xfId="20005"/>
    <cellStyle name="Normal 5 154" xfId="9862"/>
    <cellStyle name="Normal 5 154 2" xfId="9863"/>
    <cellStyle name="Normal 5 154 2 2" xfId="9864"/>
    <cellStyle name="Normal 5 154 2 2 2" xfId="20006"/>
    <cellStyle name="Normal 5 154 2 2 2 2" xfId="30616"/>
    <cellStyle name="Normal 5 154 2 2 3" xfId="30617"/>
    <cellStyle name="Normal 5 154 2 3" xfId="20007"/>
    <cellStyle name="Normal 5 154 2 3 2" xfId="30618"/>
    <cellStyle name="Normal 5 154 2 4" xfId="30619"/>
    <cellStyle name="Normal 5 154 3" xfId="9865"/>
    <cellStyle name="Normal 5 154 3 2" xfId="20008"/>
    <cellStyle name="Normal 5 154 3 2 2" xfId="30620"/>
    <cellStyle name="Normal 5 154 3 3" xfId="30621"/>
    <cellStyle name="Normal 5 154 4" xfId="20009"/>
    <cellStyle name="Normal 5 154 4 2" xfId="30622"/>
    <cellStyle name="Normal 5 154 5" xfId="30623"/>
    <cellStyle name="Normal 5 155" xfId="9866"/>
    <cellStyle name="Normal 5 155 2" xfId="9867"/>
    <cellStyle name="Normal 5 155 2 2" xfId="9868"/>
    <cellStyle name="Normal 5 155 2 2 2" xfId="20010"/>
    <cellStyle name="Normal 5 155 2 2 2 2" xfId="30624"/>
    <cellStyle name="Normal 5 155 2 2 3" xfId="30625"/>
    <cellStyle name="Normal 5 155 2 3" xfId="20011"/>
    <cellStyle name="Normal 5 155 2 3 2" xfId="30626"/>
    <cellStyle name="Normal 5 155 2 4" xfId="30627"/>
    <cellStyle name="Normal 5 155 3" xfId="9869"/>
    <cellStyle name="Normal 5 155 3 2" xfId="20012"/>
    <cellStyle name="Normal 5 155 3 2 2" xfId="30628"/>
    <cellStyle name="Normal 5 155 3 3" xfId="30629"/>
    <cellStyle name="Normal 5 155 4" xfId="30630"/>
    <cellStyle name="Normal 5 155 5" xfId="33664"/>
    <cellStyle name="Normal 5 156" xfId="9870"/>
    <cellStyle name="Normal 5 157" xfId="30631"/>
    <cellStyle name="Normal 5 157 2" xfId="30632"/>
    <cellStyle name="Normal 5 16" xfId="9871"/>
    <cellStyle name="Normal 5 16 2" xfId="9872"/>
    <cellStyle name="Normal 5 16 2 2" xfId="9873"/>
    <cellStyle name="Normal 5 16 2 3" xfId="9874"/>
    <cellStyle name="Normal 5 16 2 3 2" xfId="20013"/>
    <cellStyle name="Normal 5 16 2 3 2 2" xfId="30633"/>
    <cellStyle name="Normal 5 16 2 3 3" xfId="30634"/>
    <cellStyle name="Normal 5 16 2 4" xfId="20014"/>
    <cellStyle name="Normal 5 16 2 4 2" xfId="30635"/>
    <cellStyle name="Normal 5 16 2 5" xfId="30636"/>
    <cellStyle name="Normal 5 16 3" xfId="9875"/>
    <cellStyle name="Normal 5 16 3 2" xfId="9876"/>
    <cellStyle name="Normal 5 16 3 3" xfId="9877"/>
    <cellStyle name="Normal 5 16 3 3 2" xfId="20015"/>
    <cellStyle name="Normal 5 16 3 3 2 2" xfId="30637"/>
    <cellStyle name="Normal 5 16 3 3 3" xfId="30638"/>
    <cellStyle name="Normal 5 16 3 4" xfId="20016"/>
    <cellStyle name="Normal 5 16 3 4 2" xfId="30639"/>
    <cellStyle name="Normal 5 16 3 5" xfId="30640"/>
    <cellStyle name="Normal 5 16 4" xfId="9878"/>
    <cellStyle name="Normal 5 16 5" xfId="9879"/>
    <cellStyle name="Normal 5 16 5 2" xfId="20017"/>
    <cellStyle name="Normal 5 16 5 2 2" xfId="30641"/>
    <cellStyle name="Normal 5 16 5 3" xfId="30642"/>
    <cellStyle name="Normal 5 16 6" xfId="20018"/>
    <cellStyle name="Normal 5 16 6 2" xfId="30643"/>
    <cellStyle name="Normal 5 16 7" xfId="30644"/>
    <cellStyle name="Normal 5 17" xfId="9880"/>
    <cellStyle name="Normal 5 17 2" xfId="9881"/>
    <cellStyle name="Normal 5 17 2 2" xfId="9882"/>
    <cellStyle name="Normal 5 17 2 3" xfId="9883"/>
    <cellStyle name="Normal 5 17 2 3 2" xfId="20019"/>
    <cellStyle name="Normal 5 17 2 3 2 2" xfId="30645"/>
    <cellStyle name="Normal 5 17 2 3 3" xfId="30646"/>
    <cellStyle name="Normal 5 17 2 4" xfId="20020"/>
    <cellStyle name="Normal 5 17 2 4 2" xfId="30647"/>
    <cellStyle name="Normal 5 17 2 5" xfId="30648"/>
    <cellStyle name="Normal 5 17 3" xfId="9884"/>
    <cellStyle name="Normal 5 17 3 2" xfId="9885"/>
    <cellStyle name="Normal 5 17 3 3" xfId="9886"/>
    <cellStyle name="Normal 5 17 3 3 2" xfId="20021"/>
    <cellStyle name="Normal 5 17 3 3 2 2" xfId="30649"/>
    <cellStyle name="Normal 5 17 3 3 3" xfId="30650"/>
    <cellStyle name="Normal 5 17 3 4" xfId="20022"/>
    <cellStyle name="Normal 5 17 3 4 2" xfId="30651"/>
    <cellStyle name="Normal 5 17 3 5" xfId="30652"/>
    <cellStyle name="Normal 5 17 4" xfId="9887"/>
    <cellStyle name="Normal 5 17 5" xfId="9888"/>
    <cellStyle name="Normal 5 17 5 2" xfId="20023"/>
    <cellStyle name="Normal 5 17 5 2 2" xfId="30653"/>
    <cellStyle name="Normal 5 17 5 3" xfId="30654"/>
    <cellStyle name="Normal 5 17 6" xfId="20024"/>
    <cellStyle name="Normal 5 17 6 2" xfId="30655"/>
    <cellStyle name="Normal 5 17 7" xfId="30656"/>
    <cellStyle name="Normal 5 18" xfId="9889"/>
    <cellStyle name="Normal 5 18 2" xfId="9890"/>
    <cellStyle name="Normal 5 18 2 2" xfId="9891"/>
    <cellStyle name="Normal 5 18 2 3" xfId="9892"/>
    <cellStyle name="Normal 5 18 2 3 2" xfId="20025"/>
    <cellStyle name="Normal 5 18 2 3 2 2" xfId="30657"/>
    <cellStyle name="Normal 5 18 2 3 3" xfId="30658"/>
    <cellStyle name="Normal 5 18 2 4" xfId="20026"/>
    <cellStyle name="Normal 5 18 2 4 2" xfId="30659"/>
    <cellStyle name="Normal 5 18 2 5" xfId="30660"/>
    <cellStyle name="Normal 5 18 3" xfId="9893"/>
    <cellStyle name="Normal 5 18 3 2" xfId="9894"/>
    <cellStyle name="Normal 5 18 3 3" xfId="9895"/>
    <cellStyle name="Normal 5 18 3 3 2" xfId="20027"/>
    <cellStyle name="Normal 5 18 3 3 2 2" xfId="30661"/>
    <cellStyle name="Normal 5 18 3 3 3" xfId="30662"/>
    <cellStyle name="Normal 5 18 3 4" xfId="20028"/>
    <cellStyle name="Normal 5 18 3 4 2" xfId="30663"/>
    <cellStyle name="Normal 5 18 3 5" xfId="30664"/>
    <cellStyle name="Normal 5 18 4" xfId="9896"/>
    <cellStyle name="Normal 5 18 5" xfId="9897"/>
    <cellStyle name="Normal 5 18 5 2" xfId="20029"/>
    <cellStyle name="Normal 5 18 5 2 2" xfId="30665"/>
    <cellStyle name="Normal 5 18 5 3" xfId="30666"/>
    <cellStyle name="Normal 5 18 6" xfId="20030"/>
    <cellStyle name="Normal 5 18 6 2" xfId="30667"/>
    <cellStyle name="Normal 5 18 7" xfId="30668"/>
    <cellStyle name="Normal 5 19" xfId="9898"/>
    <cellStyle name="Normal 5 19 2" xfId="9899"/>
    <cellStyle name="Normal 5 19 2 2" xfId="9900"/>
    <cellStyle name="Normal 5 19 2 3" xfId="9901"/>
    <cellStyle name="Normal 5 19 2 3 2" xfId="20031"/>
    <cellStyle name="Normal 5 19 2 3 2 2" xfId="30669"/>
    <cellStyle name="Normal 5 19 2 3 3" xfId="30670"/>
    <cellStyle name="Normal 5 19 2 4" xfId="20032"/>
    <cellStyle name="Normal 5 19 2 4 2" xfId="30671"/>
    <cellStyle name="Normal 5 19 2 5" xfId="30672"/>
    <cellStyle name="Normal 5 19 3" xfId="9902"/>
    <cellStyle name="Normal 5 19 3 2" xfId="9903"/>
    <cellStyle name="Normal 5 19 3 3" xfId="9904"/>
    <cellStyle name="Normal 5 19 3 3 2" xfId="20033"/>
    <cellStyle name="Normal 5 19 3 3 2 2" xfId="30673"/>
    <cellStyle name="Normal 5 19 3 3 3" xfId="30674"/>
    <cellStyle name="Normal 5 19 3 4" xfId="20034"/>
    <cellStyle name="Normal 5 19 3 4 2" xfId="30675"/>
    <cellStyle name="Normal 5 19 3 5" xfId="30676"/>
    <cellStyle name="Normal 5 19 4" xfId="9905"/>
    <cellStyle name="Normal 5 19 5" xfId="9906"/>
    <cellStyle name="Normal 5 19 5 2" xfId="20035"/>
    <cellStyle name="Normal 5 19 5 2 2" xfId="30677"/>
    <cellStyle name="Normal 5 19 5 3" xfId="30678"/>
    <cellStyle name="Normal 5 19 6" xfId="20036"/>
    <cellStyle name="Normal 5 19 6 2" xfId="30679"/>
    <cellStyle name="Normal 5 19 7" xfId="30680"/>
    <cellStyle name="Normal 5 2" xfId="59"/>
    <cellStyle name="Normal 5 2 2" xfId="9907"/>
    <cellStyle name="Normal 5 2 2 2" xfId="9908"/>
    <cellStyle name="Normal 5 2 2 2 2" xfId="9909"/>
    <cellStyle name="Normal 5 2 2 2 3" xfId="9910"/>
    <cellStyle name="Normal 5 2 2 2 3 2" xfId="20037"/>
    <cellStyle name="Normal 5 2 2 2 3 2 2" xfId="30681"/>
    <cellStyle name="Normal 5 2 2 2 3 3" xfId="30682"/>
    <cellStyle name="Normal 5 2 2 2 4" xfId="20038"/>
    <cellStyle name="Normal 5 2 2 2 4 2" xfId="30683"/>
    <cellStyle name="Normal 5 2 2 2 5" xfId="30684"/>
    <cellStyle name="Normal 5 2 2 3" xfId="9911"/>
    <cellStyle name="Normal 5 2 2 4" xfId="9912"/>
    <cellStyle name="Normal 5 2 2 4 2" xfId="20039"/>
    <cellStyle name="Normal 5 2 2 4 2 2" xfId="30685"/>
    <cellStyle name="Normal 5 2 2 4 3" xfId="30686"/>
    <cellStyle name="Normal 5 2 2 5" xfId="20040"/>
    <cellStyle name="Normal 5 2 2 5 2" xfId="30687"/>
    <cellStyle name="Normal 5 2 2 6" xfId="30688"/>
    <cellStyle name="Normal 5 2 3" xfId="9913"/>
    <cellStyle name="Normal 5 2 3 2" xfId="9914"/>
    <cellStyle name="Normal 5 2 3 2 2" xfId="30689"/>
    <cellStyle name="Normal 5 2 3 3" xfId="9915"/>
    <cellStyle name="Normal 5 2 3 3 2" xfId="20041"/>
    <cellStyle name="Normal 5 2 3 3 2 2" xfId="30690"/>
    <cellStyle name="Normal 5 2 3 3 3" xfId="30691"/>
    <cellStyle name="Normal 5 2 3 4" xfId="20042"/>
    <cellStyle name="Normal 5 2 3 4 2" xfId="30692"/>
    <cellStyle name="Normal 5 2 3 5" xfId="30693"/>
    <cellStyle name="Normal 5 2 4" xfId="9916"/>
    <cellStyle name="Normal 5 2 4 2" xfId="9917"/>
    <cellStyle name="Normal 5 2 4 3" xfId="9918"/>
    <cellStyle name="Normal 5 2 4 3 2" xfId="20043"/>
    <cellStyle name="Normal 5 2 4 3 2 2" xfId="30694"/>
    <cellStyle name="Normal 5 2 4 3 3" xfId="30695"/>
    <cellStyle name="Normal 5 2 4 4" xfId="20044"/>
    <cellStyle name="Normal 5 2 4 4 2" xfId="30696"/>
    <cellStyle name="Normal 5 2 4 5" xfId="30697"/>
    <cellStyle name="Normal 5 2 5" xfId="9919"/>
    <cellStyle name="Normal 5 2 5 2" xfId="30698"/>
    <cellStyle name="Normal 5 2 6" xfId="9920"/>
    <cellStyle name="Normal 5 2 6 2" xfId="20045"/>
    <cellStyle name="Normal 5 2 6 2 2" xfId="30699"/>
    <cellStyle name="Normal 5 2 6 3" xfId="30700"/>
    <cellStyle name="Normal 5 2 7" xfId="20046"/>
    <cellStyle name="Normal 5 2 7 2" xfId="30701"/>
    <cellStyle name="Normal 5 2 8" xfId="30702"/>
    <cellStyle name="Normal 5 20" xfId="9921"/>
    <cellStyle name="Normal 5 20 2" xfId="9922"/>
    <cellStyle name="Normal 5 20 2 2" xfId="9923"/>
    <cellStyle name="Normal 5 20 2 3" xfId="9924"/>
    <cellStyle name="Normal 5 20 2 3 2" xfId="20047"/>
    <cellStyle name="Normal 5 20 2 3 2 2" xfId="30703"/>
    <cellStyle name="Normal 5 20 2 3 3" xfId="30704"/>
    <cellStyle name="Normal 5 20 2 4" xfId="20048"/>
    <cellStyle name="Normal 5 20 2 4 2" xfId="30705"/>
    <cellStyle name="Normal 5 20 2 5" xfId="30706"/>
    <cellStyle name="Normal 5 20 3" xfId="9925"/>
    <cellStyle name="Normal 5 20 3 2" xfId="9926"/>
    <cellStyle name="Normal 5 20 3 3" xfId="9927"/>
    <cellStyle name="Normal 5 20 3 3 2" xfId="20049"/>
    <cellStyle name="Normal 5 20 3 3 2 2" xfId="30707"/>
    <cellStyle name="Normal 5 20 3 3 3" xfId="30708"/>
    <cellStyle name="Normal 5 20 3 4" xfId="20050"/>
    <cellStyle name="Normal 5 20 3 4 2" xfId="30709"/>
    <cellStyle name="Normal 5 20 3 5" xfId="30710"/>
    <cellStyle name="Normal 5 20 4" xfId="9928"/>
    <cellStyle name="Normal 5 20 5" xfId="9929"/>
    <cellStyle name="Normal 5 20 5 2" xfId="20051"/>
    <cellStyle name="Normal 5 20 5 2 2" xfId="30711"/>
    <cellStyle name="Normal 5 20 5 3" xfId="30712"/>
    <cellStyle name="Normal 5 20 6" xfId="20052"/>
    <cellStyle name="Normal 5 20 6 2" xfId="30713"/>
    <cellStyle name="Normal 5 20 7" xfId="30714"/>
    <cellStyle name="Normal 5 21" xfId="9930"/>
    <cellStyle name="Normal 5 21 2" xfId="9931"/>
    <cellStyle name="Normal 5 21 2 2" xfId="9932"/>
    <cellStyle name="Normal 5 21 2 3" xfId="9933"/>
    <cellStyle name="Normal 5 21 2 3 2" xfId="20053"/>
    <cellStyle name="Normal 5 21 2 3 2 2" xfId="30715"/>
    <cellStyle name="Normal 5 21 2 3 3" xfId="30716"/>
    <cellStyle name="Normal 5 21 2 4" xfId="20054"/>
    <cellStyle name="Normal 5 21 2 4 2" xfId="30717"/>
    <cellStyle name="Normal 5 21 2 5" xfId="30718"/>
    <cellStyle name="Normal 5 21 3" xfId="9934"/>
    <cellStyle name="Normal 5 21 3 2" xfId="9935"/>
    <cellStyle name="Normal 5 21 3 3" xfId="9936"/>
    <cellStyle name="Normal 5 21 3 3 2" xfId="20055"/>
    <cellStyle name="Normal 5 21 3 3 2 2" xfId="30719"/>
    <cellStyle name="Normal 5 21 3 3 3" xfId="30720"/>
    <cellStyle name="Normal 5 21 3 4" xfId="20056"/>
    <cellStyle name="Normal 5 21 3 4 2" xfId="30721"/>
    <cellStyle name="Normal 5 21 3 5" xfId="30722"/>
    <cellStyle name="Normal 5 21 4" xfId="9937"/>
    <cellStyle name="Normal 5 21 5" xfId="9938"/>
    <cellStyle name="Normal 5 21 5 2" xfId="20057"/>
    <cellStyle name="Normal 5 21 5 2 2" xfId="30723"/>
    <cellStyle name="Normal 5 21 5 3" xfId="30724"/>
    <cellStyle name="Normal 5 21 6" xfId="20058"/>
    <cellStyle name="Normal 5 21 6 2" xfId="30725"/>
    <cellStyle name="Normal 5 21 7" xfId="30726"/>
    <cellStyle name="Normal 5 22" xfId="9939"/>
    <cellStyle name="Normal 5 22 2" xfId="9940"/>
    <cellStyle name="Normal 5 22 2 2" xfId="9941"/>
    <cellStyle name="Normal 5 22 2 3" xfId="9942"/>
    <cellStyle name="Normal 5 22 2 3 2" xfId="20059"/>
    <cellStyle name="Normal 5 22 2 3 2 2" xfId="30727"/>
    <cellStyle name="Normal 5 22 2 3 3" xfId="30728"/>
    <cellStyle name="Normal 5 22 2 4" xfId="20060"/>
    <cellStyle name="Normal 5 22 2 4 2" xfId="30729"/>
    <cellStyle name="Normal 5 22 2 5" xfId="30730"/>
    <cellStyle name="Normal 5 22 3" xfId="9943"/>
    <cellStyle name="Normal 5 22 3 2" xfId="9944"/>
    <cellStyle name="Normal 5 22 3 3" xfId="9945"/>
    <cellStyle name="Normal 5 22 3 3 2" xfId="20061"/>
    <cellStyle name="Normal 5 22 3 3 2 2" xfId="30731"/>
    <cellStyle name="Normal 5 22 3 3 3" xfId="30732"/>
    <cellStyle name="Normal 5 22 3 4" xfId="20062"/>
    <cellStyle name="Normal 5 22 3 4 2" xfId="30733"/>
    <cellStyle name="Normal 5 22 3 5" xfId="30734"/>
    <cellStyle name="Normal 5 22 4" xfId="9946"/>
    <cellStyle name="Normal 5 22 5" xfId="9947"/>
    <cellStyle name="Normal 5 22 5 2" xfId="20063"/>
    <cellStyle name="Normal 5 22 5 2 2" xfId="30735"/>
    <cellStyle name="Normal 5 22 5 3" xfId="30736"/>
    <cellStyle name="Normal 5 22 6" xfId="20064"/>
    <cellStyle name="Normal 5 22 6 2" xfId="30737"/>
    <cellStyle name="Normal 5 22 7" xfId="30738"/>
    <cellStyle name="Normal 5 23" xfId="9948"/>
    <cellStyle name="Normal 5 23 2" xfId="9949"/>
    <cellStyle name="Normal 5 23 2 2" xfId="9950"/>
    <cellStyle name="Normal 5 23 2 3" xfId="9951"/>
    <cellStyle name="Normal 5 23 2 3 2" xfId="20065"/>
    <cellStyle name="Normal 5 23 2 3 2 2" xfId="30739"/>
    <cellStyle name="Normal 5 23 2 3 3" xfId="30740"/>
    <cellStyle name="Normal 5 23 2 4" xfId="20066"/>
    <cellStyle name="Normal 5 23 2 4 2" xfId="30741"/>
    <cellStyle name="Normal 5 23 2 5" xfId="30742"/>
    <cellStyle name="Normal 5 23 3" xfId="9952"/>
    <cellStyle name="Normal 5 23 3 2" xfId="9953"/>
    <cellStyle name="Normal 5 23 3 3" xfId="9954"/>
    <cellStyle name="Normal 5 23 3 3 2" xfId="20067"/>
    <cellStyle name="Normal 5 23 3 3 2 2" xfId="30743"/>
    <cellStyle name="Normal 5 23 3 3 3" xfId="30744"/>
    <cellStyle name="Normal 5 23 3 4" xfId="20068"/>
    <cellStyle name="Normal 5 23 3 4 2" xfId="30745"/>
    <cellStyle name="Normal 5 23 3 5" xfId="30746"/>
    <cellStyle name="Normal 5 23 4" xfId="9955"/>
    <cellStyle name="Normal 5 23 5" xfId="9956"/>
    <cellStyle name="Normal 5 23 5 2" xfId="20069"/>
    <cellStyle name="Normal 5 23 5 2 2" xfId="30747"/>
    <cellStyle name="Normal 5 23 5 3" xfId="30748"/>
    <cellStyle name="Normal 5 23 6" xfId="20070"/>
    <cellStyle name="Normal 5 23 6 2" xfId="30749"/>
    <cellStyle name="Normal 5 23 7" xfId="30750"/>
    <cellStyle name="Normal 5 24" xfId="9957"/>
    <cellStyle name="Normal 5 24 2" xfId="9958"/>
    <cellStyle name="Normal 5 24 2 2" xfId="9959"/>
    <cellStyle name="Normal 5 24 2 3" xfId="9960"/>
    <cellStyle name="Normal 5 24 2 3 2" xfId="20071"/>
    <cellStyle name="Normal 5 24 2 3 2 2" xfId="30751"/>
    <cellStyle name="Normal 5 24 2 3 3" xfId="30752"/>
    <cellStyle name="Normal 5 24 2 4" xfId="20072"/>
    <cellStyle name="Normal 5 24 2 4 2" xfId="30753"/>
    <cellStyle name="Normal 5 24 2 5" xfId="30754"/>
    <cellStyle name="Normal 5 24 3" xfId="9961"/>
    <cellStyle name="Normal 5 24 3 2" xfId="9962"/>
    <cellStyle name="Normal 5 24 3 3" xfId="9963"/>
    <cellStyle name="Normal 5 24 3 3 2" xfId="20073"/>
    <cellStyle name="Normal 5 24 3 3 2 2" xfId="30755"/>
    <cellStyle name="Normal 5 24 3 3 3" xfId="30756"/>
    <cellStyle name="Normal 5 24 3 4" xfId="20074"/>
    <cellStyle name="Normal 5 24 3 4 2" xfId="30757"/>
    <cellStyle name="Normal 5 24 3 5" xfId="30758"/>
    <cellStyle name="Normal 5 24 4" xfId="9964"/>
    <cellStyle name="Normal 5 24 5" xfId="9965"/>
    <cellStyle name="Normal 5 24 5 2" xfId="20075"/>
    <cellStyle name="Normal 5 24 5 2 2" xfId="30759"/>
    <cellStyle name="Normal 5 24 5 3" xfId="30760"/>
    <cellStyle name="Normal 5 24 6" xfId="20076"/>
    <cellStyle name="Normal 5 24 6 2" xfId="30761"/>
    <cellStyle name="Normal 5 24 7" xfId="30762"/>
    <cellStyle name="Normal 5 25" xfId="9966"/>
    <cellStyle name="Normal 5 25 2" xfId="9967"/>
    <cellStyle name="Normal 5 25 2 2" xfId="9968"/>
    <cellStyle name="Normal 5 25 2 3" xfId="9969"/>
    <cellStyle name="Normal 5 25 2 3 2" xfId="20077"/>
    <cellStyle name="Normal 5 25 2 3 2 2" xfId="30763"/>
    <cellStyle name="Normal 5 25 2 3 3" xfId="30764"/>
    <cellStyle name="Normal 5 25 2 4" xfId="20078"/>
    <cellStyle name="Normal 5 25 2 4 2" xfId="30765"/>
    <cellStyle name="Normal 5 25 2 5" xfId="30766"/>
    <cellStyle name="Normal 5 25 3" xfId="9970"/>
    <cellStyle name="Normal 5 25 3 2" xfId="9971"/>
    <cellStyle name="Normal 5 25 3 3" xfId="9972"/>
    <cellStyle name="Normal 5 25 3 3 2" xfId="20079"/>
    <cellStyle name="Normal 5 25 3 3 2 2" xfId="30767"/>
    <cellStyle name="Normal 5 25 3 3 3" xfId="30768"/>
    <cellStyle name="Normal 5 25 3 4" xfId="20080"/>
    <cellStyle name="Normal 5 25 3 4 2" xfId="30769"/>
    <cellStyle name="Normal 5 25 3 5" xfId="30770"/>
    <cellStyle name="Normal 5 25 4" xfId="9973"/>
    <cellStyle name="Normal 5 25 5" xfId="9974"/>
    <cellStyle name="Normal 5 25 5 2" xfId="20081"/>
    <cellStyle name="Normal 5 25 5 2 2" xfId="30771"/>
    <cellStyle name="Normal 5 25 5 3" xfId="30772"/>
    <cellStyle name="Normal 5 25 6" xfId="20082"/>
    <cellStyle name="Normal 5 25 6 2" xfId="30773"/>
    <cellStyle name="Normal 5 25 7" xfId="30774"/>
    <cellStyle name="Normal 5 26" xfId="9975"/>
    <cellStyle name="Normal 5 26 2" xfId="9976"/>
    <cellStyle name="Normal 5 26 2 2" xfId="9977"/>
    <cellStyle name="Normal 5 26 2 3" xfId="9978"/>
    <cellStyle name="Normal 5 26 2 3 2" xfId="20083"/>
    <cellStyle name="Normal 5 26 2 3 2 2" xfId="30775"/>
    <cellStyle name="Normal 5 26 2 3 3" xfId="30776"/>
    <cellStyle name="Normal 5 26 2 4" xfId="20084"/>
    <cellStyle name="Normal 5 26 2 4 2" xfId="30777"/>
    <cellStyle name="Normal 5 26 2 5" xfId="30778"/>
    <cellStyle name="Normal 5 26 3" xfId="9979"/>
    <cellStyle name="Normal 5 26 3 2" xfId="9980"/>
    <cellStyle name="Normal 5 26 3 3" xfId="9981"/>
    <cellStyle name="Normal 5 26 3 3 2" xfId="20085"/>
    <cellStyle name="Normal 5 26 3 3 2 2" xfId="30779"/>
    <cellStyle name="Normal 5 26 3 3 3" xfId="30780"/>
    <cellStyle name="Normal 5 26 3 4" xfId="20086"/>
    <cellStyle name="Normal 5 26 3 4 2" xfId="30781"/>
    <cellStyle name="Normal 5 26 3 5" xfId="30782"/>
    <cellStyle name="Normal 5 26 4" xfId="9982"/>
    <cellStyle name="Normal 5 26 5" xfId="9983"/>
    <cellStyle name="Normal 5 26 5 2" xfId="20087"/>
    <cellStyle name="Normal 5 26 5 2 2" xfId="30783"/>
    <cellStyle name="Normal 5 26 5 3" xfId="30784"/>
    <cellStyle name="Normal 5 26 6" xfId="20088"/>
    <cellStyle name="Normal 5 26 6 2" xfId="30785"/>
    <cellStyle name="Normal 5 26 7" xfId="30786"/>
    <cellStyle name="Normal 5 27" xfId="9984"/>
    <cellStyle name="Normal 5 27 2" xfId="9985"/>
    <cellStyle name="Normal 5 27 2 2" xfId="9986"/>
    <cellStyle name="Normal 5 27 2 3" xfId="9987"/>
    <cellStyle name="Normal 5 27 2 3 2" xfId="20089"/>
    <cellStyle name="Normal 5 27 2 3 2 2" xfId="30787"/>
    <cellStyle name="Normal 5 27 2 3 3" xfId="30788"/>
    <cellStyle name="Normal 5 27 2 4" xfId="20090"/>
    <cellStyle name="Normal 5 27 2 4 2" xfId="30789"/>
    <cellStyle name="Normal 5 27 2 5" xfId="30790"/>
    <cellStyle name="Normal 5 27 3" xfId="9988"/>
    <cellStyle name="Normal 5 27 3 2" xfId="9989"/>
    <cellStyle name="Normal 5 27 3 3" xfId="9990"/>
    <cellStyle name="Normal 5 27 3 3 2" xfId="20091"/>
    <cellStyle name="Normal 5 27 3 3 2 2" xfId="30791"/>
    <cellStyle name="Normal 5 27 3 3 3" xfId="30792"/>
    <cellStyle name="Normal 5 27 3 4" xfId="20092"/>
    <cellStyle name="Normal 5 27 3 4 2" xfId="30793"/>
    <cellStyle name="Normal 5 27 3 5" xfId="30794"/>
    <cellStyle name="Normal 5 27 4" xfId="9991"/>
    <cellStyle name="Normal 5 27 5" xfId="9992"/>
    <cellStyle name="Normal 5 27 5 2" xfId="20093"/>
    <cellStyle name="Normal 5 27 5 2 2" xfId="30795"/>
    <cellStyle name="Normal 5 27 5 3" xfId="30796"/>
    <cellStyle name="Normal 5 27 6" xfId="20094"/>
    <cellStyle name="Normal 5 27 6 2" xfId="30797"/>
    <cellStyle name="Normal 5 27 7" xfId="30798"/>
    <cellStyle name="Normal 5 28" xfId="9993"/>
    <cellStyle name="Normal 5 28 2" xfId="9994"/>
    <cellStyle name="Normal 5 28 2 2" xfId="9995"/>
    <cellStyle name="Normal 5 28 2 3" xfId="9996"/>
    <cellStyle name="Normal 5 28 2 3 2" xfId="20095"/>
    <cellStyle name="Normal 5 28 2 3 2 2" xfId="30799"/>
    <cellStyle name="Normal 5 28 2 3 3" xfId="30800"/>
    <cellStyle name="Normal 5 28 2 4" xfId="20096"/>
    <cellStyle name="Normal 5 28 2 4 2" xfId="30801"/>
    <cellStyle name="Normal 5 28 2 5" xfId="30802"/>
    <cellStyle name="Normal 5 28 3" xfId="9997"/>
    <cellStyle name="Normal 5 28 3 2" xfId="9998"/>
    <cellStyle name="Normal 5 28 3 3" xfId="9999"/>
    <cellStyle name="Normal 5 28 3 3 2" xfId="20097"/>
    <cellStyle name="Normal 5 28 3 3 2 2" xfId="30803"/>
    <cellStyle name="Normal 5 28 3 3 3" xfId="30804"/>
    <cellStyle name="Normal 5 28 3 4" xfId="20098"/>
    <cellStyle name="Normal 5 28 3 4 2" xfId="30805"/>
    <cellStyle name="Normal 5 28 3 5" xfId="30806"/>
    <cellStyle name="Normal 5 28 4" xfId="10000"/>
    <cellStyle name="Normal 5 28 5" xfId="10001"/>
    <cellStyle name="Normal 5 28 5 2" xfId="20099"/>
    <cellStyle name="Normal 5 28 5 2 2" xfId="30807"/>
    <cellStyle name="Normal 5 28 5 3" xfId="30808"/>
    <cellStyle name="Normal 5 28 6" xfId="20100"/>
    <cellStyle name="Normal 5 28 6 2" xfId="30809"/>
    <cellStyle name="Normal 5 28 7" xfId="30810"/>
    <cellStyle name="Normal 5 29" xfId="10002"/>
    <cellStyle name="Normal 5 29 2" xfId="10003"/>
    <cellStyle name="Normal 5 29 2 2" xfId="10004"/>
    <cellStyle name="Normal 5 29 2 3" xfId="10005"/>
    <cellStyle name="Normal 5 29 2 3 2" xfId="20101"/>
    <cellStyle name="Normal 5 29 2 3 2 2" xfId="30811"/>
    <cellStyle name="Normal 5 29 2 3 3" xfId="30812"/>
    <cellStyle name="Normal 5 29 2 4" xfId="20102"/>
    <cellStyle name="Normal 5 29 2 4 2" xfId="30813"/>
    <cellStyle name="Normal 5 29 2 5" xfId="30814"/>
    <cellStyle name="Normal 5 29 3" xfId="10006"/>
    <cellStyle name="Normal 5 29 3 2" xfId="10007"/>
    <cellStyle name="Normal 5 29 3 3" xfId="10008"/>
    <cellStyle name="Normal 5 29 3 3 2" xfId="20103"/>
    <cellStyle name="Normal 5 29 3 3 2 2" xfId="30815"/>
    <cellStyle name="Normal 5 29 3 3 3" xfId="30816"/>
    <cellStyle name="Normal 5 29 3 4" xfId="20104"/>
    <cellStyle name="Normal 5 29 3 4 2" xfId="30817"/>
    <cellStyle name="Normal 5 29 3 5" xfId="30818"/>
    <cellStyle name="Normal 5 29 4" xfId="10009"/>
    <cellStyle name="Normal 5 29 5" xfId="10010"/>
    <cellStyle name="Normal 5 29 5 2" xfId="20105"/>
    <cellStyle name="Normal 5 29 5 2 2" xfId="30819"/>
    <cellStyle name="Normal 5 29 5 3" xfId="30820"/>
    <cellStyle name="Normal 5 29 6" xfId="20106"/>
    <cellStyle name="Normal 5 29 6 2" xfId="30821"/>
    <cellStyle name="Normal 5 29 7" xfId="30822"/>
    <cellStyle name="Normal 5 3" xfId="10011"/>
    <cellStyle name="Normal 5 3 10" xfId="10012"/>
    <cellStyle name="Normal 5 3 10 2" xfId="10013"/>
    <cellStyle name="Normal 5 3 10 3" xfId="10014"/>
    <cellStyle name="Normal 5 3 10 3 2" xfId="20107"/>
    <cellStyle name="Normal 5 3 10 3 2 2" xfId="30823"/>
    <cellStyle name="Normal 5 3 10 3 3" xfId="30824"/>
    <cellStyle name="Normal 5 3 10 4" xfId="20108"/>
    <cellStyle name="Normal 5 3 10 4 2" xfId="30825"/>
    <cellStyle name="Normal 5 3 10 5" xfId="30826"/>
    <cellStyle name="Normal 5 3 11" xfId="20109"/>
    <cellStyle name="Normal 5 3 11 2" xfId="30827"/>
    <cellStyle name="Normal 5 3 2" xfId="10015"/>
    <cellStyle name="Normal 5 3 2 10" xfId="30828"/>
    <cellStyle name="Normal 5 3 2 2" xfId="10016"/>
    <cellStyle name="Normal 5 3 2 2 2" xfId="10017"/>
    <cellStyle name="Normal 5 3 2 2 2 2" xfId="10018"/>
    <cellStyle name="Normal 5 3 2 2 2 3" xfId="20110"/>
    <cellStyle name="Normal 5 3 2 2 3" xfId="10019"/>
    <cellStyle name="Normal 5 3 2 2 3 2" xfId="10020"/>
    <cellStyle name="Normal 5 3 2 2 4" xfId="20111"/>
    <cellStyle name="Normal 5 3 2 2 5" xfId="20112"/>
    <cellStyle name="Normal 5 3 2 3" xfId="10021"/>
    <cellStyle name="Normal 5 3 2 3 2" xfId="10022"/>
    <cellStyle name="Normal 5 3 2 3 2 2" xfId="10023"/>
    <cellStyle name="Normal 5 3 2 3 3" xfId="10024"/>
    <cellStyle name="Normal 5 3 2 3 4" xfId="20113"/>
    <cellStyle name="Normal 5 3 2 3 5" xfId="20114"/>
    <cellStyle name="Normal 5 3 2 4" xfId="10025"/>
    <cellStyle name="Normal 5 3 2 4 2" xfId="10026"/>
    <cellStyle name="Normal 5 3 2 4 2 2" xfId="10027"/>
    <cellStyle name="Normal 5 3 2 4 3" xfId="10028"/>
    <cellStyle name="Normal 5 3 2 4 4" xfId="20115"/>
    <cellStyle name="Normal 5 3 2 4 5" xfId="20116"/>
    <cellStyle name="Normal 5 3 2 5" xfId="10029"/>
    <cellStyle name="Normal 5 3 2 5 2" xfId="10030"/>
    <cellStyle name="Normal 5 3 2 5 2 2" xfId="10031"/>
    <cellStyle name="Normal 5 3 2 5 3" xfId="10032"/>
    <cellStyle name="Normal 5 3 2 5 4" xfId="20117"/>
    <cellStyle name="Normal 5 3 2 5 5" xfId="20118"/>
    <cellStyle name="Normal 5 3 2 6" xfId="10033"/>
    <cellStyle name="Normal 5 3 2 6 2" xfId="10034"/>
    <cellStyle name="Normal 5 3 2 6 3" xfId="10035"/>
    <cellStyle name="Normal 5 3 2 6 3 2" xfId="20119"/>
    <cellStyle name="Normal 5 3 2 6 3 2 2" xfId="30829"/>
    <cellStyle name="Normal 5 3 2 6 3 3" xfId="30830"/>
    <cellStyle name="Normal 5 3 2 6 4" xfId="20120"/>
    <cellStyle name="Normal 5 3 2 6 4 2" xfId="30831"/>
    <cellStyle name="Normal 5 3 2 6 5" xfId="30832"/>
    <cellStyle name="Normal 5 3 2 7" xfId="10036"/>
    <cellStyle name="Normal 5 3 2 7 2" xfId="10037"/>
    <cellStyle name="Normal 5 3 2 8" xfId="10038"/>
    <cellStyle name="Normal 5 3 2 8 2" xfId="20121"/>
    <cellStyle name="Normal 5 3 2 8 2 2" xfId="30833"/>
    <cellStyle name="Normal 5 3 2 8 3" xfId="30834"/>
    <cellStyle name="Normal 5 3 2 9" xfId="20122"/>
    <cellStyle name="Normal 5 3 2 9 2" xfId="30835"/>
    <cellStyle name="Normal 5 3 3" xfId="10039"/>
    <cellStyle name="Normal 5 3 3 2" xfId="10040"/>
    <cellStyle name="Normal 5 3 3 2 2" xfId="10041"/>
    <cellStyle name="Normal 5 3 3 2 3" xfId="10042"/>
    <cellStyle name="Normal 5 3 3 2 3 2" xfId="20123"/>
    <cellStyle name="Normal 5 3 3 2 3 2 2" xfId="30836"/>
    <cellStyle name="Normal 5 3 3 2 3 3" xfId="30837"/>
    <cellStyle name="Normal 5 3 3 2 4" xfId="20124"/>
    <cellStyle name="Normal 5 3 3 2 4 2" xfId="30838"/>
    <cellStyle name="Normal 5 3 3 2 5" xfId="30839"/>
    <cellStyle name="Normal 5 3 3 3" xfId="10043"/>
    <cellStyle name="Normal 5 3 3 3 2" xfId="10044"/>
    <cellStyle name="Normal 5 3 3 4" xfId="10045"/>
    <cellStyle name="Normal 5 3 3 5" xfId="10046"/>
    <cellStyle name="Normal 5 3 3 5 2" xfId="20125"/>
    <cellStyle name="Normal 5 3 3 5 2 2" xfId="30840"/>
    <cellStyle name="Normal 5 3 3 5 3" xfId="30841"/>
    <cellStyle name="Normal 5 3 3 6" xfId="20126"/>
    <cellStyle name="Normal 5 3 3 6 2" xfId="30842"/>
    <cellStyle name="Normal 5 3 3 7" xfId="30843"/>
    <cellStyle name="Normal 5 3 4" xfId="10047"/>
    <cellStyle name="Normal 5 3 4 2" xfId="10048"/>
    <cellStyle name="Normal 5 3 4 2 2" xfId="10049"/>
    <cellStyle name="Normal 5 3 4 2 3" xfId="10050"/>
    <cellStyle name="Normal 5 3 4 2 3 2" xfId="20127"/>
    <cellStyle name="Normal 5 3 4 2 3 2 2" xfId="30844"/>
    <cellStyle name="Normal 5 3 4 2 3 3" xfId="30845"/>
    <cellStyle name="Normal 5 3 4 2 4" xfId="20128"/>
    <cellStyle name="Normal 5 3 4 2 4 2" xfId="30846"/>
    <cellStyle name="Normal 5 3 4 2 5" xfId="30847"/>
    <cellStyle name="Normal 5 3 4 3" xfId="10051"/>
    <cellStyle name="Normal 5 3 4 3 2" xfId="10052"/>
    <cellStyle name="Normal 5 3 4 4" xfId="10053"/>
    <cellStyle name="Normal 5 3 4 5" xfId="10054"/>
    <cellStyle name="Normal 5 3 4 5 2" xfId="20129"/>
    <cellStyle name="Normal 5 3 4 5 2 2" xfId="30848"/>
    <cellStyle name="Normal 5 3 4 5 3" xfId="30849"/>
    <cellStyle name="Normal 5 3 4 6" xfId="20130"/>
    <cellStyle name="Normal 5 3 4 6 2" xfId="30850"/>
    <cellStyle name="Normal 5 3 4 7" xfId="30851"/>
    <cellStyle name="Normal 5 3 5" xfId="10055"/>
    <cellStyle name="Normal 5 3 5 2" xfId="10056"/>
    <cellStyle name="Normal 5 3 5 2 2" xfId="10057"/>
    <cellStyle name="Normal 5 3 5 2 3" xfId="10058"/>
    <cellStyle name="Normal 5 3 5 2 3 2" xfId="20131"/>
    <cellStyle name="Normal 5 3 5 2 3 2 2" xfId="30852"/>
    <cellStyle name="Normal 5 3 5 2 3 3" xfId="30853"/>
    <cellStyle name="Normal 5 3 5 2 4" xfId="20132"/>
    <cellStyle name="Normal 5 3 5 2 4 2" xfId="30854"/>
    <cellStyle name="Normal 5 3 5 2 5" xfId="30855"/>
    <cellStyle name="Normal 5 3 5 3" xfId="10059"/>
    <cellStyle name="Normal 5 3 5 3 2" xfId="10060"/>
    <cellStyle name="Normal 5 3 5 4" xfId="10061"/>
    <cellStyle name="Normal 5 3 5 5" xfId="10062"/>
    <cellStyle name="Normal 5 3 5 5 2" xfId="20133"/>
    <cellStyle name="Normal 5 3 5 5 2 2" xfId="30856"/>
    <cellStyle name="Normal 5 3 5 5 3" xfId="30857"/>
    <cellStyle name="Normal 5 3 5 6" xfId="20134"/>
    <cellStyle name="Normal 5 3 5 6 2" xfId="30858"/>
    <cellStyle name="Normal 5 3 5 7" xfId="30859"/>
    <cellStyle name="Normal 5 3 6" xfId="10063"/>
    <cellStyle name="Normal 5 3 6 2" xfId="10064"/>
    <cellStyle name="Normal 5 3 6 2 2" xfId="10065"/>
    <cellStyle name="Normal 5 3 6 3" xfId="10066"/>
    <cellStyle name="Normal 5 3 6 3 2" xfId="20135"/>
    <cellStyle name="Normal 5 3 6 3 2 2" xfId="30860"/>
    <cellStyle name="Normal 5 3 6 3 3" xfId="30861"/>
    <cellStyle name="Normal 5 3 7" xfId="10067"/>
    <cellStyle name="Normal 5 3 7 2" xfId="10068"/>
    <cellStyle name="Normal 5 3 8" xfId="10069"/>
    <cellStyle name="Normal 5 3 8 2" xfId="10070"/>
    <cellStyle name="Normal 5 3 9" xfId="10071"/>
    <cellStyle name="Normal 5 3 9 2" xfId="10072"/>
    <cellStyle name="Normal 5 30" xfId="10073"/>
    <cellStyle name="Normal 5 30 2" xfId="10074"/>
    <cellStyle name="Normal 5 30 2 2" xfId="10075"/>
    <cellStyle name="Normal 5 30 2 3" xfId="10076"/>
    <cellStyle name="Normal 5 30 2 3 2" xfId="20136"/>
    <cellStyle name="Normal 5 30 2 3 2 2" xfId="30862"/>
    <cellStyle name="Normal 5 30 2 3 3" xfId="30863"/>
    <cellStyle name="Normal 5 30 2 4" xfId="20137"/>
    <cellStyle name="Normal 5 30 2 4 2" xfId="30864"/>
    <cellStyle name="Normal 5 30 2 5" xfId="30865"/>
    <cellStyle name="Normal 5 30 3" xfId="10077"/>
    <cellStyle name="Normal 5 30 3 2" xfId="10078"/>
    <cellStyle name="Normal 5 30 3 3" xfId="10079"/>
    <cellStyle name="Normal 5 30 3 3 2" xfId="20138"/>
    <cellStyle name="Normal 5 30 3 3 2 2" xfId="30866"/>
    <cellStyle name="Normal 5 30 3 3 3" xfId="30867"/>
    <cellStyle name="Normal 5 30 3 4" xfId="20139"/>
    <cellStyle name="Normal 5 30 3 4 2" xfId="30868"/>
    <cellStyle name="Normal 5 30 3 5" xfId="30869"/>
    <cellStyle name="Normal 5 30 4" xfId="10080"/>
    <cellStyle name="Normal 5 30 5" xfId="10081"/>
    <cellStyle name="Normal 5 30 5 2" xfId="20140"/>
    <cellStyle name="Normal 5 30 5 2 2" xfId="30870"/>
    <cellStyle name="Normal 5 30 5 3" xfId="30871"/>
    <cellStyle name="Normal 5 30 6" xfId="20141"/>
    <cellStyle name="Normal 5 30 6 2" xfId="30872"/>
    <cellStyle name="Normal 5 30 7" xfId="30873"/>
    <cellStyle name="Normal 5 31" xfId="10082"/>
    <cellStyle name="Normal 5 31 2" xfId="10083"/>
    <cellStyle name="Normal 5 31 2 2" xfId="10084"/>
    <cellStyle name="Normal 5 31 2 3" xfId="10085"/>
    <cellStyle name="Normal 5 31 2 3 2" xfId="20142"/>
    <cellStyle name="Normal 5 31 2 3 2 2" xfId="30874"/>
    <cellStyle name="Normal 5 31 2 3 3" xfId="30875"/>
    <cellStyle name="Normal 5 31 2 4" xfId="20143"/>
    <cellStyle name="Normal 5 31 2 4 2" xfId="30876"/>
    <cellStyle name="Normal 5 31 2 5" xfId="30877"/>
    <cellStyle name="Normal 5 31 3" xfId="10086"/>
    <cellStyle name="Normal 5 31 3 2" xfId="10087"/>
    <cellStyle name="Normal 5 31 3 3" xfId="10088"/>
    <cellStyle name="Normal 5 31 3 3 2" xfId="20144"/>
    <cellStyle name="Normal 5 31 3 3 2 2" xfId="30878"/>
    <cellStyle name="Normal 5 31 3 3 3" xfId="30879"/>
    <cellStyle name="Normal 5 31 3 4" xfId="20145"/>
    <cellStyle name="Normal 5 31 3 4 2" xfId="30880"/>
    <cellStyle name="Normal 5 31 3 5" xfId="30881"/>
    <cellStyle name="Normal 5 31 4" xfId="10089"/>
    <cellStyle name="Normal 5 31 5" xfId="10090"/>
    <cellStyle name="Normal 5 31 5 2" xfId="20146"/>
    <cellStyle name="Normal 5 31 5 2 2" xfId="30882"/>
    <cellStyle name="Normal 5 31 5 3" xfId="30883"/>
    <cellStyle name="Normal 5 31 6" xfId="20147"/>
    <cellStyle name="Normal 5 31 6 2" xfId="30884"/>
    <cellStyle name="Normal 5 31 7" xfId="30885"/>
    <cellStyle name="Normal 5 32" xfId="10091"/>
    <cellStyle name="Normal 5 32 2" xfId="10092"/>
    <cellStyle name="Normal 5 32 2 2" xfId="10093"/>
    <cellStyle name="Normal 5 32 2 3" xfId="10094"/>
    <cellStyle name="Normal 5 32 2 3 2" xfId="20148"/>
    <cellStyle name="Normal 5 32 2 3 2 2" xfId="30886"/>
    <cellStyle name="Normal 5 32 2 3 3" xfId="30887"/>
    <cellStyle name="Normal 5 32 2 4" xfId="20149"/>
    <cellStyle name="Normal 5 32 2 4 2" xfId="30888"/>
    <cellStyle name="Normal 5 32 2 5" xfId="30889"/>
    <cellStyle name="Normal 5 32 3" xfId="10095"/>
    <cellStyle name="Normal 5 32 3 2" xfId="10096"/>
    <cellStyle name="Normal 5 32 3 3" xfId="10097"/>
    <cellStyle name="Normal 5 32 3 3 2" xfId="20150"/>
    <cellStyle name="Normal 5 32 3 3 2 2" xfId="30890"/>
    <cellStyle name="Normal 5 32 3 3 3" xfId="30891"/>
    <cellStyle name="Normal 5 32 3 4" xfId="20151"/>
    <cellStyle name="Normal 5 32 3 4 2" xfId="30892"/>
    <cellStyle name="Normal 5 32 3 5" xfId="30893"/>
    <cellStyle name="Normal 5 32 4" xfId="10098"/>
    <cellStyle name="Normal 5 32 5" xfId="10099"/>
    <cellStyle name="Normal 5 32 5 2" xfId="20152"/>
    <cellStyle name="Normal 5 32 5 2 2" xfId="30894"/>
    <cellStyle name="Normal 5 32 5 3" xfId="30895"/>
    <cellStyle name="Normal 5 32 6" xfId="20153"/>
    <cellStyle name="Normal 5 32 6 2" xfId="30896"/>
    <cellStyle name="Normal 5 32 7" xfId="30897"/>
    <cellStyle name="Normal 5 33" xfId="10100"/>
    <cellStyle name="Normal 5 33 2" xfId="10101"/>
    <cellStyle name="Normal 5 33 2 2" xfId="10102"/>
    <cellStyle name="Normal 5 33 2 3" xfId="10103"/>
    <cellStyle name="Normal 5 33 2 3 2" xfId="20154"/>
    <cellStyle name="Normal 5 33 2 3 2 2" xfId="30898"/>
    <cellStyle name="Normal 5 33 2 3 3" xfId="30899"/>
    <cellStyle name="Normal 5 33 2 4" xfId="20155"/>
    <cellStyle name="Normal 5 33 2 4 2" xfId="30900"/>
    <cellStyle name="Normal 5 33 2 5" xfId="30901"/>
    <cellStyle name="Normal 5 33 3" xfId="10104"/>
    <cellStyle name="Normal 5 33 3 2" xfId="10105"/>
    <cellStyle name="Normal 5 33 3 3" xfId="10106"/>
    <cellStyle name="Normal 5 33 3 3 2" xfId="20156"/>
    <cellStyle name="Normal 5 33 3 3 2 2" xfId="30902"/>
    <cellStyle name="Normal 5 33 3 3 3" xfId="30903"/>
    <cellStyle name="Normal 5 33 3 4" xfId="20157"/>
    <cellStyle name="Normal 5 33 3 4 2" xfId="30904"/>
    <cellStyle name="Normal 5 33 3 5" xfId="30905"/>
    <cellStyle name="Normal 5 33 4" xfId="10107"/>
    <cellStyle name="Normal 5 33 5" xfId="10108"/>
    <cellStyle name="Normal 5 33 5 2" xfId="20158"/>
    <cellStyle name="Normal 5 33 5 2 2" xfId="30906"/>
    <cellStyle name="Normal 5 33 5 3" xfId="30907"/>
    <cellStyle name="Normal 5 33 6" xfId="20159"/>
    <cellStyle name="Normal 5 33 6 2" xfId="30908"/>
    <cellStyle name="Normal 5 33 7" xfId="30909"/>
    <cellStyle name="Normal 5 34" xfId="10109"/>
    <cellStyle name="Normal 5 34 2" xfId="10110"/>
    <cellStyle name="Normal 5 34 2 2" xfId="10111"/>
    <cellStyle name="Normal 5 34 2 3" xfId="10112"/>
    <cellStyle name="Normal 5 34 2 3 2" xfId="20160"/>
    <cellStyle name="Normal 5 34 2 3 2 2" xfId="30910"/>
    <cellStyle name="Normal 5 34 2 3 3" xfId="30911"/>
    <cellStyle name="Normal 5 34 2 4" xfId="20161"/>
    <cellStyle name="Normal 5 34 2 4 2" xfId="30912"/>
    <cellStyle name="Normal 5 34 2 5" xfId="30913"/>
    <cellStyle name="Normal 5 34 3" xfId="10113"/>
    <cellStyle name="Normal 5 34 3 2" xfId="10114"/>
    <cellStyle name="Normal 5 34 3 3" xfId="10115"/>
    <cellStyle name="Normal 5 34 3 3 2" xfId="20162"/>
    <cellStyle name="Normal 5 34 3 3 2 2" xfId="30914"/>
    <cellStyle name="Normal 5 34 3 3 3" xfId="30915"/>
    <cellStyle name="Normal 5 34 3 4" xfId="20163"/>
    <cellStyle name="Normal 5 34 3 4 2" xfId="30916"/>
    <cellStyle name="Normal 5 34 3 5" xfId="30917"/>
    <cellStyle name="Normal 5 34 4" xfId="10116"/>
    <cellStyle name="Normal 5 34 5" xfId="10117"/>
    <cellStyle name="Normal 5 34 5 2" xfId="20164"/>
    <cellStyle name="Normal 5 34 5 2 2" xfId="30918"/>
    <cellStyle name="Normal 5 34 5 3" xfId="30919"/>
    <cellStyle name="Normal 5 34 6" xfId="20165"/>
    <cellStyle name="Normal 5 34 6 2" xfId="30920"/>
    <cellStyle name="Normal 5 34 7" xfId="30921"/>
    <cellStyle name="Normal 5 35" xfId="10118"/>
    <cellStyle name="Normal 5 35 2" xfId="10119"/>
    <cellStyle name="Normal 5 35 2 2" xfId="10120"/>
    <cellStyle name="Normal 5 35 2 3" xfId="10121"/>
    <cellStyle name="Normal 5 35 2 3 2" xfId="20166"/>
    <cellStyle name="Normal 5 35 2 3 2 2" xfId="30922"/>
    <cellStyle name="Normal 5 35 2 3 3" xfId="30923"/>
    <cellStyle name="Normal 5 35 2 4" xfId="20167"/>
    <cellStyle name="Normal 5 35 2 4 2" xfId="30924"/>
    <cellStyle name="Normal 5 35 2 5" xfId="30925"/>
    <cellStyle name="Normal 5 35 3" xfId="10122"/>
    <cellStyle name="Normal 5 35 3 2" xfId="10123"/>
    <cellStyle name="Normal 5 35 3 3" xfId="10124"/>
    <cellStyle name="Normal 5 35 3 3 2" xfId="20168"/>
    <cellStyle name="Normal 5 35 3 3 2 2" xfId="30926"/>
    <cellStyle name="Normal 5 35 3 3 3" xfId="30927"/>
    <cellStyle name="Normal 5 35 3 4" xfId="20169"/>
    <cellStyle name="Normal 5 35 3 4 2" xfId="30928"/>
    <cellStyle name="Normal 5 35 3 5" xfId="30929"/>
    <cellStyle name="Normal 5 35 4" xfId="10125"/>
    <cellStyle name="Normal 5 35 5" xfId="10126"/>
    <cellStyle name="Normal 5 35 5 2" xfId="20170"/>
    <cellStyle name="Normal 5 35 5 2 2" xfId="30930"/>
    <cellStyle name="Normal 5 35 5 3" xfId="30931"/>
    <cellStyle name="Normal 5 35 6" xfId="20171"/>
    <cellStyle name="Normal 5 35 6 2" xfId="30932"/>
    <cellStyle name="Normal 5 35 7" xfId="30933"/>
    <cellStyle name="Normal 5 36" xfId="10127"/>
    <cellStyle name="Normal 5 36 2" xfId="10128"/>
    <cellStyle name="Normal 5 36 2 2" xfId="10129"/>
    <cellStyle name="Normal 5 36 2 3" xfId="10130"/>
    <cellStyle name="Normal 5 36 2 3 2" xfId="20172"/>
    <cellStyle name="Normal 5 36 2 3 2 2" xfId="30934"/>
    <cellStyle name="Normal 5 36 2 3 3" xfId="30935"/>
    <cellStyle name="Normal 5 36 2 4" xfId="20173"/>
    <cellStyle name="Normal 5 36 2 4 2" xfId="30936"/>
    <cellStyle name="Normal 5 36 2 5" xfId="30937"/>
    <cellStyle name="Normal 5 36 3" xfId="10131"/>
    <cellStyle name="Normal 5 36 3 2" xfId="10132"/>
    <cellStyle name="Normal 5 36 3 3" xfId="10133"/>
    <cellStyle name="Normal 5 36 3 3 2" xfId="20174"/>
    <cellStyle name="Normal 5 36 3 3 2 2" xfId="30938"/>
    <cellStyle name="Normal 5 36 3 3 3" xfId="30939"/>
    <cellStyle name="Normal 5 36 3 4" xfId="20175"/>
    <cellStyle name="Normal 5 36 3 4 2" xfId="30940"/>
    <cellStyle name="Normal 5 36 3 5" xfId="30941"/>
    <cellStyle name="Normal 5 36 4" xfId="10134"/>
    <cellStyle name="Normal 5 36 5" xfId="10135"/>
    <cellStyle name="Normal 5 36 5 2" xfId="20176"/>
    <cellStyle name="Normal 5 36 5 2 2" xfId="30942"/>
    <cellStyle name="Normal 5 36 5 3" xfId="30943"/>
    <cellStyle name="Normal 5 36 6" xfId="20177"/>
    <cellStyle name="Normal 5 36 6 2" xfId="30944"/>
    <cellStyle name="Normal 5 36 7" xfId="30945"/>
    <cellStyle name="Normal 5 37" xfId="10136"/>
    <cellStyle name="Normal 5 37 2" xfId="10137"/>
    <cellStyle name="Normal 5 37 2 2" xfId="10138"/>
    <cellStyle name="Normal 5 37 2 3" xfId="10139"/>
    <cellStyle name="Normal 5 37 2 3 2" xfId="20178"/>
    <cellStyle name="Normal 5 37 2 3 2 2" xfId="30946"/>
    <cellStyle name="Normal 5 37 2 3 3" xfId="30947"/>
    <cellStyle name="Normal 5 37 2 4" xfId="20179"/>
    <cellStyle name="Normal 5 37 2 4 2" xfId="30948"/>
    <cellStyle name="Normal 5 37 2 5" xfId="30949"/>
    <cellStyle name="Normal 5 37 3" xfId="10140"/>
    <cellStyle name="Normal 5 37 3 2" xfId="10141"/>
    <cellStyle name="Normal 5 37 3 3" xfId="10142"/>
    <cellStyle name="Normal 5 37 3 3 2" xfId="20180"/>
    <cellStyle name="Normal 5 37 3 3 2 2" xfId="30950"/>
    <cellStyle name="Normal 5 37 3 3 3" xfId="30951"/>
    <cellStyle name="Normal 5 37 3 4" xfId="20181"/>
    <cellStyle name="Normal 5 37 3 4 2" xfId="30952"/>
    <cellStyle name="Normal 5 37 3 5" xfId="30953"/>
    <cellStyle name="Normal 5 37 4" xfId="10143"/>
    <cellStyle name="Normal 5 37 5" xfId="10144"/>
    <cellStyle name="Normal 5 37 5 2" xfId="20182"/>
    <cellStyle name="Normal 5 37 5 2 2" xfId="30954"/>
    <cellStyle name="Normal 5 37 5 3" xfId="30955"/>
    <cellStyle name="Normal 5 37 6" xfId="20183"/>
    <cellStyle name="Normal 5 37 6 2" xfId="30956"/>
    <cellStyle name="Normal 5 37 7" xfId="30957"/>
    <cellStyle name="Normal 5 38" xfId="10145"/>
    <cellStyle name="Normal 5 38 2" xfId="10146"/>
    <cellStyle name="Normal 5 38 2 2" xfId="10147"/>
    <cellStyle name="Normal 5 38 2 3" xfId="10148"/>
    <cellStyle name="Normal 5 38 2 3 2" xfId="20184"/>
    <cellStyle name="Normal 5 38 2 3 2 2" xfId="30958"/>
    <cellStyle name="Normal 5 38 2 3 3" xfId="30959"/>
    <cellStyle name="Normal 5 38 2 4" xfId="20185"/>
    <cellStyle name="Normal 5 38 2 4 2" xfId="30960"/>
    <cellStyle name="Normal 5 38 2 5" xfId="30961"/>
    <cellStyle name="Normal 5 38 3" xfId="10149"/>
    <cellStyle name="Normal 5 38 3 2" xfId="10150"/>
    <cellStyle name="Normal 5 38 3 3" xfId="10151"/>
    <cellStyle name="Normal 5 38 3 3 2" xfId="20186"/>
    <cellStyle name="Normal 5 38 3 3 2 2" xfId="30962"/>
    <cellStyle name="Normal 5 38 3 3 3" xfId="30963"/>
    <cellStyle name="Normal 5 38 3 4" xfId="20187"/>
    <cellStyle name="Normal 5 38 3 4 2" xfId="30964"/>
    <cellStyle name="Normal 5 38 3 5" xfId="30965"/>
    <cellStyle name="Normal 5 38 4" xfId="10152"/>
    <cellStyle name="Normal 5 38 5" xfId="10153"/>
    <cellStyle name="Normal 5 38 5 2" xfId="20188"/>
    <cellStyle name="Normal 5 38 5 2 2" xfId="30966"/>
    <cellStyle name="Normal 5 38 5 3" xfId="30967"/>
    <cellStyle name="Normal 5 38 6" xfId="20189"/>
    <cellStyle name="Normal 5 38 6 2" xfId="30968"/>
    <cellStyle name="Normal 5 38 7" xfId="30969"/>
    <cellStyle name="Normal 5 39" xfId="10154"/>
    <cellStyle name="Normal 5 39 2" xfId="10155"/>
    <cellStyle name="Normal 5 39 2 2" xfId="10156"/>
    <cellStyle name="Normal 5 39 2 3" xfId="10157"/>
    <cellStyle name="Normal 5 39 2 3 2" xfId="20190"/>
    <cellStyle name="Normal 5 39 2 3 2 2" xfId="30970"/>
    <cellStyle name="Normal 5 39 2 3 3" xfId="30971"/>
    <cellStyle name="Normal 5 39 2 4" xfId="20191"/>
    <cellStyle name="Normal 5 39 2 4 2" xfId="30972"/>
    <cellStyle name="Normal 5 39 2 5" xfId="30973"/>
    <cellStyle name="Normal 5 39 3" xfId="10158"/>
    <cellStyle name="Normal 5 39 3 2" xfId="10159"/>
    <cellStyle name="Normal 5 39 3 3" xfId="10160"/>
    <cellStyle name="Normal 5 39 3 3 2" xfId="20192"/>
    <cellStyle name="Normal 5 39 3 3 2 2" xfId="30974"/>
    <cellStyle name="Normal 5 39 3 3 3" xfId="30975"/>
    <cellStyle name="Normal 5 39 3 4" xfId="20193"/>
    <cellStyle name="Normal 5 39 3 4 2" xfId="30976"/>
    <cellStyle name="Normal 5 39 3 5" xfId="30977"/>
    <cellStyle name="Normal 5 39 4" xfId="10161"/>
    <cellStyle name="Normal 5 39 5" xfId="10162"/>
    <cellStyle name="Normal 5 39 5 2" xfId="20194"/>
    <cellStyle name="Normal 5 39 5 2 2" xfId="30978"/>
    <cellStyle name="Normal 5 39 5 3" xfId="30979"/>
    <cellStyle name="Normal 5 39 6" xfId="20195"/>
    <cellStyle name="Normal 5 39 6 2" xfId="30980"/>
    <cellStyle name="Normal 5 39 7" xfId="30981"/>
    <cellStyle name="Normal 5 4" xfId="10163"/>
    <cellStyle name="Normal 5 4 2" xfId="10164"/>
    <cellStyle name="Normal 5 4 2 2" xfId="10165"/>
    <cellStyle name="Normal 5 4 2 3" xfId="20196"/>
    <cellStyle name="Normal 5 4 3" xfId="10166"/>
    <cellStyle name="Normal 5 4 3 2" xfId="10167"/>
    <cellStyle name="Normal 5 4 3 3" xfId="10168"/>
    <cellStyle name="Normal 5 4 3 3 2" xfId="20197"/>
    <cellStyle name="Normal 5 4 3 3 2 2" xfId="30982"/>
    <cellStyle name="Normal 5 4 3 3 3" xfId="30983"/>
    <cellStyle name="Normal 5 4 3 4" xfId="20198"/>
    <cellStyle name="Normal 5 4 3 4 2" xfId="30984"/>
    <cellStyle name="Normal 5 4 3 5" xfId="30985"/>
    <cellStyle name="Normal 5 4 4" xfId="10169"/>
    <cellStyle name="Normal 5 4 4 2" xfId="10170"/>
    <cellStyle name="Normal 5 4 4 3" xfId="10171"/>
    <cellStyle name="Normal 5 4 4 3 2" xfId="20199"/>
    <cellStyle name="Normal 5 4 4 3 2 2" xfId="30986"/>
    <cellStyle name="Normal 5 4 4 3 3" xfId="30987"/>
    <cellStyle name="Normal 5 4 4 4" xfId="20200"/>
    <cellStyle name="Normal 5 4 4 4 2" xfId="30988"/>
    <cellStyle name="Normal 5 4 4 5" xfId="30989"/>
    <cellStyle name="Normal 5 40" xfId="10172"/>
    <cellStyle name="Normal 5 40 2" xfId="10173"/>
    <cellStyle name="Normal 5 40 2 2" xfId="10174"/>
    <cellStyle name="Normal 5 40 2 3" xfId="10175"/>
    <cellStyle name="Normal 5 40 2 3 2" xfId="20201"/>
    <cellStyle name="Normal 5 40 2 3 2 2" xfId="30990"/>
    <cellStyle name="Normal 5 40 2 3 3" xfId="30991"/>
    <cellStyle name="Normal 5 40 2 4" xfId="20202"/>
    <cellStyle name="Normal 5 40 2 4 2" xfId="30992"/>
    <cellStyle name="Normal 5 40 2 5" xfId="30993"/>
    <cellStyle name="Normal 5 40 3" xfId="10176"/>
    <cellStyle name="Normal 5 40 3 2" xfId="10177"/>
    <cellStyle name="Normal 5 40 3 3" xfId="10178"/>
    <cellStyle name="Normal 5 40 3 3 2" xfId="20203"/>
    <cellStyle name="Normal 5 40 3 3 2 2" xfId="30994"/>
    <cellStyle name="Normal 5 40 3 3 3" xfId="30995"/>
    <cellStyle name="Normal 5 40 3 4" xfId="20204"/>
    <cellStyle name="Normal 5 40 3 4 2" xfId="30996"/>
    <cellStyle name="Normal 5 40 3 5" xfId="30997"/>
    <cellStyle name="Normal 5 40 4" xfId="10179"/>
    <cellStyle name="Normal 5 40 5" xfId="10180"/>
    <cellStyle name="Normal 5 40 5 2" xfId="20205"/>
    <cellStyle name="Normal 5 40 5 2 2" xfId="30998"/>
    <cellStyle name="Normal 5 40 5 3" xfId="30999"/>
    <cellStyle name="Normal 5 40 6" xfId="20206"/>
    <cellStyle name="Normal 5 40 6 2" xfId="31000"/>
    <cellStyle name="Normal 5 40 7" xfId="31001"/>
    <cellStyle name="Normal 5 41" xfId="10181"/>
    <cellStyle name="Normal 5 41 2" xfId="10182"/>
    <cellStyle name="Normal 5 41 2 2" xfId="10183"/>
    <cellStyle name="Normal 5 41 2 3" xfId="10184"/>
    <cellStyle name="Normal 5 41 2 3 2" xfId="20207"/>
    <cellStyle name="Normal 5 41 2 3 2 2" xfId="31002"/>
    <cellStyle name="Normal 5 41 2 3 3" xfId="31003"/>
    <cellStyle name="Normal 5 41 2 4" xfId="20208"/>
    <cellStyle name="Normal 5 41 2 4 2" xfId="31004"/>
    <cellStyle name="Normal 5 41 2 5" xfId="31005"/>
    <cellStyle name="Normal 5 41 3" xfId="10185"/>
    <cellStyle name="Normal 5 41 3 2" xfId="10186"/>
    <cellStyle name="Normal 5 41 3 3" xfId="10187"/>
    <cellStyle name="Normal 5 41 3 3 2" xfId="20209"/>
    <cellStyle name="Normal 5 41 3 3 2 2" xfId="31006"/>
    <cellStyle name="Normal 5 41 3 3 3" xfId="31007"/>
    <cellStyle name="Normal 5 41 3 4" xfId="20210"/>
    <cellStyle name="Normal 5 41 3 4 2" xfId="31008"/>
    <cellStyle name="Normal 5 41 3 5" xfId="31009"/>
    <cellStyle name="Normal 5 41 4" xfId="10188"/>
    <cellStyle name="Normal 5 41 5" xfId="10189"/>
    <cellStyle name="Normal 5 41 5 2" xfId="20211"/>
    <cellStyle name="Normal 5 41 5 2 2" xfId="31010"/>
    <cellStyle name="Normal 5 41 5 3" xfId="31011"/>
    <cellStyle name="Normal 5 41 6" xfId="20212"/>
    <cellStyle name="Normal 5 41 6 2" xfId="31012"/>
    <cellStyle name="Normal 5 41 7" xfId="31013"/>
    <cellStyle name="Normal 5 42" xfId="10190"/>
    <cellStyle name="Normal 5 42 2" xfId="10191"/>
    <cellStyle name="Normal 5 42 2 2" xfId="10192"/>
    <cellStyle name="Normal 5 42 2 3" xfId="10193"/>
    <cellStyle name="Normal 5 42 2 3 2" xfId="20213"/>
    <cellStyle name="Normal 5 42 2 3 2 2" xfId="31014"/>
    <cellStyle name="Normal 5 42 2 3 3" xfId="31015"/>
    <cellStyle name="Normal 5 42 2 4" xfId="20214"/>
    <cellStyle name="Normal 5 42 2 4 2" xfId="31016"/>
    <cellStyle name="Normal 5 42 2 5" xfId="31017"/>
    <cellStyle name="Normal 5 42 3" xfId="10194"/>
    <cellStyle name="Normal 5 42 3 2" xfId="10195"/>
    <cellStyle name="Normal 5 42 3 3" xfId="10196"/>
    <cellStyle name="Normal 5 42 3 3 2" xfId="20215"/>
    <cellStyle name="Normal 5 42 3 3 2 2" xfId="31018"/>
    <cellStyle name="Normal 5 42 3 3 3" xfId="31019"/>
    <cellStyle name="Normal 5 42 3 4" xfId="20216"/>
    <cellStyle name="Normal 5 42 3 4 2" xfId="31020"/>
    <cellStyle name="Normal 5 42 3 5" xfId="31021"/>
    <cellStyle name="Normal 5 42 4" xfId="10197"/>
    <cellStyle name="Normal 5 42 5" xfId="10198"/>
    <cellStyle name="Normal 5 42 5 2" xfId="20217"/>
    <cellStyle name="Normal 5 42 5 2 2" xfId="31022"/>
    <cellStyle name="Normal 5 42 5 3" xfId="31023"/>
    <cellStyle name="Normal 5 42 6" xfId="20218"/>
    <cellStyle name="Normal 5 42 6 2" xfId="31024"/>
    <cellStyle name="Normal 5 42 7" xfId="31025"/>
    <cellStyle name="Normal 5 43" xfId="10199"/>
    <cellStyle name="Normal 5 43 2" xfId="10200"/>
    <cellStyle name="Normal 5 43 2 2" xfId="10201"/>
    <cellStyle name="Normal 5 43 2 3" xfId="10202"/>
    <cellStyle name="Normal 5 43 2 3 2" xfId="20219"/>
    <cellStyle name="Normal 5 43 2 3 2 2" xfId="31026"/>
    <cellStyle name="Normal 5 43 2 3 3" xfId="31027"/>
    <cellStyle name="Normal 5 43 2 4" xfId="20220"/>
    <cellStyle name="Normal 5 43 2 4 2" xfId="31028"/>
    <cellStyle name="Normal 5 43 2 5" xfId="31029"/>
    <cellStyle name="Normal 5 43 3" xfId="10203"/>
    <cellStyle name="Normal 5 43 3 2" xfId="10204"/>
    <cellStyle name="Normal 5 43 3 3" xfId="10205"/>
    <cellStyle name="Normal 5 43 3 3 2" xfId="20221"/>
    <cellStyle name="Normal 5 43 3 3 2 2" xfId="31030"/>
    <cellStyle name="Normal 5 43 3 3 3" xfId="31031"/>
    <cellStyle name="Normal 5 43 3 4" xfId="20222"/>
    <cellStyle name="Normal 5 43 3 4 2" xfId="31032"/>
    <cellStyle name="Normal 5 43 3 5" xfId="31033"/>
    <cellStyle name="Normal 5 43 4" xfId="10206"/>
    <cellStyle name="Normal 5 43 5" xfId="10207"/>
    <cellStyle name="Normal 5 43 5 2" xfId="20223"/>
    <cellStyle name="Normal 5 43 5 2 2" xfId="31034"/>
    <cellStyle name="Normal 5 43 5 3" xfId="31035"/>
    <cellStyle name="Normal 5 43 6" xfId="20224"/>
    <cellStyle name="Normal 5 43 6 2" xfId="31036"/>
    <cellStyle name="Normal 5 43 7" xfId="31037"/>
    <cellStyle name="Normal 5 44" xfId="10208"/>
    <cellStyle name="Normal 5 44 2" xfId="10209"/>
    <cellStyle name="Normal 5 44 2 2" xfId="10210"/>
    <cellStyle name="Normal 5 44 2 3" xfId="10211"/>
    <cellStyle name="Normal 5 44 2 3 2" xfId="20225"/>
    <cellStyle name="Normal 5 44 2 3 2 2" xfId="31038"/>
    <cellStyle name="Normal 5 44 2 3 3" xfId="31039"/>
    <cellStyle name="Normal 5 44 2 4" xfId="20226"/>
    <cellStyle name="Normal 5 44 2 4 2" xfId="31040"/>
    <cellStyle name="Normal 5 44 2 5" xfId="31041"/>
    <cellStyle name="Normal 5 44 3" xfId="10212"/>
    <cellStyle name="Normal 5 44 3 2" xfId="10213"/>
    <cellStyle name="Normal 5 44 3 3" xfId="10214"/>
    <cellStyle name="Normal 5 44 3 3 2" xfId="20227"/>
    <cellStyle name="Normal 5 44 3 3 2 2" xfId="31042"/>
    <cellStyle name="Normal 5 44 3 3 3" xfId="31043"/>
    <cellStyle name="Normal 5 44 3 4" xfId="20228"/>
    <cellStyle name="Normal 5 44 3 4 2" xfId="31044"/>
    <cellStyle name="Normal 5 44 3 5" xfId="31045"/>
    <cellStyle name="Normal 5 44 4" xfId="10215"/>
    <cellStyle name="Normal 5 44 5" xfId="10216"/>
    <cellStyle name="Normal 5 44 5 2" xfId="20229"/>
    <cellStyle name="Normal 5 44 5 2 2" xfId="31046"/>
    <cellStyle name="Normal 5 44 5 3" xfId="31047"/>
    <cellStyle name="Normal 5 44 6" xfId="20230"/>
    <cellStyle name="Normal 5 44 6 2" xfId="31048"/>
    <cellStyle name="Normal 5 44 7" xfId="31049"/>
    <cellStyle name="Normal 5 45" xfId="10217"/>
    <cellStyle name="Normal 5 45 2" xfId="10218"/>
    <cellStyle name="Normal 5 45 2 2" xfId="10219"/>
    <cellStyle name="Normal 5 45 2 3" xfId="10220"/>
    <cellStyle name="Normal 5 45 2 3 2" xfId="20231"/>
    <cellStyle name="Normal 5 45 2 3 2 2" xfId="31050"/>
    <cellStyle name="Normal 5 45 2 3 3" xfId="31051"/>
    <cellStyle name="Normal 5 45 2 4" xfId="20232"/>
    <cellStyle name="Normal 5 45 2 4 2" xfId="31052"/>
    <cellStyle name="Normal 5 45 2 5" xfId="31053"/>
    <cellStyle name="Normal 5 45 3" xfId="10221"/>
    <cellStyle name="Normal 5 45 3 2" xfId="10222"/>
    <cellStyle name="Normal 5 45 3 3" xfId="10223"/>
    <cellStyle name="Normal 5 45 3 3 2" xfId="20233"/>
    <cellStyle name="Normal 5 45 3 3 2 2" xfId="31054"/>
    <cellStyle name="Normal 5 45 3 3 3" xfId="31055"/>
    <cellStyle name="Normal 5 45 3 4" xfId="20234"/>
    <cellStyle name="Normal 5 45 3 4 2" xfId="31056"/>
    <cellStyle name="Normal 5 45 3 5" xfId="31057"/>
    <cellStyle name="Normal 5 45 4" xfId="10224"/>
    <cellStyle name="Normal 5 45 5" xfId="10225"/>
    <cellStyle name="Normal 5 45 5 2" xfId="20235"/>
    <cellStyle name="Normal 5 45 5 2 2" xfId="31058"/>
    <cellStyle name="Normal 5 45 5 3" xfId="31059"/>
    <cellStyle name="Normal 5 45 6" xfId="20236"/>
    <cellStyle name="Normal 5 45 6 2" xfId="31060"/>
    <cellStyle name="Normal 5 45 7" xfId="31061"/>
    <cellStyle name="Normal 5 46" xfId="10226"/>
    <cellStyle name="Normal 5 46 2" xfId="10227"/>
    <cellStyle name="Normal 5 46 2 2" xfId="10228"/>
    <cellStyle name="Normal 5 46 2 3" xfId="10229"/>
    <cellStyle name="Normal 5 46 2 3 2" xfId="20237"/>
    <cellStyle name="Normal 5 46 2 3 2 2" xfId="31062"/>
    <cellStyle name="Normal 5 46 2 3 3" xfId="31063"/>
    <cellStyle name="Normal 5 46 2 4" xfId="20238"/>
    <cellStyle name="Normal 5 46 2 4 2" xfId="31064"/>
    <cellStyle name="Normal 5 46 2 5" xfId="31065"/>
    <cellStyle name="Normal 5 46 3" xfId="10230"/>
    <cellStyle name="Normal 5 46 3 2" xfId="10231"/>
    <cellStyle name="Normal 5 46 3 3" xfId="10232"/>
    <cellStyle name="Normal 5 46 3 3 2" xfId="20239"/>
    <cellStyle name="Normal 5 46 3 3 2 2" xfId="31066"/>
    <cellStyle name="Normal 5 46 3 3 3" xfId="31067"/>
    <cellStyle name="Normal 5 46 3 4" xfId="20240"/>
    <cellStyle name="Normal 5 46 3 4 2" xfId="31068"/>
    <cellStyle name="Normal 5 46 3 5" xfId="31069"/>
    <cellStyle name="Normal 5 46 4" xfId="10233"/>
    <cellStyle name="Normal 5 46 5" xfId="10234"/>
    <cellStyle name="Normal 5 46 5 2" xfId="20241"/>
    <cellStyle name="Normal 5 46 5 2 2" xfId="31070"/>
    <cellStyle name="Normal 5 46 5 3" xfId="31071"/>
    <cellStyle name="Normal 5 46 6" xfId="20242"/>
    <cellStyle name="Normal 5 46 6 2" xfId="31072"/>
    <cellStyle name="Normal 5 46 7" xfId="31073"/>
    <cellStyle name="Normal 5 47" xfId="10235"/>
    <cellStyle name="Normal 5 47 2" xfId="10236"/>
    <cellStyle name="Normal 5 47 2 2" xfId="10237"/>
    <cellStyle name="Normal 5 47 2 3" xfId="10238"/>
    <cellStyle name="Normal 5 47 2 3 2" xfId="20243"/>
    <cellStyle name="Normal 5 47 2 3 2 2" xfId="31074"/>
    <cellStyle name="Normal 5 47 2 3 3" xfId="31075"/>
    <cellStyle name="Normal 5 47 2 4" xfId="20244"/>
    <cellStyle name="Normal 5 47 2 4 2" xfId="31076"/>
    <cellStyle name="Normal 5 47 2 5" xfId="31077"/>
    <cellStyle name="Normal 5 47 3" xfId="10239"/>
    <cellStyle name="Normal 5 47 3 2" xfId="10240"/>
    <cellStyle name="Normal 5 47 3 3" xfId="10241"/>
    <cellStyle name="Normal 5 47 3 3 2" xfId="20245"/>
    <cellStyle name="Normal 5 47 3 3 2 2" xfId="31078"/>
    <cellStyle name="Normal 5 47 3 3 3" xfId="31079"/>
    <cellStyle name="Normal 5 47 3 4" xfId="20246"/>
    <cellStyle name="Normal 5 47 3 4 2" xfId="31080"/>
    <cellStyle name="Normal 5 47 3 5" xfId="31081"/>
    <cellStyle name="Normal 5 47 4" xfId="10242"/>
    <cellStyle name="Normal 5 47 5" xfId="10243"/>
    <cellStyle name="Normal 5 47 5 2" xfId="20247"/>
    <cellStyle name="Normal 5 47 5 2 2" xfId="31082"/>
    <cellStyle name="Normal 5 47 5 3" xfId="31083"/>
    <cellStyle name="Normal 5 47 6" xfId="20248"/>
    <cellStyle name="Normal 5 47 6 2" xfId="31084"/>
    <cellStyle name="Normal 5 47 7" xfId="31085"/>
    <cellStyle name="Normal 5 48" xfId="10244"/>
    <cellStyle name="Normal 5 48 2" xfId="10245"/>
    <cellStyle name="Normal 5 48 2 2" xfId="10246"/>
    <cellStyle name="Normal 5 48 2 3" xfId="10247"/>
    <cellStyle name="Normal 5 48 2 3 2" xfId="20249"/>
    <cellStyle name="Normal 5 48 2 3 2 2" xfId="31086"/>
    <cellStyle name="Normal 5 48 2 3 3" xfId="31087"/>
    <cellStyle name="Normal 5 48 2 4" xfId="20250"/>
    <cellStyle name="Normal 5 48 2 4 2" xfId="31088"/>
    <cellStyle name="Normal 5 48 2 5" xfId="31089"/>
    <cellStyle name="Normal 5 48 3" xfId="10248"/>
    <cellStyle name="Normal 5 48 3 2" xfId="10249"/>
    <cellStyle name="Normal 5 48 3 3" xfId="10250"/>
    <cellStyle name="Normal 5 48 3 3 2" xfId="20251"/>
    <cellStyle name="Normal 5 48 3 3 2 2" xfId="31090"/>
    <cellStyle name="Normal 5 48 3 3 3" xfId="31091"/>
    <cellStyle name="Normal 5 48 3 4" xfId="20252"/>
    <cellStyle name="Normal 5 48 3 4 2" xfId="31092"/>
    <cellStyle name="Normal 5 48 3 5" xfId="31093"/>
    <cellStyle name="Normal 5 48 4" xfId="10251"/>
    <cellStyle name="Normal 5 48 5" xfId="10252"/>
    <cellStyle name="Normal 5 48 5 2" xfId="20253"/>
    <cellStyle name="Normal 5 48 5 2 2" xfId="31094"/>
    <cellStyle name="Normal 5 48 5 3" xfId="31095"/>
    <cellStyle name="Normal 5 48 6" xfId="20254"/>
    <cellStyle name="Normal 5 48 6 2" xfId="31096"/>
    <cellStyle name="Normal 5 48 7" xfId="31097"/>
    <cellStyle name="Normal 5 49" xfId="10253"/>
    <cellStyle name="Normal 5 49 2" xfId="10254"/>
    <cellStyle name="Normal 5 49 2 2" xfId="10255"/>
    <cellStyle name="Normal 5 49 2 3" xfId="10256"/>
    <cellStyle name="Normal 5 49 2 3 2" xfId="20255"/>
    <cellStyle name="Normal 5 49 2 3 2 2" xfId="31098"/>
    <cellStyle name="Normal 5 49 2 3 3" xfId="31099"/>
    <cellStyle name="Normal 5 49 2 4" xfId="20256"/>
    <cellStyle name="Normal 5 49 2 4 2" xfId="31100"/>
    <cellStyle name="Normal 5 49 2 5" xfId="31101"/>
    <cellStyle name="Normal 5 49 3" xfId="10257"/>
    <cellStyle name="Normal 5 49 3 2" xfId="10258"/>
    <cellStyle name="Normal 5 49 3 3" xfId="10259"/>
    <cellStyle name="Normal 5 49 3 3 2" xfId="20257"/>
    <cellStyle name="Normal 5 49 3 3 2 2" xfId="31102"/>
    <cellStyle name="Normal 5 49 3 3 3" xfId="31103"/>
    <cellStyle name="Normal 5 49 3 4" xfId="20258"/>
    <cellStyle name="Normal 5 49 3 4 2" xfId="31104"/>
    <cellStyle name="Normal 5 49 3 5" xfId="31105"/>
    <cellStyle name="Normal 5 49 4" xfId="10260"/>
    <cellStyle name="Normal 5 49 5" xfId="10261"/>
    <cellStyle name="Normal 5 49 5 2" xfId="20259"/>
    <cellStyle name="Normal 5 49 5 2 2" xfId="31106"/>
    <cellStyle name="Normal 5 49 5 3" xfId="31107"/>
    <cellStyle name="Normal 5 49 6" xfId="20260"/>
    <cellStyle name="Normal 5 49 6 2" xfId="31108"/>
    <cellStyle name="Normal 5 49 7" xfId="31109"/>
    <cellStyle name="Normal 5 5" xfId="10262"/>
    <cellStyle name="Normal 5 5 2" xfId="10263"/>
    <cellStyle name="Normal 5 5 2 2" xfId="10264"/>
    <cellStyle name="Normal 5 5 2 3" xfId="20261"/>
    <cellStyle name="Normal 5 5 3" xfId="10265"/>
    <cellStyle name="Normal 5 5 3 2" xfId="10266"/>
    <cellStyle name="Normal 5 5 3 3" xfId="10267"/>
    <cellStyle name="Normal 5 5 3 3 2" xfId="20262"/>
    <cellStyle name="Normal 5 5 3 3 2 2" xfId="31110"/>
    <cellStyle name="Normal 5 5 3 3 3" xfId="31111"/>
    <cellStyle name="Normal 5 5 3 4" xfId="20263"/>
    <cellStyle name="Normal 5 5 3 4 2" xfId="31112"/>
    <cellStyle name="Normal 5 5 3 5" xfId="31113"/>
    <cellStyle name="Normal 5 5 4" xfId="10268"/>
    <cellStyle name="Normal 5 5 4 2" xfId="10269"/>
    <cellStyle name="Normal 5 5 4 3" xfId="10270"/>
    <cellStyle name="Normal 5 5 4 3 2" xfId="20264"/>
    <cellStyle name="Normal 5 5 4 3 2 2" xfId="31114"/>
    <cellStyle name="Normal 5 5 4 3 3" xfId="31115"/>
    <cellStyle name="Normal 5 5 4 4" xfId="20265"/>
    <cellStyle name="Normal 5 5 4 4 2" xfId="31116"/>
    <cellStyle name="Normal 5 5 4 5" xfId="31117"/>
    <cellStyle name="Normal 5 50" xfId="10271"/>
    <cellStyle name="Normal 5 50 2" xfId="10272"/>
    <cellStyle name="Normal 5 50 2 2" xfId="10273"/>
    <cellStyle name="Normal 5 50 2 3" xfId="10274"/>
    <cellStyle name="Normal 5 50 2 3 2" xfId="20266"/>
    <cellStyle name="Normal 5 50 2 3 2 2" xfId="31118"/>
    <cellStyle name="Normal 5 50 2 3 3" xfId="31119"/>
    <cellStyle name="Normal 5 50 2 4" xfId="20267"/>
    <cellStyle name="Normal 5 50 2 4 2" xfId="31120"/>
    <cellStyle name="Normal 5 50 2 5" xfId="31121"/>
    <cellStyle name="Normal 5 50 3" xfId="10275"/>
    <cellStyle name="Normal 5 50 3 2" xfId="10276"/>
    <cellStyle name="Normal 5 50 3 3" xfId="10277"/>
    <cellStyle name="Normal 5 50 3 3 2" xfId="20268"/>
    <cellStyle name="Normal 5 50 3 3 2 2" xfId="31122"/>
    <cellStyle name="Normal 5 50 3 3 3" xfId="31123"/>
    <cellStyle name="Normal 5 50 3 4" xfId="20269"/>
    <cellStyle name="Normal 5 50 3 4 2" xfId="31124"/>
    <cellStyle name="Normal 5 50 3 5" xfId="31125"/>
    <cellStyle name="Normal 5 50 4" xfId="10278"/>
    <cellStyle name="Normal 5 50 5" xfId="10279"/>
    <cellStyle name="Normal 5 50 5 2" xfId="20270"/>
    <cellStyle name="Normal 5 50 5 2 2" xfId="31126"/>
    <cellStyle name="Normal 5 50 5 3" xfId="31127"/>
    <cellStyle name="Normal 5 50 6" xfId="20271"/>
    <cellStyle name="Normal 5 50 6 2" xfId="31128"/>
    <cellStyle name="Normal 5 50 7" xfId="31129"/>
    <cellStyle name="Normal 5 51" xfId="10280"/>
    <cellStyle name="Normal 5 51 2" xfId="10281"/>
    <cellStyle name="Normal 5 51 2 2" xfId="10282"/>
    <cellStyle name="Normal 5 51 2 3" xfId="10283"/>
    <cellStyle name="Normal 5 51 2 3 2" xfId="20272"/>
    <cellStyle name="Normal 5 51 2 3 2 2" xfId="31130"/>
    <cellStyle name="Normal 5 51 2 3 3" xfId="31131"/>
    <cellStyle name="Normal 5 51 2 4" xfId="20273"/>
    <cellStyle name="Normal 5 51 2 4 2" xfId="31132"/>
    <cellStyle name="Normal 5 51 2 5" xfId="31133"/>
    <cellStyle name="Normal 5 51 3" xfId="10284"/>
    <cellStyle name="Normal 5 51 3 2" xfId="10285"/>
    <cellStyle name="Normal 5 51 3 3" xfId="10286"/>
    <cellStyle name="Normal 5 51 3 3 2" xfId="20274"/>
    <cellStyle name="Normal 5 51 3 3 2 2" xfId="31134"/>
    <cellStyle name="Normal 5 51 3 3 3" xfId="31135"/>
    <cellStyle name="Normal 5 51 3 4" xfId="20275"/>
    <cellStyle name="Normal 5 51 3 4 2" xfId="31136"/>
    <cellStyle name="Normal 5 51 3 5" xfId="31137"/>
    <cellStyle name="Normal 5 51 4" xfId="10287"/>
    <cellStyle name="Normal 5 51 5" xfId="10288"/>
    <cellStyle name="Normal 5 51 5 2" xfId="20276"/>
    <cellStyle name="Normal 5 51 5 2 2" xfId="31138"/>
    <cellStyle name="Normal 5 51 5 3" xfId="31139"/>
    <cellStyle name="Normal 5 51 6" xfId="20277"/>
    <cellStyle name="Normal 5 51 6 2" xfId="31140"/>
    <cellStyle name="Normal 5 51 7" xfId="31141"/>
    <cellStyle name="Normal 5 52" xfId="10289"/>
    <cellStyle name="Normal 5 52 2" xfId="10290"/>
    <cellStyle name="Normal 5 52 2 2" xfId="10291"/>
    <cellStyle name="Normal 5 52 2 3" xfId="10292"/>
    <cellStyle name="Normal 5 52 2 3 2" xfId="20278"/>
    <cellStyle name="Normal 5 52 2 3 2 2" xfId="31142"/>
    <cellStyle name="Normal 5 52 2 3 3" xfId="31143"/>
    <cellStyle name="Normal 5 52 2 4" xfId="20279"/>
    <cellStyle name="Normal 5 52 2 4 2" xfId="31144"/>
    <cellStyle name="Normal 5 52 2 5" xfId="31145"/>
    <cellStyle name="Normal 5 52 3" xfId="10293"/>
    <cellStyle name="Normal 5 52 3 2" xfId="10294"/>
    <cellStyle name="Normal 5 52 3 3" xfId="10295"/>
    <cellStyle name="Normal 5 52 3 3 2" xfId="20280"/>
    <cellStyle name="Normal 5 52 3 3 2 2" xfId="31146"/>
    <cellStyle name="Normal 5 52 3 3 3" xfId="31147"/>
    <cellStyle name="Normal 5 52 3 4" xfId="20281"/>
    <cellStyle name="Normal 5 52 3 4 2" xfId="31148"/>
    <cellStyle name="Normal 5 52 3 5" xfId="31149"/>
    <cellStyle name="Normal 5 52 4" xfId="10296"/>
    <cellStyle name="Normal 5 52 5" xfId="10297"/>
    <cellStyle name="Normal 5 52 5 2" xfId="20282"/>
    <cellStyle name="Normal 5 52 5 2 2" xfId="31150"/>
    <cellStyle name="Normal 5 52 5 3" xfId="31151"/>
    <cellStyle name="Normal 5 52 6" xfId="20283"/>
    <cellStyle name="Normal 5 52 6 2" xfId="31152"/>
    <cellStyle name="Normal 5 52 7" xfId="31153"/>
    <cellStyle name="Normal 5 53" xfId="10298"/>
    <cellStyle name="Normal 5 53 2" xfId="10299"/>
    <cellStyle name="Normal 5 53 2 2" xfId="10300"/>
    <cellStyle name="Normal 5 53 2 3" xfId="10301"/>
    <cellStyle name="Normal 5 53 2 3 2" xfId="20284"/>
    <cellStyle name="Normal 5 53 2 3 2 2" xfId="31154"/>
    <cellStyle name="Normal 5 53 2 3 3" xfId="31155"/>
    <cellStyle name="Normal 5 53 2 4" xfId="20285"/>
    <cellStyle name="Normal 5 53 2 4 2" xfId="31156"/>
    <cellStyle name="Normal 5 53 2 5" xfId="31157"/>
    <cellStyle name="Normal 5 53 3" xfId="10302"/>
    <cellStyle name="Normal 5 53 3 2" xfId="10303"/>
    <cellStyle name="Normal 5 53 3 3" xfId="10304"/>
    <cellStyle name="Normal 5 53 3 3 2" xfId="20286"/>
    <cellStyle name="Normal 5 53 3 3 2 2" xfId="31158"/>
    <cellStyle name="Normal 5 53 3 3 3" xfId="31159"/>
    <cellStyle name="Normal 5 53 3 4" xfId="20287"/>
    <cellStyle name="Normal 5 53 3 4 2" xfId="31160"/>
    <cellStyle name="Normal 5 53 3 5" xfId="31161"/>
    <cellStyle name="Normal 5 53 4" xfId="10305"/>
    <cellStyle name="Normal 5 53 5" xfId="10306"/>
    <cellStyle name="Normal 5 53 5 2" xfId="20288"/>
    <cellStyle name="Normal 5 53 5 2 2" xfId="31162"/>
    <cellStyle name="Normal 5 53 5 3" xfId="31163"/>
    <cellStyle name="Normal 5 53 6" xfId="20289"/>
    <cellStyle name="Normal 5 53 6 2" xfId="31164"/>
    <cellStyle name="Normal 5 53 7" xfId="31165"/>
    <cellStyle name="Normal 5 54" xfId="10307"/>
    <cellStyle name="Normal 5 54 2" xfId="10308"/>
    <cellStyle name="Normal 5 54 2 2" xfId="10309"/>
    <cellStyle name="Normal 5 54 2 3" xfId="10310"/>
    <cellStyle name="Normal 5 54 2 3 2" xfId="20290"/>
    <cellStyle name="Normal 5 54 2 3 2 2" xfId="31166"/>
    <cellStyle name="Normal 5 54 2 3 3" xfId="31167"/>
    <cellStyle name="Normal 5 54 2 4" xfId="20291"/>
    <cellStyle name="Normal 5 54 2 4 2" xfId="31168"/>
    <cellStyle name="Normal 5 54 2 5" xfId="31169"/>
    <cellStyle name="Normal 5 54 3" xfId="10311"/>
    <cellStyle name="Normal 5 54 3 2" xfId="10312"/>
    <cellStyle name="Normal 5 54 3 3" xfId="10313"/>
    <cellStyle name="Normal 5 54 3 3 2" xfId="20292"/>
    <cellStyle name="Normal 5 54 3 3 2 2" xfId="31170"/>
    <cellStyle name="Normal 5 54 3 3 3" xfId="31171"/>
    <cellStyle name="Normal 5 54 3 4" xfId="20293"/>
    <cellStyle name="Normal 5 54 3 4 2" xfId="31172"/>
    <cellStyle name="Normal 5 54 3 5" xfId="31173"/>
    <cellStyle name="Normal 5 54 4" xfId="10314"/>
    <cellStyle name="Normal 5 54 5" xfId="10315"/>
    <cellStyle name="Normal 5 54 5 2" xfId="20294"/>
    <cellStyle name="Normal 5 54 5 2 2" xfId="31174"/>
    <cellStyle name="Normal 5 54 5 3" xfId="31175"/>
    <cellStyle name="Normal 5 54 6" xfId="20295"/>
    <cellStyle name="Normal 5 54 6 2" xfId="31176"/>
    <cellStyle name="Normal 5 54 7" xfId="31177"/>
    <cellStyle name="Normal 5 55" xfId="10316"/>
    <cellStyle name="Normal 5 55 2" xfId="10317"/>
    <cellStyle name="Normal 5 55 2 2" xfId="10318"/>
    <cellStyle name="Normal 5 55 2 3" xfId="10319"/>
    <cellStyle name="Normal 5 55 2 3 2" xfId="20296"/>
    <cellStyle name="Normal 5 55 2 3 2 2" xfId="31178"/>
    <cellStyle name="Normal 5 55 2 3 3" xfId="31179"/>
    <cellStyle name="Normal 5 55 2 4" xfId="20297"/>
    <cellStyle name="Normal 5 55 2 4 2" xfId="31180"/>
    <cellStyle name="Normal 5 55 2 5" xfId="31181"/>
    <cellStyle name="Normal 5 55 3" xfId="10320"/>
    <cellStyle name="Normal 5 55 3 2" xfId="10321"/>
    <cellStyle name="Normal 5 55 3 3" xfId="10322"/>
    <cellStyle name="Normal 5 55 3 3 2" xfId="20298"/>
    <cellStyle name="Normal 5 55 3 3 2 2" xfId="31182"/>
    <cellStyle name="Normal 5 55 3 3 3" xfId="31183"/>
    <cellStyle name="Normal 5 55 3 4" xfId="20299"/>
    <cellStyle name="Normal 5 55 3 4 2" xfId="31184"/>
    <cellStyle name="Normal 5 55 3 5" xfId="31185"/>
    <cellStyle name="Normal 5 55 4" xfId="10323"/>
    <cellStyle name="Normal 5 55 5" xfId="10324"/>
    <cellStyle name="Normal 5 55 5 2" xfId="20300"/>
    <cellStyle name="Normal 5 55 5 2 2" xfId="31186"/>
    <cellStyle name="Normal 5 55 5 3" xfId="31187"/>
    <cellStyle name="Normal 5 55 6" xfId="20301"/>
    <cellStyle name="Normal 5 55 6 2" xfId="31188"/>
    <cellStyle name="Normal 5 55 7" xfId="31189"/>
    <cellStyle name="Normal 5 56" xfId="10325"/>
    <cellStyle name="Normal 5 56 2" xfId="10326"/>
    <cellStyle name="Normal 5 56 2 2" xfId="10327"/>
    <cellStyle name="Normal 5 56 2 3" xfId="10328"/>
    <cellStyle name="Normal 5 56 2 3 2" xfId="20302"/>
    <cellStyle name="Normal 5 56 2 3 2 2" xfId="31190"/>
    <cellStyle name="Normal 5 56 2 3 3" xfId="31191"/>
    <cellStyle name="Normal 5 56 2 4" xfId="20303"/>
    <cellStyle name="Normal 5 56 2 4 2" xfId="31192"/>
    <cellStyle name="Normal 5 56 2 5" xfId="31193"/>
    <cellStyle name="Normal 5 56 3" xfId="10329"/>
    <cellStyle name="Normal 5 56 3 2" xfId="10330"/>
    <cellStyle name="Normal 5 56 3 3" xfId="10331"/>
    <cellStyle name="Normal 5 56 3 3 2" xfId="20304"/>
    <cellStyle name="Normal 5 56 3 3 2 2" xfId="31194"/>
    <cellStyle name="Normal 5 56 3 3 3" xfId="31195"/>
    <cellStyle name="Normal 5 56 3 4" xfId="20305"/>
    <cellStyle name="Normal 5 56 3 4 2" xfId="31196"/>
    <cellStyle name="Normal 5 56 3 5" xfId="31197"/>
    <cellStyle name="Normal 5 56 4" xfId="10332"/>
    <cellStyle name="Normal 5 56 5" xfId="10333"/>
    <cellStyle name="Normal 5 56 5 2" xfId="20306"/>
    <cellStyle name="Normal 5 56 5 2 2" xfId="31198"/>
    <cellStyle name="Normal 5 56 5 3" xfId="31199"/>
    <cellStyle name="Normal 5 56 6" xfId="20307"/>
    <cellStyle name="Normal 5 56 6 2" xfId="31200"/>
    <cellStyle name="Normal 5 56 7" xfId="31201"/>
    <cellStyle name="Normal 5 57" xfId="10334"/>
    <cellStyle name="Normal 5 57 2" xfId="10335"/>
    <cellStyle name="Normal 5 57 2 2" xfId="10336"/>
    <cellStyle name="Normal 5 57 2 3" xfId="10337"/>
    <cellStyle name="Normal 5 57 2 3 2" xfId="20308"/>
    <cellStyle name="Normal 5 57 2 3 2 2" xfId="31202"/>
    <cellStyle name="Normal 5 57 2 3 3" xfId="31203"/>
    <cellStyle name="Normal 5 57 2 4" xfId="20309"/>
    <cellStyle name="Normal 5 57 2 4 2" xfId="31204"/>
    <cellStyle name="Normal 5 57 2 5" xfId="31205"/>
    <cellStyle name="Normal 5 57 3" xfId="10338"/>
    <cellStyle name="Normal 5 57 3 2" xfId="10339"/>
    <cellStyle name="Normal 5 57 3 3" xfId="10340"/>
    <cellStyle name="Normal 5 57 3 3 2" xfId="20310"/>
    <cellStyle name="Normal 5 57 3 3 2 2" xfId="31206"/>
    <cellStyle name="Normal 5 57 3 3 3" xfId="31207"/>
    <cellStyle name="Normal 5 57 3 4" xfId="20311"/>
    <cellStyle name="Normal 5 57 3 4 2" xfId="31208"/>
    <cellStyle name="Normal 5 57 3 5" xfId="31209"/>
    <cellStyle name="Normal 5 57 4" xfId="10341"/>
    <cellStyle name="Normal 5 57 5" xfId="10342"/>
    <cellStyle name="Normal 5 57 5 2" xfId="20312"/>
    <cellStyle name="Normal 5 57 5 2 2" xfId="31210"/>
    <cellStyle name="Normal 5 57 5 3" xfId="31211"/>
    <cellStyle name="Normal 5 57 6" xfId="20313"/>
    <cellStyle name="Normal 5 57 6 2" xfId="31212"/>
    <cellStyle name="Normal 5 57 7" xfId="31213"/>
    <cellStyle name="Normal 5 58" xfId="10343"/>
    <cellStyle name="Normal 5 58 2" xfId="10344"/>
    <cellStyle name="Normal 5 58 2 2" xfId="10345"/>
    <cellStyle name="Normal 5 58 2 3" xfId="10346"/>
    <cellStyle name="Normal 5 58 2 3 2" xfId="20314"/>
    <cellStyle name="Normal 5 58 2 3 2 2" xfId="31214"/>
    <cellStyle name="Normal 5 58 2 3 3" xfId="31215"/>
    <cellStyle name="Normal 5 58 2 4" xfId="20315"/>
    <cellStyle name="Normal 5 58 2 4 2" xfId="31216"/>
    <cellStyle name="Normal 5 58 2 5" xfId="31217"/>
    <cellStyle name="Normal 5 58 3" xfId="10347"/>
    <cellStyle name="Normal 5 58 3 2" xfId="10348"/>
    <cellStyle name="Normal 5 58 3 3" xfId="10349"/>
    <cellStyle name="Normal 5 58 3 3 2" xfId="20316"/>
    <cellStyle name="Normal 5 58 3 3 2 2" xfId="31218"/>
    <cellStyle name="Normal 5 58 3 3 3" xfId="31219"/>
    <cellStyle name="Normal 5 58 3 4" xfId="20317"/>
    <cellStyle name="Normal 5 58 3 4 2" xfId="31220"/>
    <cellStyle name="Normal 5 58 3 5" xfId="31221"/>
    <cellStyle name="Normal 5 58 4" xfId="10350"/>
    <cellStyle name="Normal 5 58 5" xfId="10351"/>
    <cellStyle name="Normal 5 58 5 2" xfId="20318"/>
    <cellStyle name="Normal 5 58 5 2 2" xfId="31222"/>
    <cellStyle name="Normal 5 58 5 3" xfId="31223"/>
    <cellStyle name="Normal 5 58 6" xfId="20319"/>
    <cellStyle name="Normal 5 58 6 2" xfId="31224"/>
    <cellStyle name="Normal 5 58 7" xfId="31225"/>
    <cellStyle name="Normal 5 59" xfId="10352"/>
    <cellStyle name="Normal 5 59 2" xfId="10353"/>
    <cellStyle name="Normal 5 59 2 2" xfId="10354"/>
    <cellStyle name="Normal 5 59 2 3" xfId="10355"/>
    <cellStyle name="Normal 5 59 2 3 2" xfId="20320"/>
    <cellStyle name="Normal 5 59 2 3 2 2" xfId="31226"/>
    <cellStyle name="Normal 5 59 2 3 3" xfId="31227"/>
    <cellStyle name="Normal 5 59 2 4" xfId="20321"/>
    <cellStyle name="Normal 5 59 2 4 2" xfId="31228"/>
    <cellStyle name="Normal 5 59 2 5" xfId="31229"/>
    <cellStyle name="Normal 5 59 3" xfId="10356"/>
    <cellStyle name="Normal 5 59 3 2" xfId="10357"/>
    <cellStyle name="Normal 5 59 3 3" xfId="10358"/>
    <cellStyle name="Normal 5 59 3 3 2" xfId="20322"/>
    <cellStyle name="Normal 5 59 3 3 2 2" xfId="31230"/>
    <cellStyle name="Normal 5 59 3 3 3" xfId="31231"/>
    <cellStyle name="Normal 5 59 3 4" xfId="20323"/>
    <cellStyle name="Normal 5 59 3 4 2" xfId="31232"/>
    <cellStyle name="Normal 5 59 3 5" xfId="31233"/>
    <cellStyle name="Normal 5 59 4" xfId="10359"/>
    <cellStyle name="Normal 5 59 5" xfId="10360"/>
    <cellStyle name="Normal 5 59 5 2" xfId="20324"/>
    <cellStyle name="Normal 5 59 5 2 2" xfId="31234"/>
    <cellStyle name="Normal 5 59 5 3" xfId="31235"/>
    <cellStyle name="Normal 5 59 6" xfId="20325"/>
    <cellStyle name="Normal 5 59 6 2" xfId="31236"/>
    <cellStyle name="Normal 5 59 7" xfId="31237"/>
    <cellStyle name="Normal 5 6" xfId="10361"/>
    <cellStyle name="Normal 5 6 2" xfId="10362"/>
    <cellStyle name="Normal 5 6 2 2" xfId="10363"/>
    <cellStyle name="Normal 5 6 2 3" xfId="20326"/>
    <cellStyle name="Normal 5 6 3" xfId="10364"/>
    <cellStyle name="Normal 5 6 3 2" xfId="10365"/>
    <cellStyle name="Normal 5 6 3 3" xfId="10366"/>
    <cellStyle name="Normal 5 6 3 3 2" xfId="20327"/>
    <cellStyle name="Normal 5 6 3 3 2 2" xfId="31238"/>
    <cellStyle name="Normal 5 6 3 3 3" xfId="31239"/>
    <cellStyle name="Normal 5 6 3 4" xfId="20328"/>
    <cellStyle name="Normal 5 6 3 4 2" xfId="31240"/>
    <cellStyle name="Normal 5 6 3 5" xfId="31241"/>
    <cellStyle name="Normal 5 6 4" xfId="10367"/>
    <cellStyle name="Normal 5 6 4 2" xfId="10368"/>
    <cellStyle name="Normal 5 6 4 3" xfId="10369"/>
    <cellStyle name="Normal 5 6 4 3 2" xfId="20329"/>
    <cellStyle name="Normal 5 6 4 3 2 2" xfId="31242"/>
    <cellStyle name="Normal 5 6 4 3 3" xfId="31243"/>
    <cellStyle name="Normal 5 6 4 4" xfId="20330"/>
    <cellStyle name="Normal 5 6 4 4 2" xfId="31244"/>
    <cellStyle name="Normal 5 6 4 5" xfId="31245"/>
    <cellStyle name="Normal 5 60" xfId="10370"/>
    <cellStyle name="Normal 5 60 2" xfId="10371"/>
    <cellStyle name="Normal 5 60 2 2" xfId="10372"/>
    <cellStyle name="Normal 5 60 2 3" xfId="10373"/>
    <cellStyle name="Normal 5 60 2 3 2" xfId="20331"/>
    <cellStyle name="Normal 5 60 2 3 2 2" xfId="31246"/>
    <cellStyle name="Normal 5 60 2 3 3" xfId="31247"/>
    <cellStyle name="Normal 5 60 2 4" xfId="20332"/>
    <cellStyle name="Normal 5 60 2 4 2" xfId="31248"/>
    <cellStyle name="Normal 5 60 2 5" xfId="31249"/>
    <cellStyle name="Normal 5 60 3" xfId="10374"/>
    <cellStyle name="Normal 5 60 3 2" xfId="10375"/>
    <cellStyle name="Normal 5 60 3 3" xfId="10376"/>
    <cellStyle name="Normal 5 60 3 3 2" xfId="20333"/>
    <cellStyle name="Normal 5 60 3 3 2 2" xfId="31250"/>
    <cellStyle name="Normal 5 60 3 3 3" xfId="31251"/>
    <cellStyle name="Normal 5 60 3 4" xfId="20334"/>
    <cellStyle name="Normal 5 60 3 4 2" xfId="31252"/>
    <cellStyle name="Normal 5 60 3 5" xfId="31253"/>
    <cellStyle name="Normal 5 60 4" xfId="10377"/>
    <cellStyle name="Normal 5 60 5" xfId="10378"/>
    <cellStyle name="Normal 5 60 5 2" xfId="20335"/>
    <cellStyle name="Normal 5 60 5 2 2" xfId="31254"/>
    <cellStyle name="Normal 5 60 5 3" xfId="31255"/>
    <cellStyle name="Normal 5 60 6" xfId="20336"/>
    <cellStyle name="Normal 5 60 6 2" xfId="31256"/>
    <cellStyle name="Normal 5 60 7" xfId="31257"/>
    <cellStyle name="Normal 5 61" xfId="10379"/>
    <cellStyle name="Normal 5 61 2" xfId="10380"/>
    <cellStyle name="Normal 5 61 2 2" xfId="10381"/>
    <cellStyle name="Normal 5 61 2 3" xfId="10382"/>
    <cellStyle name="Normal 5 61 2 3 2" xfId="20337"/>
    <cellStyle name="Normal 5 61 2 3 2 2" xfId="31258"/>
    <cellStyle name="Normal 5 61 2 3 3" xfId="31259"/>
    <cellStyle name="Normal 5 61 2 4" xfId="20338"/>
    <cellStyle name="Normal 5 61 2 4 2" xfId="31260"/>
    <cellStyle name="Normal 5 61 2 5" xfId="31261"/>
    <cellStyle name="Normal 5 61 3" xfId="10383"/>
    <cellStyle name="Normal 5 61 3 2" xfId="10384"/>
    <cellStyle name="Normal 5 61 3 3" xfId="10385"/>
    <cellStyle name="Normal 5 61 3 3 2" xfId="20339"/>
    <cellStyle name="Normal 5 61 3 3 2 2" xfId="31262"/>
    <cellStyle name="Normal 5 61 3 3 3" xfId="31263"/>
    <cellStyle name="Normal 5 61 3 4" xfId="20340"/>
    <cellStyle name="Normal 5 61 3 4 2" xfId="31264"/>
    <cellStyle name="Normal 5 61 3 5" xfId="31265"/>
    <cellStyle name="Normal 5 61 4" xfId="10386"/>
    <cellStyle name="Normal 5 61 5" xfId="10387"/>
    <cellStyle name="Normal 5 61 5 2" xfId="20341"/>
    <cellStyle name="Normal 5 61 5 2 2" xfId="31266"/>
    <cellStyle name="Normal 5 61 5 3" xfId="31267"/>
    <cellStyle name="Normal 5 61 6" xfId="20342"/>
    <cellStyle name="Normal 5 61 6 2" xfId="31268"/>
    <cellStyle name="Normal 5 61 7" xfId="31269"/>
    <cellStyle name="Normal 5 62" xfId="10388"/>
    <cellStyle name="Normal 5 62 2" xfId="10389"/>
    <cellStyle name="Normal 5 62 2 2" xfId="10390"/>
    <cellStyle name="Normal 5 62 2 3" xfId="10391"/>
    <cellStyle name="Normal 5 62 2 3 2" xfId="20343"/>
    <cellStyle name="Normal 5 62 2 3 2 2" xfId="31270"/>
    <cellStyle name="Normal 5 62 2 3 3" xfId="31271"/>
    <cellStyle name="Normal 5 62 2 4" xfId="20344"/>
    <cellStyle name="Normal 5 62 2 4 2" xfId="31272"/>
    <cellStyle name="Normal 5 62 2 5" xfId="31273"/>
    <cellStyle name="Normal 5 62 3" xfId="10392"/>
    <cellStyle name="Normal 5 62 4" xfId="10393"/>
    <cellStyle name="Normal 5 62 4 2" xfId="20345"/>
    <cellStyle name="Normal 5 62 4 2 2" xfId="31274"/>
    <cellStyle name="Normal 5 62 4 3" xfId="31275"/>
    <cellStyle name="Normal 5 62 5" xfId="20346"/>
    <cellStyle name="Normal 5 62 5 2" xfId="31276"/>
    <cellStyle name="Normal 5 62 6" xfId="31277"/>
    <cellStyle name="Normal 5 63" xfId="10394"/>
    <cellStyle name="Normal 5 63 2" xfId="10395"/>
    <cellStyle name="Normal 5 63 2 2" xfId="10396"/>
    <cellStyle name="Normal 5 63 2 3" xfId="10397"/>
    <cellStyle name="Normal 5 63 2 3 2" xfId="20347"/>
    <cellStyle name="Normal 5 63 2 3 2 2" xfId="31278"/>
    <cellStyle name="Normal 5 63 2 3 3" xfId="31279"/>
    <cellStyle name="Normal 5 63 2 4" xfId="20348"/>
    <cellStyle name="Normal 5 63 2 4 2" xfId="31280"/>
    <cellStyle name="Normal 5 63 2 5" xfId="31281"/>
    <cellStyle name="Normal 5 63 3" xfId="10398"/>
    <cellStyle name="Normal 5 63 4" xfId="10399"/>
    <cellStyle name="Normal 5 63 4 2" xfId="20349"/>
    <cellStyle name="Normal 5 63 4 2 2" xfId="31282"/>
    <cellStyle name="Normal 5 63 4 3" xfId="31283"/>
    <cellStyle name="Normal 5 63 5" xfId="20350"/>
    <cellStyle name="Normal 5 63 5 2" xfId="31284"/>
    <cellStyle name="Normal 5 63 6" xfId="31285"/>
    <cellStyle name="Normal 5 64" xfId="10400"/>
    <cellStyle name="Normal 5 64 2" xfId="10401"/>
    <cellStyle name="Normal 5 64 2 2" xfId="10402"/>
    <cellStyle name="Normal 5 64 2 3" xfId="10403"/>
    <cellStyle name="Normal 5 64 2 3 2" xfId="20351"/>
    <cellStyle name="Normal 5 64 2 3 2 2" xfId="31286"/>
    <cellStyle name="Normal 5 64 2 3 3" xfId="31287"/>
    <cellStyle name="Normal 5 64 2 4" xfId="20352"/>
    <cellStyle name="Normal 5 64 2 4 2" xfId="31288"/>
    <cellStyle name="Normal 5 64 2 5" xfId="31289"/>
    <cellStyle name="Normal 5 64 3" xfId="10404"/>
    <cellStyle name="Normal 5 64 4" xfId="10405"/>
    <cellStyle name="Normal 5 64 4 2" xfId="20353"/>
    <cellStyle name="Normal 5 64 4 2 2" xfId="31290"/>
    <cellStyle name="Normal 5 64 4 3" xfId="31291"/>
    <cellStyle name="Normal 5 64 5" xfId="20354"/>
    <cellStyle name="Normal 5 64 5 2" xfId="31292"/>
    <cellStyle name="Normal 5 64 6" xfId="31293"/>
    <cellStyle name="Normal 5 65" xfId="10406"/>
    <cellStyle name="Normal 5 65 2" xfId="10407"/>
    <cellStyle name="Normal 5 65 2 2" xfId="10408"/>
    <cellStyle name="Normal 5 65 2 3" xfId="10409"/>
    <cellStyle name="Normal 5 65 2 3 2" xfId="20355"/>
    <cellStyle name="Normal 5 65 2 3 2 2" xfId="31294"/>
    <cellStyle name="Normal 5 65 2 3 3" xfId="31295"/>
    <cellStyle name="Normal 5 65 2 4" xfId="20356"/>
    <cellStyle name="Normal 5 65 2 4 2" xfId="31296"/>
    <cellStyle name="Normal 5 65 2 5" xfId="31297"/>
    <cellStyle name="Normal 5 65 3" xfId="10410"/>
    <cellStyle name="Normal 5 65 4" xfId="10411"/>
    <cellStyle name="Normal 5 65 4 2" xfId="20357"/>
    <cellStyle name="Normal 5 65 4 2 2" xfId="31298"/>
    <cellStyle name="Normal 5 65 4 3" xfId="31299"/>
    <cellStyle name="Normal 5 65 5" xfId="20358"/>
    <cellStyle name="Normal 5 65 5 2" xfId="31300"/>
    <cellStyle name="Normal 5 65 6" xfId="31301"/>
    <cellStyle name="Normal 5 66" xfId="10412"/>
    <cellStyle name="Normal 5 66 2" xfId="10413"/>
    <cellStyle name="Normal 5 66 2 2" xfId="10414"/>
    <cellStyle name="Normal 5 66 2 3" xfId="10415"/>
    <cellStyle name="Normal 5 66 2 3 2" xfId="20359"/>
    <cellStyle name="Normal 5 66 2 3 2 2" xfId="31302"/>
    <cellStyle name="Normal 5 66 2 3 3" xfId="31303"/>
    <cellStyle name="Normal 5 66 2 4" xfId="20360"/>
    <cellStyle name="Normal 5 66 2 4 2" xfId="31304"/>
    <cellStyle name="Normal 5 66 2 5" xfId="31305"/>
    <cellStyle name="Normal 5 66 3" xfId="10416"/>
    <cellStyle name="Normal 5 66 4" xfId="10417"/>
    <cellStyle name="Normal 5 66 4 2" xfId="20361"/>
    <cellStyle name="Normal 5 66 4 2 2" xfId="31306"/>
    <cellStyle name="Normal 5 66 4 3" xfId="31307"/>
    <cellStyle name="Normal 5 66 5" xfId="20362"/>
    <cellStyle name="Normal 5 66 5 2" xfId="31308"/>
    <cellStyle name="Normal 5 66 6" xfId="31309"/>
    <cellStyle name="Normal 5 67" xfId="10418"/>
    <cellStyle name="Normal 5 67 2" xfId="10419"/>
    <cellStyle name="Normal 5 67 2 2" xfId="10420"/>
    <cellStyle name="Normal 5 67 2 3" xfId="10421"/>
    <cellStyle name="Normal 5 67 2 3 2" xfId="20363"/>
    <cellStyle name="Normal 5 67 2 3 2 2" xfId="31310"/>
    <cellStyle name="Normal 5 67 2 3 3" xfId="31311"/>
    <cellStyle name="Normal 5 67 2 4" xfId="20364"/>
    <cellStyle name="Normal 5 67 2 4 2" xfId="31312"/>
    <cellStyle name="Normal 5 67 2 5" xfId="31313"/>
    <cellStyle name="Normal 5 67 3" xfId="10422"/>
    <cellStyle name="Normal 5 67 4" xfId="10423"/>
    <cellStyle name="Normal 5 67 4 2" xfId="20365"/>
    <cellStyle name="Normal 5 67 4 2 2" xfId="31314"/>
    <cellStyle name="Normal 5 67 4 3" xfId="31315"/>
    <cellStyle name="Normal 5 67 5" xfId="20366"/>
    <cellStyle name="Normal 5 67 5 2" xfId="31316"/>
    <cellStyle name="Normal 5 67 6" xfId="31317"/>
    <cellStyle name="Normal 5 68" xfId="10424"/>
    <cellStyle name="Normal 5 68 2" xfId="10425"/>
    <cellStyle name="Normal 5 68 2 2" xfId="10426"/>
    <cellStyle name="Normal 5 68 2 3" xfId="10427"/>
    <cellStyle name="Normal 5 68 2 3 2" xfId="20367"/>
    <cellStyle name="Normal 5 68 2 3 2 2" xfId="31318"/>
    <cellStyle name="Normal 5 68 2 3 3" xfId="31319"/>
    <cellStyle name="Normal 5 68 2 4" xfId="20368"/>
    <cellStyle name="Normal 5 68 2 4 2" xfId="31320"/>
    <cellStyle name="Normal 5 68 2 5" xfId="31321"/>
    <cellStyle name="Normal 5 68 3" xfId="10428"/>
    <cellStyle name="Normal 5 68 4" xfId="10429"/>
    <cellStyle name="Normal 5 68 4 2" xfId="20369"/>
    <cellStyle name="Normal 5 68 4 2 2" xfId="31322"/>
    <cellStyle name="Normal 5 68 4 3" xfId="31323"/>
    <cellStyle name="Normal 5 68 5" xfId="20370"/>
    <cellStyle name="Normal 5 68 5 2" xfId="31324"/>
    <cellStyle name="Normal 5 68 6" xfId="31325"/>
    <cellStyle name="Normal 5 69" xfId="10430"/>
    <cellStyle name="Normal 5 69 2" xfId="10431"/>
    <cellStyle name="Normal 5 69 2 2" xfId="10432"/>
    <cellStyle name="Normal 5 69 2 3" xfId="10433"/>
    <cellStyle name="Normal 5 69 2 3 2" xfId="20371"/>
    <cellStyle name="Normal 5 69 2 3 2 2" xfId="31326"/>
    <cellStyle name="Normal 5 69 2 3 3" xfId="31327"/>
    <cellStyle name="Normal 5 69 2 4" xfId="20372"/>
    <cellStyle name="Normal 5 69 2 4 2" xfId="31328"/>
    <cellStyle name="Normal 5 69 2 5" xfId="31329"/>
    <cellStyle name="Normal 5 69 3" xfId="10434"/>
    <cellStyle name="Normal 5 69 4" xfId="10435"/>
    <cellStyle name="Normal 5 69 4 2" xfId="20373"/>
    <cellStyle name="Normal 5 69 4 2 2" xfId="31330"/>
    <cellStyle name="Normal 5 69 4 3" xfId="31331"/>
    <cellStyle name="Normal 5 69 5" xfId="20374"/>
    <cellStyle name="Normal 5 69 5 2" xfId="31332"/>
    <cellStyle name="Normal 5 69 6" xfId="31333"/>
    <cellStyle name="Normal 5 7" xfId="10436"/>
    <cellStyle name="Normal 5 7 2" xfId="10437"/>
    <cellStyle name="Normal 5 7 2 2" xfId="10438"/>
    <cellStyle name="Normal 5 7 2 3" xfId="20375"/>
    <cellStyle name="Normal 5 7 3" xfId="10439"/>
    <cellStyle name="Normal 5 7 3 2" xfId="10440"/>
    <cellStyle name="Normal 5 7 3 3" xfId="10441"/>
    <cellStyle name="Normal 5 7 3 3 2" xfId="20376"/>
    <cellStyle name="Normal 5 7 3 3 2 2" xfId="31334"/>
    <cellStyle name="Normal 5 7 3 3 3" xfId="31335"/>
    <cellStyle name="Normal 5 7 3 4" xfId="20377"/>
    <cellStyle name="Normal 5 7 3 4 2" xfId="31336"/>
    <cellStyle name="Normal 5 7 3 5" xfId="31337"/>
    <cellStyle name="Normal 5 7 4" xfId="10442"/>
    <cellStyle name="Normal 5 7 4 2" xfId="10443"/>
    <cellStyle name="Normal 5 7 4 3" xfId="10444"/>
    <cellStyle name="Normal 5 7 4 3 2" xfId="20378"/>
    <cellStyle name="Normal 5 7 4 3 2 2" xfId="31338"/>
    <cellStyle name="Normal 5 7 4 3 3" xfId="31339"/>
    <cellStyle name="Normal 5 7 4 4" xfId="20379"/>
    <cellStyle name="Normal 5 7 4 4 2" xfId="31340"/>
    <cellStyle name="Normal 5 7 4 5" xfId="31341"/>
    <cellStyle name="Normal 5 70" xfId="10445"/>
    <cellStyle name="Normal 5 70 2" xfId="10446"/>
    <cellStyle name="Normal 5 70 2 2" xfId="10447"/>
    <cellStyle name="Normal 5 70 2 3" xfId="10448"/>
    <cellStyle name="Normal 5 70 2 3 2" xfId="20380"/>
    <cellStyle name="Normal 5 70 2 3 2 2" xfId="31342"/>
    <cellStyle name="Normal 5 70 2 3 3" xfId="31343"/>
    <cellStyle name="Normal 5 70 2 4" xfId="20381"/>
    <cellStyle name="Normal 5 70 2 4 2" xfId="31344"/>
    <cellStyle name="Normal 5 70 2 5" xfId="31345"/>
    <cellStyle name="Normal 5 70 3" xfId="10449"/>
    <cellStyle name="Normal 5 70 4" xfId="10450"/>
    <cellStyle name="Normal 5 70 4 2" xfId="20382"/>
    <cellStyle name="Normal 5 70 4 2 2" xfId="31346"/>
    <cellStyle name="Normal 5 70 4 3" xfId="31347"/>
    <cellStyle name="Normal 5 70 5" xfId="20383"/>
    <cellStyle name="Normal 5 70 5 2" xfId="31348"/>
    <cellStyle name="Normal 5 70 6" xfId="31349"/>
    <cellStyle name="Normal 5 71" xfId="10451"/>
    <cellStyle name="Normal 5 71 2" xfId="10452"/>
    <cellStyle name="Normal 5 71 2 2" xfId="10453"/>
    <cellStyle name="Normal 5 71 2 3" xfId="10454"/>
    <cellStyle name="Normal 5 71 2 3 2" xfId="20384"/>
    <cellStyle name="Normal 5 71 2 3 2 2" xfId="31350"/>
    <cellStyle name="Normal 5 71 2 3 3" xfId="31351"/>
    <cellStyle name="Normal 5 71 2 4" xfId="20385"/>
    <cellStyle name="Normal 5 71 2 4 2" xfId="31352"/>
    <cellStyle name="Normal 5 71 2 5" xfId="31353"/>
    <cellStyle name="Normal 5 71 3" xfId="10455"/>
    <cellStyle name="Normal 5 71 4" xfId="10456"/>
    <cellStyle name="Normal 5 71 4 2" xfId="20386"/>
    <cellStyle name="Normal 5 71 4 2 2" xfId="31354"/>
    <cellStyle name="Normal 5 71 4 3" xfId="31355"/>
    <cellStyle name="Normal 5 71 5" xfId="20387"/>
    <cellStyle name="Normal 5 71 5 2" xfId="31356"/>
    <cellStyle name="Normal 5 71 6" xfId="31357"/>
    <cellStyle name="Normal 5 72" xfId="10457"/>
    <cellStyle name="Normal 5 72 2" xfId="10458"/>
    <cellStyle name="Normal 5 72 2 2" xfId="10459"/>
    <cellStyle name="Normal 5 72 2 3" xfId="10460"/>
    <cellStyle name="Normal 5 72 2 3 2" xfId="20388"/>
    <cellStyle name="Normal 5 72 2 3 2 2" xfId="31358"/>
    <cellStyle name="Normal 5 72 2 3 3" xfId="31359"/>
    <cellStyle name="Normal 5 72 2 4" xfId="20389"/>
    <cellStyle name="Normal 5 72 2 4 2" xfId="31360"/>
    <cellStyle name="Normal 5 72 2 5" xfId="31361"/>
    <cellStyle name="Normal 5 72 3" xfId="10461"/>
    <cellStyle name="Normal 5 72 4" xfId="10462"/>
    <cellStyle name="Normal 5 72 4 2" xfId="20390"/>
    <cellStyle name="Normal 5 72 4 2 2" xfId="31362"/>
    <cellStyle name="Normal 5 72 4 3" xfId="31363"/>
    <cellStyle name="Normal 5 72 5" xfId="20391"/>
    <cellStyle name="Normal 5 72 5 2" xfId="31364"/>
    <cellStyle name="Normal 5 72 6" xfId="31365"/>
    <cellStyle name="Normal 5 73" xfId="10463"/>
    <cellStyle name="Normal 5 73 2" xfId="10464"/>
    <cellStyle name="Normal 5 73 2 2" xfId="10465"/>
    <cellStyle name="Normal 5 73 2 3" xfId="10466"/>
    <cellStyle name="Normal 5 73 2 3 2" xfId="20392"/>
    <cellStyle name="Normal 5 73 2 3 2 2" xfId="31366"/>
    <cellStyle name="Normal 5 73 2 3 3" xfId="31367"/>
    <cellStyle name="Normal 5 73 2 4" xfId="20393"/>
    <cellStyle name="Normal 5 73 2 4 2" xfId="31368"/>
    <cellStyle name="Normal 5 73 2 5" xfId="31369"/>
    <cellStyle name="Normal 5 73 3" xfId="10467"/>
    <cellStyle name="Normal 5 73 4" xfId="10468"/>
    <cellStyle name="Normal 5 73 4 2" xfId="20394"/>
    <cellStyle name="Normal 5 73 4 2 2" xfId="31370"/>
    <cellStyle name="Normal 5 73 4 3" xfId="31371"/>
    <cellStyle name="Normal 5 73 5" xfId="20395"/>
    <cellStyle name="Normal 5 73 5 2" xfId="31372"/>
    <cellStyle name="Normal 5 73 6" xfId="31373"/>
    <cellStyle name="Normal 5 74" xfId="10469"/>
    <cellStyle name="Normal 5 74 2" xfId="10470"/>
    <cellStyle name="Normal 5 74 2 2" xfId="10471"/>
    <cellStyle name="Normal 5 74 2 3" xfId="10472"/>
    <cellStyle name="Normal 5 74 2 3 2" xfId="20396"/>
    <cellStyle name="Normal 5 74 2 3 2 2" xfId="31374"/>
    <cellStyle name="Normal 5 74 2 3 3" xfId="31375"/>
    <cellStyle name="Normal 5 74 2 4" xfId="20397"/>
    <cellStyle name="Normal 5 74 2 4 2" xfId="31376"/>
    <cellStyle name="Normal 5 74 2 5" xfId="31377"/>
    <cellStyle name="Normal 5 74 3" xfId="10473"/>
    <cellStyle name="Normal 5 74 4" xfId="10474"/>
    <cellStyle name="Normal 5 74 4 2" xfId="20398"/>
    <cellStyle name="Normal 5 74 4 2 2" xfId="31378"/>
    <cellStyle name="Normal 5 74 4 3" xfId="31379"/>
    <cellStyle name="Normal 5 74 5" xfId="20399"/>
    <cellStyle name="Normal 5 74 5 2" xfId="31380"/>
    <cellStyle name="Normal 5 74 6" xfId="31381"/>
    <cellStyle name="Normal 5 75" xfId="10475"/>
    <cellStyle name="Normal 5 75 2" xfId="10476"/>
    <cellStyle name="Normal 5 75 2 2" xfId="10477"/>
    <cellStyle name="Normal 5 75 2 3" xfId="10478"/>
    <cellStyle name="Normal 5 75 2 3 2" xfId="20400"/>
    <cellStyle name="Normal 5 75 2 3 2 2" xfId="31382"/>
    <cellStyle name="Normal 5 75 2 3 3" xfId="31383"/>
    <cellStyle name="Normal 5 75 2 4" xfId="20401"/>
    <cellStyle name="Normal 5 75 2 4 2" xfId="31384"/>
    <cellStyle name="Normal 5 75 2 5" xfId="31385"/>
    <cellStyle name="Normal 5 75 3" xfId="10479"/>
    <cellStyle name="Normal 5 75 4" xfId="10480"/>
    <cellStyle name="Normal 5 75 4 2" xfId="20402"/>
    <cellStyle name="Normal 5 75 4 2 2" xfId="31386"/>
    <cellStyle name="Normal 5 75 4 3" xfId="31387"/>
    <cellStyle name="Normal 5 75 5" xfId="20403"/>
    <cellStyle name="Normal 5 75 5 2" xfId="31388"/>
    <cellStyle name="Normal 5 75 6" xfId="31389"/>
    <cellStyle name="Normal 5 76" xfId="10481"/>
    <cellStyle name="Normal 5 76 2" xfId="10482"/>
    <cellStyle name="Normal 5 76 2 2" xfId="10483"/>
    <cellStyle name="Normal 5 76 2 3" xfId="10484"/>
    <cellStyle name="Normal 5 76 2 3 2" xfId="20404"/>
    <cellStyle name="Normal 5 76 2 3 2 2" xfId="31390"/>
    <cellStyle name="Normal 5 76 2 3 3" xfId="31391"/>
    <cellStyle name="Normal 5 76 2 4" xfId="20405"/>
    <cellStyle name="Normal 5 76 2 4 2" xfId="31392"/>
    <cellStyle name="Normal 5 76 2 5" xfId="31393"/>
    <cellStyle name="Normal 5 76 3" xfId="10485"/>
    <cellStyle name="Normal 5 76 4" xfId="10486"/>
    <cellStyle name="Normal 5 76 4 2" xfId="20406"/>
    <cellStyle name="Normal 5 76 4 2 2" xfId="31394"/>
    <cellStyle name="Normal 5 76 4 3" xfId="31395"/>
    <cellStyle name="Normal 5 76 5" xfId="20407"/>
    <cellStyle name="Normal 5 76 5 2" xfId="31396"/>
    <cellStyle name="Normal 5 76 6" xfId="31397"/>
    <cellStyle name="Normal 5 77" xfId="10487"/>
    <cellStyle name="Normal 5 77 2" xfId="10488"/>
    <cellStyle name="Normal 5 77 2 2" xfId="10489"/>
    <cellStyle name="Normal 5 77 2 3" xfId="10490"/>
    <cellStyle name="Normal 5 77 2 3 2" xfId="20408"/>
    <cellStyle name="Normal 5 77 2 3 2 2" xfId="31398"/>
    <cellStyle name="Normal 5 77 2 3 3" xfId="31399"/>
    <cellStyle name="Normal 5 77 2 4" xfId="20409"/>
    <cellStyle name="Normal 5 77 2 4 2" xfId="31400"/>
    <cellStyle name="Normal 5 77 2 5" xfId="31401"/>
    <cellStyle name="Normal 5 77 3" xfId="10491"/>
    <cellStyle name="Normal 5 77 4" xfId="10492"/>
    <cellStyle name="Normal 5 77 4 2" xfId="20410"/>
    <cellStyle name="Normal 5 77 4 2 2" xfId="31402"/>
    <cellStyle name="Normal 5 77 4 3" xfId="31403"/>
    <cellStyle name="Normal 5 77 5" xfId="20411"/>
    <cellStyle name="Normal 5 77 5 2" xfId="31404"/>
    <cellStyle name="Normal 5 77 6" xfId="31405"/>
    <cellStyle name="Normal 5 78" xfId="10493"/>
    <cellStyle name="Normal 5 78 2" xfId="10494"/>
    <cellStyle name="Normal 5 78 2 2" xfId="10495"/>
    <cellStyle name="Normal 5 78 2 3" xfId="10496"/>
    <cellStyle name="Normal 5 78 2 3 2" xfId="20412"/>
    <cellStyle name="Normal 5 78 2 3 2 2" xfId="31406"/>
    <cellStyle name="Normal 5 78 2 3 3" xfId="31407"/>
    <cellStyle name="Normal 5 78 2 4" xfId="20413"/>
    <cellStyle name="Normal 5 78 2 4 2" xfId="31408"/>
    <cellStyle name="Normal 5 78 2 5" xfId="31409"/>
    <cellStyle name="Normal 5 78 3" xfId="10497"/>
    <cellStyle name="Normal 5 78 4" xfId="10498"/>
    <cellStyle name="Normal 5 78 4 2" xfId="20414"/>
    <cellStyle name="Normal 5 78 4 2 2" xfId="31410"/>
    <cellStyle name="Normal 5 78 4 3" xfId="31411"/>
    <cellStyle name="Normal 5 78 5" xfId="20415"/>
    <cellStyle name="Normal 5 78 5 2" xfId="31412"/>
    <cellStyle name="Normal 5 78 6" xfId="31413"/>
    <cellStyle name="Normal 5 79" xfId="10499"/>
    <cellStyle name="Normal 5 79 2" xfId="10500"/>
    <cellStyle name="Normal 5 79 2 2" xfId="10501"/>
    <cellStyle name="Normal 5 79 2 3" xfId="10502"/>
    <cellStyle name="Normal 5 79 2 3 2" xfId="20416"/>
    <cellStyle name="Normal 5 79 2 3 2 2" xfId="31414"/>
    <cellStyle name="Normal 5 79 2 3 3" xfId="31415"/>
    <cellStyle name="Normal 5 79 2 4" xfId="20417"/>
    <cellStyle name="Normal 5 79 2 4 2" xfId="31416"/>
    <cellStyle name="Normal 5 79 2 5" xfId="31417"/>
    <cellStyle name="Normal 5 79 3" xfId="10503"/>
    <cellStyle name="Normal 5 79 4" xfId="10504"/>
    <cellStyle name="Normal 5 79 4 2" xfId="20418"/>
    <cellStyle name="Normal 5 79 4 2 2" xfId="31418"/>
    <cellStyle name="Normal 5 79 4 3" xfId="31419"/>
    <cellStyle name="Normal 5 79 5" xfId="20419"/>
    <cellStyle name="Normal 5 79 5 2" xfId="31420"/>
    <cellStyle name="Normal 5 79 6" xfId="31421"/>
    <cellStyle name="Normal 5 8" xfId="10505"/>
    <cellStyle name="Normal 5 8 2" xfId="10506"/>
    <cellStyle name="Normal 5 8 2 2" xfId="10507"/>
    <cellStyle name="Normal 5 8 2 3" xfId="10508"/>
    <cellStyle name="Normal 5 8 2 3 2" xfId="20420"/>
    <cellStyle name="Normal 5 8 2 3 2 2" xfId="31422"/>
    <cellStyle name="Normal 5 8 2 3 3" xfId="31423"/>
    <cellStyle name="Normal 5 8 2 4" xfId="20421"/>
    <cellStyle name="Normal 5 8 2 4 2" xfId="31424"/>
    <cellStyle name="Normal 5 8 2 5" xfId="31425"/>
    <cellStyle name="Normal 5 8 3" xfId="10509"/>
    <cellStyle name="Normal 5 8 3 2" xfId="10510"/>
    <cellStyle name="Normal 5 8 3 3" xfId="10511"/>
    <cellStyle name="Normal 5 8 3 3 2" xfId="20422"/>
    <cellStyle name="Normal 5 8 3 3 2 2" xfId="31426"/>
    <cellStyle name="Normal 5 8 3 3 3" xfId="31427"/>
    <cellStyle name="Normal 5 8 3 4" xfId="20423"/>
    <cellStyle name="Normal 5 8 3 4 2" xfId="31428"/>
    <cellStyle name="Normal 5 8 3 5" xfId="31429"/>
    <cellStyle name="Normal 5 8 4" xfId="10512"/>
    <cellStyle name="Normal 5 8 5" xfId="20424"/>
    <cellStyle name="Normal 5 8 5 2" xfId="31430"/>
    <cellStyle name="Normal 5 80" xfId="10513"/>
    <cellStyle name="Normal 5 80 2" xfId="10514"/>
    <cellStyle name="Normal 5 80 2 2" xfId="10515"/>
    <cellStyle name="Normal 5 80 2 3" xfId="10516"/>
    <cellStyle name="Normal 5 80 2 3 2" xfId="20425"/>
    <cellStyle name="Normal 5 80 2 3 2 2" xfId="31431"/>
    <cellStyle name="Normal 5 80 2 3 3" xfId="31432"/>
    <cellStyle name="Normal 5 80 2 4" xfId="20426"/>
    <cellStyle name="Normal 5 80 2 4 2" xfId="31433"/>
    <cellStyle name="Normal 5 80 2 5" xfId="31434"/>
    <cellStyle name="Normal 5 80 3" xfId="10517"/>
    <cellStyle name="Normal 5 80 4" xfId="10518"/>
    <cellStyle name="Normal 5 80 4 2" xfId="20427"/>
    <cellStyle name="Normal 5 80 4 2 2" xfId="31435"/>
    <cellStyle name="Normal 5 80 4 3" xfId="31436"/>
    <cellStyle name="Normal 5 80 5" xfId="20428"/>
    <cellStyle name="Normal 5 80 5 2" xfId="31437"/>
    <cellStyle name="Normal 5 80 6" xfId="31438"/>
    <cellStyle name="Normal 5 81" xfId="10519"/>
    <cellStyle name="Normal 5 81 2" xfId="10520"/>
    <cellStyle name="Normal 5 81 2 2" xfId="10521"/>
    <cellStyle name="Normal 5 81 2 3" xfId="10522"/>
    <cellStyle name="Normal 5 81 2 3 2" xfId="20429"/>
    <cellStyle name="Normal 5 81 2 3 2 2" xfId="31439"/>
    <cellStyle name="Normal 5 81 2 3 3" xfId="31440"/>
    <cellStyle name="Normal 5 81 2 4" xfId="20430"/>
    <cellStyle name="Normal 5 81 2 4 2" xfId="31441"/>
    <cellStyle name="Normal 5 81 2 5" xfId="31442"/>
    <cellStyle name="Normal 5 81 3" xfId="10523"/>
    <cellStyle name="Normal 5 81 4" xfId="10524"/>
    <cellStyle name="Normal 5 81 4 2" xfId="20431"/>
    <cellStyle name="Normal 5 81 4 2 2" xfId="31443"/>
    <cellStyle name="Normal 5 81 4 3" xfId="31444"/>
    <cellStyle name="Normal 5 81 5" xfId="20432"/>
    <cellStyle name="Normal 5 81 5 2" xfId="31445"/>
    <cellStyle name="Normal 5 81 6" xfId="31446"/>
    <cellStyle name="Normal 5 82" xfId="10525"/>
    <cellStyle name="Normal 5 82 2" xfId="10526"/>
    <cellStyle name="Normal 5 82 2 2" xfId="10527"/>
    <cellStyle name="Normal 5 82 2 3" xfId="10528"/>
    <cellStyle name="Normal 5 82 2 3 2" xfId="20433"/>
    <cellStyle name="Normal 5 82 2 3 2 2" xfId="31447"/>
    <cellStyle name="Normal 5 82 2 3 3" xfId="31448"/>
    <cellStyle name="Normal 5 82 2 4" xfId="20434"/>
    <cellStyle name="Normal 5 82 2 4 2" xfId="31449"/>
    <cellStyle name="Normal 5 82 2 5" xfId="31450"/>
    <cellStyle name="Normal 5 82 3" xfId="10529"/>
    <cellStyle name="Normal 5 82 4" xfId="10530"/>
    <cellStyle name="Normal 5 82 4 2" xfId="20435"/>
    <cellStyle name="Normal 5 82 4 2 2" xfId="31451"/>
    <cellStyle name="Normal 5 82 4 3" xfId="31452"/>
    <cellStyle name="Normal 5 82 5" xfId="20436"/>
    <cellStyle name="Normal 5 82 5 2" xfId="31453"/>
    <cellStyle name="Normal 5 82 6" xfId="31454"/>
    <cellStyle name="Normal 5 83" xfId="10531"/>
    <cellStyle name="Normal 5 83 2" xfId="10532"/>
    <cellStyle name="Normal 5 83 2 2" xfId="10533"/>
    <cellStyle name="Normal 5 83 2 3" xfId="10534"/>
    <cellStyle name="Normal 5 83 2 3 2" xfId="20437"/>
    <cellStyle name="Normal 5 83 2 3 2 2" xfId="31455"/>
    <cellStyle name="Normal 5 83 2 3 3" xfId="31456"/>
    <cellStyle name="Normal 5 83 2 4" xfId="20438"/>
    <cellStyle name="Normal 5 83 2 4 2" xfId="31457"/>
    <cellStyle name="Normal 5 83 2 5" xfId="31458"/>
    <cellStyle name="Normal 5 83 3" xfId="10535"/>
    <cellStyle name="Normal 5 83 4" xfId="10536"/>
    <cellStyle name="Normal 5 83 4 2" xfId="20439"/>
    <cellStyle name="Normal 5 83 4 2 2" xfId="31459"/>
    <cellStyle name="Normal 5 83 4 3" xfId="31460"/>
    <cellStyle name="Normal 5 83 5" xfId="20440"/>
    <cellStyle name="Normal 5 83 5 2" xfId="31461"/>
    <cellStyle name="Normal 5 83 6" xfId="31462"/>
    <cellStyle name="Normal 5 84" xfId="10537"/>
    <cellStyle name="Normal 5 84 2" xfId="10538"/>
    <cellStyle name="Normal 5 84 2 2" xfId="10539"/>
    <cellStyle name="Normal 5 84 2 3" xfId="10540"/>
    <cellStyle name="Normal 5 84 2 3 2" xfId="20441"/>
    <cellStyle name="Normal 5 84 2 3 2 2" xfId="31463"/>
    <cellStyle name="Normal 5 84 2 3 3" xfId="31464"/>
    <cellStyle name="Normal 5 84 2 4" xfId="20442"/>
    <cellStyle name="Normal 5 84 2 4 2" xfId="31465"/>
    <cellStyle name="Normal 5 84 2 5" xfId="31466"/>
    <cellStyle name="Normal 5 84 3" xfId="10541"/>
    <cellStyle name="Normal 5 84 4" xfId="10542"/>
    <cellStyle name="Normal 5 84 4 2" xfId="20443"/>
    <cellStyle name="Normal 5 84 4 2 2" xfId="31467"/>
    <cellStyle name="Normal 5 84 4 3" xfId="31468"/>
    <cellStyle name="Normal 5 84 5" xfId="20444"/>
    <cellStyle name="Normal 5 84 5 2" xfId="31469"/>
    <cellStyle name="Normal 5 84 6" xfId="31470"/>
    <cellStyle name="Normal 5 85" xfId="10543"/>
    <cellStyle name="Normal 5 85 2" xfId="10544"/>
    <cellStyle name="Normal 5 85 2 2" xfId="10545"/>
    <cellStyle name="Normal 5 85 2 3" xfId="10546"/>
    <cellStyle name="Normal 5 85 2 3 2" xfId="20445"/>
    <cellStyle name="Normal 5 85 2 3 2 2" xfId="31471"/>
    <cellStyle name="Normal 5 85 2 3 3" xfId="31472"/>
    <cellStyle name="Normal 5 85 2 4" xfId="20446"/>
    <cellStyle name="Normal 5 85 2 4 2" xfId="31473"/>
    <cellStyle name="Normal 5 85 2 5" xfId="31474"/>
    <cellStyle name="Normal 5 85 3" xfId="10547"/>
    <cellStyle name="Normal 5 85 4" xfId="10548"/>
    <cellStyle name="Normal 5 85 4 2" xfId="20447"/>
    <cellStyle name="Normal 5 85 4 2 2" xfId="31475"/>
    <cellStyle name="Normal 5 85 4 3" xfId="31476"/>
    <cellStyle name="Normal 5 85 5" xfId="20448"/>
    <cellStyle name="Normal 5 85 5 2" xfId="31477"/>
    <cellStyle name="Normal 5 85 6" xfId="31478"/>
    <cellStyle name="Normal 5 86" xfId="10549"/>
    <cellStyle name="Normal 5 86 2" xfId="10550"/>
    <cellStyle name="Normal 5 86 2 2" xfId="10551"/>
    <cellStyle name="Normal 5 86 2 3" xfId="10552"/>
    <cellStyle name="Normal 5 86 2 3 2" xfId="20449"/>
    <cellStyle name="Normal 5 86 2 3 2 2" xfId="31479"/>
    <cellStyle name="Normal 5 86 2 3 3" xfId="31480"/>
    <cellStyle name="Normal 5 86 2 4" xfId="20450"/>
    <cellStyle name="Normal 5 86 2 4 2" xfId="31481"/>
    <cellStyle name="Normal 5 86 2 5" xfId="31482"/>
    <cellStyle name="Normal 5 86 3" xfId="10553"/>
    <cellStyle name="Normal 5 86 4" xfId="10554"/>
    <cellStyle name="Normal 5 86 4 2" xfId="20451"/>
    <cellStyle name="Normal 5 86 4 2 2" xfId="31483"/>
    <cellStyle name="Normal 5 86 4 3" xfId="31484"/>
    <cellStyle name="Normal 5 86 5" xfId="20452"/>
    <cellStyle name="Normal 5 86 5 2" xfId="31485"/>
    <cellStyle name="Normal 5 86 6" xfId="31486"/>
    <cellStyle name="Normal 5 87" xfId="10555"/>
    <cellStyle name="Normal 5 87 2" xfId="10556"/>
    <cellStyle name="Normal 5 87 2 2" xfId="10557"/>
    <cellStyle name="Normal 5 87 2 3" xfId="10558"/>
    <cellStyle name="Normal 5 87 2 3 2" xfId="20453"/>
    <cellStyle name="Normal 5 87 2 3 2 2" xfId="31487"/>
    <cellStyle name="Normal 5 87 2 3 3" xfId="31488"/>
    <cellStyle name="Normal 5 87 2 4" xfId="20454"/>
    <cellStyle name="Normal 5 87 2 4 2" xfId="31489"/>
    <cellStyle name="Normal 5 87 2 5" xfId="31490"/>
    <cellStyle name="Normal 5 87 3" xfId="10559"/>
    <cellStyle name="Normal 5 87 4" xfId="10560"/>
    <cellStyle name="Normal 5 87 4 2" xfId="20455"/>
    <cellStyle name="Normal 5 87 4 2 2" xfId="31491"/>
    <cellStyle name="Normal 5 87 4 3" xfId="31492"/>
    <cellStyle name="Normal 5 87 5" xfId="20456"/>
    <cellStyle name="Normal 5 87 5 2" xfId="31493"/>
    <cellStyle name="Normal 5 87 6" xfId="31494"/>
    <cellStyle name="Normal 5 88" xfId="10561"/>
    <cellStyle name="Normal 5 88 2" xfId="10562"/>
    <cellStyle name="Normal 5 88 2 2" xfId="10563"/>
    <cellStyle name="Normal 5 88 2 3" xfId="10564"/>
    <cellStyle name="Normal 5 88 2 3 2" xfId="20457"/>
    <cellStyle name="Normal 5 88 2 3 2 2" xfId="31495"/>
    <cellStyle name="Normal 5 88 2 3 3" xfId="31496"/>
    <cellStyle name="Normal 5 88 2 4" xfId="20458"/>
    <cellStyle name="Normal 5 88 2 4 2" xfId="31497"/>
    <cellStyle name="Normal 5 88 2 5" xfId="31498"/>
    <cellStyle name="Normal 5 88 3" xfId="10565"/>
    <cellStyle name="Normal 5 88 4" xfId="10566"/>
    <cellStyle name="Normal 5 88 4 2" xfId="20459"/>
    <cellStyle name="Normal 5 88 4 2 2" xfId="31499"/>
    <cellStyle name="Normal 5 88 4 3" xfId="31500"/>
    <cellStyle name="Normal 5 88 5" xfId="20460"/>
    <cellStyle name="Normal 5 88 5 2" xfId="31501"/>
    <cellStyle name="Normal 5 88 6" xfId="31502"/>
    <cellStyle name="Normal 5 89" xfId="10567"/>
    <cellStyle name="Normal 5 89 2" xfId="10568"/>
    <cellStyle name="Normal 5 89 2 2" xfId="10569"/>
    <cellStyle name="Normal 5 89 2 3" xfId="10570"/>
    <cellStyle name="Normal 5 89 2 3 2" xfId="20461"/>
    <cellStyle name="Normal 5 89 2 3 2 2" xfId="31503"/>
    <cellStyle name="Normal 5 89 2 3 3" xfId="31504"/>
    <cellStyle name="Normal 5 89 2 4" xfId="20462"/>
    <cellStyle name="Normal 5 89 2 4 2" xfId="31505"/>
    <cellStyle name="Normal 5 89 2 5" xfId="31506"/>
    <cellStyle name="Normal 5 89 3" xfId="10571"/>
    <cellStyle name="Normal 5 89 4" xfId="10572"/>
    <cellStyle name="Normal 5 89 4 2" xfId="20463"/>
    <cellStyle name="Normal 5 89 4 2 2" xfId="31507"/>
    <cellStyle name="Normal 5 89 4 3" xfId="31508"/>
    <cellStyle name="Normal 5 89 5" xfId="20464"/>
    <cellStyle name="Normal 5 89 5 2" xfId="31509"/>
    <cellStyle name="Normal 5 89 6" xfId="31510"/>
    <cellStyle name="Normal 5 9" xfId="10573"/>
    <cellStyle name="Normal 5 9 2" xfId="10574"/>
    <cellStyle name="Normal 5 9 2 2" xfId="10575"/>
    <cellStyle name="Normal 5 9 2 3" xfId="10576"/>
    <cellStyle name="Normal 5 9 2 3 2" xfId="20465"/>
    <cellStyle name="Normal 5 9 2 3 2 2" xfId="31511"/>
    <cellStyle name="Normal 5 9 2 3 3" xfId="31512"/>
    <cellStyle name="Normal 5 9 2 4" xfId="20466"/>
    <cellStyle name="Normal 5 9 2 4 2" xfId="31513"/>
    <cellStyle name="Normal 5 9 2 5" xfId="31514"/>
    <cellStyle name="Normal 5 9 3" xfId="10577"/>
    <cellStyle name="Normal 5 9 3 2" xfId="10578"/>
    <cellStyle name="Normal 5 9 3 3" xfId="10579"/>
    <cellStyle name="Normal 5 9 3 3 2" xfId="20467"/>
    <cellStyle name="Normal 5 9 3 3 2 2" xfId="31515"/>
    <cellStyle name="Normal 5 9 3 3 3" xfId="31516"/>
    <cellStyle name="Normal 5 9 3 4" xfId="20468"/>
    <cellStyle name="Normal 5 9 3 4 2" xfId="31517"/>
    <cellStyle name="Normal 5 9 3 5" xfId="31518"/>
    <cellStyle name="Normal 5 9 4" xfId="10580"/>
    <cellStyle name="Normal 5 9 5" xfId="10581"/>
    <cellStyle name="Normal 5 9 5 2" xfId="20469"/>
    <cellStyle name="Normal 5 9 5 2 2" xfId="31519"/>
    <cellStyle name="Normal 5 9 5 3" xfId="31520"/>
    <cellStyle name="Normal 5 9 6" xfId="20470"/>
    <cellStyle name="Normal 5 9 6 2" xfId="31521"/>
    <cellStyle name="Normal 5 9 7" xfId="31522"/>
    <cellStyle name="Normal 5 90" xfId="10582"/>
    <cellStyle name="Normal 5 90 2" xfId="10583"/>
    <cellStyle name="Normal 5 90 2 2" xfId="10584"/>
    <cellStyle name="Normal 5 90 2 3" xfId="10585"/>
    <cellStyle name="Normal 5 90 2 3 2" xfId="20471"/>
    <cellStyle name="Normal 5 90 2 3 2 2" xfId="31523"/>
    <cellStyle name="Normal 5 90 2 3 3" xfId="31524"/>
    <cellStyle name="Normal 5 90 2 4" xfId="20472"/>
    <cellStyle name="Normal 5 90 2 4 2" xfId="31525"/>
    <cellStyle name="Normal 5 90 2 5" xfId="31526"/>
    <cellStyle name="Normal 5 90 3" xfId="10586"/>
    <cellStyle name="Normal 5 90 4" xfId="10587"/>
    <cellStyle name="Normal 5 90 4 2" xfId="20473"/>
    <cellStyle name="Normal 5 90 4 2 2" xfId="31527"/>
    <cellStyle name="Normal 5 90 4 3" xfId="31528"/>
    <cellStyle name="Normal 5 90 5" xfId="20474"/>
    <cellStyle name="Normal 5 90 5 2" xfId="31529"/>
    <cellStyle name="Normal 5 90 6" xfId="31530"/>
    <cellStyle name="Normal 5 91" xfId="10588"/>
    <cellStyle name="Normal 5 91 2" xfId="10589"/>
    <cellStyle name="Normal 5 91 2 2" xfId="10590"/>
    <cellStyle name="Normal 5 91 2 3" xfId="10591"/>
    <cellStyle name="Normal 5 91 2 3 2" xfId="20475"/>
    <cellStyle name="Normal 5 91 2 3 2 2" xfId="31531"/>
    <cellStyle name="Normal 5 91 2 3 3" xfId="31532"/>
    <cellStyle name="Normal 5 91 2 4" xfId="20476"/>
    <cellStyle name="Normal 5 91 2 4 2" xfId="31533"/>
    <cellStyle name="Normal 5 91 2 5" xfId="31534"/>
    <cellStyle name="Normal 5 91 3" xfId="10592"/>
    <cellStyle name="Normal 5 91 4" xfId="10593"/>
    <cellStyle name="Normal 5 91 4 2" xfId="20477"/>
    <cellStyle name="Normal 5 91 4 2 2" xfId="31535"/>
    <cellStyle name="Normal 5 91 4 3" xfId="31536"/>
    <cellStyle name="Normal 5 91 5" xfId="20478"/>
    <cellStyle name="Normal 5 91 5 2" xfId="31537"/>
    <cellStyle name="Normal 5 91 6" xfId="31538"/>
    <cellStyle name="Normal 5 92" xfId="10594"/>
    <cellStyle name="Normal 5 92 2" xfId="10595"/>
    <cellStyle name="Normal 5 92 2 2" xfId="10596"/>
    <cellStyle name="Normal 5 92 2 3" xfId="10597"/>
    <cellStyle name="Normal 5 92 2 3 2" xfId="20479"/>
    <cellStyle name="Normal 5 92 2 3 2 2" xfId="31539"/>
    <cellStyle name="Normal 5 92 2 3 3" xfId="31540"/>
    <cellStyle name="Normal 5 92 2 4" xfId="20480"/>
    <cellStyle name="Normal 5 92 2 4 2" xfId="31541"/>
    <cellStyle name="Normal 5 92 2 5" xfId="31542"/>
    <cellStyle name="Normal 5 92 3" xfId="10598"/>
    <cellStyle name="Normal 5 92 4" xfId="10599"/>
    <cellStyle name="Normal 5 92 4 2" xfId="20481"/>
    <cellStyle name="Normal 5 92 4 2 2" xfId="31543"/>
    <cellStyle name="Normal 5 92 4 3" xfId="31544"/>
    <cellStyle name="Normal 5 92 5" xfId="20482"/>
    <cellStyle name="Normal 5 92 5 2" xfId="31545"/>
    <cellStyle name="Normal 5 92 6" xfId="31546"/>
    <cellStyle name="Normal 5 93" xfId="10600"/>
    <cellStyle name="Normal 5 93 2" xfId="10601"/>
    <cellStyle name="Normal 5 93 2 2" xfId="10602"/>
    <cellStyle name="Normal 5 93 2 3" xfId="10603"/>
    <cellStyle name="Normal 5 93 2 3 2" xfId="20483"/>
    <cellStyle name="Normal 5 93 2 3 2 2" xfId="31547"/>
    <cellStyle name="Normal 5 93 2 3 3" xfId="31548"/>
    <cellStyle name="Normal 5 93 2 4" xfId="20484"/>
    <cellStyle name="Normal 5 93 2 4 2" xfId="31549"/>
    <cellStyle name="Normal 5 93 2 5" xfId="31550"/>
    <cellStyle name="Normal 5 93 3" xfId="10604"/>
    <cellStyle name="Normal 5 93 4" xfId="10605"/>
    <cellStyle name="Normal 5 93 4 2" xfId="20485"/>
    <cellStyle name="Normal 5 93 4 2 2" xfId="31551"/>
    <cellStyle name="Normal 5 93 4 3" xfId="31552"/>
    <cellStyle name="Normal 5 93 5" xfId="20486"/>
    <cellStyle name="Normal 5 93 5 2" xfId="31553"/>
    <cellStyle name="Normal 5 93 6" xfId="31554"/>
    <cellStyle name="Normal 5 94" xfId="10606"/>
    <cellStyle name="Normal 5 94 2" xfId="10607"/>
    <cellStyle name="Normal 5 95" xfId="10608"/>
    <cellStyle name="Normal 5 95 2" xfId="10609"/>
    <cellStyle name="Normal 5 95 2 2" xfId="10610"/>
    <cellStyle name="Normal 5 95 2 3" xfId="10611"/>
    <cellStyle name="Normal 5 95 2 3 2" xfId="20487"/>
    <cellStyle name="Normal 5 95 2 3 2 2" xfId="31555"/>
    <cellStyle name="Normal 5 95 2 3 3" xfId="31556"/>
    <cellStyle name="Normal 5 95 2 4" xfId="20488"/>
    <cellStyle name="Normal 5 95 2 4 2" xfId="31557"/>
    <cellStyle name="Normal 5 95 2 5" xfId="31558"/>
    <cellStyle name="Normal 5 95 3" xfId="10612"/>
    <cellStyle name="Normal 5 95 4" xfId="10613"/>
    <cellStyle name="Normal 5 95 4 2" xfId="20489"/>
    <cellStyle name="Normal 5 95 4 2 2" xfId="31559"/>
    <cellStyle name="Normal 5 95 4 3" xfId="31560"/>
    <cellStyle name="Normal 5 95 5" xfId="20490"/>
    <cellStyle name="Normal 5 95 5 2" xfId="31561"/>
    <cellStyle name="Normal 5 95 6" xfId="31562"/>
    <cellStyle name="Normal 5 96" xfId="10614"/>
    <cellStyle name="Normal 5 96 2" xfId="10615"/>
    <cellStyle name="Normal 5 96 2 2" xfId="10616"/>
    <cellStyle name="Normal 5 96 2 3" xfId="10617"/>
    <cellStyle name="Normal 5 96 2 3 2" xfId="20491"/>
    <cellStyle name="Normal 5 96 2 3 2 2" xfId="31563"/>
    <cellStyle name="Normal 5 96 2 3 3" xfId="31564"/>
    <cellStyle name="Normal 5 96 2 4" xfId="20492"/>
    <cellStyle name="Normal 5 96 2 4 2" xfId="31565"/>
    <cellStyle name="Normal 5 96 2 5" xfId="31566"/>
    <cellStyle name="Normal 5 96 3" xfId="10618"/>
    <cellStyle name="Normal 5 96 4" xfId="10619"/>
    <cellStyle name="Normal 5 96 4 2" xfId="20493"/>
    <cellStyle name="Normal 5 96 4 2 2" xfId="31567"/>
    <cellStyle name="Normal 5 96 4 3" xfId="31568"/>
    <cellStyle name="Normal 5 96 5" xfId="20494"/>
    <cellStyle name="Normal 5 96 5 2" xfId="31569"/>
    <cellStyle name="Normal 5 96 6" xfId="31570"/>
    <cellStyle name="Normal 5 97" xfId="10620"/>
    <cellStyle name="Normal 5 97 2" xfId="10621"/>
    <cellStyle name="Normal 5 97 2 2" xfId="10622"/>
    <cellStyle name="Normal 5 97 2 3" xfId="10623"/>
    <cellStyle name="Normal 5 97 2 3 2" xfId="20495"/>
    <cellStyle name="Normal 5 97 2 3 2 2" xfId="31571"/>
    <cellStyle name="Normal 5 97 2 3 3" xfId="31572"/>
    <cellStyle name="Normal 5 97 2 4" xfId="20496"/>
    <cellStyle name="Normal 5 97 2 4 2" xfId="31573"/>
    <cellStyle name="Normal 5 97 2 5" xfId="31574"/>
    <cellStyle name="Normal 5 97 3" xfId="10624"/>
    <cellStyle name="Normal 5 97 4" xfId="10625"/>
    <cellStyle name="Normal 5 97 4 2" xfId="20497"/>
    <cellStyle name="Normal 5 97 4 2 2" xfId="31575"/>
    <cellStyle name="Normal 5 97 4 3" xfId="31576"/>
    <cellStyle name="Normal 5 97 5" xfId="20498"/>
    <cellStyle name="Normal 5 97 5 2" xfId="31577"/>
    <cellStyle name="Normal 5 97 6" xfId="31578"/>
    <cellStyle name="Normal 5 98" xfId="10626"/>
    <cellStyle name="Normal 5 98 2" xfId="10627"/>
    <cellStyle name="Normal 5 98 2 2" xfId="10628"/>
    <cellStyle name="Normal 5 98 2 3" xfId="10629"/>
    <cellStyle name="Normal 5 98 2 3 2" xfId="20499"/>
    <cellStyle name="Normal 5 98 2 3 2 2" xfId="31579"/>
    <cellStyle name="Normal 5 98 2 3 3" xfId="31580"/>
    <cellStyle name="Normal 5 98 2 4" xfId="20500"/>
    <cellStyle name="Normal 5 98 2 4 2" xfId="31581"/>
    <cellStyle name="Normal 5 98 2 5" xfId="31582"/>
    <cellStyle name="Normal 5 98 3" xfId="10630"/>
    <cellStyle name="Normal 5 98 4" xfId="10631"/>
    <cellStyle name="Normal 5 98 4 2" xfId="20501"/>
    <cellStyle name="Normal 5 98 4 2 2" xfId="31583"/>
    <cellStyle name="Normal 5 98 4 3" xfId="31584"/>
    <cellStyle name="Normal 5 98 5" xfId="20502"/>
    <cellStyle name="Normal 5 98 5 2" xfId="31585"/>
    <cellStyle name="Normal 5 98 6" xfId="31586"/>
    <cellStyle name="Normal 5 99" xfId="10632"/>
    <cellStyle name="Normal 5 99 2" xfId="20503"/>
    <cellStyle name="Normal 50" xfId="10633"/>
    <cellStyle name="Normal 50 2" xfId="10634"/>
    <cellStyle name="Normal 50 2 2" xfId="10635"/>
    <cellStyle name="Normal 50 2 2 2" xfId="20504"/>
    <cellStyle name="Normal 50 2 2 2 2" xfId="31587"/>
    <cellStyle name="Normal 50 2 2 3" xfId="31588"/>
    <cellStyle name="Normal 50 2 3" xfId="20505"/>
    <cellStyle name="Normal 50 2 3 2" xfId="31589"/>
    <cellStyle name="Normal 50 2 4" xfId="31590"/>
    <cellStyle name="Normal 50 3" xfId="10636"/>
    <cellStyle name="Normal 50 3 2" xfId="10637"/>
    <cellStyle name="Normal 50 3 2 2" xfId="20506"/>
    <cellStyle name="Normal 50 3 2 2 2" xfId="31591"/>
    <cellStyle name="Normal 50 3 2 3" xfId="31592"/>
    <cellStyle name="Normal 50 3 3" xfId="20507"/>
    <cellStyle name="Normal 50 3 3 2" xfId="31593"/>
    <cellStyle name="Normal 50 3 4" xfId="31594"/>
    <cellStyle name="Normal 50 4" xfId="10638"/>
    <cellStyle name="Normal 50 4 2" xfId="10639"/>
    <cellStyle name="Normal 50 4 2 2" xfId="20508"/>
    <cellStyle name="Normal 50 4 2 2 2" xfId="31595"/>
    <cellStyle name="Normal 50 4 2 3" xfId="31596"/>
    <cellStyle name="Normal 50 4 3" xfId="20509"/>
    <cellStyle name="Normal 50 4 3 2" xfId="31597"/>
    <cellStyle name="Normal 50 4 4" xfId="31598"/>
    <cellStyle name="Normal 50 5" xfId="10640"/>
    <cellStyle name="Normal 50 5 2" xfId="10641"/>
    <cellStyle name="Normal 50 5 2 2" xfId="20510"/>
    <cellStyle name="Normal 50 5 2 2 2" xfId="31599"/>
    <cellStyle name="Normal 50 5 2 3" xfId="31600"/>
    <cellStyle name="Normal 50 5 3" xfId="20511"/>
    <cellStyle name="Normal 50 5 3 2" xfId="31601"/>
    <cellStyle name="Normal 50 5 4" xfId="31602"/>
    <cellStyle name="Normal 50 6" xfId="10642"/>
    <cellStyle name="Normal 50 6 2" xfId="10643"/>
    <cellStyle name="Normal 50 6 2 2" xfId="20512"/>
    <cellStyle name="Normal 50 6 2 2 2" xfId="31603"/>
    <cellStyle name="Normal 50 6 2 3" xfId="31604"/>
    <cellStyle name="Normal 50 6 3" xfId="20513"/>
    <cellStyle name="Normal 50 6 3 2" xfId="31605"/>
    <cellStyle name="Normal 50 6 4" xfId="31606"/>
    <cellStyle name="Normal 50 7" xfId="10644"/>
    <cellStyle name="Normal 50 7 2" xfId="10645"/>
    <cellStyle name="Normal 50 7 2 2" xfId="20514"/>
    <cellStyle name="Normal 50 7 2 2 2" xfId="31607"/>
    <cellStyle name="Normal 50 7 2 3" xfId="31608"/>
    <cellStyle name="Normal 50 7 3" xfId="20515"/>
    <cellStyle name="Normal 50 7 3 2" xfId="31609"/>
    <cellStyle name="Normal 50 7 4" xfId="31610"/>
    <cellStyle name="Normal 51" xfId="10646"/>
    <cellStyle name="Normal 51 2" xfId="10647"/>
    <cellStyle name="Normal 51 2 2" xfId="10648"/>
    <cellStyle name="Normal 51 2 2 2" xfId="20516"/>
    <cellStyle name="Normal 51 2 2 2 2" xfId="31611"/>
    <cellStyle name="Normal 51 2 2 3" xfId="31612"/>
    <cellStyle name="Normal 51 2 3" xfId="20517"/>
    <cellStyle name="Normal 51 2 3 2" xfId="31613"/>
    <cellStyle name="Normal 51 2 4" xfId="31614"/>
    <cellStyle name="Normal 51 3" xfId="10649"/>
    <cellStyle name="Normal 51 3 2" xfId="10650"/>
    <cellStyle name="Normal 51 3 2 2" xfId="20518"/>
    <cellStyle name="Normal 51 3 2 2 2" xfId="31615"/>
    <cellStyle name="Normal 51 3 2 3" xfId="31616"/>
    <cellStyle name="Normal 51 3 3" xfId="20519"/>
    <cellStyle name="Normal 51 3 3 2" xfId="31617"/>
    <cellStyle name="Normal 51 3 4" xfId="31618"/>
    <cellStyle name="Normal 51 4" xfId="10651"/>
    <cellStyle name="Normal 51 4 2" xfId="10652"/>
    <cellStyle name="Normal 51 4 2 2" xfId="20520"/>
    <cellStyle name="Normal 51 4 2 2 2" xfId="31619"/>
    <cellStyle name="Normal 51 4 2 3" xfId="31620"/>
    <cellStyle name="Normal 51 4 3" xfId="20521"/>
    <cellStyle name="Normal 51 4 3 2" xfId="31621"/>
    <cellStyle name="Normal 51 4 4" xfId="31622"/>
    <cellStyle name="Normal 51 5" xfId="10653"/>
    <cellStyle name="Normal 51 5 2" xfId="10654"/>
    <cellStyle name="Normal 51 5 2 2" xfId="20522"/>
    <cellStyle name="Normal 51 5 2 2 2" xfId="31623"/>
    <cellStyle name="Normal 51 5 2 3" xfId="31624"/>
    <cellStyle name="Normal 51 5 3" xfId="20523"/>
    <cellStyle name="Normal 51 5 3 2" xfId="31625"/>
    <cellStyle name="Normal 51 5 4" xfId="31626"/>
    <cellStyle name="Normal 51 6" xfId="10655"/>
    <cellStyle name="Normal 51 6 2" xfId="10656"/>
    <cellStyle name="Normal 51 6 2 2" xfId="20524"/>
    <cellStyle name="Normal 51 6 2 2 2" xfId="31627"/>
    <cellStyle name="Normal 51 6 2 3" xfId="31628"/>
    <cellStyle name="Normal 51 6 3" xfId="20525"/>
    <cellStyle name="Normal 51 6 3 2" xfId="31629"/>
    <cellStyle name="Normal 51 6 4" xfId="31630"/>
    <cellStyle name="Normal 51 7" xfId="10657"/>
    <cellStyle name="Normal 51 7 2" xfId="10658"/>
    <cellStyle name="Normal 51 7 2 2" xfId="20526"/>
    <cellStyle name="Normal 51 7 2 2 2" xfId="31631"/>
    <cellStyle name="Normal 51 7 2 3" xfId="31632"/>
    <cellStyle name="Normal 51 7 3" xfId="20527"/>
    <cellStyle name="Normal 51 7 3 2" xfId="31633"/>
    <cellStyle name="Normal 51 7 4" xfId="31634"/>
    <cellStyle name="Normal 52" xfId="10659"/>
    <cellStyle name="Normal 52 2" xfId="10660"/>
    <cellStyle name="Normal 52 2 2" xfId="10661"/>
    <cellStyle name="Normal 52 2 2 2" xfId="20528"/>
    <cellStyle name="Normal 52 2 2 2 2" xfId="31635"/>
    <cellStyle name="Normal 52 2 2 3" xfId="31636"/>
    <cellStyle name="Normal 52 2 3" xfId="20529"/>
    <cellStyle name="Normal 52 2 3 2" xfId="31637"/>
    <cellStyle name="Normal 52 2 4" xfId="31638"/>
    <cellStyle name="Normal 52 3" xfId="10662"/>
    <cellStyle name="Normal 52 3 2" xfId="10663"/>
    <cellStyle name="Normal 52 3 2 2" xfId="20530"/>
    <cellStyle name="Normal 52 3 2 2 2" xfId="31639"/>
    <cellStyle name="Normal 52 3 2 3" xfId="31640"/>
    <cellStyle name="Normal 52 3 3" xfId="20531"/>
    <cellStyle name="Normal 52 3 3 2" xfId="31641"/>
    <cellStyle name="Normal 52 3 4" xfId="31642"/>
    <cellStyle name="Normal 52 4" xfId="10664"/>
    <cellStyle name="Normal 52 4 2" xfId="10665"/>
    <cellStyle name="Normal 52 4 2 2" xfId="20532"/>
    <cellStyle name="Normal 52 4 2 2 2" xfId="31643"/>
    <cellStyle name="Normal 52 4 2 3" xfId="31644"/>
    <cellStyle name="Normal 52 4 3" xfId="20533"/>
    <cellStyle name="Normal 52 4 3 2" xfId="31645"/>
    <cellStyle name="Normal 52 4 4" xfId="31646"/>
    <cellStyle name="Normal 52 5" xfId="10666"/>
    <cellStyle name="Normal 52 5 2" xfId="10667"/>
    <cellStyle name="Normal 52 5 2 2" xfId="20534"/>
    <cellStyle name="Normal 52 5 2 2 2" xfId="31647"/>
    <cellStyle name="Normal 52 5 2 3" xfId="31648"/>
    <cellStyle name="Normal 52 5 3" xfId="20535"/>
    <cellStyle name="Normal 52 5 3 2" xfId="31649"/>
    <cellStyle name="Normal 52 5 4" xfId="31650"/>
    <cellStyle name="Normal 52 6" xfId="10668"/>
    <cellStyle name="Normal 52 6 2" xfId="10669"/>
    <cellStyle name="Normal 52 6 2 2" xfId="20536"/>
    <cellStyle name="Normal 52 6 2 2 2" xfId="31651"/>
    <cellStyle name="Normal 52 6 2 3" xfId="31652"/>
    <cellStyle name="Normal 52 6 3" xfId="20537"/>
    <cellStyle name="Normal 52 6 3 2" xfId="31653"/>
    <cellStyle name="Normal 52 6 4" xfId="31654"/>
    <cellStyle name="Normal 52 7" xfId="10670"/>
    <cellStyle name="Normal 52 7 2" xfId="10671"/>
    <cellStyle name="Normal 52 7 2 2" xfId="20538"/>
    <cellStyle name="Normal 52 7 2 2 2" xfId="31655"/>
    <cellStyle name="Normal 52 7 2 3" xfId="31656"/>
    <cellStyle name="Normal 52 7 3" xfId="20539"/>
    <cellStyle name="Normal 52 7 3 2" xfId="31657"/>
    <cellStyle name="Normal 52 7 4" xfId="31658"/>
    <cellStyle name="Normal 53" xfId="10672"/>
    <cellStyle name="Normal 53 2" xfId="10673"/>
    <cellStyle name="Normal 53 2 2" xfId="10674"/>
    <cellStyle name="Normal 53 2 2 2" xfId="20540"/>
    <cellStyle name="Normal 53 2 2 2 2" xfId="31659"/>
    <cellStyle name="Normal 53 2 2 3" xfId="31660"/>
    <cellStyle name="Normal 53 2 3" xfId="20541"/>
    <cellStyle name="Normal 53 2 3 2" xfId="31661"/>
    <cellStyle name="Normal 53 2 4" xfId="31662"/>
    <cellStyle name="Normal 53 3" xfId="10675"/>
    <cellStyle name="Normal 53 3 2" xfId="10676"/>
    <cellStyle name="Normal 53 3 2 2" xfId="20542"/>
    <cellStyle name="Normal 53 3 2 2 2" xfId="31663"/>
    <cellStyle name="Normal 53 3 2 3" xfId="31664"/>
    <cellStyle name="Normal 53 3 3" xfId="20543"/>
    <cellStyle name="Normal 53 3 3 2" xfId="31665"/>
    <cellStyle name="Normal 53 3 4" xfId="31666"/>
    <cellStyle name="Normal 53 4" xfId="10677"/>
    <cellStyle name="Normal 53 4 2" xfId="10678"/>
    <cellStyle name="Normal 53 4 2 2" xfId="20544"/>
    <cellStyle name="Normal 53 4 2 2 2" xfId="31667"/>
    <cellStyle name="Normal 53 4 2 3" xfId="31668"/>
    <cellStyle name="Normal 53 4 3" xfId="20545"/>
    <cellStyle name="Normal 53 4 3 2" xfId="31669"/>
    <cellStyle name="Normal 53 4 4" xfId="31670"/>
    <cellStyle name="Normal 53 5" xfId="10679"/>
    <cellStyle name="Normal 53 5 2" xfId="10680"/>
    <cellStyle name="Normal 53 5 2 2" xfId="20546"/>
    <cellStyle name="Normal 53 5 2 2 2" xfId="31671"/>
    <cellStyle name="Normal 53 5 2 3" xfId="31672"/>
    <cellStyle name="Normal 53 5 3" xfId="20547"/>
    <cellStyle name="Normal 53 5 3 2" xfId="31673"/>
    <cellStyle name="Normal 53 5 4" xfId="31674"/>
    <cellStyle name="Normal 53 6" xfId="10681"/>
    <cellStyle name="Normal 53 6 2" xfId="10682"/>
    <cellStyle name="Normal 53 6 2 2" xfId="20548"/>
    <cellStyle name="Normal 53 6 2 2 2" xfId="31675"/>
    <cellStyle name="Normal 53 6 2 3" xfId="31676"/>
    <cellStyle name="Normal 53 6 3" xfId="20549"/>
    <cellStyle name="Normal 53 6 3 2" xfId="31677"/>
    <cellStyle name="Normal 53 6 4" xfId="31678"/>
    <cellStyle name="Normal 53 7" xfId="10683"/>
    <cellStyle name="Normal 53 7 2" xfId="10684"/>
    <cellStyle name="Normal 53 7 2 2" xfId="20550"/>
    <cellStyle name="Normal 53 7 2 2 2" xfId="31679"/>
    <cellStyle name="Normal 53 7 2 3" xfId="31680"/>
    <cellStyle name="Normal 53 7 3" xfId="20551"/>
    <cellStyle name="Normal 53 7 3 2" xfId="31681"/>
    <cellStyle name="Normal 53 7 4" xfId="31682"/>
    <cellStyle name="Normal 54" xfId="10685"/>
    <cellStyle name="Normal 54 2" xfId="10686"/>
    <cellStyle name="Normal 54 2 2" xfId="10687"/>
    <cellStyle name="Normal 54 2 2 2" xfId="20552"/>
    <cellStyle name="Normal 54 2 2 2 2" xfId="31683"/>
    <cellStyle name="Normal 54 2 2 3" xfId="31684"/>
    <cellStyle name="Normal 54 2 3" xfId="20553"/>
    <cellStyle name="Normal 54 2 3 2" xfId="31685"/>
    <cellStyle name="Normal 54 2 4" xfId="31686"/>
    <cellStyle name="Normal 54 3" xfId="10688"/>
    <cellStyle name="Normal 54 3 2" xfId="10689"/>
    <cellStyle name="Normal 54 3 2 2" xfId="20554"/>
    <cellStyle name="Normal 54 3 2 2 2" xfId="31687"/>
    <cellStyle name="Normal 54 3 2 3" xfId="31688"/>
    <cellStyle name="Normal 54 3 3" xfId="20555"/>
    <cellStyle name="Normal 54 3 3 2" xfId="31689"/>
    <cellStyle name="Normal 54 3 4" xfId="31690"/>
    <cellStyle name="Normal 54 4" xfId="10690"/>
    <cellStyle name="Normal 54 4 2" xfId="10691"/>
    <cellStyle name="Normal 54 4 2 2" xfId="20556"/>
    <cellStyle name="Normal 54 4 2 2 2" xfId="31691"/>
    <cellStyle name="Normal 54 4 2 3" xfId="31692"/>
    <cellStyle name="Normal 54 4 3" xfId="20557"/>
    <cellStyle name="Normal 54 4 3 2" xfId="31693"/>
    <cellStyle name="Normal 54 4 4" xfId="31694"/>
    <cellStyle name="Normal 54 5" xfId="10692"/>
    <cellStyle name="Normal 54 5 2" xfId="10693"/>
    <cellStyle name="Normal 54 5 2 2" xfId="20558"/>
    <cellStyle name="Normal 54 5 2 2 2" xfId="31695"/>
    <cellStyle name="Normal 54 5 2 3" xfId="31696"/>
    <cellStyle name="Normal 54 5 3" xfId="20559"/>
    <cellStyle name="Normal 54 5 3 2" xfId="31697"/>
    <cellStyle name="Normal 54 5 4" xfId="31698"/>
    <cellStyle name="Normal 54 6" xfId="10694"/>
    <cellStyle name="Normal 54 6 2" xfId="10695"/>
    <cellStyle name="Normal 54 6 2 2" xfId="20560"/>
    <cellStyle name="Normal 54 6 2 2 2" xfId="31699"/>
    <cellStyle name="Normal 54 6 2 3" xfId="31700"/>
    <cellStyle name="Normal 54 6 3" xfId="20561"/>
    <cellStyle name="Normal 54 6 3 2" xfId="31701"/>
    <cellStyle name="Normal 54 6 4" xfId="31702"/>
    <cellStyle name="Normal 54 7" xfId="10696"/>
    <cellStyle name="Normal 54 7 2" xfId="10697"/>
    <cellStyle name="Normal 54 7 2 2" xfId="20562"/>
    <cellStyle name="Normal 54 7 2 2 2" xfId="31703"/>
    <cellStyle name="Normal 54 7 2 3" xfId="31704"/>
    <cellStyle name="Normal 54 7 3" xfId="20563"/>
    <cellStyle name="Normal 54 7 3 2" xfId="31705"/>
    <cellStyle name="Normal 54 7 4" xfId="31706"/>
    <cellStyle name="Normal 55" xfId="10698"/>
    <cellStyle name="Normal 55 2" xfId="10699"/>
    <cellStyle name="Normal 55 2 2" xfId="10700"/>
    <cellStyle name="Normal 55 2 2 2" xfId="20564"/>
    <cellStyle name="Normal 55 2 2 2 2" xfId="31707"/>
    <cellStyle name="Normal 55 2 2 3" xfId="31708"/>
    <cellStyle name="Normal 55 2 3" xfId="20565"/>
    <cellStyle name="Normal 55 2 3 2" xfId="31709"/>
    <cellStyle name="Normal 55 2 4" xfId="31710"/>
    <cellStyle name="Normal 55 3" xfId="10701"/>
    <cellStyle name="Normal 55 3 2" xfId="10702"/>
    <cellStyle name="Normal 55 3 2 2" xfId="20566"/>
    <cellStyle name="Normal 55 3 2 2 2" xfId="31711"/>
    <cellStyle name="Normal 55 3 2 3" xfId="31712"/>
    <cellStyle name="Normal 55 3 3" xfId="20567"/>
    <cellStyle name="Normal 55 3 3 2" xfId="31713"/>
    <cellStyle name="Normal 55 3 4" xfId="31714"/>
    <cellStyle name="Normal 55 4" xfId="10703"/>
    <cellStyle name="Normal 55 4 2" xfId="10704"/>
    <cellStyle name="Normal 55 4 2 2" xfId="20568"/>
    <cellStyle name="Normal 55 4 2 2 2" xfId="31715"/>
    <cellStyle name="Normal 55 4 2 3" xfId="31716"/>
    <cellStyle name="Normal 55 4 3" xfId="20569"/>
    <cellStyle name="Normal 55 4 3 2" xfId="31717"/>
    <cellStyle name="Normal 55 4 4" xfId="31718"/>
    <cellStyle name="Normal 55 5" xfId="10705"/>
    <cellStyle name="Normal 55 5 2" xfId="10706"/>
    <cellStyle name="Normal 55 5 2 2" xfId="20570"/>
    <cellStyle name="Normal 55 5 2 2 2" xfId="31719"/>
    <cellStyle name="Normal 55 5 2 3" xfId="31720"/>
    <cellStyle name="Normal 55 5 3" xfId="20571"/>
    <cellStyle name="Normal 55 5 3 2" xfId="31721"/>
    <cellStyle name="Normal 55 5 4" xfId="31722"/>
    <cellStyle name="Normal 55 6" xfId="10707"/>
    <cellStyle name="Normal 55 6 2" xfId="10708"/>
    <cellStyle name="Normal 55 6 2 2" xfId="20572"/>
    <cellStyle name="Normal 55 6 2 2 2" xfId="31723"/>
    <cellStyle name="Normal 55 6 2 3" xfId="31724"/>
    <cellStyle name="Normal 55 6 3" xfId="20573"/>
    <cellStyle name="Normal 55 6 3 2" xfId="31725"/>
    <cellStyle name="Normal 55 6 4" xfId="31726"/>
    <cellStyle name="Normal 55 7" xfId="10709"/>
    <cellStyle name="Normal 55 7 2" xfId="10710"/>
    <cellStyle name="Normal 55 7 2 2" xfId="20574"/>
    <cellStyle name="Normal 55 7 2 2 2" xfId="31727"/>
    <cellStyle name="Normal 55 7 2 3" xfId="31728"/>
    <cellStyle name="Normal 55 7 3" xfId="20575"/>
    <cellStyle name="Normal 55 7 3 2" xfId="31729"/>
    <cellStyle name="Normal 55 7 4" xfId="31730"/>
    <cellStyle name="Normal 56" xfId="10711"/>
    <cellStyle name="Normal 56 2" xfId="10712"/>
    <cellStyle name="Normal 56 2 2" xfId="10713"/>
    <cellStyle name="Normal 56 2 2 2" xfId="20576"/>
    <cellStyle name="Normal 56 2 2 2 2" xfId="31731"/>
    <cellStyle name="Normal 56 2 2 3" xfId="31732"/>
    <cellStyle name="Normal 56 2 3" xfId="20577"/>
    <cellStyle name="Normal 56 2 3 2" xfId="31733"/>
    <cellStyle name="Normal 56 2 4" xfId="31734"/>
    <cellStyle name="Normal 56 3" xfId="10714"/>
    <cellStyle name="Normal 56 3 2" xfId="10715"/>
    <cellStyle name="Normal 56 3 2 2" xfId="20578"/>
    <cellStyle name="Normal 56 3 2 2 2" xfId="31735"/>
    <cellStyle name="Normal 56 3 2 3" xfId="31736"/>
    <cellStyle name="Normal 56 3 3" xfId="20579"/>
    <cellStyle name="Normal 56 3 3 2" xfId="31737"/>
    <cellStyle name="Normal 56 3 4" xfId="31738"/>
    <cellStyle name="Normal 56 4" xfId="10716"/>
    <cellStyle name="Normal 56 4 2" xfId="10717"/>
    <cellStyle name="Normal 56 4 2 2" xfId="20580"/>
    <cellStyle name="Normal 56 4 2 2 2" xfId="31739"/>
    <cellStyle name="Normal 56 4 2 3" xfId="31740"/>
    <cellStyle name="Normal 56 4 3" xfId="20581"/>
    <cellStyle name="Normal 56 4 3 2" xfId="31741"/>
    <cellStyle name="Normal 56 4 4" xfId="31742"/>
    <cellStyle name="Normal 56 5" xfId="10718"/>
    <cellStyle name="Normal 56 5 2" xfId="10719"/>
    <cellStyle name="Normal 56 5 2 2" xfId="20582"/>
    <cellStyle name="Normal 56 5 2 2 2" xfId="31743"/>
    <cellStyle name="Normal 56 5 2 3" xfId="31744"/>
    <cellStyle name="Normal 56 5 3" xfId="20583"/>
    <cellStyle name="Normal 56 5 3 2" xfId="31745"/>
    <cellStyle name="Normal 56 5 4" xfId="31746"/>
    <cellStyle name="Normal 56 6" xfId="10720"/>
    <cellStyle name="Normal 56 6 2" xfId="10721"/>
    <cellStyle name="Normal 56 6 2 2" xfId="20584"/>
    <cellStyle name="Normal 56 6 2 2 2" xfId="31747"/>
    <cellStyle name="Normal 56 6 2 3" xfId="31748"/>
    <cellStyle name="Normal 56 6 3" xfId="20585"/>
    <cellStyle name="Normal 56 6 3 2" xfId="31749"/>
    <cellStyle name="Normal 56 6 4" xfId="31750"/>
    <cellStyle name="Normal 56 7" xfId="10722"/>
    <cellStyle name="Normal 56 7 2" xfId="10723"/>
    <cellStyle name="Normal 56 7 2 2" xfId="20586"/>
    <cellStyle name="Normal 56 7 2 2 2" xfId="31751"/>
    <cellStyle name="Normal 56 7 2 3" xfId="31752"/>
    <cellStyle name="Normal 56 7 3" xfId="20587"/>
    <cellStyle name="Normal 56 7 3 2" xfId="31753"/>
    <cellStyle name="Normal 56 7 4" xfId="31754"/>
    <cellStyle name="Normal 57" xfId="10724"/>
    <cellStyle name="Normal 57 2" xfId="10725"/>
    <cellStyle name="Normal 57 2 2" xfId="10726"/>
    <cellStyle name="Normal 57 2 2 2" xfId="20588"/>
    <cellStyle name="Normal 57 2 2 2 2" xfId="31755"/>
    <cellStyle name="Normal 57 2 2 3" xfId="31756"/>
    <cellStyle name="Normal 57 2 3" xfId="20589"/>
    <cellStyle name="Normal 57 2 3 2" xfId="31757"/>
    <cellStyle name="Normal 57 2 4" xfId="31758"/>
    <cellStyle name="Normal 57 3" xfId="10727"/>
    <cellStyle name="Normal 57 3 2" xfId="10728"/>
    <cellStyle name="Normal 57 3 2 2" xfId="20590"/>
    <cellStyle name="Normal 57 3 2 2 2" xfId="31759"/>
    <cellStyle name="Normal 57 3 2 3" xfId="31760"/>
    <cellStyle name="Normal 57 3 3" xfId="20591"/>
    <cellStyle name="Normal 57 3 3 2" xfId="31761"/>
    <cellStyle name="Normal 57 3 4" xfId="31762"/>
    <cellStyle name="Normal 57 4" xfId="10729"/>
    <cellStyle name="Normal 57 4 2" xfId="10730"/>
    <cellStyle name="Normal 57 4 2 2" xfId="20592"/>
    <cellStyle name="Normal 57 4 2 2 2" xfId="31763"/>
    <cellStyle name="Normal 57 4 2 3" xfId="31764"/>
    <cellStyle name="Normal 57 4 3" xfId="20593"/>
    <cellStyle name="Normal 57 4 3 2" xfId="31765"/>
    <cellStyle name="Normal 57 4 4" xfId="31766"/>
    <cellStyle name="Normal 57 5" xfId="10731"/>
    <cellStyle name="Normal 57 5 2" xfId="10732"/>
    <cellStyle name="Normal 57 5 2 2" xfId="20594"/>
    <cellStyle name="Normal 57 5 2 2 2" xfId="31767"/>
    <cellStyle name="Normal 57 5 2 3" xfId="31768"/>
    <cellStyle name="Normal 57 5 3" xfId="20595"/>
    <cellStyle name="Normal 57 5 3 2" xfId="31769"/>
    <cellStyle name="Normal 57 5 4" xfId="31770"/>
    <cellStyle name="Normal 57 6" xfId="10733"/>
    <cellStyle name="Normal 57 6 2" xfId="10734"/>
    <cellStyle name="Normal 57 6 2 2" xfId="20596"/>
    <cellStyle name="Normal 57 6 2 2 2" xfId="31771"/>
    <cellStyle name="Normal 57 6 2 3" xfId="31772"/>
    <cellStyle name="Normal 57 6 3" xfId="20597"/>
    <cellStyle name="Normal 57 6 3 2" xfId="31773"/>
    <cellStyle name="Normal 57 6 4" xfId="31774"/>
    <cellStyle name="Normal 57 7" xfId="10735"/>
    <cellStyle name="Normal 57 7 2" xfId="10736"/>
    <cellStyle name="Normal 57 7 2 2" xfId="20598"/>
    <cellStyle name="Normal 57 7 2 2 2" xfId="31775"/>
    <cellStyle name="Normal 57 7 2 3" xfId="31776"/>
    <cellStyle name="Normal 57 7 3" xfId="20599"/>
    <cellStyle name="Normal 57 7 3 2" xfId="31777"/>
    <cellStyle name="Normal 57 7 4" xfId="31778"/>
    <cellStyle name="Normal 58" xfId="10737"/>
    <cellStyle name="Normal 58 2" xfId="10738"/>
    <cellStyle name="Normal 58 2 2" xfId="10739"/>
    <cellStyle name="Normal 58 2 2 2" xfId="20600"/>
    <cellStyle name="Normal 58 2 2 2 2" xfId="31779"/>
    <cellStyle name="Normal 58 2 2 3" xfId="31780"/>
    <cellStyle name="Normal 58 2 3" xfId="20601"/>
    <cellStyle name="Normal 58 2 3 2" xfId="31781"/>
    <cellStyle name="Normal 58 2 4" xfId="31782"/>
    <cellStyle name="Normal 58 3" xfId="10740"/>
    <cellStyle name="Normal 58 3 2" xfId="10741"/>
    <cellStyle name="Normal 58 3 2 2" xfId="20602"/>
    <cellStyle name="Normal 58 3 2 2 2" xfId="31783"/>
    <cellStyle name="Normal 58 3 2 3" xfId="31784"/>
    <cellStyle name="Normal 58 3 3" xfId="20603"/>
    <cellStyle name="Normal 58 3 3 2" xfId="31785"/>
    <cellStyle name="Normal 58 3 4" xfId="31786"/>
    <cellStyle name="Normal 58 4" xfId="10742"/>
    <cellStyle name="Normal 58 4 2" xfId="10743"/>
    <cellStyle name="Normal 58 4 2 2" xfId="20604"/>
    <cellStyle name="Normal 58 4 2 2 2" xfId="31787"/>
    <cellStyle name="Normal 58 4 2 3" xfId="31788"/>
    <cellStyle name="Normal 58 4 3" xfId="20605"/>
    <cellStyle name="Normal 58 4 3 2" xfId="31789"/>
    <cellStyle name="Normal 58 4 4" xfId="31790"/>
    <cellStyle name="Normal 58 5" xfId="10744"/>
    <cellStyle name="Normal 58 5 2" xfId="10745"/>
    <cellStyle name="Normal 58 5 2 2" xfId="20606"/>
    <cellStyle name="Normal 58 5 2 2 2" xfId="31791"/>
    <cellStyle name="Normal 58 5 2 3" xfId="31792"/>
    <cellStyle name="Normal 58 5 3" xfId="20607"/>
    <cellStyle name="Normal 58 5 3 2" xfId="31793"/>
    <cellStyle name="Normal 58 5 4" xfId="31794"/>
    <cellStyle name="Normal 58 6" xfId="10746"/>
    <cellStyle name="Normal 58 6 2" xfId="10747"/>
    <cellStyle name="Normal 58 6 2 2" xfId="20608"/>
    <cellStyle name="Normal 58 6 2 2 2" xfId="31795"/>
    <cellStyle name="Normal 58 6 2 3" xfId="31796"/>
    <cellStyle name="Normal 58 6 3" xfId="20609"/>
    <cellStyle name="Normal 58 6 3 2" xfId="31797"/>
    <cellStyle name="Normal 58 6 4" xfId="31798"/>
    <cellStyle name="Normal 58 7" xfId="10748"/>
    <cellStyle name="Normal 58 7 2" xfId="10749"/>
    <cellStyle name="Normal 58 7 2 2" xfId="20610"/>
    <cellStyle name="Normal 58 7 2 2 2" xfId="31799"/>
    <cellStyle name="Normal 58 7 2 3" xfId="31800"/>
    <cellStyle name="Normal 58 7 3" xfId="20611"/>
    <cellStyle name="Normal 58 7 3 2" xfId="31801"/>
    <cellStyle name="Normal 58 7 4" xfId="31802"/>
    <cellStyle name="Normal 59" xfId="10750"/>
    <cellStyle name="Normal 59 2" xfId="10751"/>
    <cellStyle name="Normal 59 2 2" xfId="10752"/>
    <cellStyle name="Normal 59 2 2 2" xfId="20612"/>
    <cellStyle name="Normal 59 2 2 2 2" xfId="31803"/>
    <cellStyle name="Normal 59 2 2 3" xfId="31804"/>
    <cellStyle name="Normal 59 2 3" xfId="20613"/>
    <cellStyle name="Normal 59 2 3 2" xfId="31805"/>
    <cellStyle name="Normal 59 2 4" xfId="31806"/>
    <cellStyle name="Normal 59 3" xfId="10753"/>
    <cellStyle name="Normal 59 3 2" xfId="10754"/>
    <cellStyle name="Normal 59 3 2 2" xfId="20614"/>
    <cellStyle name="Normal 59 3 2 2 2" xfId="31807"/>
    <cellStyle name="Normal 59 3 2 3" xfId="31808"/>
    <cellStyle name="Normal 59 3 3" xfId="20615"/>
    <cellStyle name="Normal 59 3 3 2" xfId="31809"/>
    <cellStyle name="Normal 59 3 4" xfId="31810"/>
    <cellStyle name="Normal 59 4" xfId="10755"/>
    <cellStyle name="Normal 59 4 2" xfId="10756"/>
    <cellStyle name="Normal 59 4 2 2" xfId="20616"/>
    <cellStyle name="Normal 59 4 2 2 2" xfId="31811"/>
    <cellStyle name="Normal 59 4 2 3" xfId="31812"/>
    <cellStyle name="Normal 59 4 3" xfId="20617"/>
    <cellStyle name="Normal 59 4 3 2" xfId="31813"/>
    <cellStyle name="Normal 59 4 4" xfId="31814"/>
    <cellStyle name="Normal 59 5" xfId="10757"/>
    <cellStyle name="Normal 59 5 2" xfId="10758"/>
    <cellStyle name="Normal 59 5 2 2" xfId="20618"/>
    <cellStyle name="Normal 59 5 2 2 2" xfId="31815"/>
    <cellStyle name="Normal 59 5 2 3" xfId="31816"/>
    <cellStyle name="Normal 59 5 3" xfId="20619"/>
    <cellStyle name="Normal 59 5 3 2" xfId="31817"/>
    <cellStyle name="Normal 59 5 4" xfId="31818"/>
    <cellStyle name="Normal 59 6" xfId="10759"/>
    <cellStyle name="Normal 59 6 2" xfId="10760"/>
    <cellStyle name="Normal 59 6 2 2" xfId="20620"/>
    <cellStyle name="Normal 59 6 2 2 2" xfId="31819"/>
    <cellStyle name="Normal 59 6 2 3" xfId="31820"/>
    <cellStyle name="Normal 59 6 3" xfId="20621"/>
    <cellStyle name="Normal 59 6 3 2" xfId="31821"/>
    <cellStyle name="Normal 59 6 4" xfId="31822"/>
    <cellStyle name="Normal 59 7" xfId="10761"/>
    <cellStyle name="Normal 59 7 2" xfId="10762"/>
    <cellStyle name="Normal 59 7 2 2" xfId="20622"/>
    <cellStyle name="Normal 59 7 2 2 2" xfId="31823"/>
    <cellStyle name="Normal 59 7 2 3" xfId="31824"/>
    <cellStyle name="Normal 59 7 3" xfId="20623"/>
    <cellStyle name="Normal 59 7 3 2" xfId="31825"/>
    <cellStyle name="Normal 59 7 4" xfId="31826"/>
    <cellStyle name="Normal 6" xfId="60"/>
    <cellStyle name="Normal 6 10" xfId="10763"/>
    <cellStyle name="Normal 6 10 2" xfId="10764"/>
    <cellStyle name="Normal 6 11" xfId="10765"/>
    <cellStyle name="Normal 6 11 2" xfId="10766"/>
    <cellStyle name="Normal 6 12" xfId="10767"/>
    <cellStyle name="Normal 6 12 2" xfId="10768"/>
    <cellStyle name="Normal 6 12 2 2" xfId="31827"/>
    <cellStyle name="Normal 6 12 3" xfId="10769"/>
    <cellStyle name="Normal 6 12 3 2" xfId="20624"/>
    <cellStyle name="Normal 6 12 3 2 2" xfId="31828"/>
    <cellStyle name="Normal 6 12 3 3" xfId="31829"/>
    <cellStyle name="Normal 6 12 4" xfId="20625"/>
    <cellStyle name="Normal 6 12 4 2" xfId="31830"/>
    <cellStyle name="Normal 6 12 5" xfId="31831"/>
    <cellStyle name="Normal 6 13" xfId="10770"/>
    <cellStyle name="Normal 6 13 2" xfId="10771"/>
    <cellStyle name="Normal 6 13 3" xfId="10772"/>
    <cellStyle name="Normal 6 13 3 2" xfId="20626"/>
    <cellStyle name="Normal 6 13 3 2 2" xfId="31832"/>
    <cellStyle name="Normal 6 13 3 3" xfId="31833"/>
    <cellStyle name="Normal 6 13 4" xfId="20627"/>
    <cellStyle name="Normal 6 13 4 2" xfId="31834"/>
    <cellStyle name="Normal 6 13 5" xfId="31835"/>
    <cellStyle name="Normal 6 14" xfId="20628"/>
    <cellStyle name="Normal 6 14 2" xfId="31836"/>
    <cellStyle name="Normal 6 2" xfId="10773"/>
    <cellStyle name="Normal 6 2 10" xfId="10774"/>
    <cellStyle name="Normal 6 2 10 2" xfId="10775"/>
    <cellStyle name="Normal 6 2 10 3" xfId="10776"/>
    <cellStyle name="Normal 6 2 10 3 2" xfId="20629"/>
    <cellStyle name="Normal 6 2 10 3 2 2" xfId="31837"/>
    <cellStyle name="Normal 6 2 10 3 3" xfId="31838"/>
    <cellStyle name="Normal 6 2 10 4" xfId="20630"/>
    <cellStyle name="Normal 6 2 10 4 2" xfId="31839"/>
    <cellStyle name="Normal 6 2 10 5" xfId="31840"/>
    <cellStyle name="Normal 6 2 11" xfId="10777"/>
    <cellStyle name="Normal 6 2 11 2" xfId="20631"/>
    <cellStyle name="Normal 6 2 11 2 2" xfId="31841"/>
    <cellStyle name="Normal 6 2 11 3" xfId="31842"/>
    <cellStyle name="Normal 6 2 12" xfId="20632"/>
    <cellStyle name="Normal 6 2 12 2" xfId="31843"/>
    <cellStyle name="Normal 6 2 13" xfId="31844"/>
    <cellStyle name="Normal 6 2 2" xfId="10778"/>
    <cellStyle name="Normal 6 2 2 10" xfId="10779"/>
    <cellStyle name="Normal 6 2 2 2" xfId="10780"/>
    <cellStyle name="Normal 6 2 2 2 2" xfId="10781"/>
    <cellStyle name="Normal 6 2 2 2 2 2" xfId="10782"/>
    <cellStyle name="Normal 6 2 2 2 2 2 2" xfId="10783"/>
    <cellStyle name="Normal 6 2 2 2 2 2 3" xfId="10784"/>
    <cellStyle name="Normal 6 2 2 2 2 2 3 2" xfId="20633"/>
    <cellStyle name="Normal 6 2 2 2 2 2 3 2 2" xfId="31845"/>
    <cellStyle name="Normal 6 2 2 2 2 2 3 3" xfId="31846"/>
    <cellStyle name="Normal 6 2 2 2 2 2 4" xfId="20634"/>
    <cellStyle name="Normal 6 2 2 2 2 2 4 2" xfId="31847"/>
    <cellStyle name="Normal 6 2 2 2 2 2 5" xfId="31848"/>
    <cellStyle name="Normal 6 2 2 2 2 3" xfId="10785"/>
    <cellStyle name="Normal 6 2 2 2 2 4" xfId="10786"/>
    <cellStyle name="Normal 6 2 2 2 2 4 2" xfId="20635"/>
    <cellStyle name="Normal 6 2 2 2 2 4 2 2" xfId="31849"/>
    <cellStyle name="Normal 6 2 2 2 2 4 3" xfId="31850"/>
    <cellStyle name="Normal 6 2 2 2 2 5" xfId="20636"/>
    <cellStyle name="Normal 6 2 2 2 2 5 2" xfId="31851"/>
    <cellStyle name="Normal 6 2 2 2 2 6" xfId="31852"/>
    <cellStyle name="Normal 6 2 2 2 3" xfId="10787"/>
    <cellStyle name="Normal 6 2 2 2 3 2" xfId="10788"/>
    <cellStyle name="Normal 6 2 2 2 3 3" xfId="10789"/>
    <cellStyle name="Normal 6 2 2 2 3 3 2" xfId="20637"/>
    <cellStyle name="Normal 6 2 2 2 3 3 2 2" xfId="31853"/>
    <cellStyle name="Normal 6 2 2 2 3 3 3" xfId="31854"/>
    <cellStyle name="Normal 6 2 2 2 3 4" xfId="20638"/>
    <cellStyle name="Normal 6 2 2 2 3 4 2" xfId="31855"/>
    <cellStyle name="Normal 6 2 2 2 3 5" xfId="31856"/>
    <cellStyle name="Normal 6 2 2 2 4" xfId="10790"/>
    <cellStyle name="Normal 6 2 2 2 5" xfId="10791"/>
    <cellStyle name="Normal 6 2 2 2 5 2" xfId="20639"/>
    <cellStyle name="Normal 6 2 2 2 5 2 2" xfId="31857"/>
    <cellStyle name="Normal 6 2 2 2 5 3" xfId="31858"/>
    <cellStyle name="Normal 6 2 2 2 6" xfId="20640"/>
    <cellStyle name="Normal 6 2 2 2 6 2" xfId="31859"/>
    <cellStyle name="Normal 6 2 2 2 7" xfId="31860"/>
    <cellStyle name="Normal 6 2 2 3" xfId="10792"/>
    <cellStyle name="Normal 6 2 2 3 2" xfId="10793"/>
    <cellStyle name="Normal 6 2 2 3 2 2" xfId="10794"/>
    <cellStyle name="Normal 6 2 2 3 2 3" xfId="10795"/>
    <cellStyle name="Normal 6 2 2 3 2 3 2" xfId="20641"/>
    <cellStyle name="Normal 6 2 2 3 2 3 2 2" xfId="31861"/>
    <cellStyle name="Normal 6 2 2 3 2 3 3" xfId="31862"/>
    <cellStyle name="Normal 6 2 2 3 2 4" xfId="20642"/>
    <cellStyle name="Normal 6 2 2 3 2 4 2" xfId="31863"/>
    <cellStyle name="Normal 6 2 2 3 2 5" xfId="31864"/>
    <cellStyle name="Normal 6 2 2 3 3" xfId="10796"/>
    <cellStyle name="Normal 6 2 2 3 4" xfId="10797"/>
    <cellStyle name="Normal 6 2 2 3 4 2" xfId="20643"/>
    <cellStyle name="Normal 6 2 2 3 4 2 2" xfId="31865"/>
    <cellStyle name="Normal 6 2 2 3 4 3" xfId="31866"/>
    <cellStyle name="Normal 6 2 2 3 5" xfId="20644"/>
    <cellStyle name="Normal 6 2 2 3 5 2" xfId="31867"/>
    <cellStyle name="Normal 6 2 2 3 6" xfId="31868"/>
    <cellStyle name="Normal 6 2 2 4" xfId="10798"/>
    <cellStyle name="Normal 6 2 2 4 2" xfId="10799"/>
    <cellStyle name="Normal 6 2 2 4 2 2" xfId="10800"/>
    <cellStyle name="Normal 6 2 2 4 2 3" xfId="10801"/>
    <cellStyle name="Normal 6 2 2 4 2 3 2" xfId="20645"/>
    <cellStyle name="Normal 6 2 2 4 2 3 2 2" xfId="31869"/>
    <cellStyle name="Normal 6 2 2 4 2 3 3" xfId="31870"/>
    <cellStyle name="Normal 6 2 2 4 2 4" xfId="20646"/>
    <cellStyle name="Normal 6 2 2 4 2 4 2" xfId="31871"/>
    <cellStyle name="Normal 6 2 2 4 2 5" xfId="31872"/>
    <cellStyle name="Normal 6 2 2 4 3" xfId="10802"/>
    <cellStyle name="Normal 6 2 2 4 4" xfId="10803"/>
    <cellStyle name="Normal 6 2 2 4 4 2" xfId="20647"/>
    <cellStyle name="Normal 6 2 2 4 4 2 2" xfId="31873"/>
    <cellStyle name="Normal 6 2 2 4 4 3" xfId="31874"/>
    <cellStyle name="Normal 6 2 2 4 5" xfId="20648"/>
    <cellStyle name="Normal 6 2 2 4 5 2" xfId="31875"/>
    <cellStyle name="Normal 6 2 2 4 6" xfId="31876"/>
    <cellStyle name="Normal 6 2 2 5" xfId="10804"/>
    <cellStyle name="Normal 6 2 2 5 2" xfId="10805"/>
    <cellStyle name="Normal 6 2 2 5 2 2" xfId="10806"/>
    <cellStyle name="Normal 6 2 2 5 2 3" xfId="10807"/>
    <cellStyle name="Normal 6 2 2 5 2 3 2" xfId="20649"/>
    <cellStyle name="Normal 6 2 2 5 2 3 2 2" xfId="31877"/>
    <cellStyle name="Normal 6 2 2 5 2 3 3" xfId="31878"/>
    <cellStyle name="Normal 6 2 2 5 2 4" xfId="20650"/>
    <cellStyle name="Normal 6 2 2 5 2 4 2" xfId="31879"/>
    <cellStyle name="Normal 6 2 2 5 2 5" xfId="31880"/>
    <cellStyle name="Normal 6 2 2 5 3" xfId="10808"/>
    <cellStyle name="Normal 6 2 2 5 4" xfId="10809"/>
    <cellStyle name="Normal 6 2 2 5 4 2" xfId="20651"/>
    <cellStyle name="Normal 6 2 2 5 4 2 2" xfId="31881"/>
    <cellStyle name="Normal 6 2 2 5 4 3" xfId="31882"/>
    <cellStyle name="Normal 6 2 2 5 5" xfId="20652"/>
    <cellStyle name="Normal 6 2 2 5 5 2" xfId="31883"/>
    <cellStyle name="Normal 6 2 2 5 6" xfId="31884"/>
    <cellStyle name="Normal 6 2 2 6" xfId="10810"/>
    <cellStyle name="Normal 6 2 2 6 2" xfId="10811"/>
    <cellStyle name="Normal 6 2 2 6 2 2" xfId="10812"/>
    <cellStyle name="Normal 6 2 2 6 2 3" xfId="10813"/>
    <cellStyle name="Normal 6 2 2 6 2 3 2" xfId="20653"/>
    <cellStyle name="Normal 6 2 2 6 2 3 2 2" xfId="31885"/>
    <cellStyle name="Normal 6 2 2 6 2 3 3" xfId="31886"/>
    <cellStyle name="Normal 6 2 2 6 2 4" xfId="20654"/>
    <cellStyle name="Normal 6 2 2 6 2 4 2" xfId="31887"/>
    <cellStyle name="Normal 6 2 2 6 2 5" xfId="31888"/>
    <cellStyle name="Normal 6 2 2 6 3" xfId="10814"/>
    <cellStyle name="Normal 6 2 2 6 4" xfId="10815"/>
    <cellStyle name="Normal 6 2 2 6 4 2" xfId="20655"/>
    <cellStyle name="Normal 6 2 2 6 4 2 2" xfId="31889"/>
    <cellStyle name="Normal 6 2 2 6 4 3" xfId="31890"/>
    <cellStyle name="Normal 6 2 2 6 5" xfId="20656"/>
    <cellStyle name="Normal 6 2 2 6 5 2" xfId="31891"/>
    <cellStyle name="Normal 6 2 2 6 6" xfId="31892"/>
    <cellStyle name="Normal 6 2 2 7" xfId="10816"/>
    <cellStyle name="Normal 6 2 2 7 2" xfId="10817"/>
    <cellStyle name="Normal 6 2 2 7 2 2" xfId="10818"/>
    <cellStyle name="Normal 6 2 2 7 2 3" xfId="10819"/>
    <cellStyle name="Normal 6 2 2 7 2 3 2" xfId="20657"/>
    <cellStyle name="Normal 6 2 2 7 2 3 2 2" xfId="31893"/>
    <cellStyle name="Normal 6 2 2 7 2 3 3" xfId="31894"/>
    <cellStyle name="Normal 6 2 2 7 2 4" xfId="20658"/>
    <cellStyle name="Normal 6 2 2 7 2 4 2" xfId="31895"/>
    <cellStyle name="Normal 6 2 2 7 2 5" xfId="31896"/>
    <cellStyle name="Normal 6 2 2 7 3" xfId="10820"/>
    <cellStyle name="Normal 6 2 2 7 4" xfId="10821"/>
    <cellStyle name="Normal 6 2 2 7 4 2" xfId="20659"/>
    <cellStyle name="Normal 6 2 2 7 4 2 2" xfId="31897"/>
    <cellStyle name="Normal 6 2 2 7 4 3" xfId="31898"/>
    <cellStyle name="Normal 6 2 2 7 5" xfId="20660"/>
    <cellStyle name="Normal 6 2 2 7 5 2" xfId="31899"/>
    <cellStyle name="Normal 6 2 2 7 6" xfId="31900"/>
    <cellStyle name="Normal 6 2 2 8" xfId="10822"/>
    <cellStyle name="Normal 6 2 2 8 2" xfId="10823"/>
    <cellStyle name="Normal 6 2 2 8 2 2" xfId="10824"/>
    <cellStyle name="Normal 6 2 2 8 2 3" xfId="10825"/>
    <cellStyle name="Normal 6 2 2 8 2 3 2" xfId="20661"/>
    <cellStyle name="Normal 6 2 2 8 2 3 2 2" xfId="31901"/>
    <cellStyle name="Normal 6 2 2 8 2 3 3" xfId="31902"/>
    <cellStyle name="Normal 6 2 2 8 2 4" xfId="20662"/>
    <cellStyle name="Normal 6 2 2 8 2 4 2" xfId="31903"/>
    <cellStyle name="Normal 6 2 2 8 2 5" xfId="31904"/>
    <cellStyle name="Normal 6 2 2 8 3" xfId="10826"/>
    <cellStyle name="Normal 6 2 2 8 4" xfId="10827"/>
    <cellStyle name="Normal 6 2 2 8 4 2" xfId="20663"/>
    <cellStyle name="Normal 6 2 2 8 4 2 2" xfId="31905"/>
    <cellStyle name="Normal 6 2 2 8 4 3" xfId="31906"/>
    <cellStyle name="Normal 6 2 2 8 5" xfId="20664"/>
    <cellStyle name="Normal 6 2 2 8 5 2" xfId="31907"/>
    <cellStyle name="Normal 6 2 2 8 6" xfId="31908"/>
    <cellStyle name="Normal 6 2 2 9" xfId="10828"/>
    <cellStyle name="Normal 6 2 2 9 2" xfId="10829"/>
    <cellStyle name="Normal 6 2 2 9 2 2" xfId="10830"/>
    <cellStyle name="Normal 6 2 2 9 2 3" xfId="10831"/>
    <cellStyle name="Normal 6 2 2 9 2 3 2" xfId="20665"/>
    <cellStyle name="Normal 6 2 2 9 2 3 2 2" xfId="31909"/>
    <cellStyle name="Normal 6 2 2 9 2 3 3" xfId="31910"/>
    <cellStyle name="Normal 6 2 2 9 2 4" xfId="20666"/>
    <cellStyle name="Normal 6 2 2 9 2 4 2" xfId="31911"/>
    <cellStyle name="Normal 6 2 2 9 2 5" xfId="31912"/>
    <cellStyle name="Normal 6 2 2 9 3" xfId="10832"/>
    <cellStyle name="Normal 6 2 2 9 4" xfId="10833"/>
    <cellStyle name="Normal 6 2 2 9 4 2" xfId="20667"/>
    <cellStyle name="Normal 6 2 2 9 4 2 2" xfId="31913"/>
    <cellStyle name="Normal 6 2 2 9 4 3" xfId="31914"/>
    <cellStyle name="Normal 6 2 2 9 5" xfId="20668"/>
    <cellStyle name="Normal 6 2 2 9 5 2" xfId="31915"/>
    <cellStyle name="Normal 6 2 2 9 6" xfId="31916"/>
    <cellStyle name="Normal 6 2 3" xfId="10834"/>
    <cellStyle name="Normal 6 2 3 2" xfId="10835"/>
    <cellStyle name="Normal 6 2 4" xfId="10836"/>
    <cellStyle name="Normal 6 2 4 2" xfId="10837"/>
    <cellStyle name="Normal 6 2 4 3" xfId="10838"/>
    <cellStyle name="Normal 6 2 4 3 2" xfId="20669"/>
    <cellStyle name="Normal 6 2 4 3 2 2" xfId="31917"/>
    <cellStyle name="Normal 6 2 4 3 3" xfId="31918"/>
    <cellStyle name="Normal 6 2 4 4" xfId="20670"/>
    <cellStyle name="Normal 6 2 4 4 2" xfId="31919"/>
    <cellStyle name="Normal 6 2 4 5" xfId="31920"/>
    <cellStyle name="Normal 6 2 5" xfId="10839"/>
    <cellStyle name="Normal 6 2 6" xfId="10840"/>
    <cellStyle name="Normal 6 2 7" xfId="10841"/>
    <cellStyle name="Normal 6 2 8" xfId="10842"/>
    <cellStyle name="Normal 6 2 9" xfId="10843"/>
    <cellStyle name="Normal 6 3" xfId="10844"/>
    <cellStyle name="Normal 6 3 2" xfId="10845"/>
    <cellStyle name="Normal 6 3 2 2" xfId="10846"/>
    <cellStyle name="Normal 6 3 2 2 2" xfId="10847"/>
    <cellStyle name="Normal 6 3 2 2 3" xfId="31921"/>
    <cellStyle name="Normal 6 3 2 3" xfId="10848"/>
    <cellStyle name="Normal 6 3 2 4" xfId="10849"/>
    <cellStyle name="Normal 6 3 2 4 2" xfId="20671"/>
    <cellStyle name="Normal 6 3 2 4 2 2" xfId="31922"/>
    <cellStyle name="Normal 6 3 2 4 3" xfId="31923"/>
    <cellStyle name="Normal 6 3 2 5" xfId="20672"/>
    <cellStyle name="Normal 6 3 2 5 2" xfId="31924"/>
    <cellStyle name="Normal 6 3 2 6" xfId="31925"/>
    <cellStyle name="Normal 6 3 3" xfId="10850"/>
    <cellStyle name="Normal 6 3 3 2" xfId="10851"/>
    <cellStyle name="Normal 6 3 4" xfId="10852"/>
    <cellStyle name="Normal 6 3 5" xfId="20673"/>
    <cellStyle name="Normal 6 3 5 2" xfId="31926"/>
    <cellStyle name="Normal 6 4" xfId="10853"/>
    <cellStyle name="Normal 6 4 2" xfId="10854"/>
    <cellStyle name="Normal 6 4 3" xfId="20674"/>
    <cellStyle name="Normal 6 4 3 2" xfId="31927"/>
    <cellStyle name="Normal 6 5" xfId="10855"/>
    <cellStyle name="Normal 6 5 2" xfId="10856"/>
    <cellStyle name="Normal 6 5 3" xfId="20675"/>
    <cellStyle name="Normal 6 5 3 2" xfId="31928"/>
    <cellStyle name="Normal 6 6" xfId="10857"/>
    <cellStyle name="Normal 6 6 2" xfId="10858"/>
    <cellStyle name="Normal 6 7" xfId="10859"/>
    <cellStyle name="Normal 6 7 2" xfId="10860"/>
    <cellStyle name="Normal 6 8" xfId="10861"/>
    <cellStyle name="Normal 6 8 2" xfId="10862"/>
    <cellStyle name="Normal 6 9" xfId="10863"/>
    <cellStyle name="Normal 6 9 2" xfId="10864"/>
    <cellStyle name="Normal 60" xfId="10865"/>
    <cellStyle name="Normal 60 2" xfId="10866"/>
    <cellStyle name="Normal 60 2 2" xfId="10867"/>
    <cellStyle name="Normal 60 2 2 2" xfId="20676"/>
    <cellStyle name="Normal 60 2 2 2 2" xfId="31929"/>
    <cellStyle name="Normal 60 2 2 3" xfId="31930"/>
    <cellStyle name="Normal 60 2 3" xfId="20677"/>
    <cellStyle name="Normal 60 2 3 2" xfId="31931"/>
    <cellStyle name="Normal 60 2 4" xfId="31932"/>
    <cellStyle name="Normal 60 3" xfId="10868"/>
    <cellStyle name="Normal 60 3 2" xfId="10869"/>
    <cellStyle name="Normal 60 3 2 2" xfId="20678"/>
    <cellStyle name="Normal 60 3 2 2 2" xfId="31933"/>
    <cellStyle name="Normal 60 3 2 3" xfId="31934"/>
    <cellStyle name="Normal 60 3 3" xfId="20679"/>
    <cellStyle name="Normal 60 3 3 2" xfId="31935"/>
    <cellStyle name="Normal 60 3 4" xfId="31936"/>
    <cellStyle name="Normal 60 4" xfId="10870"/>
    <cellStyle name="Normal 60 4 2" xfId="10871"/>
    <cellStyle name="Normal 60 4 2 2" xfId="20680"/>
    <cellStyle name="Normal 60 4 2 2 2" xfId="31937"/>
    <cellStyle name="Normal 60 4 2 3" xfId="31938"/>
    <cellStyle name="Normal 60 4 3" xfId="20681"/>
    <cellStyle name="Normal 60 4 3 2" xfId="31939"/>
    <cellStyle name="Normal 60 4 4" xfId="31940"/>
    <cellStyle name="Normal 60 5" xfId="10872"/>
    <cellStyle name="Normal 60 5 2" xfId="10873"/>
    <cellStyle name="Normal 60 5 2 2" xfId="20682"/>
    <cellStyle name="Normal 60 5 2 2 2" xfId="31941"/>
    <cellStyle name="Normal 60 5 2 3" xfId="31942"/>
    <cellStyle name="Normal 60 5 3" xfId="20683"/>
    <cellStyle name="Normal 60 5 3 2" xfId="31943"/>
    <cellStyle name="Normal 60 5 4" xfId="31944"/>
    <cellStyle name="Normal 60 6" xfId="10874"/>
    <cellStyle name="Normal 60 6 2" xfId="10875"/>
    <cellStyle name="Normal 60 6 2 2" xfId="20684"/>
    <cellStyle name="Normal 60 6 2 2 2" xfId="31945"/>
    <cellStyle name="Normal 60 6 2 3" xfId="31946"/>
    <cellStyle name="Normal 60 6 3" xfId="20685"/>
    <cellStyle name="Normal 60 6 3 2" xfId="31947"/>
    <cellStyle name="Normal 60 6 4" xfId="31948"/>
    <cellStyle name="Normal 60 7" xfId="10876"/>
    <cellStyle name="Normal 60 7 2" xfId="10877"/>
    <cellStyle name="Normal 60 7 2 2" xfId="20686"/>
    <cellStyle name="Normal 60 7 2 2 2" xfId="31949"/>
    <cellStyle name="Normal 60 7 2 3" xfId="31950"/>
    <cellStyle name="Normal 60 7 3" xfId="20687"/>
    <cellStyle name="Normal 60 7 3 2" xfId="31951"/>
    <cellStyle name="Normal 60 7 4" xfId="31952"/>
    <cellStyle name="Normal 61" xfId="10878"/>
    <cellStyle name="Normal 61 2" xfId="10879"/>
    <cellStyle name="Normal 61 2 2" xfId="10880"/>
    <cellStyle name="Normal 61 2 2 2" xfId="20688"/>
    <cellStyle name="Normal 61 2 2 2 2" xfId="31953"/>
    <cellStyle name="Normal 61 2 2 3" xfId="31954"/>
    <cellStyle name="Normal 61 2 3" xfId="20689"/>
    <cellStyle name="Normal 61 2 3 2" xfId="31955"/>
    <cellStyle name="Normal 61 2 4" xfId="31956"/>
    <cellStyle name="Normal 61 3" xfId="10881"/>
    <cellStyle name="Normal 61 3 2" xfId="10882"/>
    <cellStyle name="Normal 61 3 2 2" xfId="20690"/>
    <cellStyle name="Normal 61 3 2 2 2" xfId="31957"/>
    <cellStyle name="Normal 61 3 2 3" xfId="31958"/>
    <cellStyle name="Normal 61 3 3" xfId="20691"/>
    <cellStyle name="Normal 61 3 3 2" xfId="31959"/>
    <cellStyle name="Normal 61 3 4" xfId="31960"/>
    <cellStyle name="Normal 61 4" xfId="10883"/>
    <cellStyle name="Normal 61 4 2" xfId="10884"/>
    <cellStyle name="Normal 61 4 2 2" xfId="20692"/>
    <cellStyle name="Normal 61 4 2 2 2" xfId="31961"/>
    <cellStyle name="Normal 61 4 2 3" xfId="31962"/>
    <cellStyle name="Normal 61 4 3" xfId="20693"/>
    <cellStyle name="Normal 61 4 3 2" xfId="31963"/>
    <cellStyle name="Normal 61 4 4" xfId="31964"/>
    <cellStyle name="Normal 61 5" xfId="10885"/>
    <cellStyle name="Normal 61 5 2" xfId="10886"/>
    <cellStyle name="Normal 61 5 2 2" xfId="20694"/>
    <cellStyle name="Normal 61 5 2 2 2" xfId="31965"/>
    <cellStyle name="Normal 61 5 2 3" xfId="31966"/>
    <cellStyle name="Normal 61 5 3" xfId="20695"/>
    <cellStyle name="Normal 61 5 3 2" xfId="31967"/>
    <cellStyle name="Normal 61 5 4" xfId="31968"/>
    <cellStyle name="Normal 61 6" xfId="10887"/>
    <cellStyle name="Normal 61 6 2" xfId="10888"/>
    <cellStyle name="Normal 61 6 2 2" xfId="20696"/>
    <cellStyle name="Normal 61 6 2 2 2" xfId="31969"/>
    <cellStyle name="Normal 61 6 2 3" xfId="31970"/>
    <cellStyle name="Normal 61 6 3" xfId="20697"/>
    <cellStyle name="Normal 61 6 3 2" xfId="31971"/>
    <cellStyle name="Normal 61 6 4" xfId="31972"/>
    <cellStyle name="Normal 61 7" xfId="10889"/>
    <cellStyle name="Normal 61 7 2" xfId="10890"/>
    <cellStyle name="Normal 61 7 2 2" xfId="20698"/>
    <cellStyle name="Normal 61 7 2 2 2" xfId="31973"/>
    <cellStyle name="Normal 61 7 2 3" xfId="31974"/>
    <cellStyle name="Normal 61 7 3" xfId="20699"/>
    <cellStyle name="Normal 61 7 3 2" xfId="31975"/>
    <cellStyle name="Normal 61 7 4" xfId="31976"/>
    <cellStyle name="Normal 62" xfId="10891"/>
    <cellStyle name="Normal 62 2" xfId="10892"/>
    <cellStyle name="Normal 62 2 2" xfId="10893"/>
    <cellStyle name="Normal 62 2 2 2" xfId="20700"/>
    <cellStyle name="Normal 62 2 2 2 2" xfId="31977"/>
    <cellStyle name="Normal 62 2 2 3" xfId="31978"/>
    <cellStyle name="Normal 62 2 3" xfId="20701"/>
    <cellStyle name="Normal 62 2 3 2" xfId="31979"/>
    <cellStyle name="Normal 62 2 4" xfId="31980"/>
    <cellStyle name="Normal 62 3" xfId="10894"/>
    <cellStyle name="Normal 62 3 2" xfId="10895"/>
    <cellStyle name="Normal 62 3 2 2" xfId="20702"/>
    <cellStyle name="Normal 62 3 2 2 2" xfId="31981"/>
    <cellStyle name="Normal 62 3 2 3" xfId="31982"/>
    <cellStyle name="Normal 62 3 3" xfId="20703"/>
    <cellStyle name="Normal 62 3 3 2" xfId="31983"/>
    <cellStyle name="Normal 62 3 4" xfId="31984"/>
    <cellStyle name="Normal 62 4" xfId="10896"/>
    <cellStyle name="Normal 62 4 2" xfId="10897"/>
    <cellStyle name="Normal 62 4 2 2" xfId="20704"/>
    <cellStyle name="Normal 62 4 2 2 2" xfId="31985"/>
    <cellStyle name="Normal 62 4 2 3" xfId="31986"/>
    <cellStyle name="Normal 62 4 3" xfId="20705"/>
    <cellStyle name="Normal 62 4 3 2" xfId="31987"/>
    <cellStyle name="Normal 62 4 4" xfId="31988"/>
    <cellStyle name="Normal 62 5" xfId="10898"/>
    <cellStyle name="Normal 62 5 2" xfId="10899"/>
    <cellStyle name="Normal 62 5 2 2" xfId="20706"/>
    <cellStyle name="Normal 62 5 2 2 2" xfId="31989"/>
    <cellStyle name="Normal 62 5 2 3" xfId="31990"/>
    <cellStyle name="Normal 62 5 3" xfId="20707"/>
    <cellStyle name="Normal 62 5 3 2" xfId="31991"/>
    <cellStyle name="Normal 62 5 4" xfId="31992"/>
    <cellStyle name="Normal 62 6" xfId="10900"/>
    <cellStyle name="Normal 62 6 2" xfId="10901"/>
    <cellStyle name="Normal 62 6 2 2" xfId="20708"/>
    <cellStyle name="Normal 62 6 2 2 2" xfId="31993"/>
    <cellStyle name="Normal 62 6 2 3" xfId="31994"/>
    <cellStyle name="Normal 62 6 3" xfId="20709"/>
    <cellStyle name="Normal 62 6 3 2" xfId="31995"/>
    <cellStyle name="Normal 62 6 4" xfId="31996"/>
    <cellStyle name="Normal 62 7" xfId="10902"/>
    <cellStyle name="Normal 62 7 2" xfId="10903"/>
    <cellStyle name="Normal 62 7 2 2" xfId="20710"/>
    <cellStyle name="Normal 62 7 2 2 2" xfId="31997"/>
    <cellStyle name="Normal 62 7 2 3" xfId="31998"/>
    <cellStyle name="Normal 62 7 3" xfId="20711"/>
    <cellStyle name="Normal 62 7 3 2" xfId="31999"/>
    <cellStyle name="Normal 62 7 4" xfId="32000"/>
    <cellStyle name="Normal 63" xfId="10904"/>
    <cellStyle name="Normal 63 2" xfId="10905"/>
    <cellStyle name="Normal 64" xfId="10906"/>
    <cellStyle name="Normal 64 2" xfId="10907"/>
    <cellStyle name="Normal 65" xfId="10908"/>
    <cellStyle name="Normal 65 2" xfId="10909"/>
    <cellStyle name="Normal 65 2 2" xfId="10910"/>
    <cellStyle name="Normal 65 2 2 2" xfId="20712"/>
    <cellStyle name="Normal 65 2 2 2 2" xfId="32001"/>
    <cellStyle name="Normal 65 2 2 3" xfId="32002"/>
    <cellStyle name="Normal 65 2 3" xfId="20713"/>
    <cellStyle name="Normal 65 2 3 2" xfId="32003"/>
    <cellStyle name="Normal 65 2 4" xfId="32004"/>
    <cellStyle name="Normal 65 3" xfId="10911"/>
    <cellStyle name="Normal 65 3 2" xfId="10912"/>
    <cellStyle name="Normal 65 3 2 2" xfId="20714"/>
    <cellStyle name="Normal 65 3 2 2 2" xfId="32005"/>
    <cellStyle name="Normal 65 3 2 3" xfId="32006"/>
    <cellStyle name="Normal 65 3 3" xfId="20715"/>
    <cellStyle name="Normal 65 3 3 2" xfId="32007"/>
    <cellStyle name="Normal 65 3 4" xfId="32008"/>
    <cellStyle name="Normal 65 4" xfId="10913"/>
    <cellStyle name="Normal 65 4 2" xfId="10914"/>
    <cellStyle name="Normal 65 4 2 2" xfId="20716"/>
    <cellStyle name="Normal 65 4 2 2 2" xfId="32009"/>
    <cellStyle name="Normal 65 4 2 3" xfId="32010"/>
    <cellStyle name="Normal 65 4 3" xfId="20717"/>
    <cellStyle name="Normal 65 4 3 2" xfId="32011"/>
    <cellStyle name="Normal 65 4 4" xfId="32012"/>
    <cellStyle name="Normal 66" xfId="10915"/>
    <cellStyle name="Normal 66 2" xfId="10916"/>
    <cellStyle name="Normal 66 2 2" xfId="10917"/>
    <cellStyle name="Normal 66 2 3" xfId="10918"/>
    <cellStyle name="Normal 66 2 3 2" xfId="20718"/>
    <cellStyle name="Normal 66 2 3 2 2" xfId="32013"/>
    <cellStyle name="Normal 66 2 3 3" xfId="32014"/>
    <cellStyle name="Normal 66 2 4" xfId="20719"/>
    <cellStyle name="Normal 66 2 4 2" xfId="32015"/>
    <cellStyle name="Normal 66 2 5" xfId="32016"/>
    <cellStyle name="Normal 66 3" xfId="10919"/>
    <cellStyle name="Normal 66 3 2" xfId="10920"/>
    <cellStyle name="Normal 66 3 2 2" xfId="20720"/>
    <cellStyle name="Normal 66 3 2 2 2" xfId="32017"/>
    <cellStyle name="Normal 66 3 2 3" xfId="32018"/>
    <cellStyle name="Normal 66 3 3" xfId="20721"/>
    <cellStyle name="Normal 66 3 3 2" xfId="32019"/>
    <cellStyle name="Normal 66 3 4" xfId="32020"/>
    <cellStyle name="Normal 66 4" xfId="10921"/>
    <cellStyle name="Normal 66 4 2" xfId="10922"/>
    <cellStyle name="Normal 66 4 2 2" xfId="20722"/>
    <cellStyle name="Normal 66 4 2 2 2" xfId="32021"/>
    <cellStyle name="Normal 66 4 2 3" xfId="32022"/>
    <cellStyle name="Normal 66 4 3" xfId="20723"/>
    <cellStyle name="Normal 66 4 3 2" xfId="32023"/>
    <cellStyle name="Normal 66 4 4" xfId="32024"/>
    <cellStyle name="Normal 67" xfId="10923"/>
    <cellStyle name="Normal 67 2" xfId="10924"/>
    <cellStyle name="Normal 67 2 2" xfId="10925"/>
    <cellStyle name="Normal 67 2 3" xfId="10926"/>
    <cellStyle name="Normal 67 2 3 2" xfId="20724"/>
    <cellStyle name="Normal 67 2 3 2 2" xfId="32025"/>
    <cellStyle name="Normal 67 2 3 3" xfId="32026"/>
    <cellStyle name="Normal 67 2 4" xfId="20725"/>
    <cellStyle name="Normal 67 2 4 2" xfId="32027"/>
    <cellStyle name="Normal 67 2 5" xfId="32028"/>
    <cellStyle name="Normal 67 3" xfId="10927"/>
    <cellStyle name="Normal 67 3 2" xfId="10928"/>
    <cellStyle name="Normal 67 3 2 2" xfId="20726"/>
    <cellStyle name="Normal 67 3 2 2 2" xfId="32029"/>
    <cellStyle name="Normal 67 3 2 3" xfId="32030"/>
    <cellStyle name="Normal 67 3 3" xfId="20727"/>
    <cellStyle name="Normal 67 3 3 2" xfId="32031"/>
    <cellStyle name="Normal 67 3 4" xfId="32032"/>
    <cellStyle name="Normal 67 4" xfId="10929"/>
    <cellStyle name="Normal 67 4 2" xfId="10930"/>
    <cellStyle name="Normal 67 4 2 2" xfId="20728"/>
    <cellStyle name="Normal 67 4 2 2 2" xfId="32033"/>
    <cellStyle name="Normal 67 4 2 3" xfId="32034"/>
    <cellStyle name="Normal 67 4 3" xfId="20729"/>
    <cellStyle name="Normal 67 4 3 2" xfId="32035"/>
    <cellStyle name="Normal 67 4 4" xfId="32036"/>
    <cellStyle name="Normal 68" xfId="10931"/>
    <cellStyle name="Normal 68 2" xfId="10932"/>
    <cellStyle name="Normal 68 2 2" xfId="10933"/>
    <cellStyle name="Normal 68 2 2 2" xfId="20730"/>
    <cellStyle name="Normal 68 2 2 2 2" xfId="32037"/>
    <cellStyle name="Normal 68 2 2 3" xfId="32038"/>
    <cellStyle name="Normal 68 2 3" xfId="20731"/>
    <cellStyle name="Normal 68 2 3 2" xfId="32039"/>
    <cellStyle name="Normal 68 2 4" xfId="32040"/>
    <cellStyle name="Normal 68 3" xfId="10934"/>
    <cellStyle name="Normal 68 3 2" xfId="10935"/>
    <cellStyle name="Normal 68 3 2 2" xfId="20732"/>
    <cellStyle name="Normal 68 3 2 2 2" xfId="32041"/>
    <cellStyle name="Normal 68 3 2 3" xfId="32042"/>
    <cellStyle name="Normal 68 3 3" xfId="20733"/>
    <cellStyle name="Normal 68 3 3 2" xfId="32043"/>
    <cellStyle name="Normal 68 3 4" xfId="32044"/>
    <cellStyle name="Normal 68 4" xfId="10936"/>
    <cellStyle name="Normal 68 4 2" xfId="10937"/>
    <cellStyle name="Normal 68 4 2 2" xfId="20734"/>
    <cellStyle name="Normal 68 4 2 2 2" xfId="32045"/>
    <cellStyle name="Normal 68 4 2 3" xfId="32046"/>
    <cellStyle name="Normal 68 4 3" xfId="20735"/>
    <cellStyle name="Normal 68 4 3 2" xfId="32047"/>
    <cellStyle name="Normal 68 4 4" xfId="32048"/>
    <cellStyle name="Normal 69" xfId="10938"/>
    <cellStyle name="Normal 69 2" xfId="10939"/>
    <cellStyle name="Normal 7" xfId="61"/>
    <cellStyle name="Normal 7 10" xfId="10940"/>
    <cellStyle name="Normal 7 10 2" xfId="20736"/>
    <cellStyle name="Normal 7 11" xfId="10941"/>
    <cellStyle name="Normal 7 11 2" xfId="20737"/>
    <cellStyle name="Normal 7 12" xfId="10942"/>
    <cellStyle name="Normal 7 12 2" xfId="20738"/>
    <cellStyle name="Normal 7 13" xfId="10943"/>
    <cellStyle name="Normal 7 13 2" xfId="20739"/>
    <cellStyle name="Normal 7 14" xfId="10944"/>
    <cellStyle name="Normal 7 14 2" xfId="20740"/>
    <cellStyle name="Normal 7 15" xfId="10945"/>
    <cellStyle name="Normal 7 15 2" xfId="20741"/>
    <cellStyle name="Normal 7 16" xfId="10946"/>
    <cellStyle name="Normal 7 16 2" xfId="20742"/>
    <cellStyle name="Normal 7 17" xfId="10947"/>
    <cellStyle name="Normal 7 17 2" xfId="20743"/>
    <cellStyle name="Normal 7 18" xfId="10948"/>
    <cellStyle name="Normal 7 18 2" xfId="20744"/>
    <cellStyle name="Normal 7 19" xfId="10949"/>
    <cellStyle name="Normal 7 19 2" xfId="20745"/>
    <cellStyle name="Normal 7 2" xfId="10950"/>
    <cellStyle name="Normal 7 2 2" xfId="10951"/>
    <cellStyle name="Normal 7 2 2 2" xfId="10952"/>
    <cellStyle name="Normal 7 2 2 2 2" xfId="10953"/>
    <cellStyle name="Normal 7 2 2 2 2 2" xfId="10954"/>
    <cellStyle name="Normal 7 2 2 2 3" xfId="10955"/>
    <cellStyle name="Normal 7 2 2 3" xfId="10956"/>
    <cellStyle name="Normal 7 2 2 3 2" xfId="10957"/>
    <cellStyle name="Normal 7 2 2 4" xfId="10958"/>
    <cellStyle name="Normal 7 2 2 4 2" xfId="10959"/>
    <cellStyle name="Normal 7 2 2 5" xfId="10960"/>
    <cellStyle name="Normal 7 2 2 5 2" xfId="10961"/>
    <cellStyle name="Normal 7 2 2 6" xfId="10962"/>
    <cellStyle name="Normal 7 2 3" xfId="10963"/>
    <cellStyle name="Normal 7 2 3 2" xfId="10964"/>
    <cellStyle name="Normal 7 2 4" xfId="10965"/>
    <cellStyle name="Normal 7 2 4 2" xfId="10966"/>
    <cellStyle name="Normal 7 2 5" xfId="10967"/>
    <cellStyle name="Normal 7 2 5 2" xfId="10968"/>
    <cellStyle name="Normal 7 2 6" xfId="10969"/>
    <cellStyle name="Normal 7 2 6 2" xfId="10970"/>
    <cellStyle name="Normal 7 2 7" xfId="10971"/>
    <cellStyle name="Normal 7 2 7 2" xfId="10972"/>
    <cellStyle name="Normal 7 2 8" xfId="10973"/>
    <cellStyle name="Normal 7 2 9" xfId="10974"/>
    <cellStyle name="Normal 7 20" xfId="10975"/>
    <cellStyle name="Normal 7 20 2" xfId="20746"/>
    <cellStyle name="Normal 7 21" xfId="10976"/>
    <cellStyle name="Normal 7 21 2" xfId="20747"/>
    <cellStyle name="Normal 7 22" xfId="10977"/>
    <cellStyle name="Normal 7 22 2" xfId="20748"/>
    <cellStyle name="Normal 7 23" xfId="10978"/>
    <cellStyle name="Normal 7 23 2" xfId="20749"/>
    <cellStyle name="Normal 7 24" xfId="10979"/>
    <cellStyle name="Normal 7 24 2" xfId="20750"/>
    <cellStyle name="Normal 7 25" xfId="10980"/>
    <cellStyle name="Normal 7 25 2" xfId="20751"/>
    <cellStyle name="Normal 7 26" xfId="10981"/>
    <cellStyle name="Normal 7 26 2" xfId="20752"/>
    <cellStyle name="Normal 7 27" xfId="10982"/>
    <cellStyle name="Normal 7 27 2" xfId="20753"/>
    <cellStyle name="Normal 7 28" xfId="10983"/>
    <cellStyle name="Normal 7 28 2" xfId="20754"/>
    <cellStyle name="Normal 7 29" xfId="10984"/>
    <cellStyle name="Normal 7 29 2" xfId="20755"/>
    <cellStyle name="Normal 7 3" xfId="10985"/>
    <cellStyle name="Normal 7 3 2" xfId="10986"/>
    <cellStyle name="Normal 7 3 2 2" xfId="10987"/>
    <cellStyle name="Normal 7 3 3" xfId="10988"/>
    <cellStyle name="Normal 7 3 4" xfId="10989"/>
    <cellStyle name="Normal 7 30" xfId="10990"/>
    <cellStyle name="Normal 7 30 2" xfId="20756"/>
    <cellStyle name="Normal 7 31" xfId="10991"/>
    <cellStyle name="Normal 7 31 2" xfId="20757"/>
    <cellStyle name="Normal 7 32" xfId="10992"/>
    <cellStyle name="Normal 7 32 2" xfId="20758"/>
    <cellStyle name="Normal 7 33" xfId="10993"/>
    <cellStyle name="Normal 7 33 2" xfId="20759"/>
    <cellStyle name="Normal 7 34" xfId="10994"/>
    <cellStyle name="Normal 7 34 2" xfId="20760"/>
    <cellStyle name="Normal 7 35" xfId="10995"/>
    <cellStyle name="Normal 7 35 2" xfId="20761"/>
    <cellStyle name="Normal 7 36" xfId="10996"/>
    <cellStyle name="Normal 7 36 2" xfId="20762"/>
    <cellStyle name="Normal 7 37" xfId="10997"/>
    <cellStyle name="Normal 7 37 2" xfId="20763"/>
    <cellStyle name="Normal 7 38" xfId="10998"/>
    <cellStyle name="Normal 7 38 2" xfId="20764"/>
    <cellStyle name="Normal 7 39" xfId="10999"/>
    <cellStyle name="Normal 7 39 2" xfId="11000"/>
    <cellStyle name="Normal 7 4" xfId="11001"/>
    <cellStyle name="Normal 7 4 2" xfId="11002"/>
    <cellStyle name="Normal 7 4 2 2" xfId="11003"/>
    <cellStyle name="Normal 7 4 3" xfId="11004"/>
    <cellStyle name="Normal 7 4 4" xfId="20765"/>
    <cellStyle name="Normal 7 4 5" xfId="20766"/>
    <cellStyle name="Normal 7 40" xfId="11005"/>
    <cellStyle name="Normal 7 40 2" xfId="11006"/>
    <cellStyle name="Normal 7 41" xfId="11007"/>
    <cellStyle name="Normal 7 41 2" xfId="20767"/>
    <cellStyle name="Normal 7 42" xfId="11008"/>
    <cellStyle name="Normal 7 42 2" xfId="20768"/>
    <cellStyle name="Normal 7 43" xfId="11009"/>
    <cellStyle name="Normal 7 43 2" xfId="20769"/>
    <cellStyle name="Normal 7 44" xfId="11010"/>
    <cellStyle name="Normal 7 44 2" xfId="20770"/>
    <cellStyle name="Normal 7 45" xfId="11011"/>
    <cellStyle name="Normal 7 45 2" xfId="20771"/>
    <cellStyle name="Normal 7 46" xfId="11012"/>
    <cellStyle name="Normal 7 46 2" xfId="20772"/>
    <cellStyle name="Normal 7 47" xfId="11013"/>
    <cellStyle name="Normal 7 47 2" xfId="20773"/>
    <cellStyle name="Normal 7 48" xfId="11014"/>
    <cellStyle name="Normal 7 48 2" xfId="20774"/>
    <cellStyle name="Normal 7 49" xfId="11015"/>
    <cellStyle name="Normal 7 49 2" xfId="20775"/>
    <cellStyle name="Normal 7 5" xfId="11016"/>
    <cellStyle name="Normal 7 5 2" xfId="11017"/>
    <cellStyle name="Normal 7 5 2 2" xfId="11018"/>
    <cellStyle name="Normal 7 5 3" xfId="11019"/>
    <cellStyle name="Normal 7 5 4" xfId="20776"/>
    <cellStyle name="Normal 7 5 5" xfId="20777"/>
    <cellStyle name="Normal 7 50" xfId="11020"/>
    <cellStyle name="Normal 7 50 2" xfId="20778"/>
    <cellStyle name="Normal 7 51" xfId="11021"/>
    <cellStyle name="Normal 7 51 2" xfId="20779"/>
    <cellStyle name="Normal 7 52" xfId="11022"/>
    <cellStyle name="Normal 7 52 2" xfId="20780"/>
    <cellStyle name="Normal 7 53" xfId="11023"/>
    <cellStyle name="Normal 7 53 2" xfId="20781"/>
    <cellStyle name="Normal 7 54" xfId="11024"/>
    <cellStyle name="Normal 7 54 2" xfId="20782"/>
    <cellStyle name="Normal 7 55" xfId="11025"/>
    <cellStyle name="Normal 7 55 2" xfId="20783"/>
    <cellStyle name="Normal 7 56" xfId="11026"/>
    <cellStyle name="Normal 7 56 2" xfId="20784"/>
    <cellStyle name="Normal 7 57" xfId="11027"/>
    <cellStyle name="Normal 7 57 2" xfId="20785"/>
    <cellStyle name="Normal 7 58" xfId="11028"/>
    <cellStyle name="Normal 7 58 2" xfId="20786"/>
    <cellStyle name="Normal 7 59" xfId="11029"/>
    <cellStyle name="Normal 7 59 2" xfId="20787"/>
    <cellStyle name="Normal 7 6" xfId="11030"/>
    <cellStyle name="Normal 7 6 2" xfId="11031"/>
    <cellStyle name="Normal 7 6 2 2" xfId="11032"/>
    <cellStyle name="Normal 7 6 3" xfId="11033"/>
    <cellStyle name="Normal 7 6 4" xfId="20788"/>
    <cellStyle name="Normal 7 6 5" xfId="20789"/>
    <cellStyle name="Normal 7 60" xfId="11034"/>
    <cellStyle name="Normal 7 60 2" xfId="20790"/>
    <cellStyle name="Normal 7 61" xfId="11035"/>
    <cellStyle name="Normal 7 61 2" xfId="20791"/>
    <cellStyle name="Normal 7 62" xfId="11036"/>
    <cellStyle name="Normal 7 62 2" xfId="20792"/>
    <cellStyle name="Normal 7 63" xfId="11037"/>
    <cellStyle name="Normal 7 63 2" xfId="20793"/>
    <cellStyle name="Normal 7 64" xfId="11038"/>
    <cellStyle name="Normal 7 64 2" xfId="20794"/>
    <cellStyle name="Normal 7 65" xfId="11039"/>
    <cellStyle name="Normal 7 65 2" xfId="20795"/>
    <cellStyle name="Normal 7 66" xfId="11040"/>
    <cellStyle name="Normal 7 66 2" xfId="20796"/>
    <cellStyle name="Normal 7 67" xfId="11041"/>
    <cellStyle name="Normal 7 67 2" xfId="20797"/>
    <cellStyle name="Normal 7 68" xfId="11042"/>
    <cellStyle name="Normal 7 68 2" xfId="20798"/>
    <cellStyle name="Normal 7 69" xfId="11043"/>
    <cellStyle name="Normal 7 69 2" xfId="20799"/>
    <cellStyle name="Normal 7 7" xfId="11044"/>
    <cellStyle name="Normal 7 7 2" xfId="11045"/>
    <cellStyle name="Normal 7 7 2 2" xfId="11046"/>
    <cellStyle name="Normal 7 7 3" xfId="11047"/>
    <cellStyle name="Normal 7 7 4" xfId="20800"/>
    <cellStyle name="Normal 7 7 5" xfId="20801"/>
    <cellStyle name="Normal 7 70" xfId="11048"/>
    <cellStyle name="Normal 7 70 2" xfId="20802"/>
    <cellStyle name="Normal 7 71" xfId="11049"/>
    <cellStyle name="Normal 7 71 2" xfId="20803"/>
    <cellStyle name="Normal 7 72" xfId="11050"/>
    <cellStyle name="Normal 7 72 2" xfId="20804"/>
    <cellStyle name="Normal 7 73" xfId="11051"/>
    <cellStyle name="Normal 7 73 2" xfId="20805"/>
    <cellStyle name="Normal 7 74" xfId="11052"/>
    <cellStyle name="Normal 7 74 2" xfId="20806"/>
    <cellStyle name="Normal 7 75" xfId="11053"/>
    <cellStyle name="Normal 7 75 2" xfId="20807"/>
    <cellStyle name="Normal 7 76" xfId="11054"/>
    <cellStyle name="Normal 7 76 2" xfId="20808"/>
    <cellStyle name="Normal 7 77" xfId="11055"/>
    <cellStyle name="Normal 7 77 2" xfId="20809"/>
    <cellStyle name="Normal 7 78" xfId="11056"/>
    <cellStyle name="Normal 7 78 2" xfId="20810"/>
    <cellStyle name="Normal 7 79" xfId="11057"/>
    <cellStyle name="Normal 7 79 2" xfId="20811"/>
    <cellStyle name="Normal 7 8" xfId="11058"/>
    <cellStyle name="Normal 7 8 2" xfId="11059"/>
    <cellStyle name="Normal 7 8 2 2" xfId="11060"/>
    <cellStyle name="Normal 7 8 3" xfId="11061"/>
    <cellStyle name="Normal 7 8 4" xfId="20812"/>
    <cellStyle name="Normal 7 8 5" xfId="20813"/>
    <cellStyle name="Normal 7 80" xfId="11062"/>
    <cellStyle name="Normal 7 80 2" xfId="20814"/>
    <cellStyle name="Normal 7 81" xfId="11063"/>
    <cellStyle name="Normal 7 81 2" xfId="20815"/>
    <cellStyle name="Normal 7 82" xfId="11064"/>
    <cellStyle name="Normal 7 82 2" xfId="20816"/>
    <cellStyle name="Normal 7 83" xfId="11065"/>
    <cellStyle name="Normal 7 83 2" xfId="20817"/>
    <cellStyle name="Normal 7 84" xfId="11066"/>
    <cellStyle name="Normal 7 84 2" xfId="20818"/>
    <cellStyle name="Normal 7 85" xfId="11067"/>
    <cellStyle name="Normal 7 85 2" xfId="20819"/>
    <cellStyle name="Normal 7 86" xfId="11068"/>
    <cellStyle name="Normal 7 86 2" xfId="20820"/>
    <cellStyle name="Normal 7 87" xfId="11069"/>
    <cellStyle name="Normal 7 87 2" xfId="20821"/>
    <cellStyle name="Normal 7 88" xfId="11070"/>
    <cellStyle name="Normal 7 88 2" xfId="20822"/>
    <cellStyle name="Normal 7 89" xfId="11071"/>
    <cellStyle name="Normal 7 89 2" xfId="20823"/>
    <cellStyle name="Normal 7 9" xfId="11072"/>
    <cellStyle name="Normal 7 9 2" xfId="11073"/>
    <cellStyle name="Normal 7 9 2 2" xfId="11074"/>
    <cellStyle name="Normal 7 9 3" xfId="11075"/>
    <cellStyle name="Normal 7 9 3 2" xfId="11076"/>
    <cellStyle name="Normal 7 9 4" xfId="11077"/>
    <cellStyle name="Normal 7 9 5" xfId="20824"/>
    <cellStyle name="Normal 7 90" xfId="11078"/>
    <cellStyle name="Normal 7 90 2" xfId="20825"/>
    <cellStyle name="Normal 7 91" xfId="11079"/>
    <cellStyle name="Normal 7 91 2" xfId="20826"/>
    <cellStyle name="Normal 7 92" xfId="11080"/>
    <cellStyle name="Normal 7 92 2" xfId="11081"/>
    <cellStyle name="Normal 7 93" xfId="11082"/>
    <cellStyle name="Normal 7 93 2" xfId="20827"/>
    <cellStyle name="Normal 7 94" xfId="20828"/>
    <cellStyle name="Normal 7 95" xfId="33653"/>
    <cellStyle name="Normal 70" xfId="11083"/>
    <cellStyle name="Normal 70 2" xfId="11084"/>
    <cellStyle name="Normal 71" xfId="11085"/>
    <cellStyle name="Normal 71 2" xfId="11086"/>
    <cellStyle name="Normal 71 2 2" xfId="11087"/>
    <cellStyle name="Normal 71 2 2 2" xfId="20829"/>
    <cellStyle name="Normal 71 2 2 2 2" xfId="32049"/>
    <cellStyle name="Normal 71 2 2 3" xfId="32050"/>
    <cellStyle name="Normal 71 2 3" xfId="20830"/>
    <cellStyle name="Normal 71 2 3 2" xfId="32051"/>
    <cellStyle name="Normal 71 2 4" xfId="32052"/>
    <cellStyle name="Normal 71 3" xfId="11088"/>
    <cellStyle name="Normal 71 3 2" xfId="11089"/>
    <cellStyle name="Normal 71 3 2 2" xfId="20831"/>
    <cellStyle name="Normal 71 3 2 2 2" xfId="32053"/>
    <cellStyle name="Normal 71 3 2 3" xfId="32054"/>
    <cellStyle name="Normal 71 3 3" xfId="20832"/>
    <cellStyle name="Normal 71 3 3 2" xfId="32055"/>
    <cellStyle name="Normal 71 3 4" xfId="32056"/>
    <cellStyle name="Normal 71 4" xfId="11090"/>
    <cellStyle name="Normal 71 4 2" xfId="11091"/>
    <cellStyle name="Normal 71 4 2 2" xfId="20833"/>
    <cellStyle name="Normal 71 4 2 2 2" xfId="32057"/>
    <cellStyle name="Normal 71 4 2 3" xfId="32058"/>
    <cellStyle name="Normal 71 4 3" xfId="20834"/>
    <cellStyle name="Normal 71 4 3 2" xfId="32059"/>
    <cellStyle name="Normal 71 4 4" xfId="32060"/>
    <cellStyle name="Normal 72" xfId="11092"/>
    <cellStyle name="Normal 72 2" xfId="11093"/>
    <cellStyle name="Normal 72 2 2" xfId="11094"/>
    <cellStyle name="Normal 72 2 2 2" xfId="20835"/>
    <cellStyle name="Normal 72 2 2 2 2" xfId="32061"/>
    <cellStyle name="Normal 72 2 2 3" xfId="32062"/>
    <cellStyle name="Normal 72 2 3" xfId="20836"/>
    <cellStyle name="Normal 72 2 3 2" xfId="32063"/>
    <cellStyle name="Normal 72 2 4" xfId="32064"/>
    <cellStyle name="Normal 72 3" xfId="11095"/>
    <cellStyle name="Normal 72 3 2" xfId="11096"/>
    <cellStyle name="Normal 72 3 2 2" xfId="20837"/>
    <cellStyle name="Normal 72 3 2 2 2" xfId="32065"/>
    <cellStyle name="Normal 72 3 2 3" xfId="32066"/>
    <cellStyle name="Normal 72 3 3" xfId="20838"/>
    <cellStyle name="Normal 72 3 3 2" xfId="32067"/>
    <cellStyle name="Normal 72 3 4" xfId="32068"/>
    <cellStyle name="Normal 72 4" xfId="11097"/>
    <cellStyle name="Normal 72 4 2" xfId="11098"/>
    <cellStyle name="Normal 72 4 2 2" xfId="20839"/>
    <cellStyle name="Normal 72 4 2 2 2" xfId="32069"/>
    <cellStyle name="Normal 72 4 2 3" xfId="32070"/>
    <cellStyle name="Normal 72 4 3" xfId="20840"/>
    <cellStyle name="Normal 72 4 3 2" xfId="32071"/>
    <cellStyle name="Normal 72 4 4" xfId="32072"/>
    <cellStyle name="Normal 73" xfId="11099"/>
    <cellStyle name="Normal 73 2" xfId="11100"/>
    <cellStyle name="Normal 73 2 2" xfId="11101"/>
    <cellStyle name="Normal 73 2 2 2" xfId="20841"/>
    <cellStyle name="Normal 73 2 2 2 2" xfId="32073"/>
    <cellStyle name="Normal 73 2 2 3" xfId="32074"/>
    <cellStyle name="Normal 73 2 3" xfId="20842"/>
    <cellStyle name="Normal 73 2 3 2" xfId="32075"/>
    <cellStyle name="Normal 73 2 4" xfId="32076"/>
    <cellStyle name="Normal 73 3" xfId="11102"/>
    <cellStyle name="Normal 73 3 2" xfId="11103"/>
    <cellStyle name="Normal 73 3 2 2" xfId="20843"/>
    <cellStyle name="Normal 73 3 2 2 2" xfId="32077"/>
    <cellStyle name="Normal 73 3 2 3" xfId="32078"/>
    <cellStyle name="Normal 73 3 3" xfId="20844"/>
    <cellStyle name="Normal 73 3 3 2" xfId="32079"/>
    <cellStyle name="Normal 73 3 4" xfId="32080"/>
    <cellStyle name="Normal 73 4" xfId="11104"/>
    <cellStyle name="Normal 73 4 2" xfId="11105"/>
    <cellStyle name="Normal 73 4 2 2" xfId="20845"/>
    <cellStyle name="Normal 73 4 2 2 2" xfId="32081"/>
    <cellStyle name="Normal 73 4 2 3" xfId="32082"/>
    <cellStyle name="Normal 73 4 3" xfId="20846"/>
    <cellStyle name="Normal 73 4 3 2" xfId="32083"/>
    <cellStyle name="Normal 73 4 4" xfId="32084"/>
    <cellStyle name="Normal 74" xfId="11106"/>
    <cellStyle name="Normal 74 2" xfId="11107"/>
    <cellStyle name="Normal 74 3" xfId="11108"/>
    <cellStyle name="Normal 74 4" xfId="11109"/>
    <cellStyle name="Normal 75" xfId="11110"/>
    <cellStyle name="Normal 75 2" xfId="11111"/>
    <cellStyle name="Normal 75 3" xfId="11112"/>
    <cellStyle name="Normal 75 4" xfId="11113"/>
    <cellStyle name="Normal 76" xfId="11114"/>
    <cellStyle name="Normal 76 2" xfId="11115"/>
    <cellStyle name="Normal 76 2 2" xfId="11116"/>
    <cellStyle name="Normal 76 2 2 2" xfId="20847"/>
    <cellStyle name="Normal 76 2 2 2 2" xfId="32085"/>
    <cellStyle name="Normal 76 2 2 3" xfId="32086"/>
    <cellStyle name="Normal 76 2 3" xfId="20848"/>
    <cellStyle name="Normal 76 2 3 2" xfId="32087"/>
    <cellStyle name="Normal 76 2 4" xfId="32088"/>
    <cellStyle name="Normal 76 3" xfId="11117"/>
    <cellStyle name="Normal 76 3 2" xfId="11118"/>
    <cellStyle name="Normal 76 3 2 2" xfId="20849"/>
    <cellStyle name="Normal 76 3 2 2 2" xfId="32089"/>
    <cellStyle name="Normal 76 3 2 3" xfId="32090"/>
    <cellStyle name="Normal 76 3 3" xfId="20850"/>
    <cellStyle name="Normal 76 3 3 2" xfId="32091"/>
    <cellStyle name="Normal 76 3 4" xfId="32092"/>
    <cellStyle name="Normal 77" xfId="11119"/>
    <cellStyle name="Normal 77 2" xfId="11120"/>
    <cellStyle name="Normal 78" xfId="11121"/>
    <cellStyle name="Normal 78 2" xfId="11122"/>
    <cellStyle name="Normal 79" xfId="11123"/>
    <cellStyle name="Normal 79 2" xfId="11124"/>
    <cellStyle name="Normal 8" xfId="62"/>
    <cellStyle name="Normal 8 10" xfId="11125"/>
    <cellStyle name="Normal 8 10 2" xfId="20851"/>
    <cellStyle name="Normal 8 11" xfId="11126"/>
    <cellStyle name="Normal 8 11 2" xfId="20852"/>
    <cellStyle name="Normal 8 12" xfId="11127"/>
    <cellStyle name="Normal 8 12 2" xfId="20853"/>
    <cellStyle name="Normal 8 13" xfId="11128"/>
    <cellStyle name="Normal 8 13 2" xfId="20854"/>
    <cellStyle name="Normal 8 14" xfId="11129"/>
    <cellStyle name="Normal 8 14 2" xfId="20855"/>
    <cellStyle name="Normal 8 15" xfId="11130"/>
    <cellStyle name="Normal 8 15 2" xfId="20856"/>
    <cellStyle name="Normal 8 16" xfId="11131"/>
    <cellStyle name="Normal 8 16 2" xfId="20857"/>
    <cellStyle name="Normal 8 17" xfId="11132"/>
    <cellStyle name="Normal 8 17 2" xfId="20858"/>
    <cellStyle name="Normal 8 18" xfId="11133"/>
    <cellStyle name="Normal 8 18 2" xfId="20859"/>
    <cellStyle name="Normal 8 19" xfId="11134"/>
    <cellStyle name="Normal 8 19 2" xfId="20860"/>
    <cellStyle name="Normal 8 2" xfId="11135"/>
    <cellStyle name="Normal 8 2 2" xfId="11136"/>
    <cellStyle name="Normal 8 2 2 2" xfId="11137"/>
    <cellStyle name="Normal 8 2 2 2 2" xfId="11138"/>
    <cellStyle name="Normal 8 2 2 2 2 2" xfId="11139"/>
    <cellStyle name="Normal 8 2 2 2 3" xfId="11140"/>
    <cellStyle name="Normal 8 2 2 2 4" xfId="20861"/>
    <cellStyle name="Normal 8 2 2 2 5" xfId="20862"/>
    <cellStyle name="Normal 8 2 2 3" xfId="11141"/>
    <cellStyle name="Normal 8 2 2 3 2" xfId="11142"/>
    <cellStyle name="Normal 8 2 2 3 2 2" xfId="11143"/>
    <cellStyle name="Normal 8 2 2 3 3" xfId="11144"/>
    <cellStyle name="Normal 8 2 2 3 4" xfId="20863"/>
    <cellStyle name="Normal 8 2 2 3 5" xfId="20864"/>
    <cellStyle name="Normal 8 2 2 4" xfId="11145"/>
    <cellStyle name="Normal 8 2 2 4 2" xfId="11146"/>
    <cellStyle name="Normal 8 2 2 4 2 2" xfId="11147"/>
    <cellStyle name="Normal 8 2 2 4 3" xfId="11148"/>
    <cellStyle name="Normal 8 2 2 4 4" xfId="20865"/>
    <cellStyle name="Normal 8 2 2 4 5" xfId="20866"/>
    <cellStyle name="Normal 8 2 2 5" xfId="11149"/>
    <cellStyle name="Normal 8 2 2 5 2" xfId="11150"/>
    <cellStyle name="Normal 8 2 2 5 2 2" xfId="11151"/>
    <cellStyle name="Normal 8 2 2 5 3" xfId="11152"/>
    <cellStyle name="Normal 8 2 2 5 4" xfId="20867"/>
    <cellStyle name="Normal 8 2 2 5 5" xfId="20868"/>
    <cellStyle name="Normal 8 2 2 6" xfId="11153"/>
    <cellStyle name="Normal 8 2 2 6 2" xfId="11154"/>
    <cellStyle name="Normal 8 2 2 6 3" xfId="11155"/>
    <cellStyle name="Normal 8 2 2 6 3 2" xfId="20869"/>
    <cellStyle name="Normal 8 2 2 6 3 2 2" xfId="32093"/>
    <cellStyle name="Normal 8 2 2 6 3 3" xfId="32094"/>
    <cellStyle name="Normal 8 2 2 6 4" xfId="20870"/>
    <cellStyle name="Normal 8 2 2 6 4 2" xfId="32095"/>
    <cellStyle name="Normal 8 2 2 6 5" xfId="32096"/>
    <cellStyle name="Normal 8 2 2 7" xfId="11156"/>
    <cellStyle name="Normal 8 2 2 7 2" xfId="20871"/>
    <cellStyle name="Normal 8 2 2 7 2 2" xfId="32097"/>
    <cellStyle name="Normal 8 2 2 7 3" xfId="32098"/>
    <cellStyle name="Normal 8 2 2 8" xfId="20872"/>
    <cellStyle name="Normal 8 2 2 8 2" xfId="32099"/>
    <cellStyle name="Normal 8 2 2 9" xfId="32100"/>
    <cellStyle name="Normal 8 2 3" xfId="11157"/>
    <cellStyle name="Normal 8 2 3 2" xfId="11158"/>
    <cellStyle name="Normal 8 2 3 2 2" xfId="11159"/>
    <cellStyle name="Normal 8 2 3 2 3" xfId="11160"/>
    <cellStyle name="Normal 8 2 3 2 3 2" xfId="20873"/>
    <cellStyle name="Normal 8 2 3 2 3 2 2" xfId="32101"/>
    <cellStyle name="Normal 8 2 3 2 3 3" xfId="32102"/>
    <cellStyle name="Normal 8 2 3 2 4" xfId="20874"/>
    <cellStyle name="Normal 8 2 3 2 4 2" xfId="32103"/>
    <cellStyle name="Normal 8 2 3 2 5" xfId="32104"/>
    <cellStyle name="Normal 8 2 3 3" xfId="11161"/>
    <cellStyle name="Normal 8 2 3 4" xfId="11162"/>
    <cellStyle name="Normal 8 2 3 4 2" xfId="20875"/>
    <cellStyle name="Normal 8 2 3 4 2 2" xfId="32105"/>
    <cellStyle name="Normal 8 2 3 4 3" xfId="32106"/>
    <cellStyle name="Normal 8 2 3 5" xfId="20876"/>
    <cellStyle name="Normal 8 2 3 5 2" xfId="32107"/>
    <cellStyle name="Normal 8 2 3 6" xfId="32108"/>
    <cellStyle name="Normal 8 2 4" xfId="11163"/>
    <cellStyle name="Normal 8 2 4 2" xfId="11164"/>
    <cellStyle name="Normal 8 2 4 2 2" xfId="11165"/>
    <cellStyle name="Normal 8 2 4 2 3" xfId="11166"/>
    <cellStyle name="Normal 8 2 4 2 3 2" xfId="20877"/>
    <cellStyle name="Normal 8 2 4 2 3 2 2" xfId="32109"/>
    <cellStyle name="Normal 8 2 4 2 3 3" xfId="32110"/>
    <cellStyle name="Normal 8 2 4 2 4" xfId="20878"/>
    <cellStyle name="Normal 8 2 4 2 4 2" xfId="32111"/>
    <cellStyle name="Normal 8 2 4 2 5" xfId="32112"/>
    <cellStyle name="Normal 8 2 4 3" xfId="11167"/>
    <cellStyle name="Normal 8 2 4 4" xfId="11168"/>
    <cellStyle name="Normal 8 2 4 4 2" xfId="20879"/>
    <cellStyle name="Normal 8 2 4 4 2 2" xfId="32113"/>
    <cellStyle name="Normal 8 2 4 4 3" xfId="32114"/>
    <cellStyle name="Normal 8 2 4 5" xfId="20880"/>
    <cellStyle name="Normal 8 2 4 5 2" xfId="32115"/>
    <cellStyle name="Normal 8 2 4 6" xfId="32116"/>
    <cellStyle name="Normal 8 2 5" xfId="11169"/>
    <cellStyle name="Normal 8 2 5 2" xfId="11170"/>
    <cellStyle name="Normal 8 2 5 2 2" xfId="11171"/>
    <cellStyle name="Normal 8 2 5 2 3" xfId="11172"/>
    <cellStyle name="Normal 8 2 5 2 3 2" xfId="20881"/>
    <cellStyle name="Normal 8 2 5 2 3 2 2" xfId="32117"/>
    <cellStyle name="Normal 8 2 5 2 3 3" xfId="32118"/>
    <cellStyle name="Normal 8 2 5 2 4" xfId="20882"/>
    <cellStyle name="Normal 8 2 5 2 4 2" xfId="32119"/>
    <cellStyle name="Normal 8 2 5 2 5" xfId="32120"/>
    <cellStyle name="Normal 8 2 5 3" xfId="11173"/>
    <cellStyle name="Normal 8 2 5 4" xfId="11174"/>
    <cellStyle name="Normal 8 2 5 4 2" xfId="20883"/>
    <cellStyle name="Normal 8 2 5 4 2 2" xfId="32121"/>
    <cellStyle name="Normal 8 2 5 4 3" xfId="32122"/>
    <cellStyle name="Normal 8 2 5 5" xfId="20884"/>
    <cellStyle name="Normal 8 2 5 5 2" xfId="32123"/>
    <cellStyle name="Normal 8 2 5 6" xfId="32124"/>
    <cellStyle name="Normal 8 2 6" xfId="11175"/>
    <cellStyle name="Normal 8 2 6 2" xfId="11176"/>
    <cellStyle name="Normal 8 2 7" xfId="11177"/>
    <cellStyle name="Normal 8 2 8" xfId="20885"/>
    <cellStyle name="Normal 8 2 9" xfId="20886"/>
    <cellStyle name="Normal 8 20" xfId="11178"/>
    <cellStyle name="Normal 8 20 2" xfId="20887"/>
    <cellStyle name="Normal 8 21" xfId="11179"/>
    <cellStyle name="Normal 8 21 2" xfId="20888"/>
    <cellStyle name="Normal 8 22" xfId="11180"/>
    <cellStyle name="Normal 8 22 2" xfId="20889"/>
    <cellStyle name="Normal 8 23" xfId="11181"/>
    <cellStyle name="Normal 8 23 2" xfId="20890"/>
    <cellStyle name="Normal 8 24" xfId="11182"/>
    <cellStyle name="Normal 8 24 2" xfId="20891"/>
    <cellStyle name="Normal 8 25" xfId="11183"/>
    <cellStyle name="Normal 8 25 2" xfId="20892"/>
    <cellStyle name="Normal 8 26" xfId="11184"/>
    <cellStyle name="Normal 8 26 2" xfId="20893"/>
    <cellStyle name="Normal 8 27" xfId="11185"/>
    <cellStyle name="Normal 8 27 2" xfId="20894"/>
    <cellStyle name="Normal 8 28" xfId="11186"/>
    <cellStyle name="Normal 8 28 2" xfId="20895"/>
    <cellStyle name="Normal 8 29" xfId="11187"/>
    <cellStyle name="Normal 8 29 2" xfId="20896"/>
    <cellStyle name="Normal 8 3" xfId="11188"/>
    <cellStyle name="Normal 8 3 2" xfId="11189"/>
    <cellStyle name="Normal 8 3 2 2" xfId="11190"/>
    <cellStyle name="Normal 8 3 3" xfId="11191"/>
    <cellStyle name="Normal 8 3 4" xfId="20897"/>
    <cellStyle name="Normal 8 3 5" xfId="20898"/>
    <cellStyle name="Normal 8 30" xfId="11192"/>
    <cellStyle name="Normal 8 30 2" xfId="20899"/>
    <cellStyle name="Normal 8 31" xfId="11193"/>
    <cellStyle name="Normal 8 31 2" xfId="20900"/>
    <cellStyle name="Normal 8 32" xfId="11194"/>
    <cellStyle name="Normal 8 32 2" xfId="20901"/>
    <cellStyle name="Normal 8 33" xfId="11195"/>
    <cellStyle name="Normal 8 33 2" xfId="20902"/>
    <cellStyle name="Normal 8 34" xfId="11196"/>
    <cellStyle name="Normal 8 34 2" xfId="20903"/>
    <cellStyle name="Normal 8 35" xfId="11197"/>
    <cellStyle name="Normal 8 35 2" xfId="20904"/>
    <cellStyle name="Normal 8 36" xfId="11198"/>
    <cellStyle name="Normal 8 36 2" xfId="20905"/>
    <cellStyle name="Normal 8 37" xfId="11199"/>
    <cellStyle name="Normal 8 37 2" xfId="20906"/>
    <cellStyle name="Normal 8 38" xfId="11200"/>
    <cellStyle name="Normal 8 38 2" xfId="20907"/>
    <cellStyle name="Normal 8 39" xfId="11201"/>
    <cellStyle name="Normal 8 39 2" xfId="11202"/>
    <cellStyle name="Normal 8 39 2 2" xfId="11203"/>
    <cellStyle name="Normal 8 39 2 3" xfId="11204"/>
    <cellStyle name="Normal 8 39 2 3 2" xfId="20908"/>
    <cellStyle name="Normal 8 39 2 3 2 2" xfId="32125"/>
    <cellStyle name="Normal 8 39 2 3 3" xfId="32126"/>
    <cellStyle name="Normal 8 39 2 4" xfId="20909"/>
    <cellStyle name="Normal 8 39 2 4 2" xfId="32127"/>
    <cellStyle name="Normal 8 39 2 5" xfId="32128"/>
    <cellStyle name="Normal 8 39 3" xfId="11205"/>
    <cellStyle name="Normal 8 39 4" xfId="11206"/>
    <cellStyle name="Normal 8 39 4 2" xfId="20910"/>
    <cellStyle name="Normal 8 39 4 2 2" xfId="32129"/>
    <cellStyle name="Normal 8 39 4 3" xfId="32130"/>
    <cellStyle name="Normal 8 39 5" xfId="20911"/>
    <cellStyle name="Normal 8 39 5 2" xfId="32131"/>
    <cellStyle name="Normal 8 39 6" xfId="32132"/>
    <cellStyle name="Normal 8 4" xfId="11207"/>
    <cellStyle name="Normal 8 4 2" xfId="11208"/>
    <cellStyle name="Normal 8 4 2 2" xfId="11209"/>
    <cellStyle name="Normal 8 4 3" xfId="11210"/>
    <cellStyle name="Normal 8 4 4" xfId="20912"/>
    <cellStyle name="Normal 8 4 5" xfId="20913"/>
    <cellStyle name="Normal 8 40" xfId="11211"/>
    <cellStyle name="Normal 8 40 2" xfId="11212"/>
    <cellStyle name="Normal 8 40 2 2" xfId="11213"/>
    <cellStyle name="Normal 8 40 2 3" xfId="11214"/>
    <cellStyle name="Normal 8 40 2 3 2" xfId="20914"/>
    <cellStyle name="Normal 8 40 2 3 2 2" xfId="32133"/>
    <cellStyle name="Normal 8 40 2 3 3" xfId="32134"/>
    <cellStyle name="Normal 8 40 2 4" xfId="20915"/>
    <cellStyle name="Normal 8 40 2 4 2" xfId="32135"/>
    <cellStyle name="Normal 8 40 2 5" xfId="32136"/>
    <cellStyle name="Normal 8 40 3" xfId="11215"/>
    <cellStyle name="Normal 8 40 4" xfId="11216"/>
    <cellStyle name="Normal 8 40 4 2" xfId="20916"/>
    <cellStyle name="Normal 8 40 4 2 2" xfId="32137"/>
    <cellStyle name="Normal 8 40 4 3" xfId="32138"/>
    <cellStyle name="Normal 8 40 5" xfId="20917"/>
    <cellStyle name="Normal 8 40 5 2" xfId="32139"/>
    <cellStyle name="Normal 8 40 6" xfId="32140"/>
    <cellStyle name="Normal 8 41" xfId="11217"/>
    <cellStyle name="Normal 8 41 2" xfId="20918"/>
    <cellStyle name="Normal 8 42" xfId="11218"/>
    <cellStyle name="Normal 8 42 2" xfId="20919"/>
    <cellStyle name="Normal 8 43" xfId="11219"/>
    <cellStyle name="Normal 8 43 2" xfId="20920"/>
    <cellStyle name="Normal 8 44" xfId="11220"/>
    <cellStyle name="Normal 8 44 2" xfId="20921"/>
    <cellStyle name="Normal 8 45" xfId="11221"/>
    <cellStyle name="Normal 8 45 2" xfId="20922"/>
    <cellStyle name="Normal 8 46" xfId="11222"/>
    <cellStyle name="Normal 8 46 2" xfId="20923"/>
    <cellStyle name="Normal 8 47" xfId="11223"/>
    <cellStyle name="Normal 8 47 2" xfId="20924"/>
    <cellStyle name="Normal 8 48" xfId="11224"/>
    <cellStyle name="Normal 8 48 2" xfId="20925"/>
    <cellStyle name="Normal 8 49" xfId="11225"/>
    <cellStyle name="Normal 8 49 2" xfId="20926"/>
    <cellStyle name="Normal 8 5" xfId="11226"/>
    <cellStyle name="Normal 8 5 2" xfId="11227"/>
    <cellStyle name="Normal 8 5 2 2" xfId="11228"/>
    <cellStyle name="Normal 8 5 3" xfId="11229"/>
    <cellStyle name="Normal 8 5 4" xfId="20927"/>
    <cellStyle name="Normal 8 5 5" xfId="20928"/>
    <cellStyle name="Normal 8 50" xfId="11230"/>
    <cellStyle name="Normal 8 50 2" xfId="20929"/>
    <cellStyle name="Normal 8 51" xfId="11231"/>
    <cellStyle name="Normal 8 51 2" xfId="20930"/>
    <cellStyle name="Normal 8 52" xfId="11232"/>
    <cellStyle name="Normal 8 52 2" xfId="20931"/>
    <cellStyle name="Normal 8 53" xfId="11233"/>
    <cellStyle name="Normal 8 53 2" xfId="20932"/>
    <cellStyle name="Normal 8 54" xfId="11234"/>
    <cellStyle name="Normal 8 54 2" xfId="20933"/>
    <cellStyle name="Normal 8 55" xfId="11235"/>
    <cellStyle name="Normal 8 55 2" xfId="20934"/>
    <cellStyle name="Normal 8 56" xfId="11236"/>
    <cellStyle name="Normal 8 56 2" xfId="20935"/>
    <cellStyle name="Normal 8 57" xfId="11237"/>
    <cellStyle name="Normal 8 57 2" xfId="20936"/>
    <cellStyle name="Normal 8 58" xfId="11238"/>
    <cellStyle name="Normal 8 58 2" xfId="20937"/>
    <cellStyle name="Normal 8 59" xfId="11239"/>
    <cellStyle name="Normal 8 59 2" xfId="20938"/>
    <cellStyle name="Normal 8 6" xfId="11240"/>
    <cellStyle name="Normal 8 6 2" xfId="11241"/>
    <cellStyle name="Normal 8 6 2 2" xfId="11242"/>
    <cellStyle name="Normal 8 6 3" xfId="11243"/>
    <cellStyle name="Normal 8 6 4" xfId="20939"/>
    <cellStyle name="Normal 8 6 5" xfId="20940"/>
    <cellStyle name="Normal 8 60" xfId="11244"/>
    <cellStyle name="Normal 8 60 2" xfId="20941"/>
    <cellStyle name="Normal 8 61" xfId="11245"/>
    <cellStyle name="Normal 8 61 2" xfId="20942"/>
    <cellStyle name="Normal 8 62" xfId="11246"/>
    <cellStyle name="Normal 8 62 2" xfId="20943"/>
    <cellStyle name="Normal 8 63" xfId="11247"/>
    <cellStyle name="Normal 8 63 2" xfId="20944"/>
    <cellStyle name="Normal 8 64" xfId="11248"/>
    <cellStyle name="Normal 8 64 2" xfId="20945"/>
    <cellStyle name="Normal 8 65" xfId="11249"/>
    <cellStyle name="Normal 8 65 2" xfId="20946"/>
    <cellStyle name="Normal 8 66" xfId="11250"/>
    <cellStyle name="Normal 8 66 2" xfId="20947"/>
    <cellStyle name="Normal 8 67" xfId="11251"/>
    <cellStyle name="Normal 8 67 2" xfId="20948"/>
    <cellStyle name="Normal 8 68" xfId="11252"/>
    <cellStyle name="Normal 8 68 2" xfId="20949"/>
    <cellStyle name="Normal 8 69" xfId="11253"/>
    <cellStyle name="Normal 8 69 2" xfId="20950"/>
    <cellStyle name="Normal 8 7" xfId="11254"/>
    <cellStyle name="Normal 8 7 2" xfId="11255"/>
    <cellStyle name="Normal 8 7 3" xfId="20951"/>
    <cellStyle name="Normal 8 70" xfId="11256"/>
    <cellStyle name="Normal 8 70 2" xfId="20952"/>
    <cellStyle name="Normal 8 71" xfId="11257"/>
    <cellStyle name="Normal 8 71 2" xfId="20953"/>
    <cellStyle name="Normal 8 72" xfId="11258"/>
    <cellStyle name="Normal 8 72 2" xfId="20954"/>
    <cellStyle name="Normal 8 73" xfId="11259"/>
    <cellStyle name="Normal 8 73 2" xfId="20955"/>
    <cellStyle name="Normal 8 74" xfId="11260"/>
    <cellStyle name="Normal 8 74 2" xfId="20956"/>
    <cellStyle name="Normal 8 75" xfId="11261"/>
    <cellStyle name="Normal 8 75 2" xfId="20957"/>
    <cellStyle name="Normal 8 76" xfId="11262"/>
    <cellStyle name="Normal 8 76 2" xfId="20958"/>
    <cellStyle name="Normal 8 77" xfId="11263"/>
    <cellStyle name="Normal 8 77 2" xfId="20959"/>
    <cellStyle name="Normal 8 78" xfId="11264"/>
    <cellStyle name="Normal 8 78 2" xfId="20960"/>
    <cellStyle name="Normal 8 79" xfId="11265"/>
    <cellStyle name="Normal 8 79 2" xfId="20961"/>
    <cellStyle name="Normal 8 8" xfId="11266"/>
    <cellStyle name="Normal 8 8 2" xfId="20962"/>
    <cellStyle name="Normal 8 80" xfId="11267"/>
    <cellStyle name="Normal 8 80 2" xfId="20963"/>
    <cellStyle name="Normal 8 81" xfId="11268"/>
    <cellStyle name="Normal 8 81 2" xfId="20964"/>
    <cellStyle name="Normal 8 82" xfId="11269"/>
    <cellStyle name="Normal 8 82 2" xfId="20965"/>
    <cellStyle name="Normal 8 83" xfId="11270"/>
    <cellStyle name="Normal 8 83 2" xfId="20966"/>
    <cellStyle name="Normal 8 84" xfId="11271"/>
    <cellStyle name="Normal 8 84 2" xfId="20967"/>
    <cellStyle name="Normal 8 85" xfId="11272"/>
    <cellStyle name="Normal 8 85 2" xfId="20968"/>
    <cellStyle name="Normal 8 86" xfId="11273"/>
    <cellStyle name="Normal 8 86 2" xfId="20969"/>
    <cellStyle name="Normal 8 87" xfId="11274"/>
    <cellStyle name="Normal 8 87 2" xfId="20970"/>
    <cellStyle name="Normal 8 88" xfId="11275"/>
    <cellStyle name="Normal 8 88 2" xfId="20971"/>
    <cellStyle name="Normal 8 89" xfId="11276"/>
    <cellStyle name="Normal 8 89 2" xfId="20972"/>
    <cellStyle name="Normal 8 9" xfId="11277"/>
    <cellStyle name="Normal 8 9 2" xfId="20973"/>
    <cellStyle name="Normal 8 90" xfId="11278"/>
    <cellStyle name="Normal 8 90 2" xfId="20974"/>
    <cellStyle name="Normal 8 91" xfId="11279"/>
    <cellStyle name="Normal 8 91 2" xfId="20975"/>
    <cellStyle name="Normal 8 92" xfId="11280"/>
    <cellStyle name="Normal 8 92 2" xfId="11281"/>
    <cellStyle name="Normal 8 92 2 2" xfId="32141"/>
    <cellStyle name="Normal 8 92 3" xfId="11282"/>
    <cellStyle name="Normal 8 92 3 2" xfId="20976"/>
    <cellStyle name="Normal 8 92 3 2 2" xfId="32142"/>
    <cellStyle name="Normal 8 92 3 3" xfId="32143"/>
    <cellStyle name="Normal 8 92 4" xfId="20977"/>
    <cellStyle name="Normal 8 92 4 2" xfId="32144"/>
    <cellStyle name="Normal 8 92 5" xfId="32145"/>
    <cellStyle name="Normal 8 93" xfId="11283"/>
    <cellStyle name="Normal 8 93 2" xfId="20978"/>
    <cellStyle name="Normal 8 94" xfId="20979"/>
    <cellStyle name="Normal 8 95" xfId="20980"/>
    <cellStyle name="Normal 8 96" xfId="33654"/>
    <cellStyle name="Normal 80" xfId="11284"/>
    <cellStyle name="Normal 80 2" xfId="11285"/>
    <cellStyle name="Normal 81" xfId="11286"/>
    <cellStyle name="Normal 81 2" xfId="11287"/>
    <cellStyle name="Normal 81 2 2" xfId="11288"/>
    <cellStyle name="Normal 81 3" xfId="11289"/>
    <cellStyle name="Normal 82" xfId="11290"/>
    <cellStyle name="Normal 82 2" xfId="11291"/>
    <cellStyle name="Normal 83" xfId="11292"/>
    <cellStyle name="Normal 83 2" xfId="11293"/>
    <cellStyle name="Normal 84" xfId="11294"/>
    <cellStyle name="Normal 84 2" xfId="11295"/>
    <cellStyle name="Normal 85" xfId="11296"/>
    <cellStyle name="Normal 85 2" xfId="11297"/>
    <cellStyle name="Normal 86" xfId="11298"/>
    <cellStyle name="Normal 86 2" xfId="11299"/>
    <cellStyle name="Normal 87" xfId="11300"/>
    <cellStyle name="Normal 87 2" xfId="11301"/>
    <cellStyle name="Normal 87 2 2" xfId="11302"/>
    <cellStyle name="Normal 87 3" xfId="11303"/>
    <cellStyle name="Normal 88" xfId="11304"/>
    <cellStyle name="Normal 88 2" xfId="11305"/>
    <cellStyle name="Normal 89" xfId="11306"/>
    <cellStyle name="Normal 89 2" xfId="11307"/>
    <cellStyle name="Normal 89 2 2" xfId="11308"/>
    <cellStyle name="Normal 9" xfId="63"/>
    <cellStyle name="Normal 9 10" xfId="11309"/>
    <cellStyle name="Normal 9 10 2" xfId="20981"/>
    <cellStyle name="Normal 9 11" xfId="11310"/>
    <cellStyle name="Normal 9 11 2" xfId="20982"/>
    <cellStyle name="Normal 9 12" xfId="11311"/>
    <cellStyle name="Normal 9 12 2" xfId="20983"/>
    <cellStyle name="Normal 9 13" xfId="11312"/>
    <cellStyle name="Normal 9 13 2" xfId="20984"/>
    <cellStyle name="Normal 9 14" xfId="11313"/>
    <cellStyle name="Normal 9 14 2" xfId="20985"/>
    <cellStyle name="Normal 9 15" xfId="11314"/>
    <cellStyle name="Normal 9 15 2" xfId="20986"/>
    <cellStyle name="Normal 9 16" xfId="11315"/>
    <cellStyle name="Normal 9 16 2" xfId="20987"/>
    <cellStyle name="Normal 9 17" xfId="11316"/>
    <cellStyle name="Normal 9 17 2" xfId="20988"/>
    <cellStyle name="Normal 9 18" xfId="11317"/>
    <cellStyle name="Normal 9 18 2" xfId="20989"/>
    <cellStyle name="Normal 9 19" xfId="11318"/>
    <cellStyle name="Normal 9 19 2" xfId="20990"/>
    <cellStyle name="Normal 9 2" xfId="11319"/>
    <cellStyle name="Normal 9 2 2" xfId="11320"/>
    <cellStyle name="Normal 9 2 3" xfId="20991"/>
    <cellStyle name="Normal 9 20" xfId="11321"/>
    <cellStyle name="Normal 9 20 2" xfId="20992"/>
    <cellStyle name="Normal 9 21" xfId="11322"/>
    <cellStyle name="Normal 9 21 2" xfId="20993"/>
    <cellStyle name="Normal 9 22" xfId="11323"/>
    <cellStyle name="Normal 9 22 2" xfId="20994"/>
    <cellStyle name="Normal 9 23" xfId="11324"/>
    <cellStyle name="Normal 9 23 2" xfId="20995"/>
    <cellStyle name="Normal 9 24" xfId="11325"/>
    <cellStyle name="Normal 9 24 2" xfId="20996"/>
    <cellStyle name="Normal 9 25" xfId="11326"/>
    <cellStyle name="Normal 9 25 2" xfId="20997"/>
    <cellStyle name="Normal 9 26" xfId="11327"/>
    <cellStyle name="Normal 9 26 2" xfId="20998"/>
    <cellStyle name="Normal 9 27" xfId="11328"/>
    <cellStyle name="Normal 9 27 2" xfId="20999"/>
    <cellStyle name="Normal 9 28" xfId="11329"/>
    <cellStyle name="Normal 9 28 2" xfId="21000"/>
    <cellStyle name="Normal 9 29" xfId="11330"/>
    <cellStyle name="Normal 9 29 2" xfId="21001"/>
    <cellStyle name="Normal 9 3" xfId="11331"/>
    <cellStyle name="Normal 9 3 2" xfId="21002"/>
    <cellStyle name="Normal 9 3 3" xfId="21003"/>
    <cellStyle name="Normal 9 30" xfId="11332"/>
    <cellStyle name="Normal 9 30 2" xfId="21004"/>
    <cellStyle name="Normal 9 31" xfId="11333"/>
    <cellStyle name="Normal 9 31 2" xfId="21005"/>
    <cellStyle name="Normal 9 32" xfId="11334"/>
    <cellStyle name="Normal 9 32 2" xfId="21006"/>
    <cellStyle name="Normal 9 33" xfId="11335"/>
    <cellStyle name="Normal 9 33 2" xfId="21007"/>
    <cellStyle name="Normal 9 34" xfId="11336"/>
    <cellStyle name="Normal 9 34 2" xfId="21008"/>
    <cellStyle name="Normal 9 35" xfId="11337"/>
    <cellStyle name="Normal 9 35 2" xfId="21009"/>
    <cellStyle name="Normal 9 36" xfId="11338"/>
    <cellStyle name="Normal 9 36 2" xfId="21010"/>
    <cellStyle name="Normal 9 37" xfId="11339"/>
    <cellStyle name="Normal 9 37 2" xfId="21011"/>
    <cellStyle name="Normal 9 38" xfId="11340"/>
    <cellStyle name="Normal 9 38 2" xfId="21012"/>
    <cellStyle name="Normal 9 39" xfId="11341"/>
    <cellStyle name="Normal 9 39 2" xfId="11342"/>
    <cellStyle name="Normal 9 4" xfId="11343"/>
    <cellStyle name="Normal 9 4 2" xfId="21013"/>
    <cellStyle name="Normal 9 40" xfId="11344"/>
    <cellStyle name="Normal 9 40 2" xfId="21014"/>
    <cellStyle name="Normal 9 41" xfId="11345"/>
    <cellStyle name="Normal 9 41 2" xfId="21015"/>
    <cellStyle name="Normal 9 42" xfId="11346"/>
    <cellStyle name="Normal 9 42 2" xfId="21016"/>
    <cellStyle name="Normal 9 43" xfId="11347"/>
    <cellStyle name="Normal 9 43 2" xfId="21017"/>
    <cellStyle name="Normal 9 44" xfId="11348"/>
    <cellStyle name="Normal 9 44 2" xfId="21018"/>
    <cellStyle name="Normal 9 45" xfId="11349"/>
    <cellStyle name="Normal 9 45 2" xfId="21019"/>
    <cellStyle name="Normal 9 46" xfId="11350"/>
    <cellStyle name="Normal 9 46 2" xfId="21020"/>
    <cellStyle name="Normal 9 47" xfId="11351"/>
    <cellStyle name="Normal 9 47 2" xfId="21021"/>
    <cellStyle name="Normal 9 48" xfId="11352"/>
    <cellStyle name="Normal 9 48 2" xfId="21022"/>
    <cellStyle name="Normal 9 49" xfId="11353"/>
    <cellStyle name="Normal 9 49 2" xfId="21023"/>
    <cellStyle name="Normal 9 5" xfId="11354"/>
    <cellStyle name="Normal 9 5 2" xfId="21024"/>
    <cellStyle name="Normal 9 50" xfId="11355"/>
    <cellStyle name="Normal 9 50 2" xfId="21025"/>
    <cellStyle name="Normal 9 51" xfId="11356"/>
    <cellStyle name="Normal 9 51 2" xfId="21026"/>
    <cellStyle name="Normal 9 52" xfId="11357"/>
    <cellStyle name="Normal 9 52 2" xfId="21027"/>
    <cellStyle name="Normal 9 53" xfId="11358"/>
    <cellStyle name="Normal 9 53 2" xfId="21028"/>
    <cellStyle name="Normal 9 54" xfId="11359"/>
    <cellStyle name="Normal 9 54 2" xfId="21029"/>
    <cellStyle name="Normal 9 55" xfId="11360"/>
    <cellStyle name="Normal 9 55 2" xfId="21030"/>
    <cellStyle name="Normal 9 56" xfId="11361"/>
    <cellStyle name="Normal 9 56 2" xfId="21031"/>
    <cellStyle name="Normal 9 57" xfId="11362"/>
    <cellStyle name="Normal 9 57 2" xfId="21032"/>
    <cellStyle name="Normal 9 58" xfId="11363"/>
    <cellStyle name="Normal 9 58 2" xfId="21033"/>
    <cellStyle name="Normal 9 59" xfId="11364"/>
    <cellStyle name="Normal 9 59 2" xfId="21034"/>
    <cellStyle name="Normal 9 6" xfId="11365"/>
    <cellStyle name="Normal 9 6 2" xfId="21035"/>
    <cellStyle name="Normal 9 60" xfId="11366"/>
    <cellStyle name="Normal 9 60 2" xfId="21036"/>
    <cellStyle name="Normal 9 61" xfId="11367"/>
    <cellStyle name="Normal 9 61 2" xfId="21037"/>
    <cellStyle name="Normal 9 62" xfId="11368"/>
    <cellStyle name="Normal 9 62 2" xfId="21038"/>
    <cellStyle name="Normal 9 63" xfId="11369"/>
    <cellStyle name="Normal 9 63 2" xfId="21039"/>
    <cellStyle name="Normal 9 64" xfId="11370"/>
    <cellStyle name="Normal 9 64 2" xfId="21040"/>
    <cellStyle name="Normal 9 65" xfId="11371"/>
    <cellStyle name="Normal 9 65 2" xfId="21041"/>
    <cellStyle name="Normal 9 66" xfId="11372"/>
    <cellStyle name="Normal 9 66 2" xfId="21042"/>
    <cellStyle name="Normal 9 67" xfId="11373"/>
    <cellStyle name="Normal 9 67 2" xfId="21043"/>
    <cellStyle name="Normal 9 68" xfId="11374"/>
    <cellStyle name="Normal 9 68 2" xfId="21044"/>
    <cellStyle name="Normal 9 69" xfId="11375"/>
    <cellStyle name="Normal 9 69 2" xfId="21045"/>
    <cellStyle name="Normal 9 7" xfId="11376"/>
    <cellStyle name="Normal 9 7 2" xfId="21046"/>
    <cellStyle name="Normal 9 70" xfId="11377"/>
    <cellStyle name="Normal 9 70 2" xfId="21047"/>
    <cellStyle name="Normal 9 71" xfId="11378"/>
    <cellStyle name="Normal 9 71 2" xfId="21048"/>
    <cellStyle name="Normal 9 72" xfId="11379"/>
    <cellStyle name="Normal 9 72 2" xfId="21049"/>
    <cellStyle name="Normal 9 73" xfId="11380"/>
    <cellStyle name="Normal 9 73 2" xfId="21050"/>
    <cellStyle name="Normal 9 74" xfId="11381"/>
    <cellStyle name="Normal 9 74 2" xfId="21051"/>
    <cellStyle name="Normal 9 75" xfId="11382"/>
    <cellStyle name="Normal 9 75 2" xfId="21052"/>
    <cellStyle name="Normal 9 76" xfId="11383"/>
    <cellStyle name="Normal 9 76 2" xfId="21053"/>
    <cellStyle name="Normal 9 77" xfId="11384"/>
    <cellStyle name="Normal 9 77 2" xfId="21054"/>
    <cellStyle name="Normal 9 78" xfId="11385"/>
    <cellStyle name="Normal 9 78 2" xfId="21055"/>
    <cellStyle name="Normal 9 79" xfId="11386"/>
    <cellStyle name="Normal 9 79 2" xfId="21056"/>
    <cellStyle name="Normal 9 8" xfId="11387"/>
    <cellStyle name="Normal 9 8 2" xfId="21057"/>
    <cellStyle name="Normal 9 80" xfId="11388"/>
    <cellStyle name="Normal 9 80 2" xfId="21058"/>
    <cellStyle name="Normal 9 81" xfId="11389"/>
    <cellStyle name="Normal 9 81 2" xfId="21059"/>
    <cellStyle name="Normal 9 82" xfId="11390"/>
    <cellStyle name="Normal 9 82 2" xfId="21060"/>
    <cellStyle name="Normal 9 83" xfId="11391"/>
    <cellStyle name="Normal 9 83 2" xfId="21061"/>
    <cellStyle name="Normal 9 84" xfId="11392"/>
    <cellStyle name="Normal 9 84 2" xfId="21062"/>
    <cellStyle name="Normal 9 85" xfId="11393"/>
    <cellStyle name="Normal 9 85 2" xfId="21063"/>
    <cellStyle name="Normal 9 86" xfId="11394"/>
    <cellStyle name="Normal 9 86 2" xfId="21064"/>
    <cellStyle name="Normal 9 87" xfId="11395"/>
    <cellStyle name="Normal 9 87 2" xfId="21065"/>
    <cellStyle name="Normal 9 88" xfId="11396"/>
    <cellStyle name="Normal 9 88 2" xfId="21066"/>
    <cellStyle name="Normal 9 89" xfId="11397"/>
    <cellStyle name="Normal 9 89 2" xfId="21067"/>
    <cellStyle name="Normal 9 9" xfId="11398"/>
    <cellStyle name="Normal 9 9 2" xfId="21068"/>
    <cellStyle name="Normal 9 90" xfId="11399"/>
    <cellStyle name="Normal 9 90 2" xfId="21069"/>
    <cellStyle name="Normal 9 91" xfId="11400"/>
    <cellStyle name="Normal 9 91 2" xfId="21070"/>
    <cellStyle name="Normal 9 92" xfId="21071"/>
    <cellStyle name="Normal 9 93" xfId="33655"/>
    <cellStyle name="Normal 90" xfId="11401"/>
    <cellStyle name="Normal 90 2" xfId="11402"/>
    <cellStyle name="Normal 90 2 2" xfId="11403"/>
    <cellStyle name="Normal 90 3" xfId="11404"/>
    <cellStyle name="Normal 91" xfId="11405"/>
    <cellStyle name="Normal 91 2" xfId="11406"/>
    <cellStyle name="Normal 91 2 2" xfId="11407"/>
    <cellStyle name="Normal 91 3" xfId="11408"/>
    <cellStyle name="Normal 92" xfId="11409"/>
    <cellStyle name="Normal 92 2" xfId="11410"/>
    <cellStyle name="Normal 93" xfId="11411"/>
    <cellStyle name="Normal 93 2" xfId="11412"/>
    <cellStyle name="Normal 94" xfId="11413"/>
    <cellStyle name="Normal 94 2" xfId="11414"/>
    <cellStyle name="Normal 95" xfId="11415"/>
    <cellStyle name="Normal 95 2" xfId="11416"/>
    <cellStyle name="Normal 95 2 2" xfId="11417"/>
    <cellStyle name="Normal 95 3" xfId="11418"/>
    <cellStyle name="Normal 96" xfId="11419"/>
    <cellStyle name="Normal 96 2" xfId="11420"/>
    <cellStyle name="Normal 97" xfId="11421"/>
    <cellStyle name="Normal 97 2" xfId="11422"/>
    <cellStyle name="Normal 98" xfId="11423"/>
    <cellStyle name="Normal 98 2" xfId="11424"/>
    <cellStyle name="Normal 99" xfId="11425"/>
    <cellStyle name="Normal 99 2" xfId="11426"/>
    <cellStyle name="Normal FICA" xfId="11427"/>
    <cellStyle name="Normal FICA 2" xfId="11428"/>
    <cellStyle name="Normal FUI" xfId="11429"/>
    <cellStyle name="Normal FUI 2" xfId="11430"/>
    <cellStyle name="Normal Other Benefits" xfId="11431"/>
    <cellStyle name="Normal Other Benefits 2" xfId="11432"/>
    <cellStyle name="Note 2" xfId="11433"/>
    <cellStyle name="Note 2 2" xfId="11434"/>
    <cellStyle name="Note 2 2 2" xfId="11435"/>
    <cellStyle name="Note 2 2 2 2" xfId="11436"/>
    <cellStyle name="Note 2 2 2 3" xfId="11437"/>
    <cellStyle name="Note 2 2 2 3 2" xfId="21072"/>
    <cellStyle name="Note 2 2 2 3 2 2" xfId="32146"/>
    <cellStyle name="Note 2 2 2 3 3" xfId="32147"/>
    <cellStyle name="Note 2 2 2 4" xfId="21073"/>
    <cellStyle name="Note 2 2 2 4 2" xfId="32148"/>
    <cellStyle name="Note 2 2 2 5" xfId="32149"/>
    <cellStyle name="Note 2 2 3" xfId="11438"/>
    <cellStyle name="Note 2 2 4" xfId="11439"/>
    <cellStyle name="Note 2 2 4 2" xfId="21074"/>
    <cellStyle name="Note 2 2 4 2 2" xfId="32150"/>
    <cellStyle name="Note 2 2 4 3" xfId="32151"/>
    <cellStyle name="Note 2 2 5" xfId="21075"/>
    <cellStyle name="Note 2 2 5 2" xfId="32152"/>
    <cellStyle name="Note 2 2 6" xfId="32153"/>
    <cellStyle name="Note 2 3" xfId="11440"/>
    <cellStyle name="Note 2 3 2" xfId="11441"/>
    <cellStyle name="Note 2 3 2 2" xfId="11442"/>
    <cellStyle name="Note 2 3 2 3" xfId="11443"/>
    <cellStyle name="Note 2 3 2 3 2" xfId="21076"/>
    <cellStyle name="Note 2 3 2 3 2 2" xfId="32154"/>
    <cellStyle name="Note 2 3 2 3 3" xfId="32155"/>
    <cellStyle name="Note 2 3 2 4" xfId="21077"/>
    <cellStyle name="Note 2 3 2 4 2" xfId="32156"/>
    <cellStyle name="Note 2 3 2 5" xfId="32157"/>
    <cellStyle name="Note 2 3 3" xfId="11444"/>
    <cellStyle name="Note 2 3 4" xfId="11445"/>
    <cellStyle name="Note 2 3 4 2" xfId="21078"/>
    <cellStyle name="Note 2 3 4 2 2" xfId="32158"/>
    <cellStyle name="Note 2 3 4 3" xfId="32159"/>
    <cellStyle name="Note 2 3 5" xfId="21079"/>
    <cellStyle name="Note 2 3 5 2" xfId="32160"/>
    <cellStyle name="Note 2 3 6" xfId="32161"/>
    <cellStyle name="Note 2 4" xfId="11446"/>
    <cellStyle name="Note 2 4 2" xfId="11447"/>
    <cellStyle name="Note 2 4 2 2" xfId="11448"/>
    <cellStyle name="Note 2 4 2 3" xfId="11449"/>
    <cellStyle name="Note 2 4 2 3 2" xfId="21080"/>
    <cellStyle name="Note 2 4 2 3 2 2" xfId="32162"/>
    <cellStyle name="Note 2 4 2 3 3" xfId="32163"/>
    <cellStyle name="Note 2 4 2 4" xfId="21081"/>
    <cellStyle name="Note 2 4 2 4 2" xfId="32164"/>
    <cellStyle name="Note 2 4 2 5" xfId="32165"/>
    <cellStyle name="Note 2 4 3" xfId="11450"/>
    <cellStyle name="Note 2 4 4" xfId="11451"/>
    <cellStyle name="Note 2 4 4 2" xfId="21082"/>
    <cellStyle name="Note 2 4 4 2 2" xfId="32166"/>
    <cellStyle name="Note 2 4 4 3" xfId="32167"/>
    <cellStyle name="Note 2 4 5" xfId="21083"/>
    <cellStyle name="Note 2 4 5 2" xfId="32168"/>
    <cellStyle name="Note 2 4 6" xfId="32169"/>
    <cellStyle name="Note 2 5" xfId="11452"/>
    <cellStyle name="Note 2 5 2" xfId="11453"/>
    <cellStyle name="Note 2 5 3" xfId="11454"/>
    <cellStyle name="Note 2 5 3 2" xfId="21084"/>
    <cellStyle name="Note 2 5 3 2 2" xfId="32170"/>
    <cellStyle name="Note 2 5 3 3" xfId="32171"/>
    <cellStyle name="Note 2 5 4" xfId="21085"/>
    <cellStyle name="Note 2 5 4 2" xfId="32172"/>
    <cellStyle name="Note 2 5 5" xfId="32173"/>
    <cellStyle name="Note 2 6" xfId="11455"/>
    <cellStyle name="Note 2 7" xfId="11456"/>
    <cellStyle name="Note 2 7 2" xfId="21086"/>
    <cellStyle name="Note 2 7 2 2" xfId="32174"/>
    <cellStyle name="Note 2 7 3" xfId="32175"/>
    <cellStyle name="Note 2 8" xfId="21087"/>
    <cellStyle name="Note 2 8 2" xfId="32176"/>
    <cellStyle name="Note 2 9" xfId="32177"/>
    <cellStyle name="Note 3" xfId="11457"/>
    <cellStyle name="Note 3 2" xfId="11458"/>
    <cellStyle name="Note 3 2 2" xfId="11459"/>
    <cellStyle name="Note 3 2 3" xfId="32178"/>
    <cellStyle name="Note 3 3" xfId="11460"/>
    <cellStyle name="Note 3 4" xfId="11461"/>
    <cellStyle name="Note 3 5" xfId="11462"/>
    <cellStyle name="Note 3 5 2" xfId="21088"/>
    <cellStyle name="Note 3 5 2 2" xfId="32179"/>
    <cellStyle name="Note 3 5 3" xfId="32180"/>
    <cellStyle name="Note 3 6" xfId="21089"/>
    <cellStyle name="Note 3 6 2" xfId="32181"/>
    <cellStyle name="Note 3 7" xfId="32182"/>
    <cellStyle name="Note 4" xfId="11463"/>
    <cellStyle name="Note 4 2" xfId="11464"/>
    <cellStyle name="Note 4 2 2" xfId="11465"/>
    <cellStyle name="Note 4 2 3" xfId="32183"/>
    <cellStyle name="Note 4 3" xfId="11466"/>
    <cellStyle name="Note 4 4" xfId="11467"/>
    <cellStyle name="Note 4 4 2" xfId="21090"/>
    <cellStyle name="Note 4 4 2 2" xfId="32184"/>
    <cellStyle name="Note 4 4 3" xfId="32185"/>
    <cellStyle name="Note 4 5" xfId="21091"/>
    <cellStyle name="Note 4 5 2" xfId="32186"/>
    <cellStyle name="Note 4 6" xfId="32187"/>
    <cellStyle name="Output 2" xfId="11468"/>
    <cellStyle name="Output 2 2" xfId="11469"/>
    <cellStyle name="Output 3" xfId="11470"/>
    <cellStyle name="Output 3 2" xfId="11471"/>
    <cellStyle name="Output 4" xfId="11472"/>
    <cellStyle name="Output 4 2" xfId="11473"/>
    <cellStyle name="Output 5" xfId="11474"/>
    <cellStyle name="Output 5 2" xfId="11475"/>
    <cellStyle name="Output 6" xfId="11476"/>
    <cellStyle name="Output Amounts" xfId="11477"/>
    <cellStyle name="Output Amounts 2" xfId="11478"/>
    <cellStyle name="Output Column Headings" xfId="11479"/>
    <cellStyle name="Output Column Headings 2" xfId="11480"/>
    <cellStyle name="Output Line Items" xfId="11481"/>
    <cellStyle name="Output Line Items 2" xfId="11482"/>
    <cellStyle name="Output Report Heading" xfId="11483"/>
    <cellStyle name="Output Report Heading 2" xfId="11484"/>
    <cellStyle name="Output Report Title" xfId="11485"/>
    <cellStyle name="Output Report Title 2" xfId="11486"/>
    <cellStyle name="Percent" xfId="33722" builtinId="5"/>
    <cellStyle name="Percent 10" xfId="117"/>
    <cellStyle name="Percent 10 2" xfId="11487"/>
    <cellStyle name="Percent 10 2 2" xfId="11488"/>
    <cellStyle name="Percent 10 3" xfId="11489"/>
    <cellStyle name="Percent 11" xfId="11490"/>
    <cellStyle name="Percent 11 2" xfId="11491"/>
    <cellStyle name="Percent 11 2 2" xfId="11492"/>
    <cellStyle name="Percent 11 3" xfId="11493"/>
    <cellStyle name="Percent 12" xfId="11494"/>
    <cellStyle name="Percent 12 2" xfId="11495"/>
    <cellStyle name="Percent 12 2 2" xfId="11496"/>
    <cellStyle name="Percent 12 3" xfId="11497"/>
    <cellStyle name="Percent 13" xfId="11498"/>
    <cellStyle name="Percent 13 2" xfId="11499"/>
    <cellStyle name="Percent 13 2 2" xfId="11500"/>
    <cellStyle name="Percent 13 3" xfId="11501"/>
    <cellStyle name="Percent 14" xfId="11502"/>
    <cellStyle name="Percent 14 2" xfId="11503"/>
    <cellStyle name="Percent 14 2 2" xfId="11504"/>
    <cellStyle name="Percent 14 3" xfId="11505"/>
    <cellStyle name="Percent 15" xfId="11506"/>
    <cellStyle name="Percent 15 2" xfId="11507"/>
    <cellStyle name="Percent 15 2 2" xfId="11508"/>
    <cellStyle name="Percent 15 3" xfId="11509"/>
    <cellStyle name="Percent 16" xfId="11510"/>
    <cellStyle name="Percent 16 2" xfId="11511"/>
    <cellStyle name="Percent 16 2 2" xfId="11512"/>
    <cellStyle name="Percent 16 3" xfId="11513"/>
    <cellStyle name="Percent 17" xfId="11514"/>
    <cellStyle name="Percent 17 2" xfId="11515"/>
    <cellStyle name="Percent 17 2 2" xfId="11516"/>
    <cellStyle name="Percent 17 3" xfId="11517"/>
    <cellStyle name="Percent 18" xfId="11518"/>
    <cellStyle name="Percent 18 2" xfId="11519"/>
    <cellStyle name="Percent 18 2 2" xfId="11520"/>
    <cellStyle name="Percent 18 3" xfId="11521"/>
    <cellStyle name="Percent 19" xfId="11522"/>
    <cellStyle name="Percent 19 2" xfId="11523"/>
    <cellStyle name="Percent 19 2 2" xfId="11524"/>
    <cellStyle name="Percent 19 3" xfId="11525"/>
    <cellStyle name="Percent 19 4" xfId="21092"/>
    <cellStyle name="Percent 19 4 2" xfId="21093"/>
    <cellStyle name="Percent 19 4 2 2" xfId="32188"/>
    <cellStyle name="Percent 19 4 3" xfId="32189"/>
    <cellStyle name="Percent 19 4 4 2" xfId="33751"/>
    <cellStyle name="Percent 19 5" xfId="33777"/>
    <cellStyle name="Percent 2" xfId="64"/>
    <cellStyle name="Percent 2 10" xfId="11526"/>
    <cellStyle name="Percent 2 10 2" xfId="11527"/>
    <cellStyle name="Percent 2 10 2 2" xfId="11528"/>
    <cellStyle name="Percent 2 10 3" xfId="11529"/>
    <cellStyle name="Percent 2 10 3 2" xfId="11530"/>
    <cellStyle name="Percent 2 10 3 3" xfId="33610"/>
    <cellStyle name="Percent 2 10 3 4" xfId="33626"/>
    <cellStyle name="Percent 2 10 3 4 2" xfId="33690"/>
    <cellStyle name="Percent 2 10 3 4 2 2" xfId="33744"/>
    <cellStyle name="Percent 2 10 3 4 3" xfId="33705"/>
    <cellStyle name="Percent 2 10 3 4 3 2" xfId="33724"/>
    <cellStyle name="Percent 2 10 3 4 3 2 2" xfId="33728"/>
    <cellStyle name="Percent 2 10 3 5 2" xfId="33749"/>
    <cellStyle name="Percent 2 10 4" xfId="11531"/>
    <cellStyle name="Percent 2 100" xfId="11532"/>
    <cellStyle name="Percent 2 100 2" xfId="11533"/>
    <cellStyle name="Percent 2 101" xfId="11534"/>
    <cellStyle name="Percent 2 101 2" xfId="11535"/>
    <cellStyle name="Percent 2 102" xfId="11536"/>
    <cellStyle name="Percent 2 102 2" xfId="11537"/>
    <cellStyle name="Percent 2 103" xfId="11538"/>
    <cellStyle name="Percent 2 103 2" xfId="11539"/>
    <cellStyle name="Percent 2 104" xfId="11540"/>
    <cellStyle name="Percent 2 104 2" xfId="11541"/>
    <cellStyle name="Percent 2 105" xfId="11542"/>
    <cellStyle name="Percent 2 105 2" xfId="11543"/>
    <cellStyle name="Percent 2 105 3" xfId="33620"/>
    <cellStyle name="Percent 2 105 3 2" xfId="33676"/>
    <cellStyle name="Percent 2 105 3 2 2" xfId="33715"/>
    <cellStyle name="Percent 2 105 3 2 2 2" xfId="33780"/>
    <cellStyle name="Percent 2 105 3 3" xfId="33694"/>
    <cellStyle name="Percent 2 105 3 4" xfId="33695"/>
    <cellStyle name="Percent 2 105 4" xfId="33684"/>
    <cellStyle name="Percent 2 105 4 2" xfId="33710"/>
    <cellStyle name="Percent 2 106" xfId="11544"/>
    <cellStyle name="Percent 2 106 2" xfId="11545"/>
    <cellStyle name="Percent 2 107" xfId="11546"/>
    <cellStyle name="Percent 2 107 2" xfId="11547"/>
    <cellStyle name="Percent 2 108" xfId="11548"/>
    <cellStyle name="Percent 2 108 2" xfId="11549"/>
    <cellStyle name="Percent 2 109" xfId="11550"/>
    <cellStyle name="Percent 2 109 2" xfId="11551"/>
    <cellStyle name="Percent 2 11" xfId="11552"/>
    <cellStyle name="Percent 2 11 2" xfId="11553"/>
    <cellStyle name="Percent 2 11 2 2" xfId="11554"/>
    <cellStyle name="Percent 2 11 3" xfId="11555"/>
    <cellStyle name="Percent 2 11 3 2" xfId="11556"/>
    <cellStyle name="Percent 2 11 4" xfId="11557"/>
    <cellStyle name="Percent 2 110" xfId="11558"/>
    <cellStyle name="Percent 2 110 2" xfId="11559"/>
    <cellStyle name="Percent 2 111" xfId="11560"/>
    <cellStyle name="Percent 2 111 2" xfId="11561"/>
    <cellStyle name="Percent 2 112" xfId="11562"/>
    <cellStyle name="Percent 2 112 2" xfId="11563"/>
    <cellStyle name="Percent 2 113" xfId="11564"/>
    <cellStyle name="Percent 2 113 2" xfId="11565"/>
    <cellStyle name="Percent 2 114" xfId="11566"/>
    <cellStyle name="Percent 2 114 2" xfId="11567"/>
    <cellStyle name="Percent 2 115" xfId="11568"/>
    <cellStyle name="Percent 2 115 2" xfId="11569"/>
    <cellStyle name="Percent 2 116" xfId="11570"/>
    <cellStyle name="Percent 2 116 2" xfId="11571"/>
    <cellStyle name="Percent 2 117" xfId="11572"/>
    <cellStyle name="Percent 2 117 2" xfId="11573"/>
    <cellStyle name="Percent 2 118" xfId="11574"/>
    <cellStyle name="Percent 2 118 2" xfId="11575"/>
    <cellStyle name="Percent 2 119" xfId="11576"/>
    <cellStyle name="Percent 2 119 2" xfId="11577"/>
    <cellStyle name="Percent 2 12" xfId="11578"/>
    <cellStyle name="Percent 2 12 2" xfId="11579"/>
    <cellStyle name="Percent 2 12 2 2" xfId="11580"/>
    <cellStyle name="Percent 2 12 3" xfId="11581"/>
    <cellStyle name="Percent 2 12 3 2" xfId="11582"/>
    <cellStyle name="Percent 2 12 4" xfId="11583"/>
    <cellStyle name="Percent 2 120" xfId="11584"/>
    <cellStyle name="Percent 2 120 2" xfId="11585"/>
    <cellStyle name="Percent 2 121" xfId="11586"/>
    <cellStyle name="Percent 2 121 2" xfId="11587"/>
    <cellStyle name="Percent 2 122" xfId="11588"/>
    <cellStyle name="Percent 2 122 2" xfId="11589"/>
    <cellStyle name="Percent 2 123" xfId="11590"/>
    <cellStyle name="Percent 2 123 2" xfId="11591"/>
    <cellStyle name="Percent 2 124" xfId="11592"/>
    <cellStyle name="Percent 2 124 2" xfId="11593"/>
    <cellStyle name="Percent 2 125" xfId="11594"/>
    <cellStyle name="Percent 2 125 2" xfId="11595"/>
    <cellStyle name="Percent 2 126" xfId="11596"/>
    <cellStyle name="Percent 2 126 2" xfId="11597"/>
    <cellStyle name="Percent 2 127" xfId="11598"/>
    <cellStyle name="Percent 2 127 2" xfId="11599"/>
    <cellStyle name="Percent 2 128" xfId="11600"/>
    <cellStyle name="Percent 2 128 2" xfId="11601"/>
    <cellStyle name="Percent 2 129" xfId="11602"/>
    <cellStyle name="Percent 2 129 2" xfId="11603"/>
    <cellStyle name="Percent 2 13" xfId="11604"/>
    <cellStyle name="Percent 2 13 2" xfId="11605"/>
    <cellStyle name="Percent 2 13 2 2" xfId="11606"/>
    <cellStyle name="Percent 2 13 3" xfId="11607"/>
    <cellStyle name="Percent 2 13 3 2" xfId="11608"/>
    <cellStyle name="Percent 2 13 4" xfId="11609"/>
    <cellStyle name="Percent 2 130" xfId="11610"/>
    <cellStyle name="Percent 2 130 2" xfId="11611"/>
    <cellStyle name="Percent 2 131" xfId="11612"/>
    <cellStyle name="Percent 2 131 2" xfId="11613"/>
    <cellStyle name="Percent 2 132" xfId="11614"/>
    <cellStyle name="Percent 2 132 2" xfId="11615"/>
    <cellStyle name="Percent 2 133" xfId="11616"/>
    <cellStyle name="Percent 2 133 2" xfId="11617"/>
    <cellStyle name="Percent 2 134" xfId="11618"/>
    <cellStyle name="Percent 2 134 2" xfId="11619"/>
    <cellStyle name="Percent 2 135" xfId="11620"/>
    <cellStyle name="Percent 2 135 2" xfId="11621"/>
    <cellStyle name="Percent 2 136" xfId="11622"/>
    <cellStyle name="Percent 2 136 2" xfId="11623"/>
    <cellStyle name="Percent 2 137" xfId="11624"/>
    <cellStyle name="Percent 2 137 2" xfId="11625"/>
    <cellStyle name="Percent 2 138" xfId="11626"/>
    <cellStyle name="Percent 2 138 2" xfId="11627"/>
    <cellStyle name="Percent 2 139" xfId="11628"/>
    <cellStyle name="Percent 2 139 2" xfId="11629"/>
    <cellStyle name="Percent 2 14" xfId="11630"/>
    <cellStyle name="Percent 2 14 2" xfId="11631"/>
    <cellStyle name="Percent 2 14 2 2" xfId="11632"/>
    <cellStyle name="Percent 2 14 3" xfId="11633"/>
    <cellStyle name="Percent 2 14 3 2" xfId="11634"/>
    <cellStyle name="Percent 2 14 4" xfId="11635"/>
    <cellStyle name="Percent 2 140" xfId="11636"/>
    <cellStyle name="Percent 2 140 2" xfId="11637"/>
    <cellStyle name="Percent 2 141" xfId="11638"/>
    <cellStyle name="Percent 2 141 2" xfId="11639"/>
    <cellStyle name="Percent 2 142" xfId="11640"/>
    <cellStyle name="Percent 2 142 2" xfId="11641"/>
    <cellStyle name="Percent 2 143" xfId="11642"/>
    <cellStyle name="Percent 2 143 2" xfId="11643"/>
    <cellStyle name="Percent 2 144" xfId="11644"/>
    <cellStyle name="Percent 2 144 2" xfId="11645"/>
    <cellStyle name="Percent 2 145" xfId="11646"/>
    <cellStyle name="Percent 2 145 2" xfId="11647"/>
    <cellStyle name="Percent 2 146" xfId="11648"/>
    <cellStyle name="Percent 2 146 2" xfId="11649"/>
    <cellStyle name="Percent 2 147" xfId="11650"/>
    <cellStyle name="Percent 2 147 2" xfId="11651"/>
    <cellStyle name="Percent 2 148" xfId="11652"/>
    <cellStyle name="Percent 2 148 2" xfId="11653"/>
    <cellStyle name="Percent 2 149" xfId="11654"/>
    <cellStyle name="Percent 2 149 2" xfId="11655"/>
    <cellStyle name="Percent 2 15" xfId="11656"/>
    <cellStyle name="Percent 2 15 2" xfId="11657"/>
    <cellStyle name="Percent 2 15 2 2" xfId="11658"/>
    <cellStyle name="Percent 2 15 3" xfId="11659"/>
    <cellStyle name="Percent 2 15 3 2" xfId="11660"/>
    <cellStyle name="Percent 2 15 4" xfId="11661"/>
    <cellStyle name="Percent 2 150" xfId="11662"/>
    <cellStyle name="Percent 2 150 2" xfId="11663"/>
    <cellStyle name="Percent 2 151" xfId="11664"/>
    <cellStyle name="Percent 2 151 2" xfId="11665"/>
    <cellStyle name="Percent 2 151 2 2" xfId="32190"/>
    <cellStyle name="Percent 2 151 3" xfId="11666"/>
    <cellStyle name="Percent 2 151 3 2" xfId="21094"/>
    <cellStyle name="Percent 2 151 3 2 2" xfId="21095"/>
    <cellStyle name="Percent 2 151 3 2 2 2" xfId="32191"/>
    <cellStyle name="Percent 2 151 3 2 3" xfId="32192"/>
    <cellStyle name="Percent 2 151 3 3" xfId="21096"/>
    <cellStyle name="Percent 2 151 3 3 2" xfId="21097"/>
    <cellStyle name="Percent 2 151 3 3 2 2" xfId="32193"/>
    <cellStyle name="Percent 2 151 3 3 2 3 2" xfId="33742"/>
    <cellStyle name="Percent 2 151 3 3 3" xfId="32194"/>
    <cellStyle name="Percent 2 151 3 4" xfId="21098"/>
    <cellStyle name="Percent 2 151 3 4 2" xfId="32195"/>
    <cellStyle name="Percent 2 151 3 5" xfId="32196"/>
    <cellStyle name="Percent 2 151 4" xfId="21099"/>
    <cellStyle name="Percent 2 151 4 2" xfId="32197"/>
    <cellStyle name="Percent 2 151 5" xfId="32198"/>
    <cellStyle name="Percent 2 152" xfId="11667"/>
    <cellStyle name="Percent 2 152 2" xfId="11668"/>
    <cellStyle name="Percent 2 153" xfId="11669"/>
    <cellStyle name="Percent 2 154" xfId="11670"/>
    <cellStyle name="Percent 2 154 2" xfId="21100"/>
    <cellStyle name="Percent 2 154 2 2" xfId="32199"/>
    <cellStyle name="Percent 2 154 3" xfId="32200"/>
    <cellStyle name="Percent 2 155" xfId="11671"/>
    <cellStyle name="Percent 2 155 2" xfId="11672"/>
    <cellStyle name="Percent 2 155 2 2" xfId="21101"/>
    <cellStyle name="Percent 2 155 2 2 2" xfId="32201"/>
    <cellStyle name="Percent 2 155 2 3" xfId="32202"/>
    <cellStyle name="Percent 2 155 3" xfId="21102"/>
    <cellStyle name="Percent 2 155 3 2" xfId="21103"/>
    <cellStyle name="Percent 2 155 3 2 2" xfId="32203"/>
    <cellStyle name="Percent 2 155 3 3" xfId="32204"/>
    <cellStyle name="Percent 2 155 4" xfId="21104"/>
    <cellStyle name="Percent 2 155 4 2" xfId="21105"/>
    <cellStyle name="Percent 2 155 4 2 2" xfId="32205"/>
    <cellStyle name="Percent 2 155 4 3" xfId="32206"/>
    <cellStyle name="Percent 2 155 5" xfId="21106"/>
    <cellStyle name="Percent 2 155 5 2" xfId="32207"/>
    <cellStyle name="Percent 2 155 6" xfId="32208"/>
    <cellStyle name="Percent 2 156" xfId="21107"/>
    <cellStyle name="Percent 2 156 2" xfId="21108"/>
    <cellStyle name="Percent 2 156 2 2" xfId="32209"/>
    <cellStyle name="Percent 2 156 3" xfId="32210"/>
    <cellStyle name="Percent 2 157" xfId="33772"/>
    <cellStyle name="Percent 2 158" xfId="33737"/>
    <cellStyle name="Percent 2 158 2" xfId="33743"/>
    <cellStyle name="Percent 2 16" xfId="120"/>
    <cellStyle name="Percent 2 16 2" xfId="11673"/>
    <cellStyle name="Percent 2 16 2 2" xfId="11674"/>
    <cellStyle name="Percent 2 16 3" xfId="11675"/>
    <cellStyle name="Percent 2 16 3 2" xfId="11676"/>
    <cellStyle name="Percent 2 16 4" xfId="11677"/>
    <cellStyle name="Percent 2 17" xfId="11678"/>
    <cellStyle name="Percent 2 17 2" xfId="11679"/>
    <cellStyle name="Percent 2 17 2 2" xfId="11680"/>
    <cellStyle name="Percent 2 17 3" xfId="11681"/>
    <cellStyle name="Percent 2 17 3 2" xfId="11682"/>
    <cellStyle name="Percent 2 17 4" xfId="11683"/>
    <cellStyle name="Percent 2 18" xfId="11684"/>
    <cellStyle name="Percent 2 18 2" xfId="11685"/>
    <cellStyle name="Percent 2 18 2 2" xfId="11686"/>
    <cellStyle name="Percent 2 18 3" xfId="11687"/>
    <cellStyle name="Percent 2 18 3 2" xfId="11688"/>
    <cellStyle name="Percent 2 18 4" xfId="11689"/>
    <cellStyle name="Percent 2 19" xfId="11690"/>
    <cellStyle name="Percent 2 19 2" xfId="11691"/>
    <cellStyle name="Percent 2 19 2 2" xfId="11692"/>
    <cellStyle name="Percent 2 19 3" xfId="11693"/>
    <cellStyle name="Percent 2 19 3 2" xfId="11694"/>
    <cellStyle name="Percent 2 19 4" xfId="11695"/>
    <cellStyle name="Percent 2 2" xfId="11696"/>
    <cellStyle name="Percent 2 2 10" xfId="11697"/>
    <cellStyle name="Percent 2 2 10 2" xfId="11698"/>
    <cellStyle name="Percent 2 2 11" xfId="11699"/>
    <cellStyle name="Percent 2 2 11 2" xfId="11700"/>
    <cellStyle name="Percent 2 2 12" xfId="11701"/>
    <cellStyle name="Percent 2 2 12 2" xfId="11702"/>
    <cellStyle name="Percent 2 2 12 2 2" xfId="11703"/>
    <cellStyle name="Percent 2 2 12 2 2 2" xfId="32211"/>
    <cellStyle name="Percent 2 2 12 2 3" xfId="11704"/>
    <cellStyle name="Percent 2 2 12 2 3 2" xfId="21109"/>
    <cellStyle name="Percent 2 2 12 2 3 2 2" xfId="32212"/>
    <cellStyle name="Percent 2 2 12 2 3 3" xfId="32213"/>
    <cellStyle name="Percent 2 2 12 2 4" xfId="21110"/>
    <cellStyle name="Percent 2 2 12 2 4 2" xfId="32214"/>
    <cellStyle name="Percent 2 2 12 2 5" xfId="32215"/>
    <cellStyle name="Percent 2 2 12 3" xfId="11705"/>
    <cellStyle name="Percent 2 2 12 3 2" xfId="11706"/>
    <cellStyle name="Percent 2 2 12 3 3" xfId="32216"/>
    <cellStyle name="Percent 2 2 12 4" xfId="11707"/>
    <cellStyle name="Percent 2 2 12 5" xfId="11708"/>
    <cellStyle name="Percent 2 2 12 5 2" xfId="21111"/>
    <cellStyle name="Percent 2 2 12 5 2 2" xfId="32217"/>
    <cellStyle name="Percent 2 2 12 5 3" xfId="32218"/>
    <cellStyle name="Percent 2 2 12 6" xfId="21112"/>
    <cellStyle name="Percent 2 2 12 6 2" xfId="32219"/>
    <cellStyle name="Percent 2 2 12 7" xfId="32220"/>
    <cellStyle name="Percent 2 2 13" xfId="11709"/>
    <cellStyle name="Percent 2 2 13 2" xfId="11710"/>
    <cellStyle name="Percent 2 2 13 2 2" xfId="11711"/>
    <cellStyle name="Percent 2 2 13 2 2 2" xfId="32221"/>
    <cellStyle name="Percent 2 2 13 2 3" xfId="11712"/>
    <cellStyle name="Percent 2 2 13 2 3 2" xfId="21113"/>
    <cellStyle name="Percent 2 2 13 2 3 2 2" xfId="32222"/>
    <cellStyle name="Percent 2 2 13 2 3 3" xfId="32223"/>
    <cellStyle name="Percent 2 2 13 2 4" xfId="21114"/>
    <cellStyle name="Percent 2 2 13 2 4 2" xfId="32224"/>
    <cellStyle name="Percent 2 2 13 2 5" xfId="32225"/>
    <cellStyle name="Percent 2 2 13 3" xfId="11713"/>
    <cellStyle name="Percent 2 2 13 3 2" xfId="11714"/>
    <cellStyle name="Percent 2 2 13 3 3" xfId="32226"/>
    <cellStyle name="Percent 2 2 13 4" xfId="11715"/>
    <cellStyle name="Percent 2 2 13 5" xfId="11716"/>
    <cellStyle name="Percent 2 2 13 5 2" xfId="21115"/>
    <cellStyle name="Percent 2 2 13 5 2 2" xfId="32227"/>
    <cellStyle name="Percent 2 2 13 5 3" xfId="32228"/>
    <cellStyle name="Percent 2 2 13 6" xfId="21116"/>
    <cellStyle name="Percent 2 2 13 6 2" xfId="32229"/>
    <cellStyle name="Percent 2 2 13 7" xfId="32230"/>
    <cellStyle name="Percent 2 2 14" xfId="11717"/>
    <cellStyle name="Percent 2 2 14 2" xfId="11718"/>
    <cellStyle name="Percent 2 2 14 2 2" xfId="11719"/>
    <cellStyle name="Percent 2 2 14 2 2 2" xfId="32231"/>
    <cellStyle name="Percent 2 2 14 2 3" xfId="11720"/>
    <cellStyle name="Percent 2 2 14 2 3 2" xfId="21117"/>
    <cellStyle name="Percent 2 2 14 2 3 2 2" xfId="32232"/>
    <cellStyle name="Percent 2 2 14 2 3 3" xfId="32233"/>
    <cellStyle name="Percent 2 2 14 2 4" xfId="21118"/>
    <cellStyle name="Percent 2 2 14 2 4 2" xfId="32234"/>
    <cellStyle name="Percent 2 2 14 2 5" xfId="32235"/>
    <cellStyle name="Percent 2 2 14 3" xfId="11721"/>
    <cellStyle name="Percent 2 2 14 3 2" xfId="11722"/>
    <cellStyle name="Percent 2 2 14 3 3" xfId="32236"/>
    <cellStyle name="Percent 2 2 14 4" xfId="11723"/>
    <cellStyle name="Percent 2 2 14 5" xfId="11724"/>
    <cellStyle name="Percent 2 2 14 5 2" xfId="21119"/>
    <cellStyle name="Percent 2 2 14 5 2 2" xfId="32237"/>
    <cellStyle name="Percent 2 2 14 5 3" xfId="32238"/>
    <cellStyle name="Percent 2 2 14 6" xfId="21120"/>
    <cellStyle name="Percent 2 2 14 6 2" xfId="32239"/>
    <cellStyle name="Percent 2 2 14 7" xfId="32240"/>
    <cellStyle name="Percent 2 2 15" xfId="11725"/>
    <cellStyle name="Percent 2 2 15 2" xfId="11726"/>
    <cellStyle name="Percent 2 2 15 2 2" xfId="11727"/>
    <cellStyle name="Percent 2 2 15 2 2 2" xfId="32241"/>
    <cellStyle name="Percent 2 2 15 2 3" xfId="11728"/>
    <cellStyle name="Percent 2 2 15 2 3 2" xfId="21121"/>
    <cellStyle name="Percent 2 2 15 2 3 2 2" xfId="32242"/>
    <cellStyle name="Percent 2 2 15 2 3 3" xfId="32243"/>
    <cellStyle name="Percent 2 2 15 2 4" xfId="21122"/>
    <cellStyle name="Percent 2 2 15 2 4 2" xfId="32244"/>
    <cellStyle name="Percent 2 2 15 2 5" xfId="32245"/>
    <cellStyle name="Percent 2 2 15 3" xfId="11729"/>
    <cellStyle name="Percent 2 2 15 3 2" xfId="11730"/>
    <cellStyle name="Percent 2 2 15 3 3" xfId="32246"/>
    <cellStyle name="Percent 2 2 15 4" xfId="11731"/>
    <cellStyle name="Percent 2 2 15 5" xfId="11732"/>
    <cellStyle name="Percent 2 2 15 5 2" xfId="21123"/>
    <cellStyle name="Percent 2 2 15 5 2 2" xfId="32247"/>
    <cellStyle name="Percent 2 2 15 5 3" xfId="32248"/>
    <cellStyle name="Percent 2 2 15 6" xfId="21124"/>
    <cellStyle name="Percent 2 2 15 6 2" xfId="32249"/>
    <cellStyle name="Percent 2 2 15 7" xfId="32250"/>
    <cellStyle name="Percent 2 2 16" xfId="11733"/>
    <cellStyle name="Percent 2 2 16 2" xfId="11734"/>
    <cellStyle name="Percent 2 2 16 2 2" xfId="11735"/>
    <cellStyle name="Percent 2 2 16 2 2 2" xfId="32251"/>
    <cellStyle name="Percent 2 2 16 2 3" xfId="11736"/>
    <cellStyle name="Percent 2 2 16 2 3 2" xfId="21125"/>
    <cellStyle name="Percent 2 2 16 2 3 2 2" xfId="32252"/>
    <cellStyle name="Percent 2 2 16 2 3 3" xfId="32253"/>
    <cellStyle name="Percent 2 2 16 2 4" xfId="21126"/>
    <cellStyle name="Percent 2 2 16 2 4 2" xfId="32254"/>
    <cellStyle name="Percent 2 2 16 2 5" xfId="32255"/>
    <cellStyle name="Percent 2 2 16 3" xfId="11737"/>
    <cellStyle name="Percent 2 2 16 3 2" xfId="11738"/>
    <cellStyle name="Percent 2 2 16 3 3" xfId="32256"/>
    <cellStyle name="Percent 2 2 16 4" xfId="11739"/>
    <cellStyle name="Percent 2 2 16 5" xfId="11740"/>
    <cellStyle name="Percent 2 2 16 5 2" xfId="21127"/>
    <cellStyle name="Percent 2 2 16 5 2 2" xfId="32257"/>
    <cellStyle name="Percent 2 2 16 5 3" xfId="32258"/>
    <cellStyle name="Percent 2 2 16 6" xfId="21128"/>
    <cellStyle name="Percent 2 2 16 6 2" xfId="32259"/>
    <cellStyle name="Percent 2 2 16 7" xfId="32260"/>
    <cellStyle name="Percent 2 2 17" xfId="11741"/>
    <cellStyle name="Percent 2 2 17 2" xfId="11742"/>
    <cellStyle name="Percent 2 2 17 2 2" xfId="11743"/>
    <cellStyle name="Percent 2 2 17 2 2 2" xfId="32261"/>
    <cellStyle name="Percent 2 2 17 2 3" xfId="11744"/>
    <cellStyle name="Percent 2 2 17 2 3 2" xfId="21129"/>
    <cellStyle name="Percent 2 2 17 2 3 2 2" xfId="32262"/>
    <cellStyle name="Percent 2 2 17 2 3 3" xfId="32263"/>
    <cellStyle name="Percent 2 2 17 2 4" xfId="21130"/>
    <cellStyle name="Percent 2 2 17 2 4 2" xfId="32264"/>
    <cellStyle name="Percent 2 2 17 2 5" xfId="32265"/>
    <cellStyle name="Percent 2 2 17 3" xfId="11745"/>
    <cellStyle name="Percent 2 2 17 3 2" xfId="11746"/>
    <cellStyle name="Percent 2 2 17 3 3" xfId="32266"/>
    <cellStyle name="Percent 2 2 17 4" xfId="11747"/>
    <cellStyle name="Percent 2 2 17 5" xfId="11748"/>
    <cellStyle name="Percent 2 2 17 5 2" xfId="21131"/>
    <cellStyle name="Percent 2 2 17 5 2 2" xfId="32267"/>
    <cellStyle name="Percent 2 2 17 5 3" xfId="32268"/>
    <cellStyle name="Percent 2 2 17 6" xfId="21132"/>
    <cellStyle name="Percent 2 2 17 6 2" xfId="32269"/>
    <cellStyle name="Percent 2 2 17 7" xfId="32270"/>
    <cellStyle name="Percent 2 2 18" xfId="11749"/>
    <cellStyle name="Percent 2 2 18 2" xfId="11750"/>
    <cellStyle name="Percent 2 2 18 2 2" xfId="11751"/>
    <cellStyle name="Percent 2 2 18 2 2 2" xfId="32271"/>
    <cellStyle name="Percent 2 2 18 2 3" xfId="11752"/>
    <cellStyle name="Percent 2 2 18 2 3 2" xfId="21133"/>
    <cellStyle name="Percent 2 2 18 2 3 2 2" xfId="32272"/>
    <cellStyle name="Percent 2 2 18 2 3 3" xfId="32273"/>
    <cellStyle name="Percent 2 2 18 2 4" xfId="21134"/>
    <cellStyle name="Percent 2 2 18 2 4 2" xfId="32274"/>
    <cellStyle name="Percent 2 2 18 2 5" xfId="32275"/>
    <cellStyle name="Percent 2 2 18 3" xfId="11753"/>
    <cellStyle name="Percent 2 2 18 3 2" xfId="32276"/>
    <cellStyle name="Percent 2 2 18 4" xfId="11754"/>
    <cellStyle name="Percent 2 2 18 4 2" xfId="21135"/>
    <cellStyle name="Percent 2 2 18 4 2 2" xfId="32277"/>
    <cellStyle name="Percent 2 2 18 4 3" xfId="32278"/>
    <cellStyle name="Percent 2 2 18 5" xfId="21136"/>
    <cellStyle name="Percent 2 2 18 5 2" xfId="32279"/>
    <cellStyle name="Percent 2 2 18 6" xfId="32280"/>
    <cellStyle name="Percent 2 2 19" xfId="11755"/>
    <cellStyle name="Percent 2 2 19 2" xfId="11756"/>
    <cellStyle name="Percent 2 2 19 2 2" xfId="11757"/>
    <cellStyle name="Percent 2 2 19 2 2 2" xfId="32281"/>
    <cellStyle name="Percent 2 2 19 2 3" xfId="11758"/>
    <cellStyle name="Percent 2 2 19 2 3 2" xfId="21137"/>
    <cellStyle name="Percent 2 2 19 2 3 2 2" xfId="32282"/>
    <cellStyle name="Percent 2 2 19 2 3 3" xfId="32283"/>
    <cellStyle name="Percent 2 2 19 2 4" xfId="21138"/>
    <cellStyle name="Percent 2 2 19 2 4 2" xfId="32284"/>
    <cellStyle name="Percent 2 2 19 2 5" xfId="32285"/>
    <cellStyle name="Percent 2 2 19 3" xfId="11759"/>
    <cellStyle name="Percent 2 2 19 3 2" xfId="32286"/>
    <cellStyle name="Percent 2 2 19 4" xfId="11760"/>
    <cellStyle name="Percent 2 2 19 4 2" xfId="21139"/>
    <cellStyle name="Percent 2 2 19 4 2 2" xfId="32287"/>
    <cellStyle name="Percent 2 2 19 4 3" xfId="32288"/>
    <cellStyle name="Percent 2 2 19 5" xfId="21140"/>
    <cellStyle name="Percent 2 2 19 5 2" xfId="32289"/>
    <cellStyle name="Percent 2 2 19 6" xfId="32290"/>
    <cellStyle name="Percent 2 2 2" xfId="11761"/>
    <cellStyle name="Percent 2 2 2 10" xfId="11762"/>
    <cellStyle name="Percent 2 2 2 10 2" xfId="11763"/>
    <cellStyle name="Percent 2 2 2 10 2 2" xfId="11764"/>
    <cellStyle name="Percent 2 2 2 10 2 3" xfId="11765"/>
    <cellStyle name="Percent 2 2 2 10 2 3 2" xfId="21141"/>
    <cellStyle name="Percent 2 2 2 10 2 3 2 2" xfId="32291"/>
    <cellStyle name="Percent 2 2 2 10 2 3 3" xfId="32292"/>
    <cellStyle name="Percent 2 2 2 10 2 4" xfId="21142"/>
    <cellStyle name="Percent 2 2 2 10 2 4 2" xfId="32293"/>
    <cellStyle name="Percent 2 2 2 10 2 5" xfId="32294"/>
    <cellStyle name="Percent 2 2 2 10 3" xfId="11766"/>
    <cellStyle name="Percent 2 2 2 10 4" xfId="11767"/>
    <cellStyle name="Percent 2 2 2 10 4 2" xfId="21143"/>
    <cellStyle name="Percent 2 2 2 10 4 2 2" xfId="32295"/>
    <cellStyle name="Percent 2 2 2 10 4 3" xfId="32296"/>
    <cellStyle name="Percent 2 2 2 10 5" xfId="21144"/>
    <cellStyle name="Percent 2 2 2 10 5 2" xfId="32297"/>
    <cellStyle name="Percent 2 2 2 10 6" xfId="32298"/>
    <cellStyle name="Percent 2 2 2 11" xfId="11768"/>
    <cellStyle name="Percent 2 2 2 11 2" xfId="11769"/>
    <cellStyle name="Percent 2 2 2 12" xfId="11770"/>
    <cellStyle name="Percent 2 2 2 12 2" xfId="11771"/>
    <cellStyle name="Percent 2 2 2 13" xfId="11772"/>
    <cellStyle name="Percent 2 2 2 13 2" xfId="11773"/>
    <cellStyle name="Percent 2 2 2 14" xfId="11774"/>
    <cellStyle name="Percent 2 2 2 14 2" xfId="11775"/>
    <cellStyle name="Percent 2 2 2 15" xfId="11776"/>
    <cellStyle name="Percent 2 2 2 15 2" xfId="11777"/>
    <cellStyle name="Percent 2 2 2 16" xfId="11778"/>
    <cellStyle name="Percent 2 2 2 16 2" xfId="11779"/>
    <cellStyle name="Percent 2 2 2 17" xfId="11780"/>
    <cellStyle name="Percent 2 2 2 17 2" xfId="11781"/>
    <cellStyle name="Percent 2 2 2 18" xfId="11782"/>
    <cellStyle name="Percent 2 2 2 18 2" xfId="11783"/>
    <cellStyle name="Percent 2 2 2 19" xfId="11784"/>
    <cellStyle name="Percent 2 2 2 19 2" xfId="11785"/>
    <cellStyle name="Percent 2 2 2 2" xfId="11786"/>
    <cellStyle name="Percent 2 2 2 2 10" xfId="11787"/>
    <cellStyle name="Percent 2 2 2 2 10 2" xfId="11788"/>
    <cellStyle name="Percent 2 2 2 2 11" xfId="11789"/>
    <cellStyle name="Percent 2 2 2 2 11 2" xfId="11790"/>
    <cellStyle name="Percent 2 2 2 2 11 2 2" xfId="11791"/>
    <cellStyle name="Percent 2 2 2 2 11 2 3" xfId="11792"/>
    <cellStyle name="Percent 2 2 2 2 11 2 3 2" xfId="21145"/>
    <cellStyle name="Percent 2 2 2 2 11 2 3 2 2" xfId="32299"/>
    <cellStyle name="Percent 2 2 2 2 11 2 3 3" xfId="32300"/>
    <cellStyle name="Percent 2 2 2 2 11 2 4" xfId="21146"/>
    <cellStyle name="Percent 2 2 2 2 11 2 4 2" xfId="32301"/>
    <cellStyle name="Percent 2 2 2 2 11 2 5" xfId="32302"/>
    <cellStyle name="Percent 2 2 2 2 11 3" xfId="11793"/>
    <cellStyle name="Percent 2 2 2 2 11 4" xfId="11794"/>
    <cellStyle name="Percent 2 2 2 2 11 4 2" xfId="21147"/>
    <cellStyle name="Percent 2 2 2 2 11 4 2 2" xfId="32303"/>
    <cellStyle name="Percent 2 2 2 2 11 4 3" xfId="32304"/>
    <cellStyle name="Percent 2 2 2 2 11 5" xfId="21148"/>
    <cellStyle name="Percent 2 2 2 2 11 5 2" xfId="32305"/>
    <cellStyle name="Percent 2 2 2 2 11 6" xfId="32306"/>
    <cellStyle name="Percent 2 2 2 2 12" xfId="11795"/>
    <cellStyle name="Percent 2 2 2 2 12 2" xfId="11796"/>
    <cellStyle name="Percent 2 2 2 2 12 2 2" xfId="11797"/>
    <cellStyle name="Percent 2 2 2 2 12 2 3" xfId="11798"/>
    <cellStyle name="Percent 2 2 2 2 12 2 3 2" xfId="21149"/>
    <cellStyle name="Percent 2 2 2 2 12 2 3 2 2" xfId="32307"/>
    <cellStyle name="Percent 2 2 2 2 12 2 3 3" xfId="32308"/>
    <cellStyle name="Percent 2 2 2 2 12 2 4" xfId="21150"/>
    <cellStyle name="Percent 2 2 2 2 12 2 4 2" xfId="32309"/>
    <cellStyle name="Percent 2 2 2 2 12 2 5" xfId="32310"/>
    <cellStyle name="Percent 2 2 2 2 12 3" xfId="11799"/>
    <cellStyle name="Percent 2 2 2 2 12 4" xfId="11800"/>
    <cellStyle name="Percent 2 2 2 2 12 4 2" xfId="21151"/>
    <cellStyle name="Percent 2 2 2 2 12 4 2 2" xfId="32311"/>
    <cellStyle name="Percent 2 2 2 2 12 4 3" xfId="32312"/>
    <cellStyle name="Percent 2 2 2 2 12 5" xfId="21152"/>
    <cellStyle name="Percent 2 2 2 2 12 5 2" xfId="32313"/>
    <cellStyle name="Percent 2 2 2 2 12 6" xfId="32314"/>
    <cellStyle name="Percent 2 2 2 2 13" xfId="11801"/>
    <cellStyle name="Percent 2 2 2 2 13 2" xfId="11802"/>
    <cellStyle name="Percent 2 2 2 2 13 2 2" xfId="11803"/>
    <cellStyle name="Percent 2 2 2 2 13 2 3" xfId="11804"/>
    <cellStyle name="Percent 2 2 2 2 13 2 3 2" xfId="21153"/>
    <cellStyle name="Percent 2 2 2 2 13 2 3 2 2" xfId="32315"/>
    <cellStyle name="Percent 2 2 2 2 13 2 3 3" xfId="32316"/>
    <cellStyle name="Percent 2 2 2 2 13 2 4" xfId="21154"/>
    <cellStyle name="Percent 2 2 2 2 13 2 4 2" xfId="32317"/>
    <cellStyle name="Percent 2 2 2 2 13 2 5" xfId="32318"/>
    <cellStyle name="Percent 2 2 2 2 13 3" xfId="11805"/>
    <cellStyle name="Percent 2 2 2 2 13 4" xfId="11806"/>
    <cellStyle name="Percent 2 2 2 2 13 4 2" xfId="21155"/>
    <cellStyle name="Percent 2 2 2 2 13 4 2 2" xfId="32319"/>
    <cellStyle name="Percent 2 2 2 2 13 4 3" xfId="32320"/>
    <cellStyle name="Percent 2 2 2 2 13 5" xfId="21156"/>
    <cellStyle name="Percent 2 2 2 2 13 5 2" xfId="32321"/>
    <cellStyle name="Percent 2 2 2 2 13 6" xfId="32322"/>
    <cellStyle name="Percent 2 2 2 2 14" xfId="11807"/>
    <cellStyle name="Percent 2 2 2 2 14 2" xfId="11808"/>
    <cellStyle name="Percent 2 2 2 2 14 2 2" xfId="11809"/>
    <cellStyle name="Percent 2 2 2 2 14 2 3" xfId="11810"/>
    <cellStyle name="Percent 2 2 2 2 14 2 3 2" xfId="21157"/>
    <cellStyle name="Percent 2 2 2 2 14 2 3 2 2" xfId="32323"/>
    <cellStyle name="Percent 2 2 2 2 14 2 3 3" xfId="32324"/>
    <cellStyle name="Percent 2 2 2 2 14 2 4" xfId="21158"/>
    <cellStyle name="Percent 2 2 2 2 14 2 4 2" xfId="32325"/>
    <cellStyle name="Percent 2 2 2 2 14 2 5" xfId="32326"/>
    <cellStyle name="Percent 2 2 2 2 14 3" xfId="11811"/>
    <cellStyle name="Percent 2 2 2 2 14 4" xfId="11812"/>
    <cellStyle name="Percent 2 2 2 2 14 4 2" xfId="21159"/>
    <cellStyle name="Percent 2 2 2 2 14 4 2 2" xfId="32327"/>
    <cellStyle name="Percent 2 2 2 2 14 4 3" xfId="32328"/>
    <cellStyle name="Percent 2 2 2 2 14 5" xfId="21160"/>
    <cellStyle name="Percent 2 2 2 2 14 5 2" xfId="32329"/>
    <cellStyle name="Percent 2 2 2 2 14 6" xfId="32330"/>
    <cellStyle name="Percent 2 2 2 2 15" xfId="11813"/>
    <cellStyle name="Percent 2 2 2 2 15 2" xfId="11814"/>
    <cellStyle name="Percent 2 2 2 2 15 2 2" xfId="11815"/>
    <cellStyle name="Percent 2 2 2 2 15 2 3" xfId="11816"/>
    <cellStyle name="Percent 2 2 2 2 15 2 3 2" xfId="21161"/>
    <cellStyle name="Percent 2 2 2 2 15 2 3 2 2" xfId="32331"/>
    <cellStyle name="Percent 2 2 2 2 15 2 3 3" xfId="32332"/>
    <cellStyle name="Percent 2 2 2 2 15 2 4" xfId="21162"/>
    <cellStyle name="Percent 2 2 2 2 15 2 4 2" xfId="32333"/>
    <cellStyle name="Percent 2 2 2 2 15 2 5" xfId="32334"/>
    <cellStyle name="Percent 2 2 2 2 15 3" xfId="11817"/>
    <cellStyle name="Percent 2 2 2 2 15 4" xfId="11818"/>
    <cellStyle name="Percent 2 2 2 2 15 4 2" xfId="21163"/>
    <cellStyle name="Percent 2 2 2 2 15 4 2 2" xfId="32335"/>
    <cellStyle name="Percent 2 2 2 2 15 4 3" xfId="32336"/>
    <cellStyle name="Percent 2 2 2 2 15 5" xfId="21164"/>
    <cellStyle name="Percent 2 2 2 2 15 5 2" xfId="32337"/>
    <cellStyle name="Percent 2 2 2 2 15 6" xfId="32338"/>
    <cellStyle name="Percent 2 2 2 2 16" xfId="11819"/>
    <cellStyle name="Percent 2 2 2 2 16 2" xfId="11820"/>
    <cellStyle name="Percent 2 2 2 2 16 2 2" xfId="11821"/>
    <cellStyle name="Percent 2 2 2 2 16 2 3" xfId="11822"/>
    <cellStyle name="Percent 2 2 2 2 16 2 3 2" xfId="21165"/>
    <cellStyle name="Percent 2 2 2 2 16 2 3 2 2" xfId="32339"/>
    <cellStyle name="Percent 2 2 2 2 16 2 3 3" xfId="32340"/>
    <cellStyle name="Percent 2 2 2 2 16 2 4" xfId="21166"/>
    <cellStyle name="Percent 2 2 2 2 16 2 4 2" xfId="32341"/>
    <cellStyle name="Percent 2 2 2 2 16 2 5" xfId="32342"/>
    <cellStyle name="Percent 2 2 2 2 16 3" xfId="11823"/>
    <cellStyle name="Percent 2 2 2 2 16 4" xfId="11824"/>
    <cellStyle name="Percent 2 2 2 2 16 4 2" xfId="21167"/>
    <cellStyle name="Percent 2 2 2 2 16 4 2 2" xfId="32343"/>
    <cellStyle name="Percent 2 2 2 2 16 4 3" xfId="32344"/>
    <cellStyle name="Percent 2 2 2 2 16 5" xfId="21168"/>
    <cellStyle name="Percent 2 2 2 2 16 5 2" xfId="32345"/>
    <cellStyle name="Percent 2 2 2 2 16 6" xfId="32346"/>
    <cellStyle name="Percent 2 2 2 2 17" xfId="11825"/>
    <cellStyle name="Percent 2 2 2 2 17 2" xfId="11826"/>
    <cellStyle name="Percent 2 2 2 2 17 2 2" xfId="11827"/>
    <cellStyle name="Percent 2 2 2 2 17 2 3" xfId="11828"/>
    <cellStyle name="Percent 2 2 2 2 17 2 3 2" xfId="21169"/>
    <cellStyle name="Percent 2 2 2 2 17 2 3 2 2" xfId="32347"/>
    <cellStyle name="Percent 2 2 2 2 17 2 3 3" xfId="32348"/>
    <cellStyle name="Percent 2 2 2 2 17 2 4" xfId="21170"/>
    <cellStyle name="Percent 2 2 2 2 17 2 4 2" xfId="32349"/>
    <cellStyle name="Percent 2 2 2 2 17 2 5" xfId="32350"/>
    <cellStyle name="Percent 2 2 2 2 17 3" xfId="11829"/>
    <cellStyle name="Percent 2 2 2 2 17 4" xfId="11830"/>
    <cellStyle name="Percent 2 2 2 2 17 4 2" xfId="21171"/>
    <cellStyle name="Percent 2 2 2 2 17 4 2 2" xfId="32351"/>
    <cellStyle name="Percent 2 2 2 2 17 4 3" xfId="32352"/>
    <cellStyle name="Percent 2 2 2 2 17 5" xfId="21172"/>
    <cellStyle name="Percent 2 2 2 2 17 5 2" xfId="32353"/>
    <cellStyle name="Percent 2 2 2 2 17 6" xfId="32354"/>
    <cellStyle name="Percent 2 2 2 2 18" xfId="11831"/>
    <cellStyle name="Percent 2 2 2 2 18 2" xfId="11832"/>
    <cellStyle name="Percent 2 2 2 2 18 2 2" xfId="11833"/>
    <cellStyle name="Percent 2 2 2 2 18 2 3" xfId="11834"/>
    <cellStyle name="Percent 2 2 2 2 18 2 3 2" xfId="21173"/>
    <cellStyle name="Percent 2 2 2 2 18 2 3 2 2" xfId="32355"/>
    <cellStyle name="Percent 2 2 2 2 18 2 3 3" xfId="32356"/>
    <cellStyle name="Percent 2 2 2 2 18 2 4" xfId="21174"/>
    <cellStyle name="Percent 2 2 2 2 18 2 4 2" xfId="32357"/>
    <cellStyle name="Percent 2 2 2 2 18 2 5" xfId="32358"/>
    <cellStyle name="Percent 2 2 2 2 18 3" xfId="11835"/>
    <cellStyle name="Percent 2 2 2 2 18 4" xfId="11836"/>
    <cellStyle name="Percent 2 2 2 2 18 4 2" xfId="21175"/>
    <cellStyle name="Percent 2 2 2 2 18 4 2 2" xfId="32359"/>
    <cellStyle name="Percent 2 2 2 2 18 4 3" xfId="32360"/>
    <cellStyle name="Percent 2 2 2 2 18 5" xfId="21176"/>
    <cellStyle name="Percent 2 2 2 2 18 5 2" xfId="32361"/>
    <cellStyle name="Percent 2 2 2 2 18 6" xfId="32362"/>
    <cellStyle name="Percent 2 2 2 2 19" xfId="11837"/>
    <cellStyle name="Percent 2 2 2 2 19 2" xfId="11838"/>
    <cellStyle name="Percent 2 2 2 2 19 2 2" xfId="11839"/>
    <cellStyle name="Percent 2 2 2 2 19 2 3" xfId="11840"/>
    <cellStyle name="Percent 2 2 2 2 19 2 3 2" xfId="21177"/>
    <cellStyle name="Percent 2 2 2 2 19 2 3 2 2" xfId="32363"/>
    <cellStyle name="Percent 2 2 2 2 19 2 3 3" xfId="32364"/>
    <cellStyle name="Percent 2 2 2 2 19 2 4" xfId="21178"/>
    <cellStyle name="Percent 2 2 2 2 19 2 4 2" xfId="32365"/>
    <cellStyle name="Percent 2 2 2 2 19 2 5" xfId="32366"/>
    <cellStyle name="Percent 2 2 2 2 19 3" xfId="11841"/>
    <cellStyle name="Percent 2 2 2 2 19 4" xfId="11842"/>
    <cellStyle name="Percent 2 2 2 2 19 4 2" xfId="21179"/>
    <cellStyle name="Percent 2 2 2 2 19 4 2 2" xfId="32367"/>
    <cellStyle name="Percent 2 2 2 2 19 4 3" xfId="32368"/>
    <cellStyle name="Percent 2 2 2 2 19 5" xfId="21180"/>
    <cellStyle name="Percent 2 2 2 2 19 5 2" xfId="32369"/>
    <cellStyle name="Percent 2 2 2 2 19 6" xfId="32370"/>
    <cellStyle name="Percent 2 2 2 2 2" xfId="11843"/>
    <cellStyle name="Percent 2 2 2 2 2 10" xfId="11844"/>
    <cellStyle name="Percent 2 2 2 2 2 10 2" xfId="11845"/>
    <cellStyle name="Percent 2 2 2 2 2 11" xfId="11846"/>
    <cellStyle name="Percent 2 2 2 2 2 11 2" xfId="11847"/>
    <cellStyle name="Percent 2 2 2 2 2 12" xfId="11848"/>
    <cellStyle name="Percent 2 2 2 2 2 12 2" xfId="11849"/>
    <cellStyle name="Percent 2 2 2 2 2 13" xfId="11850"/>
    <cellStyle name="Percent 2 2 2 2 2 13 2" xfId="11851"/>
    <cellStyle name="Percent 2 2 2 2 2 14" xfId="11852"/>
    <cellStyle name="Percent 2 2 2 2 2 14 2" xfId="11853"/>
    <cellStyle name="Percent 2 2 2 2 2 15" xfId="11854"/>
    <cellStyle name="Percent 2 2 2 2 2 15 2" xfId="11855"/>
    <cellStyle name="Percent 2 2 2 2 2 16" xfId="11856"/>
    <cellStyle name="Percent 2 2 2 2 2 16 2" xfId="11857"/>
    <cellStyle name="Percent 2 2 2 2 2 17" xfId="11858"/>
    <cellStyle name="Percent 2 2 2 2 2 17 2" xfId="11859"/>
    <cellStyle name="Percent 2 2 2 2 2 18" xfId="11860"/>
    <cellStyle name="Percent 2 2 2 2 2 18 2" xfId="11861"/>
    <cellStyle name="Percent 2 2 2 2 2 19" xfId="11862"/>
    <cellStyle name="Percent 2 2 2 2 2 19 2" xfId="11863"/>
    <cellStyle name="Percent 2 2 2 2 2 19 3" xfId="11864"/>
    <cellStyle name="Percent 2 2 2 2 2 19 3 2" xfId="21181"/>
    <cellStyle name="Percent 2 2 2 2 2 19 3 2 2" xfId="32371"/>
    <cellStyle name="Percent 2 2 2 2 2 19 3 3" xfId="32372"/>
    <cellStyle name="Percent 2 2 2 2 2 19 4" xfId="21182"/>
    <cellStyle name="Percent 2 2 2 2 2 19 4 2" xfId="32373"/>
    <cellStyle name="Percent 2 2 2 2 2 19 5" xfId="32374"/>
    <cellStyle name="Percent 2 2 2 2 2 2" xfId="11865"/>
    <cellStyle name="Percent 2 2 2 2 2 2 2" xfId="11866"/>
    <cellStyle name="Percent 2 2 2 2 2 20" xfId="11867"/>
    <cellStyle name="Percent 2 2 2 2 2 21" xfId="11868"/>
    <cellStyle name="Percent 2 2 2 2 2 21 2" xfId="21183"/>
    <cellStyle name="Percent 2 2 2 2 2 21 2 2" xfId="32375"/>
    <cellStyle name="Percent 2 2 2 2 2 21 3" xfId="32376"/>
    <cellStyle name="Percent 2 2 2 2 2 22" xfId="21184"/>
    <cellStyle name="Percent 2 2 2 2 2 22 2" xfId="32377"/>
    <cellStyle name="Percent 2 2 2 2 2 23" xfId="32378"/>
    <cellStyle name="Percent 2 2 2 2 2 3" xfId="11869"/>
    <cellStyle name="Percent 2 2 2 2 2 3 2" xfId="11870"/>
    <cellStyle name="Percent 2 2 2 2 2 4" xfId="11871"/>
    <cellStyle name="Percent 2 2 2 2 2 4 2" xfId="11872"/>
    <cellStyle name="Percent 2 2 2 2 2 5" xfId="11873"/>
    <cellStyle name="Percent 2 2 2 2 2 5 2" xfId="11874"/>
    <cellStyle name="Percent 2 2 2 2 2 6" xfId="11875"/>
    <cellStyle name="Percent 2 2 2 2 2 6 2" xfId="11876"/>
    <cellStyle name="Percent 2 2 2 2 2 7" xfId="11877"/>
    <cellStyle name="Percent 2 2 2 2 2 7 2" xfId="11878"/>
    <cellStyle name="Percent 2 2 2 2 2 8" xfId="11879"/>
    <cellStyle name="Percent 2 2 2 2 2 8 2" xfId="11880"/>
    <cellStyle name="Percent 2 2 2 2 2 9" xfId="11881"/>
    <cellStyle name="Percent 2 2 2 2 2 9 2" xfId="11882"/>
    <cellStyle name="Percent 2 2 2 2 20" xfId="11883"/>
    <cellStyle name="Percent 2 2 2 2 20 2" xfId="11884"/>
    <cellStyle name="Percent 2 2 2 2 20 2 2" xfId="11885"/>
    <cellStyle name="Percent 2 2 2 2 20 2 3" xfId="11886"/>
    <cellStyle name="Percent 2 2 2 2 20 2 3 2" xfId="21185"/>
    <cellStyle name="Percent 2 2 2 2 20 2 3 2 2" xfId="32379"/>
    <cellStyle name="Percent 2 2 2 2 20 2 3 3" xfId="32380"/>
    <cellStyle name="Percent 2 2 2 2 20 2 4" xfId="21186"/>
    <cellStyle name="Percent 2 2 2 2 20 2 4 2" xfId="32381"/>
    <cellStyle name="Percent 2 2 2 2 20 2 5" xfId="32382"/>
    <cellStyle name="Percent 2 2 2 2 20 3" xfId="11887"/>
    <cellStyle name="Percent 2 2 2 2 20 4" xfId="11888"/>
    <cellStyle name="Percent 2 2 2 2 20 4 2" xfId="21187"/>
    <cellStyle name="Percent 2 2 2 2 20 4 2 2" xfId="32383"/>
    <cellStyle name="Percent 2 2 2 2 20 4 3" xfId="32384"/>
    <cellStyle name="Percent 2 2 2 2 20 5" xfId="21188"/>
    <cellStyle name="Percent 2 2 2 2 20 5 2" xfId="32385"/>
    <cellStyle name="Percent 2 2 2 2 20 6" xfId="32386"/>
    <cellStyle name="Percent 2 2 2 2 21" xfId="11889"/>
    <cellStyle name="Percent 2 2 2 2 21 2" xfId="11890"/>
    <cellStyle name="Percent 2 2 2 2 21 2 2" xfId="11891"/>
    <cellStyle name="Percent 2 2 2 2 21 2 3" xfId="11892"/>
    <cellStyle name="Percent 2 2 2 2 21 2 3 2" xfId="21189"/>
    <cellStyle name="Percent 2 2 2 2 21 2 3 2 2" xfId="32387"/>
    <cellStyle name="Percent 2 2 2 2 21 2 3 3" xfId="32388"/>
    <cellStyle name="Percent 2 2 2 2 21 2 4" xfId="21190"/>
    <cellStyle name="Percent 2 2 2 2 21 2 4 2" xfId="32389"/>
    <cellStyle name="Percent 2 2 2 2 21 2 5" xfId="32390"/>
    <cellStyle name="Percent 2 2 2 2 21 3" xfId="11893"/>
    <cellStyle name="Percent 2 2 2 2 21 4" xfId="11894"/>
    <cellStyle name="Percent 2 2 2 2 21 4 2" xfId="21191"/>
    <cellStyle name="Percent 2 2 2 2 21 4 2 2" xfId="32391"/>
    <cellStyle name="Percent 2 2 2 2 21 4 3" xfId="32392"/>
    <cellStyle name="Percent 2 2 2 2 21 5" xfId="21192"/>
    <cellStyle name="Percent 2 2 2 2 21 5 2" xfId="32393"/>
    <cellStyle name="Percent 2 2 2 2 21 6" xfId="32394"/>
    <cellStyle name="Percent 2 2 2 2 22" xfId="11895"/>
    <cellStyle name="Percent 2 2 2 2 22 2" xfId="11896"/>
    <cellStyle name="Percent 2 2 2 2 22 2 2" xfId="11897"/>
    <cellStyle name="Percent 2 2 2 2 22 2 3" xfId="11898"/>
    <cellStyle name="Percent 2 2 2 2 22 2 3 2" xfId="21193"/>
    <cellStyle name="Percent 2 2 2 2 22 2 3 2 2" xfId="32395"/>
    <cellStyle name="Percent 2 2 2 2 22 2 3 3" xfId="32396"/>
    <cellStyle name="Percent 2 2 2 2 22 2 4" xfId="21194"/>
    <cellStyle name="Percent 2 2 2 2 22 2 4 2" xfId="32397"/>
    <cellStyle name="Percent 2 2 2 2 22 2 5" xfId="32398"/>
    <cellStyle name="Percent 2 2 2 2 22 3" xfId="11899"/>
    <cellStyle name="Percent 2 2 2 2 22 4" xfId="11900"/>
    <cellStyle name="Percent 2 2 2 2 22 4 2" xfId="21195"/>
    <cellStyle name="Percent 2 2 2 2 22 4 2 2" xfId="32399"/>
    <cellStyle name="Percent 2 2 2 2 22 4 3" xfId="32400"/>
    <cellStyle name="Percent 2 2 2 2 22 5" xfId="21196"/>
    <cellStyle name="Percent 2 2 2 2 22 5 2" xfId="32401"/>
    <cellStyle name="Percent 2 2 2 2 22 6" xfId="32402"/>
    <cellStyle name="Percent 2 2 2 2 23" xfId="11901"/>
    <cellStyle name="Percent 2 2 2 2 23 2" xfId="11902"/>
    <cellStyle name="Percent 2 2 2 2 23 2 2" xfId="11903"/>
    <cellStyle name="Percent 2 2 2 2 23 2 3" xfId="11904"/>
    <cellStyle name="Percent 2 2 2 2 23 2 3 2" xfId="21197"/>
    <cellStyle name="Percent 2 2 2 2 23 2 3 2 2" xfId="32403"/>
    <cellStyle name="Percent 2 2 2 2 23 2 3 3" xfId="32404"/>
    <cellStyle name="Percent 2 2 2 2 23 2 4" xfId="21198"/>
    <cellStyle name="Percent 2 2 2 2 23 2 4 2" xfId="32405"/>
    <cellStyle name="Percent 2 2 2 2 23 2 5" xfId="32406"/>
    <cellStyle name="Percent 2 2 2 2 23 3" xfId="11905"/>
    <cellStyle name="Percent 2 2 2 2 23 4" xfId="11906"/>
    <cellStyle name="Percent 2 2 2 2 23 4 2" xfId="21199"/>
    <cellStyle name="Percent 2 2 2 2 23 4 2 2" xfId="32407"/>
    <cellStyle name="Percent 2 2 2 2 23 4 3" xfId="32408"/>
    <cellStyle name="Percent 2 2 2 2 23 5" xfId="21200"/>
    <cellStyle name="Percent 2 2 2 2 23 5 2" xfId="32409"/>
    <cellStyle name="Percent 2 2 2 2 23 6" xfId="32410"/>
    <cellStyle name="Percent 2 2 2 2 24" xfId="11907"/>
    <cellStyle name="Percent 2 2 2 2 24 2" xfId="11908"/>
    <cellStyle name="Percent 2 2 2 2 24 2 2" xfId="11909"/>
    <cellStyle name="Percent 2 2 2 2 24 2 3" xfId="11910"/>
    <cellStyle name="Percent 2 2 2 2 24 2 3 2" xfId="21201"/>
    <cellStyle name="Percent 2 2 2 2 24 2 3 2 2" xfId="32411"/>
    <cellStyle name="Percent 2 2 2 2 24 2 3 3" xfId="32412"/>
    <cellStyle name="Percent 2 2 2 2 24 2 4" xfId="21202"/>
    <cellStyle name="Percent 2 2 2 2 24 2 4 2" xfId="32413"/>
    <cellStyle name="Percent 2 2 2 2 24 2 5" xfId="32414"/>
    <cellStyle name="Percent 2 2 2 2 24 3" xfId="11911"/>
    <cellStyle name="Percent 2 2 2 2 24 4" xfId="11912"/>
    <cellStyle name="Percent 2 2 2 2 24 4 2" xfId="21203"/>
    <cellStyle name="Percent 2 2 2 2 24 4 2 2" xfId="32415"/>
    <cellStyle name="Percent 2 2 2 2 24 4 3" xfId="32416"/>
    <cellStyle name="Percent 2 2 2 2 24 5" xfId="21204"/>
    <cellStyle name="Percent 2 2 2 2 24 5 2" xfId="32417"/>
    <cellStyle name="Percent 2 2 2 2 24 6" xfId="32418"/>
    <cellStyle name="Percent 2 2 2 2 25" xfId="11913"/>
    <cellStyle name="Percent 2 2 2 2 25 2" xfId="11914"/>
    <cellStyle name="Percent 2 2 2 2 25 2 2" xfId="11915"/>
    <cellStyle name="Percent 2 2 2 2 25 2 3" xfId="11916"/>
    <cellStyle name="Percent 2 2 2 2 25 2 3 2" xfId="21205"/>
    <cellStyle name="Percent 2 2 2 2 25 2 3 2 2" xfId="32419"/>
    <cellStyle name="Percent 2 2 2 2 25 2 3 3" xfId="32420"/>
    <cellStyle name="Percent 2 2 2 2 25 2 4" xfId="21206"/>
    <cellStyle name="Percent 2 2 2 2 25 2 4 2" xfId="32421"/>
    <cellStyle name="Percent 2 2 2 2 25 2 5" xfId="32422"/>
    <cellStyle name="Percent 2 2 2 2 25 3" xfId="11917"/>
    <cellStyle name="Percent 2 2 2 2 25 4" xfId="11918"/>
    <cellStyle name="Percent 2 2 2 2 25 4 2" xfId="21207"/>
    <cellStyle name="Percent 2 2 2 2 25 4 2 2" xfId="32423"/>
    <cellStyle name="Percent 2 2 2 2 25 4 3" xfId="32424"/>
    <cellStyle name="Percent 2 2 2 2 25 5" xfId="21208"/>
    <cellStyle name="Percent 2 2 2 2 25 5 2" xfId="32425"/>
    <cellStyle name="Percent 2 2 2 2 25 6" xfId="32426"/>
    <cellStyle name="Percent 2 2 2 2 26" xfId="11919"/>
    <cellStyle name="Percent 2 2 2 2 26 2" xfId="11920"/>
    <cellStyle name="Percent 2 2 2 2 26 2 2" xfId="11921"/>
    <cellStyle name="Percent 2 2 2 2 26 2 3" xfId="11922"/>
    <cellStyle name="Percent 2 2 2 2 26 2 3 2" xfId="21209"/>
    <cellStyle name="Percent 2 2 2 2 26 2 3 2 2" xfId="32427"/>
    <cellStyle name="Percent 2 2 2 2 26 2 3 3" xfId="32428"/>
    <cellStyle name="Percent 2 2 2 2 26 2 4" xfId="21210"/>
    <cellStyle name="Percent 2 2 2 2 26 2 4 2" xfId="32429"/>
    <cellStyle name="Percent 2 2 2 2 26 2 5" xfId="32430"/>
    <cellStyle name="Percent 2 2 2 2 26 3" xfId="11923"/>
    <cellStyle name="Percent 2 2 2 2 26 4" xfId="11924"/>
    <cellStyle name="Percent 2 2 2 2 26 4 2" xfId="21211"/>
    <cellStyle name="Percent 2 2 2 2 26 4 2 2" xfId="32431"/>
    <cellStyle name="Percent 2 2 2 2 26 4 3" xfId="32432"/>
    <cellStyle name="Percent 2 2 2 2 26 5" xfId="21212"/>
    <cellStyle name="Percent 2 2 2 2 26 5 2" xfId="32433"/>
    <cellStyle name="Percent 2 2 2 2 26 6" xfId="32434"/>
    <cellStyle name="Percent 2 2 2 2 27" xfId="11925"/>
    <cellStyle name="Percent 2 2 2 2 3" xfId="11926"/>
    <cellStyle name="Percent 2 2 2 2 3 2" xfId="11927"/>
    <cellStyle name="Percent 2 2 2 2 4" xfId="11928"/>
    <cellStyle name="Percent 2 2 2 2 4 2" xfId="11929"/>
    <cellStyle name="Percent 2 2 2 2 5" xfId="11930"/>
    <cellStyle name="Percent 2 2 2 2 5 2" xfId="11931"/>
    <cellStyle name="Percent 2 2 2 2 6" xfId="11932"/>
    <cellStyle name="Percent 2 2 2 2 6 2" xfId="11933"/>
    <cellStyle name="Percent 2 2 2 2 7" xfId="11934"/>
    <cellStyle name="Percent 2 2 2 2 7 2" xfId="11935"/>
    <cellStyle name="Percent 2 2 2 2 8" xfId="11936"/>
    <cellStyle name="Percent 2 2 2 2 8 2" xfId="11937"/>
    <cellStyle name="Percent 2 2 2 2 9" xfId="11938"/>
    <cellStyle name="Percent 2 2 2 2 9 2" xfId="11939"/>
    <cellStyle name="Percent 2 2 2 20" xfId="11940"/>
    <cellStyle name="Percent 2 2 2 20 2" xfId="11941"/>
    <cellStyle name="Percent 2 2 2 21" xfId="11942"/>
    <cellStyle name="Percent 2 2 2 21 2" xfId="11943"/>
    <cellStyle name="Percent 2 2 2 22" xfId="11944"/>
    <cellStyle name="Percent 2 2 2 22 2" xfId="11945"/>
    <cellStyle name="Percent 2 2 2 23" xfId="11946"/>
    <cellStyle name="Percent 2 2 2 23 2" xfId="11947"/>
    <cellStyle name="Percent 2 2 2 24" xfId="11948"/>
    <cellStyle name="Percent 2 2 2 24 2" xfId="11949"/>
    <cellStyle name="Percent 2 2 2 25" xfId="11950"/>
    <cellStyle name="Percent 2 2 2 25 2" xfId="11951"/>
    <cellStyle name="Percent 2 2 2 26" xfId="11952"/>
    <cellStyle name="Percent 2 2 2 26 2" xfId="11953"/>
    <cellStyle name="Percent 2 2 2 27" xfId="11954"/>
    <cellStyle name="Percent 2 2 2 27 2" xfId="11955"/>
    <cellStyle name="Percent 2 2 2 27 3" xfId="32435"/>
    <cellStyle name="Percent 2 2 2 28" xfId="11956"/>
    <cellStyle name="Percent 2 2 2 28 2" xfId="11957"/>
    <cellStyle name="Percent 2 2 2 28 2 2" xfId="33688"/>
    <cellStyle name="Percent 2 2 2 28 2 2 2 2" xfId="33704"/>
    <cellStyle name="Percent 2 2 2 28 2 2 2 2 2" xfId="33730"/>
    <cellStyle name="Percent 2 2 2 28 3" xfId="33627"/>
    <cellStyle name="Percent 2 2 2 28 3 2" xfId="33680"/>
    <cellStyle name="Percent 2 2 2 28 3 4" xfId="33702"/>
    <cellStyle name="Percent 2 2 2 29" xfId="11958"/>
    <cellStyle name="Percent 2 2 2 29 2" xfId="21213"/>
    <cellStyle name="Percent 2 2 2 29 2 2" xfId="32436"/>
    <cellStyle name="Percent 2 2 2 29 3" xfId="32437"/>
    <cellStyle name="Percent 2 2 2 3" xfId="11959"/>
    <cellStyle name="Percent 2 2 2 3 2" xfId="11960"/>
    <cellStyle name="Percent 2 2 2 3 2 2" xfId="11961"/>
    <cellStyle name="Percent 2 2 2 3 2 3" xfId="11962"/>
    <cellStyle name="Percent 2 2 2 3 2 3 2" xfId="21214"/>
    <cellStyle name="Percent 2 2 2 3 2 3 2 2" xfId="32438"/>
    <cellStyle name="Percent 2 2 2 3 2 3 3" xfId="32439"/>
    <cellStyle name="Percent 2 2 2 3 2 4" xfId="21215"/>
    <cellStyle name="Percent 2 2 2 3 2 4 2" xfId="32440"/>
    <cellStyle name="Percent 2 2 2 3 2 5" xfId="32441"/>
    <cellStyle name="Percent 2 2 2 3 3" xfId="11963"/>
    <cellStyle name="Percent 2 2 2 3 4" xfId="11964"/>
    <cellStyle name="Percent 2 2 2 3 4 2" xfId="21216"/>
    <cellStyle name="Percent 2 2 2 3 4 2 2" xfId="32442"/>
    <cellStyle name="Percent 2 2 2 3 4 3" xfId="32443"/>
    <cellStyle name="Percent 2 2 2 3 5" xfId="21217"/>
    <cellStyle name="Percent 2 2 2 3 5 2" xfId="32444"/>
    <cellStyle name="Percent 2 2 2 3 6" xfId="32445"/>
    <cellStyle name="Percent 2 2 2 30" xfId="32446"/>
    <cellStyle name="Percent 2 2 2 4" xfId="11965"/>
    <cellStyle name="Percent 2 2 2 4 2" xfId="11966"/>
    <cellStyle name="Percent 2 2 2 4 2 2" xfId="11967"/>
    <cellStyle name="Percent 2 2 2 4 2 3" xfId="11968"/>
    <cellStyle name="Percent 2 2 2 4 2 3 2" xfId="21218"/>
    <cellStyle name="Percent 2 2 2 4 2 3 2 2" xfId="32447"/>
    <cellStyle name="Percent 2 2 2 4 2 3 3" xfId="32448"/>
    <cellStyle name="Percent 2 2 2 4 2 4" xfId="21219"/>
    <cellStyle name="Percent 2 2 2 4 2 4 2" xfId="32449"/>
    <cellStyle name="Percent 2 2 2 4 2 5" xfId="32450"/>
    <cellStyle name="Percent 2 2 2 4 3" xfId="11969"/>
    <cellStyle name="Percent 2 2 2 4 4" xfId="11970"/>
    <cellStyle name="Percent 2 2 2 4 4 2" xfId="21220"/>
    <cellStyle name="Percent 2 2 2 4 4 2 2" xfId="32451"/>
    <cellStyle name="Percent 2 2 2 4 4 3" xfId="32452"/>
    <cellStyle name="Percent 2 2 2 4 5" xfId="21221"/>
    <cellStyle name="Percent 2 2 2 4 5 2" xfId="32453"/>
    <cellStyle name="Percent 2 2 2 4 6" xfId="32454"/>
    <cellStyle name="Percent 2 2 2 5" xfId="11971"/>
    <cellStyle name="Percent 2 2 2 5 2" xfId="11972"/>
    <cellStyle name="Percent 2 2 2 5 2 2" xfId="11973"/>
    <cellStyle name="Percent 2 2 2 5 2 3" xfId="11974"/>
    <cellStyle name="Percent 2 2 2 5 2 3 2" xfId="21222"/>
    <cellStyle name="Percent 2 2 2 5 2 3 2 2" xfId="32455"/>
    <cellStyle name="Percent 2 2 2 5 2 3 3" xfId="32456"/>
    <cellStyle name="Percent 2 2 2 5 2 4" xfId="21223"/>
    <cellStyle name="Percent 2 2 2 5 2 4 2" xfId="32457"/>
    <cellStyle name="Percent 2 2 2 5 2 5" xfId="32458"/>
    <cellStyle name="Percent 2 2 2 5 3" xfId="11975"/>
    <cellStyle name="Percent 2 2 2 5 4" xfId="11976"/>
    <cellStyle name="Percent 2 2 2 5 4 2" xfId="21224"/>
    <cellStyle name="Percent 2 2 2 5 4 2 2" xfId="32459"/>
    <cellStyle name="Percent 2 2 2 5 4 3" xfId="32460"/>
    <cellStyle name="Percent 2 2 2 5 5" xfId="21225"/>
    <cellStyle name="Percent 2 2 2 5 5 2" xfId="32461"/>
    <cellStyle name="Percent 2 2 2 5 6" xfId="32462"/>
    <cellStyle name="Percent 2 2 2 6" xfId="11977"/>
    <cellStyle name="Percent 2 2 2 6 2" xfId="11978"/>
    <cellStyle name="Percent 2 2 2 6 2 2" xfId="11979"/>
    <cellStyle name="Percent 2 2 2 6 2 3" xfId="11980"/>
    <cellStyle name="Percent 2 2 2 6 2 3 2" xfId="21226"/>
    <cellStyle name="Percent 2 2 2 6 2 3 2 2" xfId="32463"/>
    <cellStyle name="Percent 2 2 2 6 2 3 3" xfId="32464"/>
    <cellStyle name="Percent 2 2 2 6 2 4" xfId="21227"/>
    <cellStyle name="Percent 2 2 2 6 2 4 2" xfId="32465"/>
    <cellStyle name="Percent 2 2 2 6 2 5" xfId="32466"/>
    <cellStyle name="Percent 2 2 2 6 3" xfId="11981"/>
    <cellStyle name="Percent 2 2 2 6 4" xfId="11982"/>
    <cellStyle name="Percent 2 2 2 6 4 2" xfId="21228"/>
    <cellStyle name="Percent 2 2 2 6 4 2 2" xfId="32467"/>
    <cellStyle name="Percent 2 2 2 6 4 3" xfId="32468"/>
    <cellStyle name="Percent 2 2 2 6 5" xfId="21229"/>
    <cellStyle name="Percent 2 2 2 6 5 2" xfId="32469"/>
    <cellStyle name="Percent 2 2 2 6 6" xfId="32470"/>
    <cellStyle name="Percent 2 2 2 7" xfId="11983"/>
    <cellStyle name="Percent 2 2 2 7 2" xfId="11984"/>
    <cellStyle name="Percent 2 2 2 7 2 2" xfId="11985"/>
    <cellStyle name="Percent 2 2 2 7 2 3" xfId="11986"/>
    <cellStyle name="Percent 2 2 2 7 2 3 2" xfId="21230"/>
    <cellStyle name="Percent 2 2 2 7 2 3 2 2" xfId="32471"/>
    <cellStyle name="Percent 2 2 2 7 2 3 3" xfId="32472"/>
    <cellStyle name="Percent 2 2 2 7 2 4" xfId="21231"/>
    <cellStyle name="Percent 2 2 2 7 2 4 2" xfId="32473"/>
    <cellStyle name="Percent 2 2 2 7 2 5" xfId="32474"/>
    <cellStyle name="Percent 2 2 2 7 3" xfId="11987"/>
    <cellStyle name="Percent 2 2 2 7 4" xfId="11988"/>
    <cellStyle name="Percent 2 2 2 7 4 2" xfId="21232"/>
    <cellStyle name="Percent 2 2 2 7 4 2 2" xfId="32475"/>
    <cellStyle name="Percent 2 2 2 7 4 3" xfId="32476"/>
    <cellStyle name="Percent 2 2 2 7 5" xfId="21233"/>
    <cellStyle name="Percent 2 2 2 7 5 2" xfId="32477"/>
    <cellStyle name="Percent 2 2 2 7 6" xfId="32478"/>
    <cellStyle name="Percent 2 2 2 8" xfId="11989"/>
    <cellStyle name="Percent 2 2 2 8 2" xfId="11990"/>
    <cellStyle name="Percent 2 2 2 8 2 2" xfId="11991"/>
    <cellStyle name="Percent 2 2 2 8 2 3" xfId="11992"/>
    <cellStyle name="Percent 2 2 2 8 2 3 2" xfId="21234"/>
    <cellStyle name="Percent 2 2 2 8 2 3 2 2" xfId="32479"/>
    <cellStyle name="Percent 2 2 2 8 2 3 3" xfId="32480"/>
    <cellStyle name="Percent 2 2 2 8 2 4" xfId="21235"/>
    <cellStyle name="Percent 2 2 2 8 2 4 2" xfId="32481"/>
    <cellStyle name="Percent 2 2 2 8 2 5" xfId="32482"/>
    <cellStyle name="Percent 2 2 2 8 3" xfId="11993"/>
    <cellStyle name="Percent 2 2 2 8 4" xfId="11994"/>
    <cellStyle name="Percent 2 2 2 8 4 2" xfId="21236"/>
    <cellStyle name="Percent 2 2 2 8 4 2 2" xfId="32483"/>
    <cellStyle name="Percent 2 2 2 8 4 3" xfId="32484"/>
    <cellStyle name="Percent 2 2 2 8 5" xfId="21237"/>
    <cellStyle name="Percent 2 2 2 8 5 2" xfId="32485"/>
    <cellStyle name="Percent 2 2 2 8 6" xfId="32486"/>
    <cellStyle name="Percent 2 2 2 9" xfId="11995"/>
    <cellStyle name="Percent 2 2 2 9 2" xfId="11996"/>
    <cellStyle name="Percent 2 2 2 9 2 2" xfId="11997"/>
    <cellStyle name="Percent 2 2 2 9 2 3" xfId="11998"/>
    <cellStyle name="Percent 2 2 2 9 2 3 2" xfId="21238"/>
    <cellStyle name="Percent 2 2 2 9 2 3 2 2" xfId="32487"/>
    <cellStyle name="Percent 2 2 2 9 2 3 3" xfId="32488"/>
    <cellStyle name="Percent 2 2 2 9 2 4" xfId="21239"/>
    <cellStyle name="Percent 2 2 2 9 2 4 2" xfId="32489"/>
    <cellStyle name="Percent 2 2 2 9 2 5" xfId="32490"/>
    <cellStyle name="Percent 2 2 2 9 3" xfId="11999"/>
    <cellStyle name="Percent 2 2 2 9 4" xfId="12000"/>
    <cellStyle name="Percent 2 2 2 9 4 2" xfId="21240"/>
    <cellStyle name="Percent 2 2 2 9 4 2 2" xfId="32491"/>
    <cellStyle name="Percent 2 2 2 9 4 3" xfId="32492"/>
    <cellStyle name="Percent 2 2 2 9 5" xfId="21241"/>
    <cellStyle name="Percent 2 2 2 9 5 2" xfId="32493"/>
    <cellStyle name="Percent 2 2 2 9 6" xfId="32494"/>
    <cellStyle name="Percent 2 2 20" xfId="12001"/>
    <cellStyle name="Percent 2 2 20 2" xfId="12002"/>
    <cellStyle name="Percent 2 2 20 2 2" xfId="12003"/>
    <cellStyle name="Percent 2 2 20 2 2 2" xfId="32495"/>
    <cellStyle name="Percent 2 2 20 2 3" xfId="12004"/>
    <cellStyle name="Percent 2 2 20 2 3 2" xfId="21242"/>
    <cellStyle name="Percent 2 2 20 2 3 2 2" xfId="32496"/>
    <cellStyle name="Percent 2 2 20 2 3 3" xfId="32497"/>
    <cellStyle name="Percent 2 2 20 2 4" xfId="21243"/>
    <cellStyle name="Percent 2 2 20 2 4 2" xfId="32498"/>
    <cellStyle name="Percent 2 2 20 2 5" xfId="32499"/>
    <cellStyle name="Percent 2 2 20 3" xfId="12005"/>
    <cellStyle name="Percent 2 2 20 3 2" xfId="32500"/>
    <cellStyle name="Percent 2 2 20 4" xfId="12006"/>
    <cellStyle name="Percent 2 2 20 4 2" xfId="21244"/>
    <cellStyle name="Percent 2 2 20 4 2 2" xfId="32501"/>
    <cellStyle name="Percent 2 2 20 4 3" xfId="32502"/>
    <cellStyle name="Percent 2 2 20 5" xfId="21245"/>
    <cellStyle name="Percent 2 2 20 5 2" xfId="32503"/>
    <cellStyle name="Percent 2 2 20 6" xfId="32504"/>
    <cellStyle name="Percent 2 2 21" xfId="12007"/>
    <cellStyle name="Percent 2 2 21 2" xfId="12008"/>
    <cellStyle name="Percent 2 2 21 2 2" xfId="12009"/>
    <cellStyle name="Percent 2 2 21 2 3" xfId="12010"/>
    <cellStyle name="Percent 2 2 21 2 3 2" xfId="21246"/>
    <cellStyle name="Percent 2 2 21 2 3 2 2" xfId="32505"/>
    <cellStyle name="Percent 2 2 21 2 3 3" xfId="32506"/>
    <cellStyle name="Percent 2 2 21 2 4" xfId="21247"/>
    <cellStyle name="Percent 2 2 21 2 4 2" xfId="32507"/>
    <cellStyle name="Percent 2 2 21 2 5" xfId="32508"/>
    <cellStyle name="Percent 2 2 21 3" xfId="12011"/>
    <cellStyle name="Percent 2 2 21 4" xfId="12012"/>
    <cellStyle name="Percent 2 2 21 4 2" xfId="21248"/>
    <cellStyle name="Percent 2 2 21 4 2 2" xfId="32509"/>
    <cellStyle name="Percent 2 2 21 4 3" xfId="32510"/>
    <cellStyle name="Percent 2 2 21 5" xfId="21249"/>
    <cellStyle name="Percent 2 2 21 5 2" xfId="32511"/>
    <cellStyle name="Percent 2 2 21 6" xfId="32512"/>
    <cellStyle name="Percent 2 2 22" xfId="12013"/>
    <cellStyle name="Percent 2 2 22 2" xfId="12014"/>
    <cellStyle name="Percent 2 2 22 2 2" xfId="12015"/>
    <cellStyle name="Percent 2 2 22 2 3" xfId="12016"/>
    <cellStyle name="Percent 2 2 22 2 3 2" xfId="21250"/>
    <cellStyle name="Percent 2 2 22 2 3 2 2" xfId="32513"/>
    <cellStyle name="Percent 2 2 22 2 3 3" xfId="32514"/>
    <cellStyle name="Percent 2 2 22 2 4" xfId="21251"/>
    <cellStyle name="Percent 2 2 22 2 4 2" xfId="32515"/>
    <cellStyle name="Percent 2 2 22 2 5" xfId="32516"/>
    <cellStyle name="Percent 2 2 22 3" xfId="12017"/>
    <cellStyle name="Percent 2 2 22 4" xfId="12018"/>
    <cellStyle name="Percent 2 2 22 4 2" xfId="21252"/>
    <cellStyle name="Percent 2 2 22 4 2 2" xfId="32517"/>
    <cellStyle name="Percent 2 2 22 4 3" xfId="32518"/>
    <cellStyle name="Percent 2 2 22 5" xfId="21253"/>
    <cellStyle name="Percent 2 2 22 5 2" xfId="32519"/>
    <cellStyle name="Percent 2 2 22 6" xfId="32520"/>
    <cellStyle name="Percent 2 2 23" xfId="12019"/>
    <cellStyle name="Percent 2 2 23 2" xfId="12020"/>
    <cellStyle name="Percent 2 2 23 2 2" xfId="12021"/>
    <cellStyle name="Percent 2 2 23 2 3" xfId="12022"/>
    <cellStyle name="Percent 2 2 23 2 3 2" xfId="21254"/>
    <cellStyle name="Percent 2 2 23 2 3 2 2" xfId="32521"/>
    <cellStyle name="Percent 2 2 23 2 3 3" xfId="32522"/>
    <cellStyle name="Percent 2 2 23 2 4" xfId="21255"/>
    <cellStyle name="Percent 2 2 23 2 4 2" xfId="32523"/>
    <cellStyle name="Percent 2 2 23 2 5" xfId="32524"/>
    <cellStyle name="Percent 2 2 23 3" xfId="12023"/>
    <cellStyle name="Percent 2 2 23 4" xfId="12024"/>
    <cellStyle name="Percent 2 2 23 4 2" xfId="21256"/>
    <cellStyle name="Percent 2 2 23 4 2 2" xfId="32525"/>
    <cellStyle name="Percent 2 2 23 4 3" xfId="32526"/>
    <cellStyle name="Percent 2 2 23 5" xfId="21257"/>
    <cellStyle name="Percent 2 2 23 5 2" xfId="32527"/>
    <cellStyle name="Percent 2 2 23 6" xfId="32528"/>
    <cellStyle name="Percent 2 2 24" xfId="12025"/>
    <cellStyle name="Percent 2 2 24 2" xfId="12026"/>
    <cellStyle name="Percent 2 2 24 2 2" xfId="12027"/>
    <cellStyle name="Percent 2 2 24 2 3" xfId="12028"/>
    <cellStyle name="Percent 2 2 24 2 3 2" xfId="21258"/>
    <cellStyle name="Percent 2 2 24 2 3 2 2" xfId="32529"/>
    <cellStyle name="Percent 2 2 24 2 3 3" xfId="32530"/>
    <cellStyle name="Percent 2 2 24 2 4" xfId="21259"/>
    <cellStyle name="Percent 2 2 24 2 4 2" xfId="32531"/>
    <cellStyle name="Percent 2 2 24 2 5" xfId="32532"/>
    <cellStyle name="Percent 2 2 24 3" xfId="12029"/>
    <cellStyle name="Percent 2 2 24 4" xfId="12030"/>
    <cellStyle name="Percent 2 2 24 4 2" xfId="21260"/>
    <cellStyle name="Percent 2 2 24 4 2 2" xfId="32533"/>
    <cellStyle name="Percent 2 2 24 4 3" xfId="32534"/>
    <cellStyle name="Percent 2 2 24 5" xfId="21261"/>
    <cellStyle name="Percent 2 2 24 5 2" xfId="32535"/>
    <cellStyle name="Percent 2 2 24 6" xfId="32536"/>
    <cellStyle name="Percent 2 2 25" xfId="12031"/>
    <cellStyle name="Percent 2 2 25 2" xfId="12032"/>
    <cellStyle name="Percent 2 2 25 2 2" xfId="12033"/>
    <cellStyle name="Percent 2 2 25 2 3" xfId="12034"/>
    <cellStyle name="Percent 2 2 25 2 3 2" xfId="21262"/>
    <cellStyle name="Percent 2 2 25 2 3 2 2" xfId="32537"/>
    <cellStyle name="Percent 2 2 25 2 3 3" xfId="32538"/>
    <cellStyle name="Percent 2 2 25 2 4" xfId="21263"/>
    <cellStyle name="Percent 2 2 25 2 4 2" xfId="32539"/>
    <cellStyle name="Percent 2 2 25 2 5" xfId="32540"/>
    <cellStyle name="Percent 2 2 25 3" xfId="12035"/>
    <cellStyle name="Percent 2 2 25 4" xfId="12036"/>
    <cellStyle name="Percent 2 2 25 4 2" xfId="21264"/>
    <cellStyle name="Percent 2 2 25 4 2 2" xfId="32541"/>
    <cellStyle name="Percent 2 2 25 4 3" xfId="32542"/>
    <cellStyle name="Percent 2 2 25 5" xfId="21265"/>
    <cellStyle name="Percent 2 2 25 5 2" xfId="32543"/>
    <cellStyle name="Percent 2 2 25 6" xfId="32544"/>
    <cellStyle name="Percent 2 2 26" xfId="12037"/>
    <cellStyle name="Percent 2 2 26 2" xfId="12038"/>
    <cellStyle name="Percent 2 2 26 2 2" xfId="12039"/>
    <cellStyle name="Percent 2 2 26 2 3" xfId="12040"/>
    <cellStyle name="Percent 2 2 26 2 3 2" xfId="21266"/>
    <cellStyle name="Percent 2 2 26 2 3 2 2" xfId="32545"/>
    <cellStyle name="Percent 2 2 26 2 3 3" xfId="32546"/>
    <cellStyle name="Percent 2 2 26 2 4" xfId="21267"/>
    <cellStyle name="Percent 2 2 26 2 4 2" xfId="32547"/>
    <cellStyle name="Percent 2 2 26 2 5" xfId="32548"/>
    <cellStyle name="Percent 2 2 26 3" xfId="12041"/>
    <cellStyle name="Percent 2 2 26 4" xfId="12042"/>
    <cellStyle name="Percent 2 2 26 4 2" xfId="21268"/>
    <cellStyle name="Percent 2 2 26 4 2 2" xfId="32549"/>
    <cellStyle name="Percent 2 2 26 4 3" xfId="32550"/>
    <cellStyle name="Percent 2 2 26 5" xfId="21269"/>
    <cellStyle name="Percent 2 2 26 5 2" xfId="32551"/>
    <cellStyle name="Percent 2 2 26 6" xfId="32552"/>
    <cellStyle name="Percent 2 2 27" xfId="12043"/>
    <cellStyle name="Percent 2 2 27 2" xfId="12044"/>
    <cellStyle name="Percent 2 2 27 2 2" xfId="12045"/>
    <cellStyle name="Percent 2 2 27 2 3" xfId="12046"/>
    <cellStyle name="Percent 2 2 27 2 3 2" xfId="21270"/>
    <cellStyle name="Percent 2 2 27 2 3 2 2" xfId="32553"/>
    <cellStyle name="Percent 2 2 27 2 3 3" xfId="32554"/>
    <cellStyle name="Percent 2 2 27 2 4" xfId="21271"/>
    <cellStyle name="Percent 2 2 27 2 4 2" xfId="32555"/>
    <cellStyle name="Percent 2 2 27 2 5" xfId="32556"/>
    <cellStyle name="Percent 2 2 27 3" xfId="12047"/>
    <cellStyle name="Percent 2 2 27 4" xfId="12048"/>
    <cellStyle name="Percent 2 2 27 4 2" xfId="21272"/>
    <cellStyle name="Percent 2 2 27 4 2 2" xfId="32557"/>
    <cellStyle name="Percent 2 2 27 4 3" xfId="32558"/>
    <cellStyle name="Percent 2 2 27 5" xfId="21273"/>
    <cellStyle name="Percent 2 2 27 5 2" xfId="32559"/>
    <cellStyle name="Percent 2 2 27 6" xfId="32560"/>
    <cellStyle name="Percent 2 2 28" xfId="12049"/>
    <cellStyle name="Percent 2 2 28 2" xfId="12050"/>
    <cellStyle name="Percent 2 2 29" xfId="12051"/>
    <cellStyle name="Percent 2 2 29 2" xfId="12052"/>
    <cellStyle name="Percent 2 2 3" xfId="12053"/>
    <cellStyle name="Percent 2 2 3 2" xfId="12054"/>
    <cellStyle name="Percent 2 2 3 2 2" xfId="12055"/>
    <cellStyle name="Percent 2 2 3 3" xfId="12056"/>
    <cellStyle name="Percent 2 2 3 3 2" xfId="12057"/>
    <cellStyle name="Percent 2 2 3 4" xfId="12058"/>
    <cellStyle name="Percent 2 2 30" xfId="12059"/>
    <cellStyle name="Percent 2 2 30 2" xfId="32561"/>
    <cellStyle name="Percent 2 2 31" xfId="12060"/>
    <cellStyle name="Percent 2 2 4" xfId="12061"/>
    <cellStyle name="Percent 2 2 4 2" xfId="12062"/>
    <cellStyle name="Percent 2 2 4 2 2" xfId="12063"/>
    <cellStyle name="Percent 2 2 4 3" xfId="12064"/>
    <cellStyle name="Percent 2 2 4 3 2" xfId="12065"/>
    <cellStyle name="Percent 2 2 4 4" xfId="12066"/>
    <cellStyle name="Percent 2 2 5" xfId="12067"/>
    <cellStyle name="Percent 2 2 5 2" xfId="12068"/>
    <cellStyle name="Percent 2 2 5 2 2" xfId="12069"/>
    <cellStyle name="Percent 2 2 5 3" xfId="12070"/>
    <cellStyle name="Percent 2 2 5 3 2" xfId="12071"/>
    <cellStyle name="Percent 2 2 5 4" xfId="12072"/>
    <cellStyle name="Percent 2 2 6" xfId="12073"/>
    <cellStyle name="Percent 2 2 6 2" xfId="12074"/>
    <cellStyle name="Percent 2 2 6 2 2" xfId="12075"/>
    <cellStyle name="Percent 2 2 6 3" xfId="12076"/>
    <cellStyle name="Percent 2 2 6 3 2" xfId="12077"/>
    <cellStyle name="Percent 2 2 6 4" xfId="12078"/>
    <cellStyle name="Percent 2 2 7" xfId="12079"/>
    <cellStyle name="Percent 2 2 7 2" xfId="12080"/>
    <cellStyle name="Percent 2 2 7 2 2" xfId="12081"/>
    <cellStyle name="Percent 2 2 7 3" xfId="12082"/>
    <cellStyle name="Percent 2 2 7 3 2" xfId="12083"/>
    <cellStyle name="Percent 2 2 7 4" xfId="12084"/>
    <cellStyle name="Percent 2 2 8" xfId="12085"/>
    <cellStyle name="Percent 2 2 8 2" xfId="12086"/>
    <cellStyle name="Percent 2 2 8 2 2" xfId="12087"/>
    <cellStyle name="Percent 2 2 8 3" xfId="12088"/>
    <cellStyle name="Percent 2 2 8 3 2" xfId="12089"/>
    <cellStyle name="Percent 2 2 8 4" xfId="12090"/>
    <cellStyle name="Percent 2 2 9" xfId="12091"/>
    <cellStyle name="Percent 2 2 9 2" xfId="12092"/>
    <cellStyle name="Percent 2 2 9 2 2" xfId="12093"/>
    <cellStyle name="Percent 2 2 9 3" xfId="12094"/>
    <cellStyle name="Percent 2 20" xfId="12095"/>
    <cellStyle name="Percent 2 20 2" xfId="12096"/>
    <cellStyle name="Percent 2 20 2 2" xfId="12097"/>
    <cellStyle name="Percent 2 20 3" xfId="12098"/>
    <cellStyle name="Percent 2 20 3 2" xfId="12099"/>
    <cellStyle name="Percent 2 20 4" xfId="12100"/>
    <cellStyle name="Percent 2 21" xfId="12101"/>
    <cellStyle name="Percent 2 21 2" xfId="12102"/>
    <cellStyle name="Percent 2 21 2 2" xfId="12103"/>
    <cellStyle name="Percent 2 21 3" xfId="12104"/>
    <cellStyle name="Percent 2 21 3 2" xfId="12105"/>
    <cellStyle name="Percent 2 21 4" xfId="12106"/>
    <cellStyle name="Percent 2 22" xfId="12107"/>
    <cellStyle name="Percent 2 22 2" xfId="12108"/>
    <cellStyle name="Percent 2 22 2 2" xfId="12109"/>
    <cellStyle name="Percent 2 22 3" xfId="12110"/>
    <cellStyle name="Percent 2 22 3 2" xfId="12111"/>
    <cellStyle name="Percent 2 22 4" xfId="12112"/>
    <cellStyle name="Percent 2 23" xfId="12113"/>
    <cellStyle name="Percent 2 23 2" xfId="12114"/>
    <cellStyle name="Percent 2 23 2 2" xfId="12115"/>
    <cellStyle name="Percent 2 23 3" xfId="12116"/>
    <cellStyle name="Percent 2 23 3 2" xfId="12117"/>
    <cellStyle name="Percent 2 23 4" xfId="12118"/>
    <cellStyle name="Percent 2 24" xfId="12119"/>
    <cellStyle name="Percent 2 24 2" xfId="12120"/>
    <cellStyle name="Percent 2 24 2 2" xfId="12121"/>
    <cellStyle name="Percent 2 24 3" xfId="12122"/>
    <cellStyle name="Percent 2 24 3 2" xfId="12123"/>
    <cellStyle name="Percent 2 24 4" xfId="12124"/>
    <cellStyle name="Percent 2 25" xfId="12125"/>
    <cellStyle name="Percent 2 25 2" xfId="12126"/>
    <cellStyle name="Percent 2 25 2 2" xfId="12127"/>
    <cellStyle name="Percent 2 25 3" xfId="12128"/>
    <cellStyle name="Percent 2 25 3 2" xfId="12129"/>
    <cellStyle name="Percent 2 25 4" xfId="12130"/>
    <cellStyle name="Percent 2 26" xfId="12131"/>
    <cellStyle name="Percent 2 26 2" xfId="12132"/>
    <cellStyle name="Percent 2 26 2 2" xfId="12133"/>
    <cellStyle name="Percent 2 26 3" xfId="12134"/>
    <cellStyle name="Percent 2 26 3 2" xfId="12135"/>
    <cellStyle name="Percent 2 26 4" xfId="12136"/>
    <cellStyle name="Percent 2 27" xfId="12137"/>
    <cellStyle name="Percent 2 27 2" xfId="12138"/>
    <cellStyle name="Percent 2 27 2 2" xfId="12139"/>
    <cellStyle name="Percent 2 27 3" xfId="12140"/>
    <cellStyle name="Percent 2 27 3 2" xfId="12141"/>
    <cellStyle name="Percent 2 27 4" xfId="12142"/>
    <cellStyle name="Percent 2 27 4 2" xfId="12143"/>
    <cellStyle name="Percent 2 27 5" xfId="12144"/>
    <cellStyle name="Percent 2 28" xfId="12145"/>
    <cellStyle name="Percent 2 28 2" xfId="12146"/>
    <cellStyle name="Percent 2 28 2 2" xfId="12147"/>
    <cellStyle name="Percent 2 28 3" xfId="12148"/>
    <cellStyle name="Percent 2 29" xfId="12149"/>
    <cellStyle name="Percent 2 29 2" xfId="12150"/>
    <cellStyle name="Percent 2 29 3" xfId="21274"/>
    <cellStyle name="Percent 2 29 4" xfId="21275"/>
    <cellStyle name="Percent 2 29 4 2" xfId="21276"/>
    <cellStyle name="Percent 2 29 4 2 2" xfId="32562"/>
    <cellStyle name="Percent 2 29 4 3" xfId="32563"/>
    <cellStyle name="Percent 2 3" xfId="12151"/>
    <cellStyle name="Percent 2 3 10" xfId="12152"/>
    <cellStyle name="Percent 2 3 10 2" xfId="12153"/>
    <cellStyle name="Percent 2 3 11" xfId="12154"/>
    <cellStyle name="Percent 2 3 11 2" xfId="12155"/>
    <cellStyle name="Percent 2 3 12" xfId="12156"/>
    <cellStyle name="Percent 2 3 12 2" xfId="12157"/>
    <cellStyle name="Percent 2 3 13" xfId="12158"/>
    <cellStyle name="Percent 2 3 13 2" xfId="12159"/>
    <cellStyle name="Percent 2 3 14" xfId="12160"/>
    <cellStyle name="Percent 2 3 14 2" xfId="12161"/>
    <cellStyle name="Percent 2 3 15" xfId="12162"/>
    <cellStyle name="Percent 2 3 15 2" xfId="12163"/>
    <cellStyle name="Percent 2 3 16" xfId="12164"/>
    <cellStyle name="Percent 2 3 16 2" xfId="12165"/>
    <cellStyle name="Percent 2 3 17" xfId="12166"/>
    <cellStyle name="Percent 2 3 17 2" xfId="12167"/>
    <cellStyle name="Percent 2 3 18" xfId="12168"/>
    <cellStyle name="Percent 2 3 18 2" xfId="12169"/>
    <cellStyle name="Percent 2 3 19" xfId="12170"/>
    <cellStyle name="Percent 2 3 19 2" xfId="12171"/>
    <cellStyle name="Percent 2 3 2" xfId="12172"/>
    <cellStyle name="Percent 2 3 2 2" xfId="12173"/>
    <cellStyle name="Percent 2 3 2 2 2" xfId="12174"/>
    <cellStyle name="Percent 2 3 2 2 2 2" xfId="12175"/>
    <cellStyle name="Percent 2 3 2 2 2 2 2" xfId="12176"/>
    <cellStyle name="Percent 2 3 2 2 2 3" xfId="12177"/>
    <cellStyle name="Percent 2 3 2 2 2 4" xfId="21277"/>
    <cellStyle name="Percent 2 3 2 2 2 5" xfId="21278"/>
    <cellStyle name="Percent 2 3 2 2 3" xfId="12178"/>
    <cellStyle name="Percent 2 3 2 2 3 2" xfId="12179"/>
    <cellStyle name="Percent 2 3 2 2 3 2 2" xfId="12180"/>
    <cellStyle name="Percent 2 3 2 2 3 3" xfId="12181"/>
    <cellStyle name="Percent 2 3 2 2 3 4" xfId="21279"/>
    <cellStyle name="Percent 2 3 2 2 3 5" xfId="21280"/>
    <cellStyle name="Percent 2 3 2 2 4" xfId="12182"/>
    <cellStyle name="Percent 2 3 2 2 4 2" xfId="12183"/>
    <cellStyle name="Percent 2 3 2 2 4 2 2" xfId="12184"/>
    <cellStyle name="Percent 2 3 2 2 4 3" xfId="12185"/>
    <cellStyle name="Percent 2 3 2 2 4 4" xfId="21281"/>
    <cellStyle name="Percent 2 3 2 2 4 5" xfId="21282"/>
    <cellStyle name="Percent 2 3 2 2 5" xfId="12186"/>
    <cellStyle name="Percent 2 3 2 2 5 2" xfId="12187"/>
    <cellStyle name="Percent 2 3 2 2 5 2 2" xfId="12188"/>
    <cellStyle name="Percent 2 3 2 2 5 3" xfId="12189"/>
    <cellStyle name="Percent 2 3 2 2 5 4" xfId="21283"/>
    <cellStyle name="Percent 2 3 2 2 5 5" xfId="21284"/>
    <cellStyle name="Percent 2 3 2 2 6" xfId="12190"/>
    <cellStyle name="Percent 2 3 2 3" xfId="12191"/>
    <cellStyle name="Percent 2 3 2 3 2" xfId="12192"/>
    <cellStyle name="Percent 2 3 2 4" xfId="12193"/>
    <cellStyle name="Percent 2 3 2 4 2" xfId="12194"/>
    <cellStyle name="Percent 2 3 2 4 2 2" xfId="12195"/>
    <cellStyle name="Percent 2 3 2 4 3" xfId="12196"/>
    <cellStyle name="Percent 2 3 2 5" xfId="12197"/>
    <cellStyle name="Percent 2 3 2 5 2" xfId="12198"/>
    <cellStyle name="Percent 2 3 2 6" xfId="12199"/>
    <cellStyle name="Percent 2 3 2 6 2" xfId="12200"/>
    <cellStyle name="Percent 2 3 2 6 3" xfId="12201"/>
    <cellStyle name="Percent 2 3 2 7" xfId="12202"/>
    <cellStyle name="Percent 2 3 2 7 2" xfId="12203"/>
    <cellStyle name="Percent 2 3 2 8" xfId="12204"/>
    <cellStyle name="Percent 2 3 20" xfId="12205"/>
    <cellStyle name="Percent 2 3 3" xfId="12206"/>
    <cellStyle name="Percent 2 3 3 2" xfId="12207"/>
    <cellStyle name="Percent 2 3 3 2 2" xfId="12208"/>
    <cellStyle name="Percent 2 3 3 2 3" xfId="21285"/>
    <cellStyle name="Percent 2 3 3 3" xfId="12209"/>
    <cellStyle name="Percent 2 3 3 3 2" xfId="12210"/>
    <cellStyle name="Percent 2 3 3 4" xfId="12211"/>
    <cellStyle name="Percent 2 3 4" xfId="12212"/>
    <cellStyle name="Percent 2 3 4 2" xfId="12213"/>
    <cellStyle name="Percent 2 3 4 2 2" xfId="12214"/>
    <cellStyle name="Percent 2 3 4 2 3" xfId="21286"/>
    <cellStyle name="Percent 2 3 4 3" xfId="12215"/>
    <cellStyle name="Percent 2 3 4 3 2" xfId="12216"/>
    <cellStyle name="Percent 2 3 4 4" xfId="12217"/>
    <cellStyle name="Percent 2 3 5" xfId="12218"/>
    <cellStyle name="Percent 2 3 5 2" xfId="12219"/>
    <cellStyle name="Percent 2 3 5 2 2" xfId="12220"/>
    <cellStyle name="Percent 2 3 5 2 3" xfId="21287"/>
    <cellStyle name="Percent 2 3 5 3" xfId="12221"/>
    <cellStyle name="Percent 2 3 5 3 2" xfId="12222"/>
    <cellStyle name="Percent 2 3 5 4" xfId="12223"/>
    <cellStyle name="Percent 2 3 6" xfId="12224"/>
    <cellStyle name="Percent 2 3 6 2" xfId="12225"/>
    <cellStyle name="Percent 2 3 6 2 2" xfId="12226"/>
    <cellStyle name="Percent 2 3 6 2 3" xfId="21288"/>
    <cellStyle name="Percent 2 3 6 3" xfId="12227"/>
    <cellStyle name="Percent 2 3 6 3 2" xfId="12228"/>
    <cellStyle name="Percent 2 3 6 4" xfId="12229"/>
    <cellStyle name="Percent 2 3 7" xfId="12230"/>
    <cellStyle name="Percent 2 3 7 2" xfId="12231"/>
    <cellStyle name="Percent 2 3 8" xfId="12232"/>
    <cellStyle name="Percent 2 3 8 2" xfId="12233"/>
    <cellStyle name="Percent 2 3 9" xfId="12234"/>
    <cellStyle name="Percent 2 3 9 2" xfId="12235"/>
    <cellStyle name="Percent 2 30" xfId="12236"/>
    <cellStyle name="Percent 2 30 2" xfId="12237"/>
    <cellStyle name="Percent 2 30 3" xfId="21289"/>
    <cellStyle name="Percent 2 31" xfId="12238"/>
    <cellStyle name="Percent 2 31 2" xfId="12239"/>
    <cellStyle name="Percent 2 31 3" xfId="21290"/>
    <cellStyle name="Percent 2 32" xfId="12240"/>
    <cellStyle name="Percent 2 32 2" xfId="12241"/>
    <cellStyle name="Percent 2 32 3" xfId="21291"/>
    <cellStyle name="Percent 2 33" xfId="12242"/>
    <cellStyle name="Percent 2 33 2" xfId="12243"/>
    <cellStyle name="Percent 2 33 3" xfId="21292"/>
    <cellStyle name="Percent 2 34" xfId="12244"/>
    <cellStyle name="Percent 2 34 2" xfId="12245"/>
    <cellStyle name="Percent 2 34 3" xfId="21293"/>
    <cellStyle name="Percent 2 35" xfId="12246"/>
    <cellStyle name="Percent 2 35 2" xfId="12247"/>
    <cellStyle name="Percent 2 35 3" xfId="21294"/>
    <cellStyle name="Percent 2 36" xfId="12248"/>
    <cellStyle name="Percent 2 36 2" xfId="12249"/>
    <cellStyle name="Percent 2 36 3" xfId="21295"/>
    <cellStyle name="Percent 2 37" xfId="12250"/>
    <cellStyle name="Percent 2 37 2" xfId="12251"/>
    <cellStyle name="Percent 2 37 3" xfId="21296"/>
    <cellStyle name="Percent 2 38" xfId="12252"/>
    <cellStyle name="Percent 2 38 2" xfId="12253"/>
    <cellStyle name="Percent 2 38 3" xfId="21297"/>
    <cellStyle name="Percent 2 39" xfId="12254"/>
    <cellStyle name="Percent 2 39 2" xfId="12255"/>
    <cellStyle name="Percent 2 39 3" xfId="21298"/>
    <cellStyle name="Percent 2 4" xfId="12256"/>
    <cellStyle name="Percent 2 4 2" xfId="12257"/>
    <cellStyle name="Percent 2 4 2 2" xfId="12258"/>
    <cellStyle name="Percent 2 4 2 2 2" xfId="12259"/>
    <cellStyle name="Percent 2 4 2 2 2 2" xfId="12260"/>
    <cellStyle name="Percent 2 4 2 2 3" xfId="12261"/>
    <cellStyle name="Percent 2 4 2 3" xfId="12262"/>
    <cellStyle name="Percent 2 4 2 3 2" xfId="12263"/>
    <cellStyle name="Percent 2 4 2 4" xfId="12264"/>
    <cellStyle name="Percent 2 4 2 4 2" xfId="12265"/>
    <cellStyle name="Percent 2 4 2 5" xfId="12266"/>
    <cellStyle name="Percent 2 4 2 5 2" xfId="12267"/>
    <cellStyle name="Percent 2 4 2 6" xfId="12268"/>
    <cellStyle name="Percent 2 4 2 6 2" xfId="12269"/>
    <cellStyle name="Percent 2 4 2 7" xfId="12270"/>
    <cellStyle name="Percent 2 4 3" xfId="12271"/>
    <cellStyle name="Percent 2 4 3 2" xfId="12272"/>
    <cellStyle name="Percent 2 4 4" xfId="12273"/>
    <cellStyle name="Percent 2 4 4 2" xfId="12274"/>
    <cellStyle name="Percent 2 4 5" xfId="12275"/>
    <cellStyle name="Percent 2 4 5 2" xfId="12276"/>
    <cellStyle name="Percent 2 4 6" xfId="12277"/>
    <cellStyle name="Percent 2 4 6 2" xfId="12278"/>
    <cellStyle name="Percent 2 4 6 3" xfId="32564"/>
    <cellStyle name="Percent 2 4 7" xfId="12279"/>
    <cellStyle name="Percent 2 4 8" xfId="12280"/>
    <cellStyle name="Percent 2 4 8 2" xfId="21299"/>
    <cellStyle name="Percent 2 4 8 2 2" xfId="32565"/>
    <cellStyle name="Percent 2 4 8 3" xfId="32566"/>
    <cellStyle name="Percent 2 4 9" xfId="32567"/>
    <cellStyle name="Percent 2 40" xfId="12281"/>
    <cellStyle name="Percent 2 40 2" xfId="12282"/>
    <cellStyle name="Percent 2 40 3" xfId="21300"/>
    <cellStyle name="Percent 2 41" xfId="12283"/>
    <cellStyle name="Percent 2 41 2" xfId="12284"/>
    <cellStyle name="Percent 2 41 3" xfId="21301"/>
    <cellStyle name="Percent 2 42" xfId="12285"/>
    <cellStyle name="Percent 2 42 2" xfId="12286"/>
    <cellStyle name="Percent 2 42 3" xfId="21302"/>
    <cellStyle name="Percent 2 43" xfId="12287"/>
    <cellStyle name="Percent 2 43 2" xfId="12288"/>
    <cellStyle name="Percent 2 43 3" xfId="21303"/>
    <cellStyle name="Percent 2 44" xfId="12289"/>
    <cellStyle name="Percent 2 44 2" xfId="12290"/>
    <cellStyle name="Percent 2 44 3" xfId="21304"/>
    <cellStyle name="Percent 2 45" xfId="12291"/>
    <cellStyle name="Percent 2 45 2" xfId="12292"/>
    <cellStyle name="Percent 2 45 3" xfId="21305"/>
    <cellStyle name="Percent 2 46" xfId="12293"/>
    <cellStyle name="Percent 2 46 2" xfId="12294"/>
    <cellStyle name="Percent 2 46 3" xfId="21306"/>
    <cellStyle name="Percent 2 47" xfId="12295"/>
    <cellStyle name="Percent 2 47 2" xfId="12296"/>
    <cellStyle name="Percent 2 47 3" xfId="21307"/>
    <cellStyle name="Percent 2 48" xfId="12297"/>
    <cellStyle name="Percent 2 48 2" xfId="12298"/>
    <cellStyle name="Percent 2 48 3" xfId="21308"/>
    <cellStyle name="Percent 2 49" xfId="12299"/>
    <cellStyle name="Percent 2 49 2" xfId="12300"/>
    <cellStyle name="Percent 2 49 3" xfId="21309"/>
    <cellStyle name="Percent 2 5" xfId="12301"/>
    <cellStyle name="Percent 2 5 2" xfId="12302"/>
    <cellStyle name="Percent 2 5 2 2" xfId="12303"/>
    <cellStyle name="Percent 2 5 2 2 2" xfId="12304"/>
    <cellStyle name="Percent 2 5 2 3" xfId="12305"/>
    <cellStyle name="Percent 2 5 3" xfId="12306"/>
    <cellStyle name="Percent 2 5 3 2" xfId="12307"/>
    <cellStyle name="Percent 2 5 4" xfId="12308"/>
    <cellStyle name="Percent 2 5 5" xfId="21310"/>
    <cellStyle name="Percent 2 50" xfId="12309"/>
    <cellStyle name="Percent 2 50 2" xfId="12310"/>
    <cellStyle name="Percent 2 50 3" xfId="21311"/>
    <cellStyle name="Percent 2 51" xfId="12311"/>
    <cellStyle name="Percent 2 51 2" xfId="12312"/>
    <cellStyle name="Percent 2 51 3" xfId="21312"/>
    <cellStyle name="Percent 2 52" xfId="12313"/>
    <cellStyle name="Percent 2 52 2" xfId="12314"/>
    <cellStyle name="Percent 2 52 3" xfId="21313"/>
    <cellStyle name="Percent 2 53" xfId="12315"/>
    <cellStyle name="Percent 2 53 2" xfId="12316"/>
    <cellStyle name="Percent 2 53 3" xfId="21314"/>
    <cellStyle name="Percent 2 54" xfId="12317"/>
    <cellStyle name="Percent 2 54 2" xfId="12318"/>
    <cellStyle name="Percent 2 54 3" xfId="21315"/>
    <cellStyle name="Percent 2 55" xfId="12319"/>
    <cellStyle name="Percent 2 55 2" xfId="12320"/>
    <cellStyle name="Percent 2 56" xfId="12321"/>
    <cellStyle name="Percent 2 56 2" xfId="12322"/>
    <cellStyle name="Percent 2 56 3" xfId="21316"/>
    <cellStyle name="Percent 2 57" xfId="12323"/>
    <cellStyle name="Percent 2 57 2" xfId="12324"/>
    <cellStyle name="Percent 2 57 3" xfId="21317"/>
    <cellStyle name="Percent 2 58" xfId="12325"/>
    <cellStyle name="Percent 2 58 2" xfId="12326"/>
    <cellStyle name="Percent 2 58 3" xfId="21318"/>
    <cellStyle name="Percent 2 59" xfId="12327"/>
    <cellStyle name="Percent 2 59 2" xfId="12328"/>
    <cellStyle name="Percent 2 59 3" xfId="21319"/>
    <cellStyle name="Percent 2 6" xfId="12329"/>
    <cellStyle name="Percent 2 6 2" xfId="12330"/>
    <cellStyle name="Percent 2 6 2 2" xfId="12331"/>
    <cellStyle name="Percent 2 6 2 2 2" xfId="12332"/>
    <cellStyle name="Percent 2 6 2 2 3" xfId="12333"/>
    <cellStyle name="Percent 2 6 2 2 3 2" xfId="21320"/>
    <cellStyle name="Percent 2 6 2 2 3 2 2" xfId="32568"/>
    <cellStyle name="Percent 2 6 2 2 3 3" xfId="32569"/>
    <cellStyle name="Percent 2 6 2 2 4" xfId="21321"/>
    <cellStyle name="Percent 2 6 2 2 4 2" xfId="32570"/>
    <cellStyle name="Percent 2 6 2 2 5" xfId="32571"/>
    <cellStyle name="Percent 2 6 2 3" xfId="12334"/>
    <cellStyle name="Percent 2 6 2 3 2" xfId="12335"/>
    <cellStyle name="Percent 2 6 2 4" xfId="12336"/>
    <cellStyle name="Percent 2 6 2 5" xfId="12337"/>
    <cellStyle name="Percent 2 6 2 5 2" xfId="21322"/>
    <cellStyle name="Percent 2 6 2 5 2 2" xfId="32572"/>
    <cellStyle name="Percent 2 6 2 5 3" xfId="32573"/>
    <cellStyle name="Percent 2 6 2 6" xfId="21323"/>
    <cellStyle name="Percent 2 6 2 6 2" xfId="32574"/>
    <cellStyle name="Percent 2 6 2 7" xfId="32575"/>
    <cellStyle name="Percent 2 6 3" xfId="12338"/>
    <cellStyle name="Percent 2 6 3 2" xfId="12339"/>
    <cellStyle name="Percent 2 6 3 3" xfId="32576"/>
    <cellStyle name="Percent 2 6 4" xfId="12340"/>
    <cellStyle name="Percent 2 6 5" xfId="12341"/>
    <cellStyle name="Percent 2 6 5 2" xfId="21324"/>
    <cellStyle name="Percent 2 6 5 2 2" xfId="32577"/>
    <cellStyle name="Percent 2 6 5 3" xfId="32578"/>
    <cellStyle name="Percent 2 6 6" xfId="21325"/>
    <cellStyle name="Percent 2 6 6 2" xfId="32579"/>
    <cellStyle name="Percent 2 6 7" xfId="32580"/>
    <cellStyle name="Percent 2 60" xfId="12342"/>
    <cellStyle name="Percent 2 60 2" xfId="12343"/>
    <cellStyle name="Percent 2 60 3" xfId="21326"/>
    <cellStyle name="Percent 2 61" xfId="12344"/>
    <cellStyle name="Percent 2 61 2" xfId="12345"/>
    <cellStyle name="Percent 2 61 3" xfId="21327"/>
    <cellStyle name="Percent 2 62" xfId="12346"/>
    <cellStyle name="Percent 2 62 2" xfId="12347"/>
    <cellStyle name="Percent 2 62 3" xfId="21328"/>
    <cellStyle name="Percent 2 63" xfId="12348"/>
    <cellStyle name="Percent 2 63 2" xfId="12349"/>
    <cellStyle name="Percent 2 63 2 2" xfId="12350"/>
    <cellStyle name="Percent 2 63 2 2 2" xfId="12351"/>
    <cellStyle name="Percent 2 63 2 2 2 2" xfId="32581"/>
    <cellStyle name="Percent 2 63 2 2 3" xfId="12352"/>
    <cellStyle name="Percent 2 63 2 2 3 2" xfId="21329"/>
    <cellStyle name="Percent 2 63 2 2 3 2 2" xfId="32582"/>
    <cellStyle name="Percent 2 63 2 2 3 3" xfId="32583"/>
    <cellStyle name="Percent 2 63 2 2 4" xfId="21330"/>
    <cellStyle name="Percent 2 63 2 2 4 2" xfId="32584"/>
    <cellStyle name="Percent 2 63 2 2 5" xfId="32585"/>
    <cellStyle name="Percent 2 63 2 3" xfId="12353"/>
    <cellStyle name="Percent 2 63 2 3 2" xfId="12354"/>
    <cellStyle name="Percent 2 63 2 3 3" xfId="12355"/>
    <cellStyle name="Percent 2 63 2 3 3 2" xfId="21331"/>
    <cellStyle name="Percent 2 63 2 3 3 2 2" xfId="32586"/>
    <cellStyle name="Percent 2 63 2 3 3 3" xfId="32587"/>
    <cellStyle name="Percent 2 63 2 3 4" xfId="21332"/>
    <cellStyle name="Percent 2 63 2 3 4 2" xfId="32588"/>
    <cellStyle name="Percent 2 63 2 3 5" xfId="32589"/>
    <cellStyle name="Percent 2 63 2 4" xfId="12356"/>
    <cellStyle name="Percent 2 63 2 5" xfId="12357"/>
    <cellStyle name="Percent 2 63 2 5 2" xfId="21333"/>
    <cellStyle name="Percent 2 63 2 5 2 2" xfId="32590"/>
    <cellStyle name="Percent 2 63 2 5 3" xfId="32591"/>
    <cellStyle name="Percent 2 63 2 6" xfId="21334"/>
    <cellStyle name="Percent 2 63 2 6 2" xfId="32592"/>
    <cellStyle name="Percent 2 63 2 7" xfId="32593"/>
    <cellStyle name="Percent 2 63 3" xfId="12358"/>
    <cellStyle name="Percent 2 63 3 2" xfId="12359"/>
    <cellStyle name="Percent 2 63 3 3" xfId="12360"/>
    <cellStyle name="Percent 2 63 3 3 2" xfId="21335"/>
    <cellStyle name="Percent 2 63 3 3 2 2" xfId="32594"/>
    <cellStyle name="Percent 2 63 3 3 3" xfId="32595"/>
    <cellStyle name="Percent 2 63 3 4" xfId="21336"/>
    <cellStyle name="Percent 2 63 3 4 2" xfId="32596"/>
    <cellStyle name="Percent 2 63 3 5" xfId="32597"/>
    <cellStyle name="Percent 2 63 4" xfId="12361"/>
    <cellStyle name="Percent 2 64" xfId="12362"/>
    <cellStyle name="Percent 2 64 2" xfId="12363"/>
    <cellStyle name="Percent 2 65" xfId="12364"/>
    <cellStyle name="Percent 2 65 2" xfId="12365"/>
    <cellStyle name="Percent 2 66" xfId="12366"/>
    <cellStyle name="Percent 2 66 2" xfId="12367"/>
    <cellStyle name="Percent 2 67" xfId="12368"/>
    <cellStyle name="Percent 2 67 2" xfId="12369"/>
    <cellStyle name="Percent 2 68" xfId="12370"/>
    <cellStyle name="Percent 2 68 2" xfId="12371"/>
    <cellStyle name="Percent 2 69" xfId="12372"/>
    <cellStyle name="Percent 2 69 2" xfId="12373"/>
    <cellStyle name="Percent 2 69 2 2" xfId="12374"/>
    <cellStyle name="Percent 2 69 3" xfId="12375"/>
    <cellStyle name="Percent 2 7" xfId="12376"/>
    <cellStyle name="Percent 2 7 2" xfId="12377"/>
    <cellStyle name="Percent 2 7 2 2" xfId="12378"/>
    <cellStyle name="Percent 2 7 3" xfId="12379"/>
    <cellStyle name="Percent 2 7 3 2" xfId="12380"/>
    <cellStyle name="Percent 2 7 4" xfId="12381"/>
    <cellStyle name="Percent 2 70" xfId="12382"/>
    <cellStyle name="Percent 2 70 2" xfId="12383"/>
    <cellStyle name="Percent 2 71" xfId="12384"/>
    <cellStyle name="Percent 2 71 2" xfId="12385"/>
    <cellStyle name="Percent 2 72" xfId="12386"/>
    <cellStyle name="Percent 2 72 2" xfId="12387"/>
    <cellStyle name="Percent 2 73" xfId="12388"/>
    <cellStyle name="Percent 2 73 2" xfId="12389"/>
    <cellStyle name="Percent 2 74" xfId="12390"/>
    <cellStyle name="Percent 2 74 2" xfId="12391"/>
    <cellStyle name="Percent 2 75" xfId="12392"/>
    <cellStyle name="Percent 2 75 2" xfId="12393"/>
    <cellStyle name="Percent 2 76" xfId="12394"/>
    <cellStyle name="Percent 2 76 2" xfId="12395"/>
    <cellStyle name="Percent 2 77" xfId="12396"/>
    <cellStyle name="Percent 2 77 2" xfId="12397"/>
    <cellStyle name="Percent 2 78" xfId="12398"/>
    <cellStyle name="Percent 2 78 2" xfId="12399"/>
    <cellStyle name="Percent 2 79" xfId="12400"/>
    <cellStyle name="Percent 2 79 2" xfId="12401"/>
    <cellStyle name="Percent 2 8" xfId="12402"/>
    <cellStyle name="Percent 2 8 2" xfId="12403"/>
    <cellStyle name="Percent 2 8 2 2" xfId="12404"/>
    <cellStyle name="Percent 2 8 3" xfId="12405"/>
    <cellStyle name="Percent 2 8 3 2" xfId="12406"/>
    <cellStyle name="Percent 2 8 4" xfId="12407"/>
    <cellStyle name="Percent 2 80" xfId="12408"/>
    <cellStyle name="Percent 2 80 2" xfId="12409"/>
    <cellStyle name="Percent 2 81" xfId="12410"/>
    <cellStyle name="Percent 2 81 2" xfId="12411"/>
    <cellStyle name="Percent 2 82" xfId="12412"/>
    <cellStyle name="Percent 2 82 2" xfId="12413"/>
    <cellStyle name="Percent 2 83" xfId="12414"/>
    <cellStyle name="Percent 2 83 2" xfId="12415"/>
    <cellStyle name="Percent 2 84" xfId="12416"/>
    <cellStyle name="Percent 2 84 2" xfId="12417"/>
    <cellStyle name="Percent 2 85" xfId="12418"/>
    <cellStyle name="Percent 2 85 2" xfId="12419"/>
    <cellStyle name="Percent 2 86" xfId="12420"/>
    <cellStyle name="Percent 2 86 2" xfId="12421"/>
    <cellStyle name="Percent 2 87" xfId="12422"/>
    <cellStyle name="Percent 2 87 2" xfId="12423"/>
    <cellStyle name="Percent 2 88" xfId="12424"/>
    <cellStyle name="Percent 2 88 2" xfId="12425"/>
    <cellStyle name="Percent 2 89" xfId="12426"/>
    <cellStyle name="Percent 2 89 2" xfId="12427"/>
    <cellStyle name="Percent 2 9" xfId="12428"/>
    <cellStyle name="Percent 2 9 2" xfId="12429"/>
    <cellStyle name="Percent 2 9 2 2" xfId="12430"/>
    <cellStyle name="Percent 2 9 3" xfId="12431"/>
    <cellStyle name="Percent 2 9 3 2" xfId="12432"/>
    <cellStyle name="Percent 2 9 4" xfId="12433"/>
    <cellStyle name="Percent 2 90" xfId="12434"/>
    <cellStyle name="Percent 2 90 2" xfId="12435"/>
    <cellStyle name="Percent 2 91" xfId="12436"/>
    <cellStyle name="Percent 2 91 2" xfId="12437"/>
    <cellStyle name="Percent 2 92" xfId="12438"/>
    <cellStyle name="Percent 2 92 2" xfId="12439"/>
    <cellStyle name="Percent 2 93" xfId="12440"/>
    <cellStyle name="Percent 2 93 2" xfId="12441"/>
    <cellStyle name="Percent 2 94" xfId="12442"/>
    <cellStyle name="Percent 2 94 2" xfId="12443"/>
    <cellStyle name="Percent 2 95" xfId="12444"/>
    <cellStyle name="Percent 2 95 2" xfId="12445"/>
    <cellStyle name="Percent 2 96" xfId="12446"/>
    <cellStyle name="Percent 2 96 2" xfId="12447"/>
    <cellStyle name="Percent 2 97" xfId="12448"/>
    <cellStyle name="Percent 2 97 2" xfId="12449"/>
    <cellStyle name="Percent 2 98" xfId="12450"/>
    <cellStyle name="Percent 2 98 2" xfId="12451"/>
    <cellStyle name="Percent 2 99" xfId="12452"/>
    <cellStyle name="Percent 2 99 2" xfId="12453"/>
    <cellStyle name="Percent 20" xfId="12454"/>
    <cellStyle name="Percent 20 2" xfId="12455"/>
    <cellStyle name="Percent 20 2 2" xfId="12456"/>
    <cellStyle name="Percent 20 3" xfId="12457"/>
    <cellStyle name="Percent 21" xfId="12458"/>
    <cellStyle name="Percent 21 2" xfId="12459"/>
    <cellStyle name="Percent 21 2 2" xfId="12460"/>
    <cellStyle name="Percent 21 3" xfId="12461"/>
    <cellStyle name="Percent 22" xfId="12462"/>
    <cellStyle name="Percent 22 2" xfId="12463"/>
    <cellStyle name="Percent 23" xfId="12464"/>
    <cellStyle name="Percent 23 2" xfId="12465"/>
    <cellStyle name="Percent 24" xfId="12466"/>
    <cellStyle name="Percent 24 2" xfId="12467"/>
    <cellStyle name="Percent 25" xfId="12468"/>
    <cellStyle name="Percent 25 2" xfId="12469"/>
    <cellStyle name="Percent 26" xfId="12470"/>
    <cellStyle name="Percent 26 2" xfId="12471"/>
    <cellStyle name="Percent 27" xfId="12472"/>
    <cellStyle name="Percent 27 2" xfId="12473"/>
    <cellStyle name="Percent 28" xfId="12474"/>
    <cellStyle name="Percent 28 2" xfId="12475"/>
    <cellStyle name="Percent 28 3" xfId="33776"/>
    <cellStyle name="Percent 29" xfId="12476"/>
    <cellStyle name="Percent 29 2" xfId="12477"/>
    <cellStyle name="Percent 3" xfId="65"/>
    <cellStyle name="Percent 3 10" xfId="12478"/>
    <cellStyle name="Percent 3 10 2" xfId="12479"/>
    <cellStyle name="Percent 3 10 2 2" xfId="12480"/>
    <cellStyle name="Percent 3 10 3" xfId="12481"/>
    <cellStyle name="Percent 3 10 3 2" xfId="12482"/>
    <cellStyle name="Percent 3 10 4" xfId="12483"/>
    <cellStyle name="Percent 3 100" xfId="12484"/>
    <cellStyle name="Percent 3 100 2" xfId="12485"/>
    <cellStyle name="Percent 3 101" xfId="12486"/>
    <cellStyle name="Percent 3 101 2" xfId="12487"/>
    <cellStyle name="Percent 3 101 2 2" xfId="12488"/>
    <cellStyle name="Percent 3 101 2 3" xfId="12489"/>
    <cellStyle name="Percent 3 101 2 3 2" xfId="21337"/>
    <cellStyle name="Percent 3 101 2 3 2 2" xfId="32598"/>
    <cellStyle name="Percent 3 101 2 3 3" xfId="32599"/>
    <cellStyle name="Percent 3 101 2 4" xfId="21338"/>
    <cellStyle name="Percent 3 101 2 4 2" xfId="32600"/>
    <cellStyle name="Percent 3 101 2 5" xfId="32601"/>
    <cellStyle name="Percent 3 101 3" xfId="12490"/>
    <cellStyle name="Percent 3 101 4" xfId="12491"/>
    <cellStyle name="Percent 3 101 4 2" xfId="21339"/>
    <cellStyle name="Percent 3 101 4 2 2" xfId="32602"/>
    <cellStyle name="Percent 3 101 4 3" xfId="32603"/>
    <cellStyle name="Percent 3 101 5" xfId="21340"/>
    <cellStyle name="Percent 3 101 5 2" xfId="32604"/>
    <cellStyle name="Percent 3 101 6" xfId="32605"/>
    <cellStyle name="Percent 3 102" xfId="12492"/>
    <cellStyle name="Percent 3 102 2" xfId="12493"/>
    <cellStyle name="Percent 3 102 2 2" xfId="12494"/>
    <cellStyle name="Percent 3 102 2 3" xfId="12495"/>
    <cellStyle name="Percent 3 102 2 3 2" xfId="21341"/>
    <cellStyle name="Percent 3 102 2 3 2 2" xfId="32606"/>
    <cellStyle name="Percent 3 102 2 3 3" xfId="32607"/>
    <cellStyle name="Percent 3 102 2 4" xfId="21342"/>
    <cellStyle name="Percent 3 102 2 4 2" xfId="32608"/>
    <cellStyle name="Percent 3 102 2 5" xfId="32609"/>
    <cellStyle name="Percent 3 102 3" xfId="12496"/>
    <cellStyle name="Percent 3 102 4" xfId="12497"/>
    <cellStyle name="Percent 3 102 4 2" xfId="21343"/>
    <cellStyle name="Percent 3 102 4 2 2" xfId="32610"/>
    <cellStyle name="Percent 3 102 4 3" xfId="32611"/>
    <cellStyle name="Percent 3 102 5" xfId="21344"/>
    <cellStyle name="Percent 3 102 5 2" xfId="32612"/>
    <cellStyle name="Percent 3 102 6" xfId="32613"/>
    <cellStyle name="Percent 3 103" xfId="12498"/>
    <cellStyle name="Percent 3 103 2" xfId="12499"/>
    <cellStyle name="Percent 3 103 2 2" xfId="12500"/>
    <cellStyle name="Percent 3 103 2 3" xfId="12501"/>
    <cellStyle name="Percent 3 103 2 3 2" xfId="21345"/>
    <cellStyle name="Percent 3 103 2 3 2 2" xfId="32614"/>
    <cellStyle name="Percent 3 103 2 3 3" xfId="32615"/>
    <cellStyle name="Percent 3 103 2 4" xfId="21346"/>
    <cellStyle name="Percent 3 103 2 4 2" xfId="32616"/>
    <cellStyle name="Percent 3 103 2 5" xfId="32617"/>
    <cellStyle name="Percent 3 103 3" xfId="12502"/>
    <cellStyle name="Percent 3 103 4" xfId="12503"/>
    <cellStyle name="Percent 3 103 4 2" xfId="21347"/>
    <cellStyle name="Percent 3 103 4 2 2" xfId="32618"/>
    <cellStyle name="Percent 3 103 4 3" xfId="32619"/>
    <cellStyle name="Percent 3 103 5" xfId="21348"/>
    <cellStyle name="Percent 3 103 5 2" xfId="32620"/>
    <cellStyle name="Percent 3 103 6" xfId="32621"/>
    <cellStyle name="Percent 3 104" xfId="12504"/>
    <cellStyle name="Percent 3 104 2" xfId="12505"/>
    <cellStyle name="Percent 3 104 2 2" xfId="12506"/>
    <cellStyle name="Percent 3 104 2 3" xfId="12507"/>
    <cellStyle name="Percent 3 104 2 3 2" xfId="21349"/>
    <cellStyle name="Percent 3 104 2 3 2 2" xfId="32622"/>
    <cellStyle name="Percent 3 104 2 3 3" xfId="32623"/>
    <cellStyle name="Percent 3 104 2 4" xfId="21350"/>
    <cellStyle name="Percent 3 104 2 4 2" xfId="32624"/>
    <cellStyle name="Percent 3 104 2 5" xfId="32625"/>
    <cellStyle name="Percent 3 104 3" xfId="12508"/>
    <cellStyle name="Percent 3 104 4" xfId="12509"/>
    <cellStyle name="Percent 3 104 4 2" xfId="21351"/>
    <cellStyle name="Percent 3 104 4 2 2" xfId="32626"/>
    <cellStyle name="Percent 3 104 4 3" xfId="32627"/>
    <cellStyle name="Percent 3 104 5" xfId="21352"/>
    <cellStyle name="Percent 3 104 5 2" xfId="32628"/>
    <cellStyle name="Percent 3 104 6" xfId="32629"/>
    <cellStyle name="Percent 3 105" xfId="12510"/>
    <cellStyle name="Percent 3 105 2" xfId="12511"/>
    <cellStyle name="Percent 3 105 2 2" xfId="12512"/>
    <cellStyle name="Percent 3 105 2 3" xfId="12513"/>
    <cellStyle name="Percent 3 105 2 3 2" xfId="21353"/>
    <cellStyle name="Percent 3 105 2 3 2 2" xfId="32630"/>
    <cellStyle name="Percent 3 105 2 3 3" xfId="32631"/>
    <cellStyle name="Percent 3 105 2 4" xfId="21354"/>
    <cellStyle name="Percent 3 105 2 4 2" xfId="32632"/>
    <cellStyle name="Percent 3 105 2 5" xfId="32633"/>
    <cellStyle name="Percent 3 105 3" xfId="12514"/>
    <cellStyle name="Percent 3 105 4" xfId="12515"/>
    <cellStyle name="Percent 3 105 4 2" xfId="21355"/>
    <cellStyle name="Percent 3 105 4 2 2" xfId="32634"/>
    <cellStyle name="Percent 3 105 4 3" xfId="32635"/>
    <cellStyle name="Percent 3 105 5" xfId="21356"/>
    <cellStyle name="Percent 3 105 5 2" xfId="32636"/>
    <cellStyle name="Percent 3 105 6" xfId="32637"/>
    <cellStyle name="Percent 3 106" xfId="12516"/>
    <cellStyle name="Percent 3 106 2" xfId="12517"/>
    <cellStyle name="Percent 3 106 2 2" xfId="12518"/>
    <cellStyle name="Percent 3 106 2 3" xfId="12519"/>
    <cellStyle name="Percent 3 106 2 3 2" xfId="21357"/>
    <cellStyle name="Percent 3 106 2 3 2 2" xfId="32638"/>
    <cellStyle name="Percent 3 106 2 3 3" xfId="32639"/>
    <cellStyle name="Percent 3 106 2 4" xfId="21358"/>
    <cellStyle name="Percent 3 106 2 4 2" xfId="32640"/>
    <cellStyle name="Percent 3 106 2 5" xfId="32641"/>
    <cellStyle name="Percent 3 106 3" xfId="12520"/>
    <cellStyle name="Percent 3 106 4" xfId="12521"/>
    <cellStyle name="Percent 3 106 4 2" xfId="21359"/>
    <cellStyle name="Percent 3 106 4 2 2" xfId="32642"/>
    <cellStyle name="Percent 3 106 4 3" xfId="32643"/>
    <cellStyle name="Percent 3 106 5" xfId="21360"/>
    <cellStyle name="Percent 3 106 5 2" xfId="32644"/>
    <cellStyle name="Percent 3 106 6" xfId="32645"/>
    <cellStyle name="Percent 3 107" xfId="12522"/>
    <cellStyle name="Percent 3 107 2" xfId="12523"/>
    <cellStyle name="Percent 3 108" xfId="12524"/>
    <cellStyle name="Percent 3 108 2" xfId="12525"/>
    <cellStyle name="Percent 3 109" xfId="12526"/>
    <cellStyle name="Percent 3 109 2" xfId="12527"/>
    <cellStyle name="Percent 3 11" xfId="12528"/>
    <cellStyle name="Percent 3 11 2" xfId="12529"/>
    <cellStyle name="Percent 3 11 2 2" xfId="12530"/>
    <cellStyle name="Percent 3 11 3" xfId="12531"/>
    <cellStyle name="Percent 3 11 3 2" xfId="12532"/>
    <cellStyle name="Percent 3 11 4" xfId="12533"/>
    <cellStyle name="Percent 3 110" xfId="12534"/>
    <cellStyle name="Percent 3 110 2" xfId="12535"/>
    <cellStyle name="Percent 3 111" xfId="12536"/>
    <cellStyle name="Percent 3 111 2" xfId="12537"/>
    <cellStyle name="Percent 3 112" xfId="12538"/>
    <cellStyle name="Percent 3 112 2" xfId="12539"/>
    <cellStyle name="Percent 3 113" xfId="12540"/>
    <cellStyle name="Percent 3 113 2" xfId="12541"/>
    <cellStyle name="Percent 3 114" xfId="12542"/>
    <cellStyle name="Percent 3 114 2" xfId="12543"/>
    <cellStyle name="Percent 3 115" xfId="12544"/>
    <cellStyle name="Percent 3 115 2" xfId="12545"/>
    <cellStyle name="Percent 3 116" xfId="12546"/>
    <cellStyle name="Percent 3 116 2" xfId="12547"/>
    <cellStyle name="Percent 3 117" xfId="12548"/>
    <cellStyle name="Percent 3 117 2" xfId="12549"/>
    <cellStyle name="Percent 3 118" xfId="12550"/>
    <cellStyle name="Percent 3 118 2" xfId="12551"/>
    <cellStyle name="Percent 3 119" xfId="12552"/>
    <cellStyle name="Percent 3 119 2" xfId="12553"/>
    <cellStyle name="Percent 3 119 2 2" xfId="12554"/>
    <cellStyle name="Percent 3 119 2 3" xfId="12555"/>
    <cellStyle name="Percent 3 119 2 3 2" xfId="21361"/>
    <cellStyle name="Percent 3 119 2 3 2 2" xfId="32646"/>
    <cellStyle name="Percent 3 119 2 3 3" xfId="32647"/>
    <cellStyle name="Percent 3 119 2 4" xfId="21362"/>
    <cellStyle name="Percent 3 119 2 4 2" xfId="32648"/>
    <cellStyle name="Percent 3 119 2 5" xfId="32649"/>
    <cellStyle name="Percent 3 119 3" xfId="12556"/>
    <cellStyle name="Percent 3 119 4" xfId="12557"/>
    <cellStyle name="Percent 3 119 4 2" xfId="21363"/>
    <cellStyle name="Percent 3 119 4 2 2" xfId="32650"/>
    <cellStyle name="Percent 3 119 4 3" xfId="32651"/>
    <cellStyle name="Percent 3 119 5" xfId="21364"/>
    <cellStyle name="Percent 3 119 5 2" xfId="32652"/>
    <cellStyle name="Percent 3 119 6" xfId="32653"/>
    <cellStyle name="Percent 3 12" xfId="12558"/>
    <cellStyle name="Percent 3 12 2" xfId="12559"/>
    <cellStyle name="Percent 3 12 2 2" xfId="12560"/>
    <cellStyle name="Percent 3 12 3" xfId="12561"/>
    <cellStyle name="Percent 3 12 3 2" xfId="12562"/>
    <cellStyle name="Percent 3 12 4" xfId="12563"/>
    <cellStyle name="Percent 3 120" xfId="12564"/>
    <cellStyle name="Percent 3 120 2" xfId="12565"/>
    <cellStyle name="Percent 3 120 2 2" xfId="12566"/>
    <cellStyle name="Percent 3 120 2 3" xfId="12567"/>
    <cellStyle name="Percent 3 120 2 3 2" xfId="21365"/>
    <cellStyle name="Percent 3 120 2 3 2 2" xfId="32654"/>
    <cellStyle name="Percent 3 120 2 3 3" xfId="32655"/>
    <cellStyle name="Percent 3 120 2 4" xfId="21366"/>
    <cellStyle name="Percent 3 120 2 4 2" xfId="32656"/>
    <cellStyle name="Percent 3 120 2 5" xfId="32657"/>
    <cellStyle name="Percent 3 120 3" xfId="12568"/>
    <cellStyle name="Percent 3 120 4" xfId="12569"/>
    <cellStyle name="Percent 3 120 4 2" xfId="21367"/>
    <cellStyle name="Percent 3 120 4 2 2" xfId="32658"/>
    <cellStyle name="Percent 3 120 4 3" xfId="32659"/>
    <cellStyle name="Percent 3 120 5" xfId="21368"/>
    <cellStyle name="Percent 3 120 5 2" xfId="32660"/>
    <cellStyle name="Percent 3 120 6" xfId="32661"/>
    <cellStyle name="Percent 3 121" xfId="12570"/>
    <cellStyle name="Percent 3 121 2" xfId="12571"/>
    <cellStyle name="Percent 3 121 2 2" xfId="12572"/>
    <cellStyle name="Percent 3 121 2 3" xfId="12573"/>
    <cellStyle name="Percent 3 121 2 3 2" xfId="21369"/>
    <cellStyle name="Percent 3 121 2 3 2 2" xfId="32662"/>
    <cellStyle name="Percent 3 121 2 3 3" xfId="32663"/>
    <cellStyle name="Percent 3 121 2 4" xfId="21370"/>
    <cellStyle name="Percent 3 121 2 4 2" xfId="32664"/>
    <cellStyle name="Percent 3 121 2 5" xfId="32665"/>
    <cellStyle name="Percent 3 121 3" xfId="12574"/>
    <cellStyle name="Percent 3 121 4" xfId="12575"/>
    <cellStyle name="Percent 3 121 4 2" xfId="21371"/>
    <cellStyle name="Percent 3 121 4 2 2" xfId="32666"/>
    <cellStyle name="Percent 3 121 4 3" xfId="32667"/>
    <cellStyle name="Percent 3 121 5" xfId="21372"/>
    <cellStyle name="Percent 3 121 5 2" xfId="32668"/>
    <cellStyle name="Percent 3 121 6" xfId="32669"/>
    <cellStyle name="Percent 3 122" xfId="12576"/>
    <cellStyle name="Percent 3 122 2" xfId="12577"/>
    <cellStyle name="Percent 3 122 2 2" xfId="12578"/>
    <cellStyle name="Percent 3 122 2 3" xfId="12579"/>
    <cellStyle name="Percent 3 122 2 3 2" xfId="21373"/>
    <cellStyle name="Percent 3 122 2 3 2 2" xfId="32670"/>
    <cellStyle name="Percent 3 122 2 3 3" xfId="32671"/>
    <cellStyle name="Percent 3 122 2 4" xfId="21374"/>
    <cellStyle name="Percent 3 122 2 4 2" xfId="32672"/>
    <cellStyle name="Percent 3 122 2 5" xfId="32673"/>
    <cellStyle name="Percent 3 122 3" xfId="12580"/>
    <cellStyle name="Percent 3 122 4" xfId="12581"/>
    <cellStyle name="Percent 3 122 4 2" xfId="21375"/>
    <cellStyle name="Percent 3 122 4 2 2" xfId="32674"/>
    <cellStyle name="Percent 3 122 4 3" xfId="32675"/>
    <cellStyle name="Percent 3 122 5" xfId="21376"/>
    <cellStyle name="Percent 3 122 5 2" xfId="32676"/>
    <cellStyle name="Percent 3 122 6" xfId="32677"/>
    <cellStyle name="Percent 3 123" xfId="12582"/>
    <cellStyle name="Percent 3 123 2" xfId="12583"/>
    <cellStyle name="Percent 3 124" xfId="12584"/>
    <cellStyle name="Percent 3 124 2" xfId="12585"/>
    <cellStyle name="Percent 3 125" xfId="12586"/>
    <cellStyle name="Percent 3 125 2" xfId="12587"/>
    <cellStyle name="Percent 3 126" xfId="12588"/>
    <cellStyle name="Percent 3 126 2" xfId="12589"/>
    <cellStyle name="Percent 3 127" xfId="12590"/>
    <cellStyle name="Percent 3 127 2" xfId="12591"/>
    <cellStyle name="Percent 3 128" xfId="12592"/>
    <cellStyle name="Percent 3 128 2" xfId="12593"/>
    <cellStyle name="Percent 3 129" xfId="12594"/>
    <cellStyle name="Percent 3 129 2" xfId="12595"/>
    <cellStyle name="Percent 3 13" xfId="12596"/>
    <cellStyle name="Percent 3 13 2" xfId="12597"/>
    <cellStyle name="Percent 3 13 2 2" xfId="12598"/>
    <cellStyle name="Percent 3 13 2 2 2" xfId="32678"/>
    <cellStyle name="Percent 3 13 2 3" xfId="12599"/>
    <cellStyle name="Percent 3 13 2 3 2" xfId="21377"/>
    <cellStyle name="Percent 3 13 2 3 2 2" xfId="32679"/>
    <cellStyle name="Percent 3 13 2 3 3" xfId="32680"/>
    <cellStyle name="Percent 3 13 2 4" xfId="21378"/>
    <cellStyle name="Percent 3 13 2 4 2" xfId="32681"/>
    <cellStyle name="Percent 3 13 2 5" xfId="32682"/>
    <cellStyle name="Percent 3 13 3" xfId="12600"/>
    <cellStyle name="Percent 3 13 3 2" xfId="12601"/>
    <cellStyle name="Percent 3 13 3 3" xfId="32683"/>
    <cellStyle name="Percent 3 13 4" xfId="12602"/>
    <cellStyle name="Percent 3 13 5" xfId="12603"/>
    <cellStyle name="Percent 3 13 5 2" xfId="21379"/>
    <cellStyle name="Percent 3 13 5 2 2" xfId="32684"/>
    <cellStyle name="Percent 3 13 5 3" xfId="32685"/>
    <cellStyle name="Percent 3 13 6" xfId="21380"/>
    <cellStyle name="Percent 3 13 6 2" xfId="32686"/>
    <cellStyle name="Percent 3 13 7" xfId="32687"/>
    <cellStyle name="Percent 3 130" xfId="12604"/>
    <cellStyle name="Percent 3 130 2" xfId="12605"/>
    <cellStyle name="Percent 3 131" xfId="12606"/>
    <cellStyle name="Percent 3 131 2" xfId="12607"/>
    <cellStyle name="Percent 3 132" xfId="12608"/>
    <cellStyle name="Percent 3 132 2" xfId="12609"/>
    <cellStyle name="Percent 3 133" xfId="12610"/>
    <cellStyle name="Percent 3 133 2" xfId="12611"/>
    <cellStyle name="Percent 3 134" xfId="12612"/>
    <cellStyle name="Percent 3 134 2" xfId="12613"/>
    <cellStyle name="Percent 3 135" xfId="12614"/>
    <cellStyle name="Percent 3 135 2" xfId="12615"/>
    <cellStyle name="Percent 3 136" xfId="12616"/>
    <cellStyle name="Percent 3 136 2" xfId="12617"/>
    <cellStyle name="Percent 3 137" xfId="12618"/>
    <cellStyle name="Percent 3 137 2" xfId="12619"/>
    <cellStyle name="Percent 3 138" xfId="12620"/>
    <cellStyle name="Percent 3 138 2" xfId="12621"/>
    <cellStyle name="Percent 3 139" xfId="12622"/>
    <cellStyle name="Percent 3 139 2" xfId="12623"/>
    <cellStyle name="Percent 3 14" xfId="12624"/>
    <cellStyle name="Percent 3 14 2" xfId="12625"/>
    <cellStyle name="Percent 3 14 2 2" xfId="12626"/>
    <cellStyle name="Percent 3 14 3" xfId="12627"/>
    <cellStyle name="Percent 3 14 3 2" xfId="12628"/>
    <cellStyle name="Percent 3 14 4" xfId="12629"/>
    <cellStyle name="Percent 3 140" xfId="12630"/>
    <cellStyle name="Percent 3 140 2" xfId="12631"/>
    <cellStyle name="Percent 3 141" xfId="12632"/>
    <cellStyle name="Percent 3 141 2" xfId="12633"/>
    <cellStyle name="Percent 3 142" xfId="12634"/>
    <cellStyle name="Percent 3 142 2" xfId="12635"/>
    <cellStyle name="Percent 3 143" xfId="12636"/>
    <cellStyle name="Percent 3 143 2" xfId="12637"/>
    <cellStyle name="Percent 3 144" xfId="12638"/>
    <cellStyle name="Percent 3 144 2" xfId="12639"/>
    <cellStyle name="Percent 3 145" xfId="12640"/>
    <cellStyle name="Percent 3 145 2" xfId="12641"/>
    <cellStyle name="Percent 3 145 2 2" xfId="32688"/>
    <cellStyle name="Percent 3 145 3" xfId="12642"/>
    <cellStyle name="Percent 3 145 3 2" xfId="21381"/>
    <cellStyle name="Percent 3 145 3 2 2" xfId="32689"/>
    <cellStyle name="Percent 3 145 3 3" xfId="32690"/>
    <cellStyle name="Percent 3 145 4" xfId="21382"/>
    <cellStyle name="Percent 3 145 4 2" xfId="32691"/>
    <cellStyle name="Percent 3 145 5" xfId="32692"/>
    <cellStyle name="Percent 3 146" xfId="12643"/>
    <cellStyle name="Percent 3 146 2" xfId="12644"/>
    <cellStyle name="Percent 3 146 2 2" xfId="32693"/>
    <cellStyle name="Percent 3 146 3" xfId="12645"/>
    <cellStyle name="Percent 3 146 3 2" xfId="21383"/>
    <cellStyle name="Percent 3 146 3 2 2" xfId="32694"/>
    <cellStyle name="Percent 3 146 3 3" xfId="32695"/>
    <cellStyle name="Percent 3 146 4" xfId="21384"/>
    <cellStyle name="Percent 3 146 4 2" xfId="32696"/>
    <cellStyle name="Percent 3 146 5" xfId="32697"/>
    <cellStyle name="Percent 3 147" xfId="12646"/>
    <cellStyle name="Percent 3 147 2" xfId="12647"/>
    <cellStyle name="Percent 3 148" xfId="12648"/>
    <cellStyle name="Percent 3 148 2" xfId="12649"/>
    <cellStyle name="Percent 3 149" xfId="12650"/>
    <cellStyle name="Percent 3 149 2" xfId="12651"/>
    <cellStyle name="Percent 3 15" xfId="12652"/>
    <cellStyle name="Percent 3 15 2" xfId="12653"/>
    <cellStyle name="Percent 3 15 2 2" xfId="12654"/>
    <cellStyle name="Percent 3 15 2 2 2" xfId="32698"/>
    <cellStyle name="Percent 3 15 2 3" xfId="12655"/>
    <cellStyle name="Percent 3 15 2 3 2" xfId="21385"/>
    <cellStyle name="Percent 3 15 2 3 2 2" xfId="32699"/>
    <cellStyle name="Percent 3 15 2 3 3" xfId="32700"/>
    <cellStyle name="Percent 3 15 2 4" xfId="21386"/>
    <cellStyle name="Percent 3 15 2 4 2" xfId="32701"/>
    <cellStyle name="Percent 3 15 2 5" xfId="32702"/>
    <cellStyle name="Percent 3 15 3" xfId="12656"/>
    <cellStyle name="Percent 3 15 3 2" xfId="12657"/>
    <cellStyle name="Percent 3 15 3 3" xfId="32703"/>
    <cellStyle name="Percent 3 15 4" xfId="12658"/>
    <cellStyle name="Percent 3 15 5" xfId="12659"/>
    <cellStyle name="Percent 3 15 5 2" xfId="21387"/>
    <cellStyle name="Percent 3 15 5 2 2" xfId="32704"/>
    <cellStyle name="Percent 3 15 5 3" xfId="32705"/>
    <cellStyle name="Percent 3 15 6" xfId="21388"/>
    <cellStyle name="Percent 3 15 6 2" xfId="32706"/>
    <cellStyle name="Percent 3 15 7" xfId="32707"/>
    <cellStyle name="Percent 3 150" xfId="12660"/>
    <cellStyle name="Percent 3 150 2" xfId="12661"/>
    <cellStyle name="Percent 3 151" xfId="12662"/>
    <cellStyle name="Percent 3 151 2" xfId="12663"/>
    <cellStyle name="Percent 3 152" xfId="12664"/>
    <cellStyle name="Percent 3 152 2" xfId="12665"/>
    <cellStyle name="Percent 3 153" xfId="12666"/>
    <cellStyle name="Percent 3 153 2" xfId="12667"/>
    <cellStyle name="Percent 3 154" xfId="12668"/>
    <cellStyle name="Percent 3 154 2" xfId="12669"/>
    <cellStyle name="Percent 3 154 2 2" xfId="12670"/>
    <cellStyle name="Percent 3 154 2 2 2" xfId="21389"/>
    <cellStyle name="Percent 3 154 2 2 2 2" xfId="32708"/>
    <cellStyle name="Percent 3 154 2 2 3" xfId="32709"/>
    <cellStyle name="Percent 3 154 2 3" xfId="21390"/>
    <cellStyle name="Percent 3 154 2 3 2" xfId="32710"/>
    <cellStyle name="Percent 3 154 2 4" xfId="32711"/>
    <cellStyle name="Percent 3 154 3" xfId="12671"/>
    <cellStyle name="Percent 3 154 3 2" xfId="21391"/>
    <cellStyle name="Percent 3 154 3 2 2" xfId="32712"/>
    <cellStyle name="Percent 3 154 3 3" xfId="32713"/>
    <cellStyle name="Percent 3 154 4" xfId="21392"/>
    <cellStyle name="Percent 3 154 4 2" xfId="32714"/>
    <cellStyle name="Percent 3 154 5" xfId="32715"/>
    <cellStyle name="Percent 3 155" xfId="12672"/>
    <cellStyle name="Percent 3 155 2" xfId="12673"/>
    <cellStyle name="Percent 3 155 2 2" xfId="21393"/>
    <cellStyle name="Percent 3 155 2 2 2" xfId="32716"/>
    <cellStyle name="Percent 3 155 2 3" xfId="32717"/>
    <cellStyle name="Percent 3 155 3" xfId="21394"/>
    <cellStyle name="Percent 3 155 3 2" xfId="32718"/>
    <cellStyle name="Percent 3 155 4" xfId="32719"/>
    <cellStyle name="Percent 3 156" xfId="12674"/>
    <cellStyle name="Percent 3 156 2" xfId="21395"/>
    <cellStyle name="Percent 3 156 2 2" xfId="32720"/>
    <cellStyle name="Percent 3 156 3" xfId="32721"/>
    <cellStyle name="Percent 3 157" xfId="21396"/>
    <cellStyle name="Percent 3 157 2" xfId="32722"/>
    <cellStyle name="Percent 3 158" xfId="32723"/>
    <cellStyle name="Percent 3 159" xfId="33656"/>
    <cellStyle name="Percent 3 159 2 2" xfId="33699"/>
    <cellStyle name="Percent 3 159 3 2 2" xfId="33774"/>
    <cellStyle name="Percent 3 159 3 2 3" xfId="33764"/>
    <cellStyle name="Percent 3 16" xfId="12675"/>
    <cellStyle name="Percent 3 16 2" xfId="12676"/>
    <cellStyle name="Percent 3 16 2 2" xfId="12677"/>
    <cellStyle name="Percent 3 16 2 2 2" xfId="32724"/>
    <cellStyle name="Percent 3 16 2 3" xfId="12678"/>
    <cellStyle name="Percent 3 16 2 3 2" xfId="21397"/>
    <cellStyle name="Percent 3 16 2 3 2 2" xfId="32725"/>
    <cellStyle name="Percent 3 16 2 3 3" xfId="32726"/>
    <cellStyle name="Percent 3 16 2 4" xfId="21398"/>
    <cellStyle name="Percent 3 16 2 4 2" xfId="32727"/>
    <cellStyle name="Percent 3 16 2 5" xfId="32728"/>
    <cellStyle name="Percent 3 16 3" xfId="12679"/>
    <cellStyle name="Percent 3 16 3 2" xfId="12680"/>
    <cellStyle name="Percent 3 16 3 3" xfId="32729"/>
    <cellStyle name="Percent 3 16 4" xfId="12681"/>
    <cellStyle name="Percent 3 16 5" xfId="12682"/>
    <cellStyle name="Percent 3 16 5 2" xfId="21399"/>
    <cellStyle name="Percent 3 16 5 2 2" xfId="32730"/>
    <cellStyle name="Percent 3 16 5 3" xfId="32731"/>
    <cellStyle name="Percent 3 16 6" xfId="21400"/>
    <cellStyle name="Percent 3 16 6 2" xfId="32732"/>
    <cellStyle name="Percent 3 16 7" xfId="32733"/>
    <cellStyle name="Percent 3 17" xfId="12683"/>
    <cellStyle name="Percent 3 17 2" xfId="12684"/>
    <cellStyle name="Percent 3 17 2 2" xfId="12685"/>
    <cellStyle name="Percent 3 17 2 2 2" xfId="32734"/>
    <cellStyle name="Percent 3 17 2 3" xfId="12686"/>
    <cellStyle name="Percent 3 17 2 3 2" xfId="21401"/>
    <cellStyle name="Percent 3 17 2 3 2 2" xfId="32735"/>
    <cellStyle name="Percent 3 17 2 3 3" xfId="32736"/>
    <cellStyle name="Percent 3 17 2 4" xfId="21402"/>
    <cellStyle name="Percent 3 17 2 4 2" xfId="32737"/>
    <cellStyle name="Percent 3 17 2 5" xfId="32738"/>
    <cellStyle name="Percent 3 17 3" xfId="12687"/>
    <cellStyle name="Percent 3 17 3 2" xfId="12688"/>
    <cellStyle name="Percent 3 17 3 3" xfId="32739"/>
    <cellStyle name="Percent 3 17 4" xfId="12689"/>
    <cellStyle name="Percent 3 17 5" xfId="12690"/>
    <cellStyle name="Percent 3 17 5 2" xfId="21403"/>
    <cellStyle name="Percent 3 17 5 2 2" xfId="32740"/>
    <cellStyle name="Percent 3 17 5 3" xfId="32741"/>
    <cellStyle name="Percent 3 17 6" xfId="21404"/>
    <cellStyle name="Percent 3 17 6 2" xfId="32742"/>
    <cellStyle name="Percent 3 17 7" xfId="32743"/>
    <cellStyle name="Percent 3 18" xfId="12691"/>
    <cellStyle name="Percent 3 18 2" xfId="12692"/>
    <cellStyle name="Percent 3 18 2 2" xfId="12693"/>
    <cellStyle name="Percent 3 18 2 2 2" xfId="32744"/>
    <cellStyle name="Percent 3 18 2 3" xfId="12694"/>
    <cellStyle name="Percent 3 18 2 3 2" xfId="21405"/>
    <cellStyle name="Percent 3 18 2 3 2 2" xfId="32745"/>
    <cellStyle name="Percent 3 18 2 3 3" xfId="32746"/>
    <cellStyle name="Percent 3 18 2 4" xfId="21406"/>
    <cellStyle name="Percent 3 18 2 4 2" xfId="32747"/>
    <cellStyle name="Percent 3 18 2 5" xfId="32748"/>
    <cellStyle name="Percent 3 18 3" xfId="12695"/>
    <cellStyle name="Percent 3 18 3 2" xfId="12696"/>
    <cellStyle name="Percent 3 18 3 3" xfId="32749"/>
    <cellStyle name="Percent 3 18 4" xfId="12697"/>
    <cellStyle name="Percent 3 18 5" xfId="12698"/>
    <cellStyle name="Percent 3 18 5 2" xfId="21407"/>
    <cellStyle name="Percent 3 18 5 2 2" xfId="32750"/>
    <cellStyle name="Percent 3 18 5 3" xfId="32751"/>
    <cellStyle name="Percent 3 18 6" xfId="21408"/>
    <cellStyle name="Percent 3 18 6 2" xfId="32752"/>
    <cellStyle name="Percent 3 18 7" xfId="32753"/>
    <cellStyle name="Percent 3 19" xfId="12699"/>
    <cellStyle name="Percent 3 19 2" xfId="12700"/>
    <cellStyle name="Percent 3 19 2 2" xfId="12701"/>
    <cellStyle name="Percent 3 19 3" xfId="12702"/>
    <cellStyle name="Percent 3 19 3 2" xfId="12703"/>
    <cellStyle name="Percent 3 19 4" xfId="12704"/>
    <cellStyle name="Percent 3 19 4 2" xfId="12705"/>
    <cellStyle name="Percent 3 19 5" xfId="12706"/>
    <cellStyle name="Percent 3 2" xfId="12707"/>
    <cellStyle name="Percent 3 2 10" xfId="12708"/>
    <cellStyle name="Percent 3 2 10 2" xfId="12709"/>
    <cellStyle name="Percent 3 2 10 2 2" xfId="12710"/>
    <cellStyle name="Percent 3 2 10 3" xfId="12711"/>
    <cellStyle name="Percent 3 2 11" xfId="12712"/>
    <cellStyle name="Percent 3 2 11 2" xfId="12713"/>
    <cellStyle name="Percent 3 2 11 2 2" xfId="12714"/>
    <cellStyle name="Percent 3 2 11 3" xfId="12715"/>
    <cellStyle name="Percent 3 2 12" xfId="12716"/>
    <cellStyle name="Percent 3 2 12 2" xfId="12717"/>
    <cellStyle name="Percent 3 2 12 2 2" xfId="12718"/>
    <cellStyle name="Percent 3 2 12 3" xfId="12719"/>
    <cellStyle name="Percent 3 2 12 4" xfId="21409"/>
    <cellStyle name="Percent 3 2 12 5" xfId="21410"/>
    <cellStyle name="Percent 3 2 13" xfId="12720"/>
    <cellStyle name="Percent 3 2 13 2" xfId="12721"/>
    <cellStyle name="Percent 3 2 13 2 2" xfId="12722"/>
    <cellStyle name="Percent 3 2 13 3" xfId="12723"/>
    <cellStyle name="Percent 3 2 14" xfId="12724"/>
    <cellStyle name="Percent 3 2 14 2" xfId="12725"/>
    <cellStyle name="Percent 3 2 14 2 2" xfId="12726"/>
    <cellStyle name="Percent 3 2 14 3" xfId="12727"/>
    <cellStyle name="Percent 3 2 14 4" xfId="21411"/>
    <cellStyle name="Percent 3 2 14 5" xfId="21412"/>
    <cellStyle name="Percent 3 2 15" xfId="12728"/>
    <cellStyle name="Percent 3 2 15 2" xfId="12729"/>
    <cellStyle name="Percent 3 2 15 2 2" xfId="12730"/>
    <cellStyle name="Percent 3 2 15 3" xfId="12731"/>
    <cellStyle name="Percent 3 2 15 4" xfId="21413"/>
    <cellStyle name="Percent 3 2 15 5" xfId="21414"/>
    <cellStyle name="Percent 3 2 16" xfId="12732"/>
    <cellStyle name="Percent 3 2 16 2" xfId="12733"/>
    <cellStyle name="Percent 3 2 16 2 2" xfId="12734"/>
    <cellStyle name="Percent 3 2 16 3" xfId="12735"/>
    <cellStyle name="Percent 3 2 16 4" xfId="21415"/>
    <cellStyle name="Percent 3 2 16 5" xfId="21416"/>
    <cellStyle name="Percent 3 2 17" xfId="12736"/>
    <cellStyle name="Percent 3 2 17 2" xfId="12737"/>
    <cellStyle name="Percent 3 2 17 2 2" xfId="12738"/>
    <cellStyle name="Percent 3 2 17 3" xfId="12739"/>
    <cellStyle name="Percent 3 2 17 4" xfId="21417"/>
    <cellStyle name="Percent 3 2 17 5" xfId="21418"/>
    <cellStyle name="Percent 3 2 18" xfId="12740"/>
    <cellStyle name="Percent 3 2 18 2" xfId="12741"/>
    <cellStyle name="Percent 3 2 19" xfId="12742"/>
    <cellStyle name="Percent 3 2 19 2" xfId="12743"/>
    <cellStyle name="Percent 3 2 2" xfId="12744"/>
    <cellStyle name="Percent 3 2 2 10" xfId="12745"/>
    <cellStyle name="Percent 3 2 2 10 2" xfId="12746"/>
    <cellStyle name="Percent 3 2 2 10 2 2" xfId="12747"/>
    <cellStyle name="Percent 3 2 2 10 2 3" xfId="12748"/>
    <cellStyle name="Percent 3 2 2 10 2 3 2" xfId="21419"/>
    <cellStyle name="Percent 3 2 2 10 2 3 2 2" xfId="32754"/>
    <cellStyle name="Percent 3 2 2 10 2 3 3" xfId="32755"/>
    <cellStyle name="Percent 3 2 2 10 2 4" xfId="21420"/>
    <cellStyle name="Percent 3 2 2 10 2 4 2" xfId="32756"/>
    <cellStyle name="Percent 3 2 2 10 2 5" xfId="32757"/>
    <cellStyle name="Percent 3 2 2 10 3" xfId="12749"/>
    <cellStyle name="Percent 3 2 2 10 4" xfId="12750"/>
    <cellStyle name="Percent 3 2 2 10 4 2" xfId="21421"/>
    <cellStyle name="Percent 3 2 2 10 4 2 2" xfId="32758"/>
    <cellStyle name="Percent 3 2 2 10 4 3" xfId="32759"/>
    <cellStyle name="Percent 3 2 2 10 5" xfId="21422"/>
    <cellStyle name="Percent 3 2 2 10 5 2" xfId="32760"/>
    <cellStyle name="Percent 3 2 2 10 6" xfId="32761"/>
    <cellStyle name="Percent 3 2 2 11" xfId="12751"/>
    <cellStyle name="Percent 3 2 2 11 2" xfId="12752"/>
    <cellStyle name="Percent 3 2 2 11 2 2" xfId="12753"/>
    <cellStyle name="Percent 3 2 2 11 2 3" xfId="12754"/>
    <cellStyle name="Percent 3 2 2 11 2 3 2" xfId="21423"/>
    <cellStyle name="Percent 3 2 2 11 2 3 2 2" xfId="32762"/>
    <cellStyle name="Percent 3 2 2 11 2 3 3" xfId="32763"/>
    <cellStyle name="Percent 3 2 2 11 2 4" xfId="21424"/>
    <cellStyle name="Percent 3 2 2 11 2 4 2" xfId="32764"/>
    <cellStyle name="Percent 3 2 2 11 2 5" xfId="32765"/>
    <cellStyle name="Percent 3 2 2 11 3" xfId="12755"/>
    <cellStyle name="Percent 3 2 2 11 4" xfId="12756"/>
    <cellStyle name="Percent 3 2 2 11 4 2" xfId="21425"/>
    <cellStyle name="Percent 3 2 2 11 4 2 2" xfId="32766"/>
    <cellStyle name="Percent 3 2 2 11 4 3" xfId="32767"/>
    <cellStyle name="Percent 3 2 2 11 5" xfId="21426"/>
    <cellStyle name="Percent 3 2 2 11 5 2" xfId="32768"/>
    <cellStyle name="Percent 3 2 2 11 6" xfId="32769"/>
    <cellStyle name="Percent 3 2 2 12" xfId="12757"/>
    <cellStyle name="Percent 3 2 2 12 2" xfId="12758"/>
    <cellStyle name="Percent 3 2 2 12 2 2" xfId="12759"/>
    <cellStyle name="Percent 3 2 2 12 2 3" xfId="12760"/>
    <cellStyle name="Percent 3 2 2 12 2 3 2" xfId="21427"/>
    <cellStyle name="Percent 3 2 2 12 2 3 2 2" xfId="32770"/>
    <cellStyle name="Percent 3 2 2 12 2 3 3" xfId="32771"/>
    <cellStyle name="Percent 3 2 2 12 2 4" xfId="21428"/>
    <cellStyle name="Percent 3 2 2 12 2 4 2" xfId="32772"/>
    <cellStyle name="Percent 3 2 2 12 2 5" xfId="32773"/>
    <cellStyle name="Percent 3 2 2 12 3" xfId="12761"/>
    <cellStyle name="Percent 3 2 2 12 4" xfId="12762"/>
    <cellStyle name="Percent 3 2 2 12 4 2" xfId="21429"/>
    <cellStyle name="Percent 3 2 2 12 4 2 2" xfId="32774"/>
    <cellStyle name="Percent 3 2 2 12 4 3" xfId="32775"/>
    <cellStyle name="Percent 3 2 2 12 5" xfId="21430"/>
    <cellStyle name="Percent 3 2 2 12 5 2" xfId="32776"/>
    <cellStyle name="Percent 3 2 2 12 6" xfId="32777"/>
    <cellStyle name="Percent 3 2 2 13" xfId="12763"/>
    <cellStyle name="Percent 3 2 2 13 2" xfId="12764"/>
    <cellStyle name="Percent 3 2 2 13 2 2" xfId="12765"/>
    <cellStyle name="Percent 3 2 2 13 2 3" xfId="12766"/>
    <cellStyle name="Percent 3 2 2 13 2 3 2" xfId="21431"/>
    <cellStyle name="Percent 3 2 2 13 2 3 2 2" xfId="32778"/>
    <cellStyle name="Percent 3 2 2 13 2 3 3" xfId="32779"/>
    <cellStyle name="Percent 3 2 2 13 2 4" xfId="21432"/>
    <cellStyle name="Percent 3 2 2 13 2 4 2" xfId="32780"/>
    <cellStyle name="Percent 3 2 2 13 2 5" xfId="32781"/>
    <cellStyle name="Percent 3 2 2 13 3" xfId="12767"/>
    <cellStyle name="Percent 3 2 2 13 4" xfId="12768"/>
    <cellStyle name="Percent 3 2 2 13 4 2" xfId="21433"/>
    <cellStyle name="Percent 3 2 2 13 4 2 2" xfId="32782"/>
    <cellStyle name="Percent 3 2 2 13 4 3" xfId="32783"/>
    <cellStyle name="Percent 3 2 2 13 5" xfId="21434"/>
    <cellStyle name="Percent 3 2 2 13 5 2" xfId="32784"/>
    <cellStyle name="Percent 3 2 2 13 6" xfId="32785"/>
    <cellStyle name="Percent 3 2 2 14" xfId="12769"/>
    <cellStyle name="Percent 3 2 2 14 2" xfId="12770"/>
    <cellStyle name="Percent 3 2 2 14 2 2" xfId="12771"/>
    <cellStyle name="Percent 3 2 2 14 2 3" xfId="12772"/>
    <cellStyle name="Percent 3 2 2 14 2 3 2" xfId="21435"/>
    <cellStyle name="Percent 3 2 2 14 2 3 2 2" xfId="32786"/>
    <cellStyle name="Percent 3 2 2 14 2 3 3" xfId="32787"/>
    <cellStyle name="Percent 3 2 2 14 2 4" xfId="21436"/>
    <cellStyle name="Percent 3 2 2 14 2 4 2" xfId="32788"/>
    <cellStyle name="Percent 3 2 2 14 2 5" xfId="32789"/>
    <cellStyle name="Percent 3 2 2 14 3" xfId="12773"/>
    <cellStyle name="Percent 3 2 2 14 4" xfId="12774"/>
    <cellStyle name="Percent 3 2 2 14 4 2" xfId="21437"/>
    <cellStyle name="Percent 3 2 2 14 4 2 2" xfId="32790"/>
    <cellStyle name="Percent 3 2 2 14 4 3" xfId="32791"/>
    <cellStyle name="Percent 3 2 2 14 5" xfId="21438"/>
    <cellStyle name="Percent 3 2 2 14 5 2" xfId="32792"/>
    <cellStyle name="Percent 3 2 2 14 6" xfId="32793"/>
    <cellStyle name="Percent 3 2 2 15" xfId="12775"/>
    <cellStyle name="Percent 3 2 2 15 2" xfId="12776"/>
    <cellStyle name="Percent 3 2 2 15 2 2" xfId="12777"/>
    <cellStyle name="Percent 3 2 2 15 2 3" xfId="12778"/>
    <cellStyle name="Percent 3 2 2 15 2 3 2" xfId="21439"/>
    <cellStyle name="Percent 3 2 2 15 2 3 2 2" xfId="32794"/>
    <cellStyle name="Percent 3 2 2 15 2 3 3" xfId="32795"/>
    <cellStyle name="Percent 3 2 2 15 2 4" xfId="21440"/>
    <cellStyle name="Percent 3 2 2 15 2 4 2" xfId="32796"/>
    <cellStyle name="Percent 3 2 2 15 2 5" xfId="32797"/>
    <cellStyle name="Percent 3 2 2 15 3" xfId="12779"/>
    <cellStyle name="Percent 3 2 2 15 4" xfId="12780"/>
    <cellStyle name="Percent 3 2 2 15 4 2" xfId="21441"/>
    <cellStyle name="Percent 3 2 2 15 4 2 2" xfId="32798"/>
    <cellStyle name="Percent 3 2 2 15 4 3" xfId="32799"/>
    <cellStyle name="Percent 3 2 2 15 5" xfId="21442"/>
    <cellStyle name="Percent 3 2 2 15 5 2" xfId="32800"/>
    <cellStyle name="Percent 3 2 2 15 6" xfId="32801"/>
    <cellStyle name="Percent 3 2 2 16" xfId="12781"/>
    <cellStyle name="Percent 3 2 2 16 2" xfId="12782"/>
    <cellStyle name="Percent 3 2 2 16 2 2" xfId="32802"/>
    <cellStyle name="Percent 3 2 2 16 3" xfId="12783"/>
    <cellStyle name="Percent 3 2 2 16 3 2" xfId="21443"/>
    <cellStyle name="Percent 3 2 2 16 3 2 2" xfId="32803"/>
    <cellStyle name="Percent 3 2 2 16 3 3" xfId="32804"/>
    <cellStyle name="Percent 3 2 2 16 4" xfId="21444"/>
    <cellStyle name="Percent 3 2 2 16 4 2" xfId="32805"/>
    <cellStyle name="Percent 3 2 2 16 5" xfId="32806"/>
    <cellStyle name="Percent 3 2 2 17" xfId="12784"/>
    <cellStyle name="Percent 3 2 2 17 2" xfId="12785"/>
    <cellStyle name="Percent 3 2 2 17 2 2" xfId="32807"/>
    <cellStyle name="Percent 3 2 2 17 3" xfId="12786"/>
    <cellStyle name="Percent 3 2 2 17 3 2" xfId="21445"/>
    <cellStyle name="Percent 3 2 2 17 3 2 2" xfId="32808"/>
    <cellStyle name="Percent 3 2 2 17 3 3" xfId="32809"/>
    <cellStyle name="Percent 3 2 2 17 4" xfId="21446"/>
    <cellStyle name="Percent 3 2 2 17 4 2" xfId="32810"/>
    <cellStyle name="Percent 3 2 2 17 5" xfId="32811"/>
    <cellStyle name="Percent 3 2 2 18" xfId="12787"/>
    <cellStyle name="Percent 3 2 2 18 2" xfId="12788"/>
    <cellStyle name="Percent 3 2 2 19" xfId="12789"/>
    <cellStyle name="Percent 3 2 2 19 2" xfId="12790"/>
    <cellStyle name="Percent 3 2 2 19 3" xfId="32812"/>
    <cellStyle name="Percent 3 2 2 2" xfId="12791"/>
    <cellStyle name="Percent 3 2 2 2 10" xfId="12792"/>
    <cellStyle name="Percent 3 2 2 2 10 2" xfId="12793"/>
    <cellStyle name="Percent 3 2 2 2 10 2 2" xfId="12794"/>
    <cellStyle name="Percent 3 2 2 2 10 3" xfId="12795"/>
    <cellStyle name="Percent 3 2 2 2 10 4" xfId="21447"/>
    <cellStyle name="Percent 3 2 2 2 10 5" xfId="21448"/>
    <cellStyle name="Percent 3 2 2 2 11" xfId="12796"/>
    <cellStyle name="Percent 3 2 2 2 11 2" xfId="12797"/>
    <cellStyle name="Percent 3 2 2 2 11 2 2" xfId="12798"/>
    <cellStyle name="Percent 3 2 2 2 11 3" xfId="12799"/>
    <cellStyle name="Percent 3 2 2 2 11 4" xfId="21449"/>
    <cellStyle name="Percent 3 2 2 2 11 5" xfId="21450"/>
    <cellStyle name="Percent 3 2 2 2 12" xfId="12800"/>
    <cellStyle name="Percent 3 2 2 2 12 2" xfId="12801"/>
    <cellStyle name="Percent 3 2 2 2 12 2 2" xfId="12802"/>
    <cellStyle name="Percent 3 2 2 2 12 3" xfId="12803"/>
    <cellStyle name="Percent 3 2 2 2 12 4" xfId="21451"/>
    <cellStyle name="Percent 3 2 2 2 12 5" xfId="21452"/>
    <cellStyle name="Percent 3 2 2 2 13" xfId="12804"/>
    <cellStyle name="Percent 3 2 2 2 13 2" xfId="12805"/>
    <cellStyle name="Percent 3 2 2 2 13 2 2" xfId="12806"/>
    <cellStyle name="Percent 3 2 2 2 13 3" xfId="12807"/>
    <cellStyle name="Percent 3 2 2 2 13 4" xfId="21453"/>
    <cellStyle name="Percent 3 2 2 2 13 5" xfId="21454"/>
    <cellStyle name="Percent 3 2 2 2 14" xfId="12808"/>
    <cellStyle name="Percent 3 2 2 2 14 2" xfId="12809"/>
    <cellStyle name="Percent 3 2 2 2 14 2 2" xfId="12810"/>
    <cellStyle name="Percent 3 2 2 2 14 3" xfId="12811"/>
    <cellStyle name="Percent 3 2 2 2 14 4" xfId="21455"/>
    <cellStyle name="Percent 3 2 2 2 14 5" xfId="21456"/>
    <cellStyle name="Percent 3 2 2 2 15" xfId="12812"/>
    <cellStyle name="Percent 3 2 2 2 15 2" xfId="12813"/>
    <cellStyle name="Percent 3 2 2 2 15 2 2" xfId="12814"/>
    <cellStyle name="Percent 3 2 2 2 15 3" xfId="12815"/>
    <cellStyle name="Percent 3 2 2 2 15 4" xfId="21457"/>
    <cellStyle name="Percent 3 2 2 2 15 5" xfId="21458"/>
    <cellStyle name="Percent 3 2 2 2 16" xfId="12816"/>
    <cellStyle name="Percent 3 2 2 2 16 2" xfId="12817"/>
    <cellStyle name="Percent 3 2 2 2 16 2 2" xfId="12818"/>
    <cellStyle name="Percent 3 2 2 2 16 3" xfId="12819"/>
    <cellStyle name="Percent 3 2 2 2 16 4" xfId="12820"/>
    <cellStyle name="Percent 3 2 2 2 16 4 2" xfId="21459"/>
    <cellStyle name="Percent 3 2 2 2 16 4 2 2" xfId="32813"/>
    <cellStyle name="Percent 3 2 2 2 16 4 3" xfId="32814"/>
    <cellStyle name="Percent 3 2 2 2 16 5" xfId="21460"/>
    <cellStyle name="Percent 3 2 2 2 17" xfId="12821"/>
    <cellStyle name="Percent 3 2 2 2 17 2" xfId="12822"/>
    <cellStyle name="Percent 3 2 2 2 17 2 2" xfId="12823"/>
    <cellStyle name="Percent 3 2 2 2 17 3" xfId="12824"/>
    <cellStyle name="Percent 3 2 2 2 17 4" xfId="21461"/>
    <cellStyle name="Percent 3 2 2 2 18" xfId="12825"/>
    <cellStyle name="Percent 3 2 2 2 19" xfId="21462"/>
    <cellStyle name="Percent 3 2 2 2 19 2" xfId="32815"/>
    <cellStyle name="Percent 3 2 2 2 2" xfId="12826"/>
    <cellStyle name="Percent 3 2 2 2 2 2" xfId="12827"/>
    <cellStyle name="Percent 3 2 2 2 2 2 10" xfId="32816"/>
    <cellStyle name="Percent 3 2 2 2 2 2 2" xfId="12828"/>
    <cellStyle name="Percent 3 2 2 2 2 2 2 2" xfId="12829"/>
    <cellStyle name="Percent 3 2 2 2 2 2 2 2 2" xfId="12830"/>
    <cellStyle name="Percent 3 2 2 2 2 2 2 3" xfId="12831"/>
    <cellStyle name="Percent 3 2 2 2 2 2 2 4" xfId="21463"/>
    <cellStyle name="Percent 3 2 2 2 2 2 2 5" xfId="21464"/>
    <cellStyle name="Percent 3 2 2 2 2 2 3" xfId="12832"/>
    <cellStyle name="Percent 3 2 2 2 2 2 3 2" xfId="12833"/>
    <cellStyle name="Percent 3 2 2 2 2 2 3 2 2" xfId="12834"/>
    <cellStyle name="Percent 3 2 2 2 2 2 3 3" xfId="12835"/>
    <cellStyle name="Percent 3 2 2 2 2 2 3 4" xfId="21465"/>
    <cellStyle name="Percent 3 2 2 2 2 2 3 5" xfId="21466"/>
    <cellStyle name="Percent 3 2 2 2 2 2 4" xfId="12836"/>
    <cellStyle name="Percent 3 2 2 2 2 2 4 2" xfId="12837"/>
    <cellStyle name="Percent 3 2 2 2 2 2 4 2 2" xfId="12838"/>
    <cellStyle name="Percent 3 2 2 2 2 2 4 3" xfId="12839"/>
    <cellStyle name="Percent 3 2 2 2 2 2 4 4" xfId="21467"/>
    <cellStyle name="Percent 3 2 2 2 2 2 4 5" xfId="21468"/>
    <cellStyle name="Percent 3 2 2 2 2 2 5" xfId="12840"/>
    <cellStyle name="Percent 3 2 2 2 2 2 5 2" xfId="12841"/>
    <cellStyle name="Percent 3 2 2 2 2 2 5 2 2" xfId="12842"/>
    <cellStyle name="Percent 3 2 2 2 2 2 5 3" xfId="12843"/>
    <cellStyle name="Percent 3 2 2 2 2 2 5 4" xfId="21469"/>
    <cellStyle name="Percent 3 2 2 2 2 2 5 5" xfId="21470"/>
    <cellStyle name="Percent 3 2 2 2 2 2 6" xfId="12844"/>
    <cellStyle name="Percent 3 2 2 2 2 2 6 2" xfId="12845"/>
    <cellStyle name="Percent 3 2 2 2 2 2 6 3" xfId="12846"/>
    <cellStyle name="Percent 3 2 2 2 2 2 6 3 2" xfId="21471"/>
    <cellStyle name="Percent 3 2 2 2 2 2 6 3 2 2" xfId="32817"/>
    <cellStyle name="Percent 3 2 2 2 2 2 6 3 3" xfId="32818"/>
    <cellStyle name="Percent 3 2 2 2 2 2 6 4" xfId="21472"/>
    <cellStyle name="Percent 3 2 2 2 2 2 6 4 2" xfId="32819"/>
    <cellStyle name="Percent 3 2 2 2 2 2 6 5" xfId="32820"/>
    <cellStyle name="Percent 3 2 2 2 2 2 7" xfId="12847"/>
    <cellStyle name="Percent 3 2 2 2 2 2 8" xfId="12848"/>
    <cellStyle name="Percent 3 2 2 2 2 2 8 2" xfId="21473"/>
    <cellStyle name="Percent 3 2 2 2 2 2 8 2 2" xfId="32821"/>
    <cellStyle name="Percent 3 2 2 2 2 2 8 3" xfId="32822"/>
    <cellStyle name="Percent 3 2 2 2 2 2 9" xfId="21474"/>
    <cellStyle name="Percent 3 2 2 2 2 2 9 2" xfId="32823"/>
    <cellStyle name="Percent 3 2 2 2 2 3" xfId="12849"/>
    <cellStyle name="Percent 3 2 2 2 2 3 2" xfId="12850"/>
    <cellStyle name="Percent 3 2 2 2 2 3 2 2" xfId="12851"/>
    <cellStyle name="Percent 3 2 2 2 2 3 2 3" xfId="12852"/>
    <cellStyle name="Percent 3 2 2 2 2 3 2 3 2" xfId="21475"/>
    <cellStyle name="Percent 3 2 2 2 2 3 2 3 2 2" xfId="32824"/>
    <cellStyle name="Percent 3 2 2 2 2 3 2 3 3" xfId="32825"/>
    <cellStyle name="Percent 3 2 2 2 2 3 2 4" xfId="21476"/>
    <cellStyle name="Percent 3 2 2 2 2 3 2 4 2" xfId="32826"/>
    <cellStyle name="Percent 3 2 2 2 2 3 2 5" xfId="32827"/>
    <cellStyle name="Percent 3 2 2 2 2 3 3" xfId="12853"/>
    <cellStyle name="Percent 3 2 2 2 2 3 4" xfId="12854"/>
    <cellStyle name="Percent 3 2 2 2 2 3 4 2" xfId="21477"/>
    <cellStyle name="Percent 3 2 2 2 2 3 4 2 2" xfId="32828"/>
    <cellStyle name="Percent 3 2 2 2 2 3 4 3" xfId="32829"/>
    <cellStyle name="Percent 3 2 2 2 2 3 5" xfId="21478"/>
    <cellStyle name="Percent 3 2 2 2 2 3 5 2" xfId="32830"/>
    <cellStyle name="Percent 3 2 2 2 2 3 6" xfId="32831"/>
    <cellStyle name="Percent 3 2 2 2 2 4" xfId="12855"/>
    <cellStyle name="Percent 3 2 2 2 2 4 2" xfId="12856"/>
    <cellStyle name="Percent 3 2 2 2 2 4 2 2" xfId="12857"/>
    <cellStyle name="Percent 3 2 2 2 2 4 2 3" xfId="12858"/>
    <cellStyle name="Percent 3 2 2 2 2 4 2 3 2" xfId="21479"/>
    <cellStyle name="Percent 3 2 2 2 2 4 2 3 2 2" xfId="32832"/>
    <cellStyle name="Percent 3 2 2 2 2 4 2 3 3" xfId="32833"/>
    <cellStyle name="Percent 3 2 2 2 2 4 2 4" xfId="21480"/>
    <cellStyle name="Percent 3 2 2 2 2 4 2 4 2" xfId="32834"/>
    <cellStyle name="Percent 3 2 2 2 2 4 2 5" xfId="32835"/>
    <cellStyle name="Percent 3 2 2 2 2 4 3" xfId="12859"/>
    <cellStyle name="Percent 3 2 2 2 2 4 4" xfId="12860"/>
    <cellStyle name="Percent 3 2 2 2 2 4 4 2" xfId="21481"/>
    <cellStyle name="Percent 3 2 2 2 2 4 4 2 2" xfId="32836"/>
    <cellStyle name="Percent 3 2 2 2 2 4 4 3" xfId="32837"/>
    <cellStyle name="Percent 3 2 2 2 2 4 5" xfId="21482"/>
    <cellStyle name="Percent 3 2 2 2 2 4 5 2" xfId="32838"/>
    <cellStyle name="Percent 3 2 2 2 2 4 6" xfId="32839"/>
    <cellStyle name="Percent 3 2 2 2 2 5" xfId="12861"/>
    <cellStyle name="Percent 3 2 2 2 2 5 2" xfId="12862"/>
    <cellStyle name="Percent 3 2 2 2 2 5 2 2" xfId="12863"/>
    <cellStyle name="Percent 3 2 2 2 2 5 2 3" xfId="12864"/>
    <cellStyle name="Percent 3 2 2 2 2 5 2 3 2" xfId="21483"/>
    <cellStyle name="Percent 3 2 2 2 2 5 2 3 2 2" xfId="32840"/>
    <cellStyle name="Percent 3 2 2 2 2 5 2 3 3" xfId="32841"/>
    <cellStyle name="Percent 3 2 2 2 2 5 2 4" xfId="21484"/>
    <cellStyle name="Percent 3 2 2 2 2 5 2 4 2" xfId="32842"/>
    <cellStyle name="Percent 3 2 2 2 2 5 2 5" xfId="32843"/>
    <cellStyle name="Percent 3 2 2 2 2 5 3" xfId="12865"/>
    <cellStyle name="Percent 3 2 2 2 2 5 4" xfId="12866"/>
    <cellStyle name="Percent 3 2 2 2 2 5 4 2" xfId="21485"/>
    <cellStyle name="Percent 3 2 2 2 2 5 4 2 2" xfId="32844"/>
    <cellStyle name="Percent 3 2 2 2 2 5 4 3" xfId="32845"/>
    <cellStyle name="Percent 3 2 2 2 2 5 5" xfId="21486"/>
    <cellStyle name="Percent 3 2 2 2 2 5 5 2" xfId="32846"/>
    <cellStyle name="Percent 3 2 2 2 2 5 6" xfId="32847"/>
    <cellStyle name="Percent 3 2 2 2 2 6" xfId="12867"/>
    <cellStyle name="Percent 3 2 2 2 2 6 2" xfId="12868"/>
    <cellStyle name="Percent 3 2 2 2 2 7" xfId="12869"/>
    <cellStyle name="Percent 3 2 2 2 2 8" xfId="21487"/>
    <cellStyle name="Percent 3 2 2 2 2 9" xfId="21488"/>
    <cellStyle name="Percent 3 2 2 2 3" xfId="12870"/>
    <cellStyle name="Percent 3 2 2 2 3 2" xfId="12871"/>
    <cellStyle name="Percent 3 2 2 2 3 2 2" xfId="12872"/>
    <cellStyle name="Percent 3 2 2 2 3 3" xfId="12873"/>
    <cellStyle name="Percent 3 2 2 2 3 4" xfId="21489"/>
    <cellStyle name="Percent 3 2 2 2 3 5" xfId="21490"/>
    <cellStyle name="Percent 3 2 2 2 4" xfId="12874"/>
    <cellStyle name="Percent 3 2 2 2 4 2" xfId="12875"/>
    <cellStyle name="Percent 3 2 2 2 4 2 2" xfId="12876"/>
    <cellStyle name="Percent 3 2 2 2 4 3" xfId="12877"/>
    <cellStyle name="Percent 3 2 2 2 4 4" xfId="21491"/>
    <cellStyle name="Percent 3 2 2 2 4 5" xfId="21492"/>
    <cellStyle name="Percent 3 2 2 2 5" xfId="12878"/>
    <cellStyle name="Percent 3 2 2 2 5 2" xfId="12879"/>
    <cellStyle name="Percent 3 2 2 2 5 2 2" xfId="12880"/>
    <cellStyle name="Percent 3 2 2 2 5 3" xfId="12881"/>
    <cellStyle name="Percent 3 2 2 2 5 4" xfId="21493"/>
    <cellStyle name="Percent 3 2 2 2 5 5" xfId="21494"/>
    <cellStyle name="Percent 3 2 2 2 6" xfId="12882"/>
    <cellStyle name="Percent 3 2 2 2 6 2" xfId="12883"/>
    <cellStyle name="Percent 3 2 2 2 6 2 2" xfId="12884"/>
    <cellStyle name="Percent 3 2 2 2 6 3" xfId="12885"/>
    <cellStyle name="Percent 3 2 2 2 6 4" xfId="21495"/>
    <cellStyle name="Percent 3 2 2 2 6 5" xfId="21496"/>
    <cellStyle name="Percent 3 2 2 2 7" xfId="12886"/>
    <cellStyle name="Percent 3 2 2 2 7 2" xfId="12887"/>
    <cellStyle name="Percent 3 2 2 2 7 2 2" xfId="12888"/>
    <cellStyle name="Percent 3 2 2 2 7 3" xfId="12889"/>
    <cellStyle name="Percent 3 2 2 2 7 4" xfId="21497"/>
    <cellStyle name="Percent 3 2 2 2 7 5" xfId="21498"/>
    <cellStyle name="Percent 3 2 2 2 8" xfId="12890"/>
    <cellStyle name="Percent 3 2 2 2 8 2" xfId="12891"/>
    <cellStyle name="Percent 3 2 2 2 8 2 2" xfId="12892"/>
    <cellStyle name="Percent 3 2 2 2 8 3" xfId="12893"/>
    <cellStyle name="Percent 3 2 2 2 8 4" xfId="21499"/>
    <cellStyle name="Percent 3 2 2 2 8 5" xfId="21500"/>
    <cellStyle name="Percent 3 2 2 2 9" xfId="12894"/>
    <cellStyle name="Percent 3 2 2 2 9 2" xfId="12895"/>
    <cellStyle name="Percent 3 2 2 2 9 2 2" xfId="12896"/>
    <cellStyle name="Percent 3 2 2 2 9 3" xfId="12897"/>
    <cellStyle name="Percent 3 2 2 2 9 4" xfId="21501"/>
    <cellStyle name="Percent 3 2 2 2 9 5" xfId="21502"/>
    <cellStyle name="Percent 3 2 2 20" xfId="12898"/>
    <cellStyle name="Percent 3 2 2 20 2" xfId="12899"/>
    <cellStyle name="Percent 3 2 2 21" xfId="12900"/>
    <cellStyle name="Percent 3 2 2 22" xfId="12901"/>
    <cellStyle name="Percent 3 2 2 22 2" xfId="21503"/>
    <cellStyle name="Percent 3 2 2 22 2 2" xfId="32848"/>
    <cellStyle name="Percent 3 2 2 22 3" xfId="32849"/>
    <cellStyle name="Percent 3 2 2 23" xfId="32850"/>
    <cellStyle name="Percent 3 2 2 3" xfId="12902"/>
    <cellStyle name="Percent 3 2 2 3 2" xfId="12903"/>
    <cellStyle name="Percent 3 2 2 3 2 2" xfId="12904"/>
    <cellStyle name="Percent 3 2 2 3 2 3" xfId="12905"/>
    <cellStyle name="Percent 3 2 2 3 2 3 2" xfId="21504"/>
    <cellStyle name="Percent 3 2 2 3 2 3 2 2" xfId="32851"/>
    <cellStyle name="Percent 3 2 2 3 2 3 3" xfId="32852"/>
    <cellStyle name="Percent 3 2 2 3 2 4" xfId="21505"/>
    <cellStyle name="Percent 3 2 2 3 2 4 2" xfId="32853"/>
    <cellStyle name="Percent 3 2 2 3 2 5" xfId="32854"/>
    <cellStyle name="Percent 3 2 2 3 3" xfId="12906"/>
    <cellStyle name="Percent 3 2 2 3 3 2" xfId="12907"/>
    <cellStyle name="Percent 3 2 2 3 4" xfId="12908"/>
    <cellStyle name="Percent 3 2 2 3 5" xfId="12909"/>
    <cellStyle name="Percent 3 2 2 3 5 2" xfId="21506"/>
    <cellStyle name="Percent 3 2 2 3 5 2 2" xfId="32855"/>
    <cellStyle name="Percent 3 2 2 3 5 3" xfId="32856"/>
    <cellStyle name="Percent 3 2 2 3 6" xfId="21507"/>
    <cellStyle name="Percent 3 2 2 3 6 2" xfId="32857"/>
    <cellStyle name="Percent 3 2 2 3 7" xfId="32858"/>
    <cellStyle name="Percent 3 2 2 4" xfId="12910"/>
    <cellStyle name="Percent 3 2 2 4 2" xfId="12911"/>
    <cellStyle name="Percent 3 2 2 4 2 2" xfId="12912"/>
    <cellStyle name="Percent 3 2 2 4 2 3" xfId="12913"/>
    <cellStyle name="Percent 3 2 2 4 2 3 2" xfId="21508"/>
    <cellStyle name="Percent 3 2 2 4 2 3 2 2" xfId="32859"/>
    <cellStyle name="Percent 3 2 2 4 2 3 3" xfId="32860"/>
    <cellStyle name="Percent 3 2 2 4 2 4" xfId="21509"/>
    <cellStyle name="Percent 3 2 2 4 2 4 2" xfId="32861"/>
    <cellStyle name="Percent 3 2 2 4 2 5" xfId="32862"/>
    <cellStyle name="Percent 3 2 2 4 3" xfId="12914"/>
    <cellStyle name="Percent 3 2 2 4 3 2" xfId="12915"/>
    <cellStyle name="Percent 3 2 2 4 4" xfId="12916"/>
    <cellStyle name="Percent 3 2 2 4 5" xfId="12917"/>
    <cellStyle name="Percent 3 2 2 4 5 2" xfId="21510"/>
    <cellStyle name="Percent 3 2 2 4 5 2 2" xfId="32863"/>
    <cellStyle name="Percent 3 2 2 4 5 3" xfId="32864"/>
    <cellStyle name="Percent 3 2 2 4 6" xfId="21511"/>
    <cellStyle name="Percent 3 2 2 4 6 2" xfId="32865"/>
    <cellStyle name="Percent 3 2 2 4 7" xfId="32866"/>
    <cellStyle name="Percent 3 2 2 5" xfId="12918"/>
    <cellStyle name="Percent 3 2 2 5 2" xfId="12919"/>
    <cellStyle name="Percent 3 2 2 5 2 2" xfId="12920"/>
    <cellStyle name="Percent 3 2 2 5 2 3" xfId="12921"/>
    <cellStyle name="Percent 3 2 2 5 2 3 2" xfId="21512"/>
    <cellStyle name="Percent 3 2 2 5 2 3 2 2" xfId="32867"/>
    <cellStyle name="Percent 3 2 2 5 2 3 3" xfId="32868"/>
    <cellStyle name="Percent 3 2 2 5 2 4" xfId="21513"/>
    <cellStyle name="Percent 3 2 2 5 2 4 2" xfId="32869"/>
    <cellStyle name="Percent 3 2 2 5 2 5" xfId="32870"/>
    <cellStyle name="Percent 3 2 2 5 3" xfId="12922"/>
    <cellStyle name="Percent 3 2 2 5 3 2" xfId="12923"/>
    <cellStyle name="Percent 3 2 2 5 4" xfId="12924"/>
    <cellStyle name="Percent 3 2 2 5 5" xfId="12925"/>
    <cellStyle name="Percent 3 2 2 5 5 2" xfId="21514"/>
    <cellStyle name="Percent 3 2 2 5 5 2 2" xfId="32871"/>
    <cellStyle name="Percent 3 2 2 5 5 3" xfId="32872"/>
    <cellStyle name="Percent 3 2 2 5 6" xfId="21515"/>
    <cellStyle name="Percent 3 2 2 5 6 2" xfId="32873"/>
    <cellStyle name="Percent 3 2 2 5 7" xfId="32874"/>
    <cellStyle name="Percent 3 2 2 6" xfId="12926"/>
    <cellStyle name="Percent 3 2 2 6 2" xfId="12927"/>
    <cellStyle name="Percent 3 2 2 6 2 2" xfId="12928"/>
    <cellStyle name="Percent 3 2 2 6 2 3" xfId="12929"/>
    <cellStyle name="Percent 3 2 2 6 2 3 2" xfId="21516"/>
    <cellStyle name="Percent 3 2 2 6 2 3 2 2" xfId="32875"/>
    <cellStyle name="Percent 3 2 2 6 2 3 3" xfId="32876"/>
    <cellStyle name="Percent 3 2 2 6 2 4" xfId="21517"/>
    <cellStyle name="Percent 3 2 2 6 2 4 2" xfId="32877"/>
    <cellStyle name="Percent 3 2 2 6 2 5" xfId="32878"/>
    <cellStyle name="Percent 3 2 2 6 3" xfId="12930"/>
    <cellStyle name="Percent 3 2 2 6 3 2" xfId="12931"/>
    <cellStyle name="Percent 3 2 2 6 4" xfId="12932"/>
    <cellStyle name="Percent 3 2 2 6 5" xfId="12933"/>
    <cellStyle name="Percent 3 2 2 6 5 2" xfId="21518"/>
    <cellStyle name="Percent 3 2 2 6 5 2 2" xfId="32879"/>
    <cellStyle name="Percent 3 2 2 6 5 3" xfId="32880"/>
    <cellStyle name="Percent 3 2 2 6 6" xfId="21519"/>
    <cellStyle name="Percent 3 2 2 6 6 2" xfId="32881"/>
    <cellStyle name="Percent 3 2 2 6 7" xfId="32882"/>
    <cellStyle name="Percent 3 2 2 7" xfId="12934"/>
    <cellStyle name="Percent 3 2 2 7 2" xfId="12935"/>
    <cellStyle name="Percent 3 2 2 7 2 2" xfId="12936"/>
    <cellStyle name="Percent 3 2 2 7 2 3" xfId="12937"/>
    <cellStyle name="Percent 3 2 2 7 2 3 2" xfId="21520"/>
    <cellStyle name="Percent 3 2 2 7 2 3 2 2" xfId="32883"/>
    <cellStyle name="Percent 3 2 2 7 2 3 3" xfId="32884"/>
    <cellStyle name="Percent 3 2 2 7 2 4" xfId="21521"/>
    <cellStyle name="Percent 3 2 2 7 2 4 2" xfId="32885"/>
    <cellStyle name="Percent 3 2 2 7 2 5" xfId="32886"/>
    <cellStyle name="Percent 3 2 2 7 3" xfId="12938"/>
    <cellStyle name="Percent 3 2 2 7 3 2" xfId="12939"/>
    <cellStyle name="Percent 3 2 2 7 4" xfId="12940"/>
    <cellStyle name="Percent 3 2 2 7 5" xfId="12941"/>
    <cellStyle name="Percent 3 2 2 7 5 2" xfId="21522"/>
    <cellStyle name="Percent 3 2 2 7 5 2 2" xfId="32887"/>
    <cellStyle name="Percent 3 2 2 7 5 3" xfId="32888"/>
    <cellStyle name="Percent 3 2 2 7 6" xfId="21523"/>
    <cellStyle name="Percent 3 2 2 7 6 2" xfId="32889"/>
    <cellStyle name="Percent 3 2 2 7 7" xfId="32890"/>
    <cellStyle name="Percent 3 2 2 8" xfId="12942"/>
    <cellStyle name="Percent 3 2 2 8 2" xfId="12943"/>
    <cellStyle name="Percent 3 2 2 8 2 2" xfId="12944"/>
    <cellStyle name="Percent 3 2 2 8 2 3" xfId="12945"/>
    <cellStyle name="Percent 3 2 2 8 2 3 2" xfId="21524"/>
    <cellStyle name="Percent 3 2 2 8 2 3 2 2" xfId="32891"/>
    <cellStyle name="Percent 3 2 2 8 2 3 3" xfId="32892"/>
    <cellStyle name="Percent 3 2 2 8 2 4" xfId="21525"/>
    <cellStyle name="Percent 3 2 2 8 2 4 2" xfId="32893"/>
    <cellStyle name="Percent 3 2 2 8 2 5" xfId="32894"/>
    <cellStyle name="Percent 3 2 2 8 3" xfId="12946"/>
    <cellStyle name="Percent 3 2 2 8 3 2" xfId="12947"/>
    <cellStyle name="Percent 3 2 2 8 4" xfId="12948"/>
    <cellStyle name="Percent 3 2 2 8 5" xfId="12949"/>
    <cellStyle name="Percent 3 2 2 8 5 2" xfId="21526"/>
    <cellStyle name="Percent 3 2 2 8 5 2 2" xfId="32895"/>
    <cellStyle name="Percent 3 2 2 8 5 3" xfId="32896"/>
    <cellStyle name="Percent 3 2 2 8 6" xfId="21527"/>
    <cellStyle name="Percent 3 2 2 8 6 2" xfId="32897"/>
    <cellStyle name="Percent 3 2 2 8 7" xfId="32898"/>
    <cellStyle name="Percent 3 2 2 9" xfId="12950"/>
    <cellStyle name="Percent 3 2 2 9 2" xfId="12951"/>
    <cellStyle name="Percent 3 2 2 9 2 2" xfId="12952"/>
    <cellStyle name="Percent 3 2 2 9 2 3" xfId="12953"/>
    <cellStyle name="Percent 3 2 2 9 2 3 2" xfId="21528"/>
    <cellStyle name="Percent 3 2 2 9 2 3 2 2" xfId="32899"/>
    <cellStyle name="Percent 3 2 2 9 2 3 3" xfId="32900"/>
    <cellStyle name="Percent 3 2 2 9 2 4" xfId="21529"/>
    <cellStyle name="Percent 3 2 2 9 2 4 2" xfId="32901"/>
    <cellStyle name="Percent 3 2 2 9 2 5" xfId="32902"/>
    <cellStyle name="Percent 3 2 2 9 3" xfId="12954"/>
    <cellStyle name="Percent 3 2 2 9 3 2" xfId="12955"/>
    <cellStyle name="Percent 3 2 2 9 4" xfId="12956"/>
    <cellStyle name="Percent 3 2 2 9 5" xfId="12957"/>
    <cellStyle name="Percent 3 2 2 9 5 2" xfId="21530"/>
    <cellStyle name="Percent 3 2 2 9 5 2 2" xfId="32903"/>
    <cellStyle name="Percent 3 2 2 9 5 3" xfId="32904"/>
    <cellStyle name="Percent 3 2 2 9 6" xfId="21531"/>
    <cellStyle name="Percent 3 2 2 9 6 2" xfId="32905"/>
    <cellStyle name="Percent 3 2 2 9 7" xfId="32906"/>
    <cellStyle name="Percent 3 2 20" xfId="12958"/>
    <cellStyle name="Percent 3 2 20 2" xfId="12959"/>
    <cellStyle name="Percent 3 2 20 3" xfId="12960"/>
    <cellStyle name="Percent 3 2 20 3 2" xfId="21532"/>
    <cellStyle name="Percent 3 2 20 3 2 2" xfId="32907"/>
    <cellStyle name="Percent 3 2 20 3 3" xfId="32908"/>
    <cellStyle name="Percent 3 2 20 4" xfId="21533"/>
    <cellStyle name="Percent 3 2 20 4 2" xfId="32909"/>
    <cellStyle name="Percent 3 2 20 5" xfId="32910"/>
    <cellStyle name="Percent 3 2 21" xfId="12961"/>
    <cellStyle name="Percent 3 2 22" xfId="21534"/>
    <cellStyle name="Percent 3 2 22 2" xfId="32911"/>
    <cellStyle name="Percent 3 2 3" xfId="12962"/>
    <cellStyle name="Percent 3 2 3 2" xfId="12963"/>
    <cellStyle name="Percent 3 2 3 2 2" xfId="12964"/>
    <cellStyle name="Percent 3 2 3 3" xfId="12965"/>
    <cellStyle name="Percent 3 2 4" xfId="12966"/>
    <cellStyle name="Percent 3 2 4 2" xfId="12967"/>
    <cellStyle name="Percent 3 2 4 2 2" xfId="12968"/>
    <cellStyle name="Percent 3 2 4 3" xfId="12969"/>
    <cellStyle name="Percent 3 2 5" xfId="12970"/>
    <cellStyle name="Percent 3 2 5 2" xfId="12971"/>
    <cellStyle name="Percent 3 2 5 2 2" xfId="12972"/>
    <cellStyle name="Percent 3 2 5 3" xfId="12973"/>
    <cellStyle name="Percent 3 2 6" xfId="12974"/>
    <cellStyle name="Percent 3 2 6 2" xfId="12975"/>
    <cellStyle name="Percent 3 2 6 2 2" xfId="12976"/>
    <cellStyle name="Percent 3 2 6 3" xfId="12977"/>
    <cellStyle name="Percent 3 2 7" xfId="12978"/>
    <cellStyle name="Percent 3 2 7 2" xfId="12979"/>
    <cellStyle name="Percent 3 2 7 2 2" xfId="12980"/>
    <cellStyle name="Percent 3 2 7 3" xfId="12981"/>
    <cellStyle name="Percent 3 2 8" xfId="12982"/>
    <cellStyle name="Percent 3 2 8 2" xfId="12983"/>
    <cellStyle name="Percent 3 2 8 2 2" xfId="12984"/>
    <cellStyle name="Percent 3 2 8 3" xfId="12985"/>
    <cellStyle name="Percent 3 2 9" xfId="12986"/>
    <cellStyle name="Percent 3 2 9 2" xfId="12987"/>
    <cellStyle name="Percent 3 2 9 2 2" xfId="12988"/>
    <cellStyle name="Percent 3 2 9 3" xfId="12989"/>
    <cellStyle name="Percent 3 20" xfId="12990"/>
    <cellStyle name="Percent 3 20 2" xfId="12991"/>
    <cellStyle name="Percent 3 20 2 2" xfId="12992"/>
    <cellStyle name="Percent 3 20 3" xfId="12993"/>
    <cellStyle name="Percent 3 21" xfId="12994"/>
    <cellStyle name="Percent 3 21 2" xfId="12995"/>
    <cellStyle name="Percent 3 21 2 2" xfId="12996"/>
    <cellStyle name="Percent 3 21 3" xfId="12997"/>
    <cellStyle name="Percent 3 22" xfId="12998"/>
    <cellStyle name="Percent 3 22 2" xfId="12999"/>
    <cellStyle name="Percent 3 22 2 2" xfId="13000"/>
    <cellStyle name="Percent 3 22 3" xfId="13001"/>
    <cellStyle name="Percent 3 23" xfId="13002"/>
    <cellStyle name="Percent 3 23 2" xfId="13003"/>
    <cellStyle name="Percent 3 23 3" xfId="21535"/>
    <cellStyle name="Percent 3 24" xfId="13004"/>
    <cellStyle name="Percent 3 24 2" xfId="13005"/>
    <cellStyle name="Percent 3 24 3" xfId="21536"/>
    <cellStyle name="Percent 3 25" xfId="13006"/>
    <cellStyle name="Percent 3 25 2" xfId="13007"/>
    <cellStyle name="Percent 3 25 3" xfId="21537"/>
    <cellStyle name="Percent 3 26" xfId="13008"/>
    <cellStyle name="Percent 3 26 2" xfId="13009"/>
    <cellStyle name="Percent 3 26 3" xfId="21538"/>
    <cellStyle name="Percent 3 27" xfId="13010"/>
    <cellStyle name="Percent 3 27 2" xfId="13011"/>
    <cellStyle name="Percent 3 27 3" xfId="21539"/>
    <cellStyle name="Percent 3 28" xfId="13012"/>
    <cellStyle name="Percent 3 28 2" xfId="13013"/>
    <cellStyle name="Percent 3 28 3" xfId="21540"/>
    <cellStyle name="Percent 3 29" xfId="13014"/>
    <cellStyle name="Percent 3 29 2" xfId="13015"/>
    <cellStyle name="Percent 3 29 3" xfId="21541"/>
    <cellStyle name="Percent 3 3" xfId="13016"/>
    <cellStyle name="Percent 3 3 2" xfId="13017"/>
    <cellStyle name="Percent 3 3 2 2" xfId="13018"/>
    <cellStyle name="Percent 3 3 2 2 2" xfId="13019"/>
    <cellStyle name="Percent 3 3 2 2 2 2" xfId="13020"/>
    <cellStyle name="Percent 3 3 2 2 3" xfId="13021"/>
    <cellStyle name="Percent 3 3 2 3" xfId="13022"/>
    <cellStyle name="Percent 3 3 2 3 2" xfId="13023"/>
    <cellStyle name="Percent 3 3 2 4" xfId="13024"/>
    <cellStyle name="Percent 3 3 2 4 2" xfId="13025"/>
    <cellStyle name="Percent 3 3 2 5" xfId="13026"/>
    <cellStyle name="Percent 3 3 2 5 2" xfId="13027"/>
    <cellStyle name="Percent 3 3 2 6" xfId="13028"/>
    <cellStyle name="Percent 3 3 2 6 2" xfId="13029"/>
    <cellStyle name="Percent 3 3 2 7" xfId="13030"/>
    <cellStyle name="Percent 3 3 3" xfId="13031"/>
    <cellStyle name="Percent 3 3 3 2" xfId="13032"/>
    <cellStyle name="Percent 3 3 4" xfId="13033"/>
    <cellStyle name="Percent 3 3 4 2" xfId="13034"/>
    <cellStyle name="Percent 3 3 5" xfId="13035"/>
    <cellStyle name="Percent 3 3 5 2" xfId="13036"/>
    <cellStyle name="Percent 3 3 6" xfId="13037"/>
    <cellStyle name="Percent 3 3 6 2" xfId="13038"/>
    <cellStyle name="Percent 3 3 7" xfId="13039"/>
    <cellStyle name="Percent 3 3 7 2" xfId="13040"/>
    <cellStyle name="Percent 3 3 8" xfId="13041"/>
    <cellStyle name="Percent 3 30" xfId="13042"/>
    <cellStyle name="Percent 3 30 2" xfId="13043"/>
    <cellStyle name="Percent 3 30 3" xfId="21542"/>
    <cellStyle name="Percent 3 31" xfId="13044"/>
    <cellStyle name="Percent 3 31 2" xfId="13045"/>
    <cellStyle name="Percent 3 31 3" xfId="21543"/>
    <cellStyle name="Percent 3 32" xfId="13046"/>
    <cellStyle name="Percent 3 32 2" xfId="13047"/>
    <cellStyle name="Percent 3 32 3" xfId="21544"/>
    <cellStyle name="Percent 3 33" xfId="13048"/>
    <cellStyle name="Percent 3 33 2" xfId="13049"/>
    <cellStyle name="Percent 3 33 3" xfId="21545"/>
    <cellStyle name="Percent 3 34" xfId="13050"/>
    <cellStyle name="Percent 3 34 2" xfId="13051"/>
    <cellStyle name="Percent 3 34 3" xfId="21546"/>
    <cellStyle name="Percent 3 35" xfId="13052"/>
    <cellStyle name="Percent 3 35 2" xfId="13053"/>
    <cellStyle name="Percent 3 35 3" xfId="21547"/>
    <cellStyle name="Percent 3 36" xfId="13054"/>
    <cellStyle name="Percent 3 36 2" xfId="13055"/>
    <cellStyle name="Percent 3 36 3" xfId="21548"/>
    <cellStyle name="Percent 3 37" xfId="13056"/>
    <cellStyle name="Percent 3 37 2" xfId="13057"/>
    <cellStyle name="Percent 3 37 3" xfId="21549"/>
    <cellStyle name="Percent 3 38" xfId="13058"/>
    <cellStyle name="Percent 3 38 2" xfId="13059"/>
    <cellStyle name="Percent 3 38 3" xfId="21550"/>
    <cellStyle name="Percent 3 39" xfId="13060"/>
    <cellStyle name="Percent 3 39 2" xfId="13061"/>
    <cellStyle name="Percent 3 39 3" xfId="21551"/>
    <cellStyle name="Percent 3 4" xfId="13062"/>
    <cellStyle name="Percent 3 4 2" xfId="13063"/>
    <cellStyle name="Percent 3 4 2 2" xfId="13064"/>
    <cellStyle name="Percent 3 4 2 2 2" xfId="13065"/>
    <cellStyle name="Percent 3 4 2 3" xfId="13066"/>
    <cellStyle name="Percent 3 4 3" xfId="13067"/>
    <cellStyle name="Percent 3 4 3 2" xfId="13068"/>
    <cellStyle name="Percent 3 4 4" xfId="13069"/>
    <cellStyle name="Percent 3 4 4 2" xfId="13070"/>
    <cellStyle name="Percent 3 4 5" xfId="13071"/>
    <cellStyle name="Percent 3 4 5 2" xfId="13072"/>
    <cellStyle name="Percent 3 4 6" xfId="13073"/>
    <cellStyle name="Percent 3 40" xfId="13074"/>
    <cellStyle name="Percent 3 40 2" xfId="13075"/>
    <cellStyle name="Percent 3 40 3" xfId="21552"/>
    <cellStyle name="Percent 3 41" xfId="13076"/>
    <cellStyle name="Percent 3 41 2" xfId="13077"/>
    <cellStyle name="Percent 3 41 3" xfId="21553"/>
    <cellStyle name="Percent 3 42" xfId="13078"/>
    <cellStyle name="Percent 3 42 2" xfId="13079"/>
    <cellStyle name="Percent 3 42 3" xfId="21554"/>
    <cellStyle name="Percent 3 43" xfId="13080"/>
    <cellStyle name="Percent 3 43 2" xfId="13081"/>
    <cellStyle name="Percent 3 43 3" xfId="21555"/>
    <cellStyle name="Percent 3 44" xfId="13082"/>
    <cellStyle name="Percent 3 44 2" xfId="13083"/>
    <cellStyle name="Percent 3 44 3" xfId="21556"/>
    <cellStyle name="Percent 3 45" xfId="13084"/>
    <cellStyle name="Percent 3 45 2" xfId="13085"/>
    <cellStyle name="Percent 3 45 3" xfId="21557"/>
    <cellStyle name="Percent 3 46" xfId="13086"/>
    <cellStyle name="Percent 3 46 2" xfId="13087"/>
    <cellStyle name="Percent 3 46 3" xfId="21558"/>
    <cellStyle name="Percent 3 47" xfId="13088"/>
    <cellStyle name="Percent 3 47 2" xfId="13089"/>
    <cellStyle name="Percent 3 47 3" xfId="21559"/>
    <cellStyle name="Percent 3 48" xfId="13090"/>
    <cellStyle name="Percent 3 48 2" xfId="13091"/>
    <cellStyle name="Percent 3 48 3" xfId="21560"/>
    <cellStyle name="Percent 3 49" xfId="13092"/>
    <cellStyle name="Percent 3 49 2" xfId="13093"/>
    <cellStyle name="Percent 3 49 3" xfId="21561"/>
    <cellStyle name="Percent 3 5" xfId="13094"/>
    <cellStyle name="Percent 3 5 2" xfId="13095"/>
    <cellStyle name="Percent 3 5 2 2" xfId="13096"/>
    <cellStyle name="Percent 3 5 3" xfId="13097"/>
    <cellStyle name="Percent 3 5 3 2" xfId="13098"/>
    <cellStyle name="Percent 3 5 4" xfId="13099"/>
    <cellStyle name="Percent 3 50" xfId="13100"/>
    <cellStyle name="Percent 3 50 2" xfId="13101"/>
    <cellStyle name="Percent 3 50 3" xfId="21562"/>
    <cellStyle name="Percent 3 51" xfId="13102"/>
    <cellStyle name="Percent 3 51 2" xfId="13103"/>
    <cellStyle name="Percent 3 51 3" xfId="21563"/>
    <cellStyle name="Percent 3 52" xfId="13104"/>
    <cellStyle name="Percent 3 52 2" xfId="13105"/>
    <cellStyle name="Percent 3 52 3" xfId="21564"/>
    <cellStyle name="Percent 3 53" xfId="13106"/>
    <cellStyle name="Percent 3 53 2" xfId="13107"/>
    <cellStyle name="Percent 3 53 3" xfId="21565"/>
    <cellStyle name="Percent 3 54" xfId="13108"/>
    <cellStyle name="Percent 3 54 2" xfId="13109"/>
    <cellStyle name="Percent 3 54 3" xfId="21566"/>
    <cellStyle name="Percent 3 55" xfId="13110"/>
    <cellStyle name="Percent 3 55 2" xfId="13111"/>
    <cellStyle name="Percent 3 55 3" xfId="21567"/>
    <cellStyle name="Percent 3 56" xfId="13112"/>
    <cellStyle name="Percent 3 56 2" xfId="13113"/>
    <cellStyle name="Percent 3 56 3" xfId="21568"/>
    <cellStyle name="Percent 3 57" xfId="13114"/>
    <cellStyle name="Percent 3 57 2" xfId="13115"/>
    <cellStyle name="Percent 3 57 3" xfId="21569"/>
    <cellStyle name="Percent 3 58" xfId="13116"/>
    <cellStyle name="Percent 3 58 2" xfId="13117"/>
    <cellStyle name="Percent 3 58 3" xfId="21570"/>
    <cellStyle name="Percent 3 59" xfId="13118"/>
    <cellStyle name="Percent 3 59 2" xfId="13119"/>
    <cellStyle name="Percent 3 59 3" xfId="21571"/>
    <cellStyle name="Percent 3 6" xfId="13120"/>
    <cellStyle name="Percent 3 6 2" xfId="13121"/>
    <cellStyle name="Percent 3 6 2 2" xfId="13122"/>
    <cellStyle name="Percent 3 6 3" xfId="13123"/>
    <cellStyle name="Percent 3 6 3 2" xfId="13124"/>
    <cellStyle name="Percent 3 6 4" xfId="13125"/>
    <cellStyle name="Percent 3 60" xfId="13126"/>
    <cellStyle name="Percent 3 60 2" xfId="13127"/>
    <cellStyle name="Percent 3 60 3" xfId="21572"/>
    <cellStyle name="Percent 3 61" xfId="13128"/>
    <cellStyle name="Percent 3 61 2" xfId="13129"/>
    <cellStyle name="Percent 3 61 3" xfId="21573"/>
    <cellStyle name="Percent 3 62" xfId="13130"/>
    <cellStyle name="Percent 3 62 2" xfId="13131"/>
    <cellStyle name="Percent 3 63" xfId="13132"/>
    <cellStyle name="Percent 3 63 2" xfId="13133"/>
    <cellStyle name="Percent 3 64" xfId="13134"/>
    <cellStyle name="Percent 3 64 2" xfId="13135"/>
    <cellStyle name="Percent 3 65" xfId="13136"/>
    <cellStyle name="Percent 3 65 2" xfId="13137"/>
    <cellStyle name="Percent 3 66" xfId="13138"/>
    <cellStyle name="Percent 3 66 2" xfId="13139"/>
    <cellStyle name="Percent 3 67" xfId="13140"/>
    <cellStyle name="Percent 3 67 2" xfId="13141"/>
    <cellStyle name="Percent 3 68" xfId="13142"/>
    <cellStyle name="Percent 3 68 2" xfId="13143"/>
    <cellStyle name="Percent 3 69" xfId="13144"/>
    <cellStyle name="Percent 3 69 2" xfId="13145"/>
    <cellStyle name="Percent 3 7" xfId="13146"/>
    <cellStyle name="Percent 3 7 2" xfId="13147"/>
    <cellStyle name="Percent 3 7 2 2" xfId="13148"/>
    <cellStyle name="Percent 3 7 3" xfId="13149"/>
    <cellStyle name="Percent 3 7 3 2" xfId="13150"/>
    <cellStyle name="Percent 3 7 4" xfId="13151"/>
    <cellStyle name="Percent 3 70" xfId="13152"/>
    <cellStyle name="Percent 3 70 2" xfId="13153"/>
    <cellStyle name="Percent 3 71" xfId="13154"/>
    <cellStyle name="Percent 3 71 2" xfId="13155"/>
    <cellStyle name="Percent 3 72" xfId="13156"/>
    <cellStyle name="Percent 3 72 2" xfId="13157"/>
    <cellStyle name="Percent 3 73" xfId="13158"/>
    <cellStyle name="Percent 3 73 2" xfId="13159"/>
    <cellStyle name="Percent 3 74" xfId="13160"/>
    <cellStyle name="Percent 3 74 2" xfId="13161"/>
    <cellStyle name="Percent 3 75" xfId="13162"/>
    <cellStyle name="Percent 3 75 2" xfId="13163"/>
    <cellStyle name="Percent 3 76" xfId="13164"/>
    <cellStyle name="Percent 3 76 2" xfId="13165"/>
    <cellStyle name="Percent 3 77" xfId="13166"/>
    <cellStyle name="Percent 3 77 2" xfId="13167"/>
    <cellStyle name="Percent 3 78" xfId="13168"/>
    <cellStyle name="Percent 3 78 2" xfId="13169"/>
    <cellStyle name="Percent 3 79" xfId="13170"/>
    <cellStyle name="Percent 3 79 2" xfId="13171"/>
    <cellStyle name="Percent 3 8" xfId="13172"/>
    <cellStyle name="Percent 3 8 2" xfId="13173"/>
    <cellStyle name="Percent 3 8 2 2" xfId="13174"/>
    <cellStyle name="Percent 3 8 3" xfId="13175"/>
    <cellStyle name="Percent 3 8 3 2" xfId="13176"/>
    <cellStyle name="Percent 3 8 4" xfId="13177"/>
    <cellStyle name="Percent 3 80" xfId="13178"/>
    <cellStyle name="Percent 3 80 2" xfId="13179"/>
    <cellStyle name="Percent 3 81" xfId="13180"/>
    <cellStyle name="Percent 3 81 2" xfId="13181"/>
    <cellStyle name="Percent 3 82" xfId="13182"/>
    <cellStyle name="Percent 3 82 2" xfId="13183"/>
    <cellStyle name="Percent 3 83" xfId="13184"/>
    <cellStyle name="Percent 3 83 2" xfId="13185"/>
    <cellStyle name="Percent 3 84" xfId="13186"/>
    <cellStyle name="Percent 3 84 2" xfId="13187"/>
    <cellStyle name="Percent 3 85" xfId="13188"/>
    <cellStyle name="Percent 3 85 2" xfId="13189"/>
    <cellStyle name="Percent 3 86" xfId="13190"/>
    <cellStyle name="Percent 3 86 2" xfId="13191"/>
    <cellStyle name="Percent 3 87" xfId="13192"/>
    <cellStyle name="Percent 3 87 2" xfId="13193"/>
    <cellStyle name="Percent 3 88" xfId="13194"/>
    <cellStyle name="Percent 3 88 2" xfId="13195"/>
    <cellStyle name="Percent 3 89" xfId="13196"/>
    <cellStyle name="Percent 3 89 2" xfId="13197"/>
    <cellStyle name="Percent 3 9" xfId="13198"/>
    <cellStyle name="Percent 3 9 2" xfId="13199"/>
    <cellStyle name="Percent 3 9 2 2" xfId="13200"/>
    <cellStyle name="Percent 3 9 3" xfId="13201"/>
    <cellStyle name="Percent 3 9 3 2" xfId="13202"/>
    <cellStyle name="Percent 3 9 4" xfId="13203"/>
    <cellStyle name="Percent 3 90" xfId="13204"/>
    <cellStyle name="Percent 3 90 2" xfId="13205"/>
    <cellStyle name="Percent 3 91" xfId="13206"/>
    <cellStyle name="Percent 3 91 2" xfId="13207"/>
    <cellStyle name="Percent 3 92" xfId="13208"/>
    <cellStyle name="Percent 3 92 2" xfId="13209"/>
    <cellStyle name="Percent 3 93" xfId="13210"/>
    <cellStyle name="Percent 3 93 2" xfId="13211"/>
    <cellStyle name="Percent 3 94" xfId="13212"/>
    <cellStyle name="Percent 3 94 2" xfId="13213"/>
    <cellStyle name="Percent 3 95" xfId="13214"/>
    <cellStyle name="Percent 3 95 2" xfId="13215"/>
    <cellStyle name="Percent 3 96" xfId="13216"/>
    <cellStyle name="Percent 3 96 2" xfId="13217"/>
    <cellStyle name="Percent 3 97" xfId="13218"/>
    <cellStyle name="Percent 3 97 2" xfId="13219"/>
    <cellStyle name="Percent 3 98" xfId="13220"/>
    <cellStyle name="Percent 3 98 2" xfId="13221"/>
    <cellStyle name="Percent 3 99" xfId="13222"/>
    <cellStyle name="Percent 3 99 2" xfId="13223"/>
    <cellStyle name="Percent 3 99 2 2" xfId="13224"/>
    <cellStyle name="Percent 3 99 2 3" xfId="13225"/>
    <cellStyle name="Percent 3 99 2 3 2" xfId="21574"/>
    <cellStyle name="Percent 3 99 2 3 2 2" xfId="32912"/>
    <cellStyle name="Percent 3 99 2 3 3" xfId="32913"/>
    <cellStyle name="Percent 3 99 2 4" xfId="21575"/>
    <cellStyle name="Percent 3 99 2 4 2" xfId="32914"/>
    <cellStyle name="Percent 3 99 2 5" xfId="32915"/>
    <cellStyle name="Percent 3 99 3" xfId="13226"/>
    <cellStyle name="Percent 3 99 4" xfId="13227"/>
    <cellStyle name="Percent 3 99 4 2" xfId="21576"/>
    <cellStyle name="Percent 3 99 4 2 2" xfId="32916"/>
    <cellStyle name="Percent 3 99 4 3" xfId="32917"/>
    <cellStyle name="Percent 3 99 5" xfId="21577"/>
    <cellStyle name="Percent 3 99 5 2" xfId="32918"/>
    <cellStyle name="Percent 3 99 6" xfId="32919"/>
    <cellStyle name="Percent 30" xfId="13228"/>
    <cellStyle name="Percent 30 2" xfId="13229"/>
    <cellStyle name="Percent 31" xfId="13230"/>
    <cellStyle name="Percent 31 2" xfId="13231"/>
    <cellStyle name="Percent 32" xfId="13232"/>
    <cellStyle name="Percent 32 2" xfId="13233"/>
    <cellStyle name="Percent 33" xfId="13234"/>
    <cellStyle name="Percent 33 2" xfId="13235"/>
    <cellStyle name="Percent 34" xfId="13236"/>
    <cellStyle name="Percent 34 2" xfId="13237"/>
    <cellStyle name="Percent 35" xfId="13238"/>
    <cellStyle name="Percent 35 2" xfId="13239"/>
    <cellStyle name="Percent 36" xfId="13240"/>
    <cellStyle name="Percent 36 2" xfId="13241"/>
    <cellStyle name="Percent 37" xfId="13242"/>
    <cellStyle name="Percent 37 2" xfId="13243"/>
    <cellStyle name="Percent 38" xfId="13244"/>
    <cellStyle name="Percent 38 2" xfId="13245"/>
    <cellStyle name="Percent 39" xfId="13246"/>
    <cellStyle name="Percent 39 2" xfId="13247"/>
    <cellStyle name="Percent 4" xfId="66"/>
    <cellStyle name="Percent 4 10" xfId="13248"/>
    <cellStyle name="Percent 4 10 2" xfId="13249"/>
    <cellStyle name="Percent 4 11" xfId="13250"/>
    <cellStyle name="Percent 4 11 2" xfId="13251"/>
    <cellStyle name="Percent 4 12" xfId="13252"/>
    <cellStyle name="Percent 4 12 2" xfId="13253"/>
    <cellStyle name="Percent 4 13" xfId="13254"/>
    <cellStyle name="Percent 4 13 2" xfId="13255"/>
    <cellStyle name="Percent 4 14" xfId="13256"/>
    <cellStyle name="Percent 4 14 2" xfId="13257"/>
    <cellStyle name="Percent 4 15" xfId="13258"/>
    <cellStyle name="Percent 4 15 2" xfId="13259"/>
    <cellStyle name="Percent 4 16" xfId="13260"/>
    <cellStyle name="Percent 4 16 2" xfId="13261"/>
    <cellStyle name="Percent 4 17" xfId="13262"/>
    <cellStyle name="Percent 4 17 2" xfId="13263"/>
    <cellStyle name="Percent 4 18" xfId="13264"/>
    <cellStyle name="Percent 4 18 2" xfId="13265"/>
    <cellStyle name="Percent 4 19" xfId="13266"/>
    <cellStyle name="Percent 4 19 2" xfId="13267"/>
    <cellStyle name="Percent 4 2" xfId="13268"/>
    <cellStyle name="Percent 4 2 2" xfId="13269"/>
    <cellStyle name="Percent 4 2 2 2" xfId="13270"/>
    <cellStyle name="Percent 4 2 2 3" xfId="21578"/>
    <cellStyle name="Percent 4 2 3" xfId="13271"/>
    <cellStyle name="Percent 4 2 3 2" xfId="13272"/>
    <cellStyle name="Percent 4 2 4" xfId="13273"/>
    <cellStyle name="Percent 4 2 5" xfId="33659"/>
    <cellStyle name="Percent 4 20" xfId="13274"/>
    <cellStyle name="Percent 4 20 2" xfId="13275"/>
    <cellStyle name="Percent 4 21" xfId="13276"/>
    <cellStyle name="Percent 4 21 2" xfId="13277"/>
    <cellStyle name="Percent 4 22" xfId="13278"/>
    <cellStyle name="Percent 4 22 2" xfId="13279"/>
    <cellStyle name="Percent 4 23" xfId="13280"/>
    <cellStyle name="Percent 4 23 2" xfId="13281"/>
    <cellStyle name="Percent 4 24" xfId="13282"/>
    <cellStyle name="Percent 4 24 2" xfId="13283"/>
    <cellStyle name="Percent 4 25" xfId="13284"/>
    <cellStyle name="Percent 4 25 2" xfId="13285"/>
    <cellStyle name="Percent 4 26" xfId="13286"/>
    <cellStyle name="Percent 4 26 2" xfId="13287"/>
    <cellStyle name="Percent 4 27" xfId="13288"/>
    <cellStyle name="Percent 4 27 2" xfId="13289"/>
    <cellStyle name="Percent 4 28" xfId="13290"/>
    <cellStyle name="Percent 4 28 2" xfId="13291"/>
    <cellStyle name="Percent 4 29" xfId="13292"/>
    <cellStyle name="Percent 4 29 2" xfId="13293"/>
    <cellStyle name="Percent 4 3" xfId="13294"/>
    <cellStyle name="Percent 4 3 2" xfId="13295"/>
    <cellStyle name="Percent 4 3 2 2" xfId="13296"/>
    <cellStyle name="Percent 4 3 3" xfId="13297"/>
    <cellStyle name="Percent 4 30" xfId="13298"/>
    <cellStyle name="Percent 4 30 2" xfId="13299"/>
    <cellStyle name="Percent 4 31" xfId="13300"/>
    <cellStyle name="Percent 4 31 2" xfId="13301"/>
    <cellStyle name="Percent 4 32" xfId="13302"/>
    <cellStyle name="Percent 4 32 2" xfId="13303"/>
    <cellStyle name="Percent 4 33" xfId="13304"/>
    <cellStyle name="Percent 4 33 2" xfId="13305"/>
    <cellStyle name="Percent 4 34" xfId="13306"/>
    <cellStyle name="Percent 4 34 2" xfId="13307"/>
    <cellStyle name="Percent 4 35" xfId="13308"/>
    <cellStyle name="Percent 4 35 2" xfId="13309"/>
    <cellStyle name="Percent 4 36" xfId="13310"/>
    <cellStyle name="Percent 4 36 2" xfId="13311"/>
    <cellStyle name="Percent 4 37" xfId="13312"/>
    <cellStyle name="Percent 4 37 2" xfId="13313"/>
    <cellStyle name="Percent 4 38" xfId="13314"/>
    <cellStyle name="Percent 4 38 2" xfId="13315"/>
    <cellStyle name="Percent 4 39" xfId="13316"/>
    <cellStyle name="Percent 4 39 2" xfId="13317"/>
    <cellStyle name="Percent 4 4" xfId="13318"/>
    <cellStyle name="Percent 4 4 2" xfId="13319"/>
    <cellStyle name="Percent 4 40" xfId="13320"/>
    <cellStyle name="Percent 4 40 2" xfId="13321"/>
    <cellStyle name="Percent 4 41" xfId="13322"/>
    <cellStyle name="Percent 4 41 2" xfId="13323"/>
    <cellStyle name="Percent 4 42" xfId="13324"/>
    <cellStyle name="Percent 4 42 2" xfId="13325"/>
    <cellStyle name="Percent 4 43" xfId="13326"/>
    <cellStyle name="Percent 4 43 2" xfId="13327"/>
    <cellStyle name="Percent 4 44" xfId="13328"/>
    <cellStyle name="Percent 4 44 2" xfId="13329"/>
    <cellStyle name="Percent 4 45" xfId="13330"/>
    <cellStyle name="Percent 4 45 2" xfId="13331"/>
    <cellStyle name="Percent 4 46" xfId="13332"/>
    <cellStyle name="Percent 4 46 2" xfId="13333"/>
    <cellStyle name="Percent 4 47" xfId="13334"/>
    <cellStyle name="Percent 4 47 2" xfId="13335"/>
    <cellStyle name="Percent 4 48" xfId="13336"/>
    <cellStyle name="Percent 4 48 2" xfId="13337"/>
    <cellStyle name="Percent 4 49" xfId="13338"/>
    <cellStyle name="Percent 4 49 2" xfId="13339"/>
    <cellStyle name="Percent 4 5" xfId="13340"/>
    <cellStyle name="Percent 4 5 2" xfId="13341"/>
    <cellStyle name="Percent 4 50" xfId="13342"/>
    <cellStyle name="Percent 4 50 2" xfId="13343"/>
    <cellStyle name="Percent 4 51" xfId="13344"/>
    <cellStyle name="Percent 4 51 2" xfId="13345"/>
    <cellStyle name="Percent 4 52" xfId="13346"/>
    <cellStyle name="Percent 4 52 2" xfId="13347"/>
    <cellStyle name="Percent 4 53" xfId="13348"/>
    <cellStyle name="Percent 4 53 2" xfId="13349"/>
    <cellStyle name="Percent 4 54" xfId="13350"/>
    <cellStyle name="Percent 4 54 2" xfId="13351"/>
    <cellStyle name="Percent 4 55" xfId="13352"/>
    <cellStyle name="Percent 4 55 2" xfId="13353"/>
    <cellStyle name="Percent 4 56" xfId="13354"/>
    <cellStyle name="Percent 4 56 2" xfId="13355"/>
    <cellStyle name="Percent 4 57" xfId="13356"/>
    <cellStyle name="Percent 4 57 2" xfId="13357"/>
    <cellStyle name="Percent 4 58" xfId="13358"/>
    <cellStyle name="Percent 4 58 2" xfId="13359"/>
    <cellStyle name="Percent 4 59" xfId="13360"/>
    <cellStyle name="Percent 4 59 2" xfId="13361"/>
    <cellStyle name="Percent 4 6" xfId="13362"/>
    <cellStyle name="Percent 4 6 2" xfId="13363"/>
    <cellStyle name="Percent 4 60" xfId="13364"/>
    <cellStyle name="Percent 4 60 2" xfId="13365"/>
    <cellStyle name="Percent 4 61" xfId="13366"/>
    <cellStyle name="Percent 4 61 2" xfId="13367"/>
    <cellStyle name="Percent 4 62" xfId="13368"/>
    <cellStyle name="Percent 4 63" xfId="33637"/>
    <cellStyle name="Percent 4 7" xfId="13369"/>
    <cellStyle name="Percent 4 7 2" xfId="13370"/>
    <cellStyle name="Percent 4 8" xfId="13371"/>
    <cellStyle name="Percent 4 8 2" xfId="13372"/>
    <cellStyle name="Percent 4 9" xfId="13373"/>
    <cellStyle name="Percent 4 9 2" xfId="13374"/>
    <cellStyle name="Percent 40" xfId="13375"/>
    <cellStyle name="Percent 40 2" xfId="13376"/>
    <cellStyle name="Percent 41" xfId="13377"/>
    <cellStyle name="Percent 41 2" xfId="13378"/>
    <cellStyle name="Percent 42" xfId="13379"/>
    <cellStyle name="Percent 42 2" xfId="13380"/>
    <cellStyle name="Percent 43" xfId="13381"/>
    <cellStyle name="Percent 43 2" xfId="13382"/>
    <cellStyle name="Percent 44" xfId="13383"/>
    <cellStyle name="Percent 44 2" xfId="13384"/>
    <cellStyle name="Percent 44 2 2" xfId="13385"/>
    <cellStyle name="Percent 44 3" xfId="13386"/>
    <cellStyle name="Percent 45" xfId="13387"/>
    <cellStyle name="Percent 45 2" xfId="13388"/>
    <cellStyle name="Percent 46" xfId="13389"/>
    <cellStyle name="Percent 46 2" xfId="13390"/>
    <cellStyle name="Percent 46 2 2" xfId="13391"/>
    <cellStyle name="Percent 46 3" xfId="13392"/>
    <cellStyle name="Percent 47" xfId="13393"/>
    <cellStyle name="Percent 47 2" xfId="13394"/>
    <cellStyle name="Percent 48" xfId="13395"/>
    <cellStyle name="Percent 48 2" xfId="13396"/>
    <cellStyle name="Percent 49" xfId="13397"/>
    <cellStyle name="Percent 49 2" xfId="13398"/>
    <cellStyle name="Percent 5" xfId="67"/>
    <cellStyle name="Percent 5 10" xfId="13399"/>
    <cellStyle name="Percent 5 10 2" xfId="13400"/>
    <cellStyle name="Percent 5 10 3" xfId="33665"/>
    <cellStyle name="Percent 5 10 4" xfId="33718"/>
    <cellStyle name="Percent 5 10 4 2" xfId="33725"/>
    <cellStyle name="Percent 5 10 4 2 2" xfId="33733"/>
    <cellStyle name="Percent 5 11" xfId="13401"/>
    <cellStyle name="Percent 5 11 2" xfId="13402"/>
    <cellStyle name="Percent 5 11 2 2" xfId="13403"/>
    <cellStyle name="Percent 5 11 3" xfId="13404"/>
    <cellStyle name="Percent 5 12" xfId="13405"/>
    <cellStyle name="Percent 5 12 2" xfId="13406"/>
    <cellStyle name="Percent 5 12 2 2" xfId="13407"/>
    <cellStyle name="Percent 5 12 3" xfId="13408"/>
    <cellStyle name="Percent 5 13" xfId="13409"/>
    <cellStyle name="Percent 5 13 2" xfId="13410"/>
    <cellStyle name="Percent 5 13 2 2" xfId="13411"/>
    <cellStyle name="Percent 5 13 3" xfId="13412"/>
    <cellStyle name="Percent 5 14" xfId="13413"/>
    <cellStyle name="Percent 5 14 2" xfId="13414"/>
    <cellStyle name="Percent 5 14 2 2" xfId="13415"/>
    <cellStyle name="Percent 5 14 3" xfId="13416"/>
    <cellStyle name="Percent 5 15" xfId="13417"/>
    <cellStyle name="Percent 5 15 2" xfId="13418"/>
    <cellStyle name="Percent 5 15 2 2" xfId="13419"/>
    <cellStyle name="Percent 5 15 3" xfId="13420"/>
    <cellStyle name="Percent 5 16" xfId="13421"/>
    <cellStyle name="Percent 5 16 2" xfId="13422"/>
    <cellStyle name="Percent 5 17" xfId="13423"/>
    <cellStyle name="Percent 5 17 2" xfId="13424"/>
    <cellStyle name="Percent 5 18" xfId="13425"/>
    <cellStyle name="Percent 5 18 2" xfId="13426"/>
    <cellStyle name="Percent 5 19" xfId="13427"/>
    <cellStyle name="Percent 5 19 2" xfId="13428"/>
    <cellStyle name="Percent 5 2" xfId="13429"/>
    <cellStyle name="Percent 5 2 10" xfId="13430"/>
    <cellStyle name="Percent 5 2 10 2" xfId="13431"/>
    <cellStyle name="Percent 5 2 11" xfId="13432"/>
    <cellStyle name="Percent 5 2 11 2" xfId="13433"/>
    <cellStyle name="Percent 5 2 12" xfId="13434"/>
    <cellStyle name="Percent 5 2 12 2" xfId="13435"/>
    <cellStyle name="Percent 5 2 13" xfId="13436"/>
    <cellStyle name="Percent 5 2 13 2" xfId="13437"/>
    <cellStyle name="Percent 5 2 14" xfId="13438"/>
    <cellStyle name="Percent 5 2 14 2" xfId="13439"/>
    <cellStyle name="Percent 5 2 15" xfId="13440"/>
    <cellStyle name="Percent 5 2 15 2" xfId="13441"/>
    <cellStyle name="Percent 5 2 16" xfId="13442"/>
    <cellStyle name="Percent 5 2 16 2" xfId="13443"/>
    <cellStyle name="Percent 5 2 17" xfId="13444"/>
    <cellStyle name="Percent 5 2 17 2" xfId="13445"/>
    <cellStyle name="Percent 5 2 17 3" xfId="13446"/>
    <cellStyle name="Percent 5 2 17 3 2" xfId="21579"/>
    <cellStyle name="Percent 5 2 17 3 2 2" xfId="32920"/>
    <cellStyle name="Percent 5 2 17 3 3" xfId="32921"/>
    <cellStyle name="Percent 5 2 17 4" xfId="21580"/>
    <cellStyle name="Percent 5 2 17 4 2" xfId="32922"/>
    <cellStyle name="Percent 5 2 17 5" xfId="32923"/>
    <cellStyle name="Percent 5 2 18" xfId="13447"/>
    <cellStyle name="Percent 5 2 19" xfId="13448"/>
    <cellStyle name="Percent 5 2 19 2" xfId="21581"/>
    <cellStyle name="Percent 5 2 19 2 2" xfId="32924"/>
    <cellStyle name="Percent 5 2 19 3" xfId="32925"/>
    <cellStyle name="Percent 5 2 2" xfId="13449"/>
    <cellStyle name="Percent 5 2 2 10" xfId="13450"/>
    <cellStyle name="Percent 5 2 2 10 2" xfId="13451"/>
    <cellStyle name="Percent 5 2 2 11" xfId="13452"/>
    <cellStyle name="Percent 5 2 2 11 2" xfId="13453"/>
    <cellStyle name="Percent 5 2 2 12" xfId="13454"/>
    <cellStyle name="Percent 5 2 2 12 2" xfId="13455"/>
    <cellStyle name="Percent 5 2 2 13" xfId="13456"/>
    <cellStyle name="Percent 5 2 2 13 2" xfId="13457"/>
    <cellStyle name="Percent 5 2 2 14" xfId="13458"/>
    <cellStyle name="Percent 5 2 2 14 2" xfId="13459"/>
    <cellStyle name="Percent 5 2 2 14 3" xfId="13460"/>
    <cellStyle name="Percent 5 2 2 14 3 2" xfId="21582"/>
    <cellStyle name="Percent 5 2 2 14 3 2 2" xfId="32926"/>
    <cellStyle name="Percent 5 2 2 14 3 3" xfId="32927"/>
    <cellStyle name="Percent 5 2 2 14 4" xfId="21583"/>
    <cellStyle name="Percent 5 2 2 14 4 2" xfId="32928"/>
    <cellStyle name="Percent 5 2 2 14 5" xfId="32929"/>
    <cellStyle name="Percent 5 2 2 15" xfId="13461"/>
    <cellStyle name="Percent 5 2 2 16" xfId="13462"/>
    <cellStyle name="Percent 5 2 2 16 2" xfId="21584"/>
    <cellStyle name="Percent 5 2 2 16 2 2" xfId="32930"/>
    <cellStyle name="Percent 5 2 2 16 3" xfId="32931"/>
    <cellStyle name="Percent 5 2 2 17" xfId="21585"/>
    <cellStyle name="Percent 5 2 2 17 2" xfId="32932"/>
    <cellStyle name="Percent 5 2 2 18" xfId="32933"/>
    <cellStyle name="Percent 5 2 2 2" xfId="13463"/>
    <cellStyle name="Percent 5 2 2 2 10" xfId="13464"/>
    <cellStyle name="Percent 5 2 2 2 10 2" xfId="13465"/>
    <cellStyle name="Percent 5 2 2 2 10 2 2" xfId="13466"/>
    <cellStyle name="Percent 5 2 2 2 10 2 3" xfId="13467"/>
    <cellStyle name="Percent 5 2 2 2 10 2 3 2" xfId="21586"/>
    <cellStyle name="Percent 5 2 2 2 10 2 3 2 2" xfId="32934"/>
    <cellStyle name="Percent 5 2 2 2 10 2 3 3" xfId="32935"/>
    <cellStyle name="Percent 5 2 2 2 10 2 4" xfId="21587"/>
    <cellStyle name="Percent 5 2 2 2 10 2 4 2" xfId="32936"/>
    <cellStyle name="Percent 5 2 2 2 10 2 5" xfId="32937"/>
    <cellStyle name="Percent 5 2 2 2 10 3" xfId="13468"/>
    <cellStyle name="Percent 5 2 2 2 10 4" xfId="13469"/>
    <cellStyle name="Percent 5 2 2 2 10 4 2" xfId="21588"/>
    <cellStyle name="Percent 5 2 2 2 10 4 2 2" xfId="32938"/>
    <cellStyle name="Percent 5 2 2 2 10 4 3" xfId="32939"/>
    <cellStyle name="Percent 5 2 2 2 10 5" xfId="21589"/>
    <cellStyle name="Percent 5 2 2 2 10 5 2" xfId="32940"/>
    <cellStyle name="Percent 5 2 2 2 10 6" xfId="32941"/>
    <cellStyle name="Percent 5 2 2 2 11" xfId="13470"/>
    <cellStyle name="Percent 5 2 2 2 11 2" xfId="13471"/>
    <cellStyle name="Percent 5 2 2 2 11 2 2" xfId="13472"/>
    <cellStyle name="Percent 5 2 2 2 11 2 3" xfId="13473"/>
    <cellStyle name="Percent 5 2 2 2 11 2 3 2" xfId="21590"/>
    <cellStyle name="Percent 5 2 2 2 11 2 3 2 2" xfId="32942"/>
    <cellStyle name="Percent 5 2 2 2 11 2 3 3" xfId="32943"/>
    <cellStyle name="Percent 5 2 2 2 11 2 4" xfId="21591"/>
    <cellStyle name="Percent 5 2 2 2 11 2 4 2" xfId="32944"/>
    <cellStyle name="Percent 5 2 2 2 11 2 5" xfId="32945"/>
    <cellStyle name="Percent 5 2 2 2 11 3" xfId="13474"/>
    <cellStyle name="Percent 5 2 2 2 11 4" xfId="13475"/>
    <cellStyle name="Percent 5 2 2 2 11 4 2" xfId="21592"/>
    <cellStyle name="Percent 5 2 2 2 11 4 2 2" xfId="32946"/>
    <cellStyle name="Percent 5 2 2 2 11 4 3" xfId="32947"/>
    <cellStyle name="Percent 5 2 2 2 11 5" xfId="21593"/>
    <cellStyle name="Percent 5 2 2 2 11 5 2" xfId="32948"/>
    <cellStyle name="Percent 5 2 2 2 11 6" xfId="32949"/>
    <cellStyle name="Percent 5 2 2 2 12" xfId="13476"/>
    <cellStyle name="Percent 5 2 2 2 12 2" xfId="13477"/>
    <cellStyle name="Percent 5 2 2 2 12 2 2" xfId="32950"/>
    <cellStyle name="Percent 5 2 2 2 12 3" xfId="13478"/>
    <cellStyle name="Percent 5 2 2 2 12 3 2" xfId="21594"/>
    <cellStyle name="Percent 5 2 2 2 12 3 2 2" xfId="32951"/>
    <cellStyle name="Percent 5 2 2 2 12 3 3" xfId="32952"/>
    <cellStyle name="Percent 5 2 2 2 12 4" xfId="21595"/>
    <cellStyle name="Percent 5 2 2 2 12 4 2" xfId="32953"/>
    <cellStyle name="Percent 5 2 2 2 12 5" xfId="32954"/>
    <cellStyle name="Percent 5 2 2 2 13" xfId="13479"/>
    <cellStyle name="Percent 5 2 2 2 13 2" xfId="13480"/>
    <cellStyle name="Percent 5 2 2 2 13 2 2" xfId="32955"/>
    <cellStyle name="Percent 5 2 2 2 13 3" xfId="13481"/>
    <cellStyle name="Percent 5 2 2 2 13 3 2" xfId="21596"/>
    <cellStyle name="Percent 5 2 2 2 13 3 2 2" xfId="32956"/>
    <cellStyle name="Percent 5 2 2 2 13 3 3" xfId="32957"/>
    <cellStyle name="Percent 5 2 2 2 13 4" xfId="21597"/>
    <cellStyle name="Percent 5 2 2 2 13 4 2" xfId="32958"/>
    <cellStyle name="Percent 5 2 2 2 13 5" xfId="32959"/>
    <cellStyle name="Percent 5 2 2 2 14" xfId="13482"/>
    <cellStyle name="Percent 5 2 2 2 14 2" xfId="13483"/>
    <cellStyle name="Percent 5 2 2 2 14 3" xfId="32960"/>
    <cellStyle name="Percent 5 2 2 2 15" xfId="13484"/>
    <cellStyle name="Percent 5 2 2 2 16" xfId="13485"/>
    <cellStyle name="Percent 5 2 2 2 16 2" xfId="21598"/>
    <cellStyle name="Percent 5 2 2 2 16 2 2" xfId="32961"/>
    <cellStyle name="Percent 5 2 2 2 16 3" xfId="32962"/>
    <cellStyle name="Percent 5 2 2 2 17" xfId="32963"/>
    <cellStyle name="Percent 5 2 2 2 2" xfId="13486"/>
    <cellStyle name="Percent 5 2 2 2 2 2" xfId="13487"/>
    <cellStyle name="Percent 5 2 2 2 2 2 2" xfId="13488"/>
    <cellStyle name="Percent 5 2 2 2 2 2 3" xfId="13489"/>
    <cellStyle name="Percent 5 2 2 2 2 2 3 2" xfId="21599"/>
    <cellStyle name="Percent 5 2 2 2 2 2 3 2 2" xfId="32964"/>
    <cellStyle name="Percent 5 2 2 2 2 2 3 3" xfId="32965"/>
    <cellStyle name="Percent 5 2 2 2 2 2 4" xfId="21600"/>
    <cellStyle name="Percent 5 2 2 2 2 2 4 2" xfId="32966"/>
    <cellStyle name="Percent 5 2 2 2 2 2 5" xfId="32967"/>
    <cellStyle name="Percent 5 2 2 2 2 3" xfId="13490"/>
    <cellStyle name="Percent 5 2 2 2 2 3 2" xfId="13491"/>
    <cellStyle name="Percent 5 2 2 2 2 4" xfId="13492"/>
    <cellStyle name="Percent 5 2 2 2 2 5" xfId="13493"/>
    <cellStyle name="Percent 5 2 2 2 2 5 2" xfId="21601"/>
    <cellStyle name="Percent 5 2 2 2 2 5 2 2" xfId="32968"/>
    <cellStyle name="Percent 5 2 2 2 2 5 3" xfId="32969"/>
    <cellStyle name="Percent 5 2 2 2 2 6" xfId="21602"/>
    <cellStyle name="Percent 5 2 2 2 2 6 2" xfId="32970"/>
    <cellStyle name="Percent 5 2 2 2 2 7" xfId="32971"/>
    <cellStyle name="Percent 5 2 2 2 3" xfId="13494"/>
    <cellStyle name="Percent 5 2 2 2 3 2" xfId="13495"/>
    <cellStyle name="Percent 5 2 2 2 3 2 2" xfId="13496"/>
    <cellStyle name="Percent 5 2 2 2 3 2 3" xfId="13497"/>
    <cellStyle name="Percent 5 2 2 2 3 2 3 2" xfId="21603"/>
    <cellStyle name="Percent 5 2 2 2 3 2 3 2 2" xfId="32972"/>
    <cellStyle name="Percent 5 2 2 2 3 2 3 3" xfId="32973"/>
    <cellStyle name="Percent 5 2 2 2 3 2 4" xfId="21604"/>
    <cellStyle name="Percent 5 2 2 2 3 2 4 2" xfId="32974"/>
    <cellStyle name="Percent 5 2 2 2 3 2 5" xfId="32975"/>
    <cellStyle name="Percent 5 2 2 2 3 3" xfId="13498"/>
    <cellStyle name="Percent 5 2 2 2 3 4" xfId="13499"/>
    <cellStyle name="Percent 5 2 2 2 3 4 2" xfId="21605"/>
    <cellStyle name="Percent 5 2 2 2 3 4 2 2" xfId="32976"/>
    <cellStyle name="Percent 5 2 2 2 3 4 3" xfId="32977"/>
    <cellStyle name="Percent 5 2 2 2 3 5" xfId="21606"/>
    <cellStyle name="Percent 5 2 2 2 3 5 2" xfId="32978"/>
    <cellStyle name="Percent 5 2 2 2 3 6" xfId="32979"/>
    <cellStyle name="Percent 5 2 2 2 4" xfId="13500"/>
    <cellStyle name="Percent 5 2 2 2 4 2" xfId="13501"/>
    <cellStyle name="Percent 5 2 2 2 4 2 2" xfId="13502"/>
    <cellStyle name="Percent 5 2 2 2 4 2 3" xfId="13503"/>
    <cellStyle name="Percent 5 2 2 2 4 2 3 2" xfId="21607"/>
    <cellStyle name="Percent 5 2 2 2 4 2 3 2 2" xfId="32980"/>
    <cellStyle name="Percent 5 2 2 2 4 2 3 3" xfId="32981"/>
    <cellStyle name="Percent 5 2 2 2 4 2 4" xfId="21608"/>
    <cellStyle name="Percent 5 2 2 2 4 2 4 2" xfId="32982"/>
    <cellStyle name="Percent 5 2 2 2 4 2 5" xfId="32983"/>
    <cellStyle name="Percent 5 2 2 2 4 3" xfId="13504"/>
    <cellStyle name="Percent 5 2 2 2 4 4" xfId="13505"/>
    <cellStyle name="Percent 5 2 2 2 4 4 2" xfId="21609"/>
    <cellStyle name="Percent 5 2 2 2 4 4 2 2" xfId="32984"/>
    <cellStyle name="Percent 5 2 2 2 4 4 3" xfId="32985"/>
    <cellStyle name="Percent 5 2 2 2 4 5" xfId="21610"/>
    <cellStyle name="Percent 5 2 2 2 4 5 2" xfId="32986"/>
    <cellStyle name="Percent 5 2 2 2 4 6" xfId="32987"/>
    <cellStyle name="Percent 5 2 2 2 5" xfId="13506"/>
    <cellStyle name="Percent 5 2 2 2 5 2" xfId="13507"/>
    <cellStyle name="Percent 5 2 2 2 5 2 2" xfId="13508"/>
    <cellStyle name="Percent 5 2 2 2 5 2 3" xfId="13509"/>
    <cellStyle name="Percent 5 2 2 2 5 2 3 2" xfId="21611"/>
    <cellStyle name="Percent 5 2 2 2 5 2 3 2 2" xfId="32988"/>
    <cellStyle name="Percent 5 2 2 2 5 2 3 3" xfId="32989"/>
    <cellStyle name="Percent 5 2 2 2 5 2 4" xfId="21612"/>
    <cellStyle name="Percent 5 2 2 2 5 2 4 2" xfId="32990"/>
    <cellStyle name="Percent 5 2 2 2 5 2 5" xfId="32991"/>
    <cellStyle name="Percent 5 2 2 2 5 3" xfId="13510"/>
    <cellStyle name="Percent 5 2 2 2 5 4" xfId="13511"/>
    <cellStyle name="Percent 5 2 2 2 5 4 2" xfId="21613"/>
    <cellStyle name="Percent 5 2 2 2 5 4 2 2" xfId="32992"/>
    <cellStyle name="Percent 5 2 2 2 5 4 3" xfId="32993"/>
    <cellStyle name="Percent 5 2 2 2 5 5" xfId="21614"/>
    <cellStyle name="Percent 5 2 2 2 5 5 2" xfId="32994"/>
    <cellStyle name="Percent 5 2 2 2 5 6" xfId="32995"/>
    <cellStyle name="Percent 5 2 2 2 6" xfId="13512"/>
    <cellStyle name="Percent 5 2 2 2 6 2" xfId="13513"/>
    <cellStyle name="Percent 5 2 2 2 6 2 2" xfId="13514"/>
    <cellStyle name="Percent 5 2 2 2 6 2 3" xfId="13515"/>
    <cellStyle name="Percent 5 2 2 2 6 2 3 2" xfId="21615"/>
    <cellStyle name="Percent 5 2 2 2 6 2 3 2 2" xfId="32996"/>
    <cellStyle name="Percent 5 2 2 2 6 2 3 3" xfId="32997"/>
    <cellStyle name="Percent 5 2 2 2 6 2 4" xfId="21616"/>
    <cellStyle name="Percent 5 2 2 2 6 2 4 2" xfId="32998"/>
    <cellStyle name="Percent 5 2 2 2 6 2 5" xfId="32999"/>
    <cellStyle name="Percent 5 2 2 2 6 3" xfId="13516"/>
    <cellStyle name="Percent 5 2 2 2 6 4" xfId="13517"/>
    <cellStyle name="Percent 5 2 2 2 6 4 2" xfId="21617"/>
    <cellStyle name="Percent 5 2 2 2 6 4 2 2" xfId="33000"/>
    <cellStyle name="Percent 5 2 2 2 6 4 3" xfId="33001"/>
    <cellStyle name="Percent 5 2 2 2 6 5" xfId="21618"/>
    <cellStyle name="Percent 5 2 2 2 6 5 2" xfId="33002"/>
    <cellStyle name="Percent 5 2 2 2 6 6" xfId="33003"/>
    <cellStyle name="Percent 5 2 2 2 7" xfId="13518"/>
    <cellStyle name="Percent 5 2 2 2 7 2" xfId="13519"/>
    <cellStyle name="Percent 5 2 2 2 7 2 2" xfId="13520"/>
    <cellStyle name="Percent 5 2 2 2 7 2 3" xfId="13521"/>
    <cellStyle name="Percent 5 2 2 2 7 2 3 2" xfId="21619"/>
    <cellStyle name="Percent 5 2 2 2 7 2 3 2 2" xfId="33004"/>
    <cellStyle name="Percent 5 2 2 2 7 2 3 3" xfId="33005"/>
    <cellStyle name="Percent 5 2 2 2 7 2 4" xfId="21620"/>
    <cellStyle name="Percent 5 2 2 2 7 2 4 2" xfId="33006"/>
    <cellStyle name="Percent 5 2 2 2 7 2 5" xfId="33007"/>
    <cellStyle name="Percent 5 2 2 2 7 3" xfId="13522"/>
    <cellStyle name="Percent 5 2 2 2 7 4" xfId="13523"/>
    <cellStyle name="Percent 5 2 2 2 7 4 2" xfId="21621"/>
    <cellStyle name="Percent 5 2 2 2 7 4 2 2" xfId="33008"/>
    <cellStyle name="Percent 5 2 2 2 7 4 3" xfId="33009"/>
    <cellStyle name="Percent 5 2 2 2 7 5" xfId="21622"/>
    <cellStyle name="Percent 5 2 2 2 7 5 2" xfId="33010"/>
    <cellStyle name="Percent 5 2 2 2 7 6" xfId="33011"/>
    <cellStyle name="Percent 5 2 2 2 8" xfId="13524"/>
    <cellStyle name="Percent 5 2 2 2 8 2" xfId="13525"/>
    <cellStyle name="Percent 5 2 2 2 8 2 2" xfId="13526"/>
    <cellStyle name="Percent 5 2 2 2 8 2 3" xfId="13527"/>
    <cellStyle name="Percent 5 2 2 2 8 2 3 2" xfId="21623"/>
    <cellStyle name="Percent 5 2 2 2 8 2 3 2 2" xfId="33012"/>
    <cellStyle name="Percent 5 2 2 2 8 2 3 3" xfId="33013"/>
    <cellStyle name="Percent 5 2 2 2 8 2 4" xfId="21624"/>
    <cellStyle name="Percent 5 2 2 2 8 2 4 2" xfId="33014"/>
    <cellStyle name="Percent 5 2 2 2 8 2 5" xfId="33015"/>
    <cellStyle name="Percent 5 2 2 2 8 3" xfId="13528"/>
    <cellStyle name="Percent 5 2 2 2 8 4" xfId="13529"/>
    <cellStyle name="Percent 5 2 2 2 8 4 2" xfId="21625"/>
    <cellStyle name="Percent 5 2 2 2 8 4 2 2" xfId="33016"/>
    <cellStyle name="Percent 5 2 2 2 8 4 3" xfId="33017"/>
    <cellStyle name="Percent 5 2 2 2 8 5" xfId="21626"/>
    <cellStyle name="Percent 5 2 2 2 8 5 2" xfId="33018"/>
    <cellStyle name="Percent 5 2 2 2 8 6" xfId="33019"/>
    <cellStyle name="Percent 5 2 2 2 9" xfId="13530"/>
    <cellStyle name="Percent 5 2 2 2 9 2" xfId="13531"/>
    <cellStyle name="Percent 5 2 2 2 9 2 2" xfId="13532"/>
    <cellStyle name="Percent 5 2 2 2 9 2 3" xfId="13533"/>
    <cellStyle name="Percent 5 2 2 2 9 2 3 2" xfId="21627"/>
    <cellStyle name="Percent 5 2 2 2 9 2 3 2 2" xfId="33020"/>
    <cellStyle name="Percent 5 2 2 2 9 2 3 3" xfId="33021"/>
    <cellStyle name="Percent 5 2 2 2 9 2 4" xfId="21628"/>
    <cellStyle name="Percent 5 2 2 2 9 2 4 2" xfId="33022"/>
    <cellStyle name="Percent 5 2 2 2 9 2 5" xfId="33023"/>
    <cellStyle name="Percent 5 2 2 2 9 3" xfId="13534"/>
    <cellStyle name="Percent 5 2 2 2 9 4" xfId="13535"/>
    <cellStyle name="Percent 5 2 2 2 9 4 2" xfId="21629"/>
    <cellStyle name="Percent 5 2 2 2 9 4 2 2" xfId="33024"/>
    <cellStyle name="Percent 5 2 2 2 9 4 3" xfId="33025"/>
    <cellStyle name="Percent 5 2 2 2 9 5" xfId="21630"/>
    <cellStyle name="Percent 5 2 2 2 9 5 2" xfId="33026"/>
    <cellStyle name="Percent 5 2 2 2 9 6" xfId="33027"/>
    <cellStyle name="Percent 5 2 2 3" xfId="13536"/>
    <cellStyle name="Percent 5 2 2 3 2" xfId="13537"/>
    <cellStyle name="Percent 5 2 2 3 2 2" xfId="13538"/>
    <cellStyle name="Percent 5 2 2 3 3" xfId="13539"/>
    <cellStyle name="Percent 5 2 2 4" xfId="13540"/>
    <cellStyle name="Percent 5 2 2 4 2" xfId="13541"/>
    <cellStyle name="Percent 5 2 2 4 2 2" xfId="13542"/>
    <cellStyle name="Percent 5 2 2 4 3" xfId="13543"/>
    <cellStyle name="Percent 5 2 2 5" xfId="13544"/>
    <cellStyle name="Percent 5 2 2 5 2" xfId="13545"/>
    <cellStyle name="Percent 5 2 2 5 2 2" xfId="13546"/>
    <cellStyle name="Percent 5 2 2 5 3" xfId="13547"/>
    <cellStyle name="Percent 5 2 2 6" xfId="13548"/>
    <cellStyle name="Percent 5 2 2 6 2" xfId="13549"/>
    <cellStyle name="Percent 5 2 2 6 2 2" xfId="13550"/>
    <cellStyle name="Percent 5 2 2 6 3" xfId="13551"/>
    <cellStyle name="Percent 5 2 2 7" xfId="13552"/>
    <cellStyle name="Percent 5 2 2 7 2" xfId="13553"/>
    <cellStyle name="Percent 5 2 2 7 2 2" xfId="13554"/>
    <cellStyle name="Percent 5 2 2 7 3" xfId="13555"/>
    <cellStyle name="Percent 5 2 2 8" xfId="13556"/>
    <cellStyle name="Percent 5 2 2 8 2" xfId="13557"/>
    <cellStyle name="Percent 5 2 2 8 2 2" xfId="13558"/>
    <cellStyle name="Percent 5 2 2 8 3" xfId="13559"/>
    <cellStyle name="Percent 5 2 2 9" xfId="13560"/>
    <cellStyle name="Percent 5 2 2 9 2" xfId="13561"/>
    <cellStyle name="Percent 5 2 2 9 2 2" xfId="13562"/>
    <cellStyle name="Percent 5 2 2 9 3" xfId="13563"/>
    <cellStyle name="Percent 5 2 20" xfId="21631"/>
    <cellStyle name="Percent 5 2 20 2" xfId="33028"/>
    <cellStyle name="Percent 5 2 21" xfId="33029"/>
    <cellStyle name="Percent 5 2 3" xfId="13564"/>
    <cellStyle name="Percent 5 2 3 2" xfId="13565"/>
    <cellStyle name="Percent 5 2 3 2 2" xfId="13566"/>
    <cellStyle name="Percent 5 2 3 2 2 2" xfId="13567"/>
    <cellStyle name="Percent 5 2 3 2 2 3" xfId="13568"/>
    <cellStyle name="Percent 5 2 3 2 2 3 2" xfId="21632"/>
    <cellStyle name="Percent 5 2 3 2 2 3 2 2" xfId="33030"/>
    <cellStyle name="Percent 5 2 3 2 2 3 3" xfId="33031"/>
    <cellStyle name="Percent 5 2 3 2 2 4" xfId="21633"/>
    <cellStyle name="Percent 5 2 3 2 2 4 2" xfId="33032"/>
    <cellStyle name="Percent 5 2 3 2 2 5" xfId="33033"/>
    <cellStyle name="Percent 5 2 3 2 3" xfId="13569"/>
    <cellStyle name="Percent 5 2 3 3" xfId="13570"/>
    <cellStyle name="Percent 5 2 3 3 2" xfId="13571"/>
    <cellStyle name="Percent 5 2 3 3 3" xfId="13572"/>
    <cellStyle name="Percent 5 2 3 3 3 2" xfId="21634"/>
    <cellStyle name="Percent 5 2 3 3 3 2 2" xfId="33034"/>
    <cellStyle name="Percent 5 2 3 3 3 3" xfId="33035"/>
    <cellStyle name="Percent 5 2 3 3 4" xfId="21635"/>
    <cellStyle name="Percent 5 2 3 3 4 2" xfId="33036"/>
    <cellStyle name="Percent 5 2 3 3 5" xfId="33037"/>
    <cellStyle name="Percent 5 2 3 4" xfId="13573"/>
    <cellStyle name="Percent 5 2 4" xfId="13574"/>
    <cellStyle name="Percent 5 2 4 2" xfId="13575"/>
    <cellStyle name="Percent 5 2 4 2 2" xfId="13576"/>
    <cellStyle name="Percent 5 2 4 2 3" xfId="13577"/>
    <cellStyle name="Percent 5 2 4 2 3 2" xfId="21636"/>
    <cellStyle name="Percent 5 2 4 2 3 2 2" xfId="33038"/>
    <cellStyle name="Percent 5 2 4 2 3 3" xfId="33039"/>
    <cellStyle name="Percent 5 2 4 2 4" xfId="21637"/>
    <cellStyle name="Percent 5 2 4 2 4 2" xfId="33040"/>
    <cellStyle name="Percent 5 2 4 2 5" xfId="33041"/>
    <cellStyle name="Percent 5 2 4 3" xfId="13578"/>
    <cellStyle name="Percent 5 2 4 3 2" xfId="13579"/>
    <cellStyle name="Percent 5 2 4 3 3" xfId="13580"/>
    <cellStyle name="Percent 5 2 4 3 3 2" xfId="21638"/>
    <cellStyle name="Percent 5 2 4 3 3 2 2" xfId="33042"/>
    <cellStyle name="Percent 5 2 4 3 3 3" xfId="33043"/>
    <cellStyle name="Percent 5 2 4 3 4" xfId="21639"/>
    <cellStyle name="Percent 5 2 4 3 4 2" xfId="33044"/>
    <cellStyle name="Percent 5 2 4 3 5" xfId="33045"/>
    <cellStyle name="Percent 5 2 4 4" xfId="13581"/>
    <cellStyle name="Percent 5 2 4 5" xfId="13582"/>
    <cellStyle name="Percent 5 2 4 5 2" xfId="21640"/>
    <cellStyle name="Percent 5 2 4 5 2 2" xfId="33046"/>
    <cellStyle name="Percent 5 2 4 5 3" xfId="33047"/>
    <cellStyle name="Percent 5 2 4 6" xfId="21641"/>
    <cellStyle name="Percent 5 2 4 6 2" xfId="33048"/>
    <cellStyle name="Percent 5 2 4 7" xfId="33049"/>
    <cellStyle name="Percent 5 2 5" xfId="13583"/>
    <cellStyle name="Percent 5 2 5 2" xfId="13584"/>
    <cellStyle name="Percent 5 2 5 2 2" xfId="13585"/>
    <cellStyle name="Percent 5 2 5 2 3" xfId="13586"/>
    <cellStyle name="Percent 5 2 5 2 3 2" xfId="21642"/>
    <cellStyle name="Percent 5 2 5 2 3 2 2" xfId="33050"/>
    <cellStyle name="Percent 5 2 5 2 3 3" xfId="33051"/>
    <cellStyle name="Percent 5 2 5 2 4" xfId="21643"/>
    <cellStyle name="Percent 5 2 5 2 4 2" xfId="33052"/>
    <cellStyle name="Percent 5 2 5 2 5" xfId="33053"/>
    <cellStyle name="Percent 5 2 5 3" xfId="13587"/>
    <cellStyle name="Percent 5 2 5 4" xfId="13588"/>
    <cellStyle name="Percent 5 2 5 4 2" xfId="21644"/>
    <cellStyle name="Percent 5 2 5 4 2 2" xfId="33054"/>
    <cellStyle name="Percent 5 2 5 4 3" xfId="33055"/>
    <cellStyle name="Percent 5 2 5 5" xfId="21645"/>
    <cellStyle name="Percent 5 2 5 5 2" xfId="33056"/>
    <cellStyle name="Percent 5 2 5 6" xfId="33057"/>
    <cellStyle name="Percent 5 2 6" xfId="13589"/>
    <cellStyle name="Percent 5 2 6 2" xfId="13590"/>
    <cellStyle name="Percent 5 2 7" xfId="13591"/>
    <cellStyle name="Percent 5 2 7 2" xfId="13592"/>
    <cellStyle name="Percent 5 2 8" xfId="13593"/>
    <cellStyle name="Percent 5 2 8 2" xfId="13594"/>
    <cellStyle name="Percent 5 2 9" xfId="13595"/>
    <cellStyle name="Percent 5 2 9 2" xfId="13596"/>
    <cellStyle name="Percent 5 20" xfId="13597"/>
    <cellStyle name="Percent 5 20 2" xfId="13598"/>
    <cellStyle name="Percent 5 21" xfId="13599"/>
    <cellStyle name="Percent 5 21 2" xfId="13600"/>
    <cellStyle name="Percent 5 22" xfId="13601"/>
    <cellStyle name="Percent 5 22 2" xfId="13602"/>
    <cellStyle name="Percent 5 23" xfId="13603"/>
    <cellStyle name="Percent 5 23 2" xfId="13604"/>
    <cellStyle name="Percent 5 24" xfId="13605"/>
    <cellStyle name="Percent 5 24 2" xfId="13606"/>
    <cellStyle name="Percent 5 25" xfId="13607"/>
    <cellStyle name="Percent 5 25 2" xfId="13608"/>
    <cellStyle name="Percent 5 26" xfId="13609"/>
    <cellStyle name="Percent 5 26 2" xfId="13610"/>
    <cellStyle name="Percent 5 27" xfId="13611"/>
    <cellStyle name="Percent 5 27 2" xfId="13612"/>
    <cellStyle name="Percent 5 28" xfId="13613"/>
    <cellStyle name="Percent 5 28 2" xfId="13614"/>
    <cellStyle name="Percent 5 29" xfId="13615"/>
    <cellStyle name="Percent 5 29 2" xfId="13616"/>
    <cellStyle name="Percent 5 3" xfId="13617"/>
    <cellStyle name="Percent 5 3 2" xfId="13618"/>
    <cellStyle name="Percent 5 3 2 2" xfId="13619"/>
    <cellStyle name="Percent 5 3 2 3" xfId="21646"/>
    <cellStyle name="Percent 5 3 3" xfId="13620"/>
    <cellStyle name="Percent 5 3 3 2" xfId="13621"/>
    <cellStyle name="Percent 5 3 4" xfId="13622"/>
    <cellStyle name="Percent 5 3 5" xfId="13623"/>
    <cellStyle name="Percent 5 30" xfId="13624"/>
    <cellStyle name="Percent 5 30 2" xfId="13625"/>
    <cellStyle name="Percent 5 31" xfId="13626"/>
    <cellStyle name="Percent 5 31 2" xfId="13627"/>
    <cellStyle name="Percent 5 32" xfId="13628"/>
    <cellStyle name="Percent 5 32 2" xfId="13629"/>
    <cellStyle name="Percent 5 33" xfId="13630"/>
    <cellStyle name="Percent 5 33 2" xfId="13631"/>
    <cellStyle name="Percent 5 34" xfId="13632"/>
    <cellStyle name="Percent 5 34 2" xfId="13633"/>
    <cellStyle name="Percent 5 35" xfId="13634"/>
    <cellStyle name="Percent 5 35 2" xfId="13635"/>
    <cellStyle name="Percent 5 36" xfId="13636"/>
    <cellStyle name="Percent 5 36 2" xfId="13637"/>
    <cellStyle name="Percent 5 37" xfId="13638"/>
    <cellStyle name="Percent 5 37 2" xfId="13639"/>
    <cellStyle name="Percent 5 38" xfId="13640"/>
    <cellStyle name="Percent 5 38 2" xfId="13641"/>
    <cellStyle name="Percent 5 39" xfId="13642"/>
    <cellStyle name="Percent 5 39 2" xfId="13643"/>
    <cellStyle name="Percent 5 4" xfId="13644"/>
    <cellStyle name="Percent 5 4 2" xfId="13645"/>
    <cellStyle name="Percent 5 4 2 2" xfId="13646"/>
    <cellStyle name="Percent 5 4 2 3" xfId="33058"/>
    <cellStyle name="Percent 5 4 3" xfId="13647"/>
    <cellStyle name="Percent 5 4 4" xfId="13648"/>
    <cellStyle name="Percent 5 4 4 2" xfId="21647"/>
    <cellStyle name="Percent 5 4 4 2 2" xfId="33059"/>
    <cellStyle name="Percent 5 4 4 3" xfId="33060"/>
    <cellStyle name="Percent 5 4 5" xfId="33061"/>
    <cellStyle name="Percent 5 40" xfId="13649"/>
    <cellStyle name="Percent 5 40 2" xfId="13650"/>
    <cellStyle name="Percent 5 41" xfId="13651"/>
    <cellStyle name="Percent 5 41 2" xfId="13652"/>
    <cellStyle name="Percent 5 42" xfId="13653"/>
    <cellStyle name="Percent 5 42 2" xfId="13654"/>
    <cellStyle name="Percent 5 43" xfId="13655"/>
    <cellStyle name="Percent 5 43 2" xfId="13656"/>
    <cellStyle name="Percent 5 44" xfId="13657"/>
    <cellStyle name="Percent 5 44 2" xfId="13658"/>
    <cellStyle name="Percent 5 45" xfId="13659"/>
    <cellStyle name="Percent 5 45 2" xfId="13660"/>
    <cellStyle name="Percent 5 46" xfId="13661"/>
    <cellStyle name="Percent 5 46 2" xfId="13662"/>
    <cellStyle name="Percent 5 47" xfId="13663"/>
    <cellStyle name="Percent 5 47 2" xfId="13664"/>
    <cellStyle name="Percent 5 48" xfId="13665"/>
    <cellStyle name="Percent 5 48 2" xfId="13666"/>
    <cellStyle name="Percent 5 49" xfId="13667"/>
    <cellStyle name="Percent 5 49 2" xfId="13668"/>
    <cellStyle name="Percent 5 5" xfId="13669"/>
    <cellStyle name="Percent 5 5 2" xfId="13670"/>
    <cellStyle name="Percent 5 5 3" xfId="13671"/>
    <cellStyle name="Percent 5 50" xfId="13672"/>
    <cellStyle name="Percent 5 50 2" xfId="13673"/>
    <cellStyle name="Percent 5 51" xfId="13674"/>
    <cellStyle name="Percent 5 51 2" xfId="13675"/>
    <cellStyle name="Percent 5 52" xfId="13676"/>
    <cellStyle name="Percent 5 52 2" xfId="13677"/>
    <cellStyle name="Percent 5 53" xfId="13678"/>
    <cellStyle name="Percent 5 53 2" xfId="13679"/>
    <cellStyle name="Percent 5 54" xfId="13680"/>
    <cellStyle name="Percent 5 54 2" xfId="13681"/>
    <cellStyle name="Percent 5 55" xfId="13682"/>
    <cellStyle name="Percent 5 55 2" xfId="13683"/>
    <cellStyle name="Percent 5 56" xfId="13684"/>
    <cellStyle name="Percent 5 56 2" xfId="13685"/>
    <cellStyle name="Percent 5 57" xfId="13686"/>
    <cellStyle name="Percent 5 57 2" xfId="13687"/>
    <cellStyle name="Percent 5 58" xfId="13688"/>
    <cellStyle name="Percent 5 58 2" xfId="13689"/>
    <cellStyle name="Percent 5 59" xfId="13690"/>
    <cellStyle name="Percent 5 59 2" xfId="13691"/>
    <cellStyle name="Percent 5 6" xfId="13692"/>
    <cellStyle name="Percent 5 6 2" xfId="13693"/>
    <cellStyle name="Percent 5 60" xfId="13694"/>
    <cellStyle name="Percent 5 60 2" xfId="13695"/>
    <cellStyle name="Percent 5 61" xfId="13696"/>
    <cellStyle name="Percent 5 61 2" xfId="13697"/>
    <cellStyle name="Percent 5 62" xfId="13698"/>
    <cellStyle name="Percent 5 62 2" xfId="13699"/>
    <cellStyle name="Percent 5 63" xfId="13700"/>
    <cellStyle name="Percent 5 63 2" xfId="13701"/>
    <cellStyle name="Percent 5 64" xfId="13702"/>
    <cellStyle name="Percent 5 64 2" xfId="13703"/>
    <cellStyle name="Percent 5 64 2 2" xfId="13704"/>
    <cellStyle name="Percent 5 64 2 2 2" xfId="21648"/>
    <cellStyle name="Percent 5 64 2 2 2 2" xfId="33062"/>
    <cellStyle name="Percent 5 64 2 2 3" xfId="33063"/>
    <cellStyle name="Percent 5 64 2 3" xfId="21649"/>
    <cellStyle name="Percent 5 64 2 3 2" xfId="33064"/>
    <cellStyle name="Percent 5 64 2 4" xfId="33065"/>
    <cellStyle name="Percent 5 64 3" xfId="13705"/>
    <cellStyle name="Percent 5 64 3 2" xfId="21650"/>
    <cellStyle name="Percent 5 64 3 2 2" xfId="33066"/>
    <cellStyle name="Percent 5 64 3 3" xfId="33067"/>
    <cellStyle name="Percent 5 64 4" xfId="21651"/>
    <cellStyle name="Percent 5 64 4 2" xfId="33068"/>
    <cellStyle name="Percent 5 64 5" xfId="33069"/>
    <cellStyle name="Percent 5 65" xfId="13706"/>
    <cellStyle name="Percent 5 65 2" xfId="13707"/>
    <cellStyle name="Percent 5 65 2 2" xfId="13708"/>
    <cellStyle name="Percent 5 65 2 2 2" xfId="21652"/>
    <cellStyle name="Percent 5 65 2 2 2 2" xfId="33070"/>
    <cellStyle name="Percent 5 65 2 2 3" xfId="33071"/>
    <cellStyle name="Percent 5 65 2 3" xfId="21653"/>
    <cellStyle name="Percent 5 65 2 3 2" xfId="33072"/>
    <cellStyle name="Percent 5 65 2 4" xfId="33073"/>
    <cellStyle name="Percent 5 65 3" xfId="13709"/>
    <cellStyle name="Percent 5 65 3 2" xfId="21654"/>
    <cellStyle name="Percent 5 65 3 2 2" xfId="33074"/>
    <cellStyle name="Percent 5 65 3 3" xfId="33075"/>
    <cellStyle name="Percent 5 65 4" xfId="21655"/>
    <cellStyle name="Percent 5 65 4 2" xfId="33076"/>
    <cellStyle name="Percent 5 65 5" xfId="33077"/>
    <cellStyle name="Percent 5 66" xfId="13710"/>
    <cellStyle name="Percent 5 66 2" xfId="21656"/>
    <cellStyle name="Percent 5 66 2 2" xfId="33078"/>
    <cellStyle name="Percent 5 66 3" xfId="33079"/>
    <cellStyle name="Percent 5 67" xfId="33657"/>
    <cellStyle name="Percent 5 7" xfId="13711"/>
    <cellStyle name="Percent 5 7 2" xfId="13712"/>
    <cellStyle name="Percent 5 8" xfId="13713"/>
    <cellStyle name="Percent 5 8 2" xfId="13714"/>
    <cellStyle name="Percent 5 9" xfId="13715"/>
    <cellStyle name="Percent 5 9 2" xfId="13716"/>
    <cellStyle name="Percent 5 9 2 2" xfId="13717"/>
    <cellStyle name="Percent 5 9 3" xfId="13718"/>
    <cellStyle name="Percent 50" xfId="13719"/>
    <cellStyle name="Percent 50 2" xfId="13720"/>
    <cellStyle name="Percent 51" xfId="13721"/>
    <cellStyle name="Percent 51 2" xfId="13722"/>
    <cellStyle name="Percent 52" xfId="13723"/>
    <cellStyle name="Percent 52 2" xfId="13724"/>
    <cellStyle name="Percent 53" xfId="13725"/>
    <cellStyle name="Percent 53 2" xfId="13726"/>
    <cellStyle name="Percent 54" xfId="13727"/>
    <cellStyle name="Percent 54 2" xfId="13728"/>
    <cellStyle name="Percent 55" xfId="13729"/>
    <cellStyle name="Percent 55 2" xfId="13730"/>
    <cellStyle name="Percent 56" xfId="13731"/>
    <cellStyle name="Percent 56 2" xfId="13732"/>
    <cellStyle name="Percent 57" xfId="13733"/>
    <cellStyle name="Percent 57 2" xfId="13734"/>
    <cellStyle name="Percent 58" xfId="13735"/>
    <cellStyle name="Percent 58 2" xfId="13736"/>
    <cellStyle name="Percent 59" xfId="13737"/>
    <cellStyle name="Percent 59 2" xfId="13738"/>
    <cellStyle name="Percent 6" xfId="68"/>
    <cellStyle name="Percent 6 2" xfId="13739"/>
    <cellStyle name="Percent 6 2 2" xfId="13740"/>
    <cellStyle name="Percent 6 3" xfId="13741"/>
    <cellStyle name="Percent 60" xfId="13742"/>
    <cellStyle name="Percent 60 2" xfId="13743"/>
    <cellStyle name="Percent 61" xfId="13744"/>
    <cellStyle name="Percent 61 2" xfId="13745"/>
    <cellStyle name="Percent 62" xfId="13746"/>
    <cellStyle name="Percent 62 2" xfId="13747"/>
    <cellStyle name="Percent 63" xfId="13748"/>
    <cellStyle name="Percent 63 2" xfId="13749"/>
    <cellStyle name="Percent 64" xfId="13750"/>
    <cellStyle name="Percent 64 2" xfId="13751"/>
    <cellStyle name="Percent 64 2 2" xfId="13752"/>
    <cellStyle name="Percent 64 2 3" xfId="13753"/>
    <cellStyle name="Percent 64 2 3 2" xfId="21657"/>
    <cellStyle name="Percent 64 2 3 2 2" xfId="33080"/>
    <cellStyle name="Percent 64 2 3 3" xfId="33081"/>
    <cellStyle name="Percent 64 2 4" xfId="21658"/>
    <cellStyle name="Percent 64 2 4 2" xfId="33082"/>
    <cellStyle name="Percent 64 2 5" xfId="33083"/>
    <cellStyle name="Percent 64 3" xfId="13754"/>
    <cellStyle name="Percent 64 4" xfId="13755"/>
    <cellStyle name="Percent 64 4 2" xfId="21659"/>
    <cellStyle name="Percent 64 4 2 2" xfId="33084"/>
    <cellStyle name="Percent 64 4 3" xfId="33085"/>
    <cellStyle name="Percent 64 5" xfId="21660"/>
    <cellStyle name="Percent 64 5 2" xfId="33086"/>
    <cellStyle name="Percent 64 6" xfId="33087"/>
    <cellStyle name="Percent 65" xfId="13756"/>
    <cellStyle name="Percent 65 2" xfId="13757"/>
    <cellStyle name="Percent 65 2 2" xfId="13758"/>
    <cellStyle name="Percent 65 3" xfId="13759"/>
    <cellStyle name="Percent 65 3 2" xfId="13760"/>
    <cellStyle name="Percent 65 4" xfId="13761"/>
    <cellStyle name="Percent 66" xfId="13762"/>
    <cellStyle name="Percent 66 2" xfId="13763"/>
    <cellStyle name="Percent 66 2 2" xfId="33088"/>
    <cellStyle name="Percent 66 3" xfId="13764"/>
    <cellStyle name="Percent 66 3 2" xfId="21661"/>
    <cellStyle name="Percent 66 3 2 2" xfId="33089"/>
    <cellStyle name="Percent 66 3 3" xfId="33090"/>
    <cellStyle name="Percent 66 4" xfId="21662"/>
    <cellStyle name="Percent 66 4 2" xfId="33091"/>
    <cellStyle name="Percent 66 5" xfId="33092"/>
    <cellStyle name="Percent 67" xfId="13765"/>
    <cellStyle name="Percent 67 2" xfId="13766"/>
    <cellStyle name="Percent 67 2 2" xfId="33093"/>
    <cellStyle name="Percent 67 3" xfId="13767"/>
    <cellStyle name="Percent 67 3 2" xfId="21663"/>
    <cellStyle name="Percent 67 3 2 2" xfId="33094"/>
    <cellStyle name="Percent 67 3 3" xfId="33095"/>
    <cellStyle name="Percent 67 4" xfId="21664"/>
    <cellStyle name="Percent 67 4 2" xfId="33096"/>
    <cellStyle name="Percent 67 5" xfId="33097"/>
    <cellStyle name="Percent 68" xfId="13768"/>
    <cellStyle name="Percent 68 2" xfId="13769"/>
    <cellStyle name="Percent 68 2 2" xfId="33098"/>
    <cellStyle name="Percent 68 3" xfId="13770"/>
    <cellStyle name="Percent 68 3 2" xfId="13771"/>
    <cellStyle name="Percent 68 3 2 2" xfId="21665"/>
    <cellStyle name="Percent 68 3 2 2 2" xfId="33099"/>
    <cellStyle name="Percent 68 3 2 3" xfId="33100"/>
    <cellStyle name="Percent 68 3 3" xfId="21666"/>
    <cellStyle name="Percent 68 3 3 2" xfId="33101"/>
    <cellStyle name="Percent 68 3 4" xfId="33102"/>
    <cellStyle name="Percent 68 4" xfId="13772"/>
    <cellStyle name="Percent 68 4 2" xfId="21667"/>
    <cellStyle name="Percent 68 4 2 2" xfId="21668"/>
    <cellStyle name="Percent 68 4 2 2 2" xfId="33103"/>
    <cellStyle name="Percent 68 4 2 3" xfId="22081"/>
    <cellStyle name="Percent 68 4 2 4" xfId="33104"/>
    <cellStyle name="Percent 68 4 3" xfId="21669"/>
    <cellStyle name="Percent 68 4 3 2" xfId="33105"/>
    <cellStyle name="Percent 68 4 4" xfId="33106"/>
    <cellStyle name="Percent 68 5" xfId="21670"/>
    <cellStyle name="Percent 68 5 2" xfId="33107"/>
    <cellStyle name="Percent 68 6" xfId="33108"/>
    <cellStyle name="Percent 68 6 2 2 2 2 2" xfId="33766"/>
    <cellStyle name="Percent 69" xfId="13773"/>
    <cellStyle name="Percent 69 2" xfId="13774"/>
    <cellStyle name="Percent 7" xfId="69"/>
    <cellStyle name="Percent 7 10" xfId="13775"/>
    <cellStyle name="Percent 7 10 2" xfId="13776"/>
    <cellStyle name="Percent 7 11" xfId="13777"/>
    <cellStyle name="Percent 7 11 2" xfId="13778"/>
    <cellStyle name="Percent 7 12" xfId="13779"/>
    <cellStyle name="Percent 7 12 2" xfId="13780"/>
    <cellStyle name="Percent 7 13" xfId="13781"/>
    <cellStyle name="Percent 7 13 2" xfId="13782"/>
    <cellStyle name="Percent 7 14" xfId="13783"/>
    <cellStyle name="Percent 7 14 2" xfId="13784"/>
    <cellStyle name="Percent 7 14 3" xfId="33109"/>
    <cellStyle name="Percent 7 15" xfId="13785"/>
    <cellStyle name="Percent 7 15 2" xfId="33110"/>
    <cellStyle name="Percent 7 16" xfId="13786"/>
    <cellStyle name="Percent 7 16 2" xfId="21671"/>
    <cellStyle name="Percent 7 16 2 2" xfId="33111"/>
    <cellStyle name="Percent 7 16 3" xfId="33112"/>
    <cellStyle name="Percent 7 17" xfId="21672"/>
    <cellStyle name="Percent 7 17 2" xfId="33113"/>
    <cellStyle name="Percent 7 18" xfId="33114"/>
    <cellStyle name="Percent 7 2" xfId="13787"/>
    <cellStyle name="Percent 7 2 10" xfId="13788"/>
    <cellStyle name="Percent 7 2 10 2" xfId="13789"/>
    <cellStyle name="Percent 7 2 10 2 2" xfId="13790"/>
    <cellStyle name="Percent 7 2 10 2 3" xfId="13791"/>
    <cellStyle name="Percent 7 2 10 2 3 2" xfId="21673"/>
    <cellStyle name="Percent 7 2 10 2 3 2 2" xfId="33115"/>
    <cellStyle name="Percent 7 2 10 2 3 3" xfId="33116"/>
    <cellStyle name="Percent 7 2 10 2 4" xfId="21674"/>
    <cellStyle name="Percent 7 2 10 2 4 2" xfId="33117"/>
    <cellStyle name="Percent 7 2 10 2 5" xfId="33118"/>
    <cellStyle name="Percent 7 2 10 3" xfId="13792"/>
    <cellStyle name="Percent 7 2 10 4" xfId="13793"/>
    <cellStyle name="Percent 7 2 10 4 2" xfId="21675"/>
    <cellStyle name="Percent 7 2 10 4 2 2" xfId="33119"/>
    <cellStyle name="Percent 7 2 10 4 3" xfId="33120"/>
    <cellStyle name="Percent 7 2 10 5" xfId="21676"/>
    <cellStyle name="Percent 7 2 10 5 2" xfId="33121"/>
    <cellStyle name="Percent 7 2 10 6" xfId="33122"/>
    <cellStyle name="Percent 7 2 11" xfId="13794"/>
    <cellStyle name="Percent 7 2 11 2" xfId="13795"/>
    <cellStyle name="Percent 7 2 11 2 2" xfId="13796"/>
    <cellStyle name="Percent 7 2 11 2 3" xfId="13797"/>
    <cellStyle name="Percent 7 2 11 2 3 2" xfId="21677"/>
    <cellStyle name="Percent 7 2 11 2 3 2 2" xfId="33123"/>
    <cellStyle name="Percent 7 2 11 2 3 3" xfId="33124"/>
    <cellStyle name="Percent 7 2 11 2 4" xfId="21678"/>
    <cellStyle name="Percent 7 2 11 2 4 2" xfId="33125"/>
    <cellStyle name="Percent 7 2 11 2 5" xfId="33126"/>
    <cellStyle name="Percent 7 2 11 3" xfId="13798"/>
    <cellStyle name="Percent 7 2 11 4" xfId="13799"/>
    <cellStyle name="Percent 7 2 11 4 2" xfId="21679"/>
    <cellStyle name="Percent 7 2 11 4 2 2" xfId="33127"/>
    <cellStyle name="Percent 7 2 11 4 3" xfId="33128"/>
    <cellStyle name="Percent 7 2 11 5" xfId="21680"/>
    <cellStyle name="Percent 7 2 11 5 2" xfId="33129"/>
    <cellStyle name="Percent 7 2 11 6" xfId="33130"/>
    <cellStyle name="Percent 7 2 12" xfId="13800"/>
    <cellStyle name="Percent 7 2 12 2" xfId="13801"/>
    <cellStyle name="Percent 7 2 12 2 2" xfId="33131"/>
    <cellStyle name="Percent 7 2 12 3" xfId="13802"/>
    <cellStyle name="Percent 7 2 12 3 2" xfId="21681"/>
    <cellStyle name="Percent 7 2 12 3 2 2" xfId="33132"/>
    <cellStyle name="Percent 7 2 12 3 3" xfId="33133"/>
    <cellStyle name="Percent 7 2 12 4" xfId="21682"/>
    <cellStyle name="Percent 7 2 12 4 2" xfId="33134"/>
    <cellStyle name="Percent 7 2 12 5" xfId="33135"/>
    <cellStyle name="Percent 7 2 13" xfId="13803"/>
    <cellStyle name="Percent 7 2 13 2" xfId="13804"/>
    <cellStyle name="Percent 7 2 13 2 2" xfId="33136"/>
    <cellStyle name="Percent 7 2 13 3" xfId="13805"/>
    <cellStyle name="Percent 7 2 13 3 2" xfId="21683"/>
    <cellStyle name="Percent 7 2 13 3 2 2" xfId="33137"/>
    <cellStyle name="Percent 7 2 13 3 3" xfId="33138"/>
    <cellStyle name="Percent 7 2 13 4" xfId="21684"/>
    <cellStyle name="Percent 7 2 13 4 2" xfId="33139"/>
    <cellStyle name="Percent 7 2 13 5" xfId="33140"/>
    <cellStyle name="Percent 7 2 14" xfId="13806"/>
    <cellStyle name="Percent 7 2 14 2" xfId="13807"/>
    <cellStyle name="Percent 7 2 14 3" xfId="33141"/>
    <cellStyle name="Percent 7 2 15" xfId="13808"/>
    <cellStyle name="Percent 7 2 16" xfId="13809"/>
    <cellStyle name="Percent 7 2 16 2" xfId="21685"/>
    <cellStyle name="Percent 7 2 16 2 2" xfId="33142"/>
    <cellStyle name="Percent 7 2 16 3" xfId="33143"/>
    <cellStyle name="Percent 7 2 17" xfId="21686"/>
    <cellStyle name="Percent 7 2 17 2" xfId="33144"/>
    <cellStyle name="Percent 7 2 18" xfId="33145"/>
    <cellStyle name="Percent 7 2 2" xfId="13810"/>
    <cellStyle name="Percent 7 2 2 2" xfId="13811"/>
    <cellStyle name="Percent 7 2 2 2 2" xfId="13812"/>
    <cellStyle name="Percent 7 2 2 2 2 2" xfId="33146"/>
    <cellStyle name="Percent 7 2 2 2 3" xfId="13813"/>
    <cellStyle name="Percent 7 2 2 2 3 2" xfId="21687"/>
    <cellStyle name="Percent 7 2 2 2 3 2 2" xfId="33147"/>
    <cellStyle name="Percent 7 2 2 2 3 3" xfId="33148"/>
    <cellStyle name="Percent 7 2 2 2 4" xfId="21688"/>
    <cellStyle name="Percent 7 2 2 2 4 2" xfId="33149"/>
    <cellStyle name="Percent 7 2 2 2 5" xfId="33150"/>
    <cellStyle name="Percent 7 2 2 3" xfId="13814"/>
    <cellStyle name="Percent 7 2 2 3 2" xfId="13815"/>
    <cellStyle name="Percent 7 2 2 3 3" xfId="33151"/>
    <cellStyle name="Percent 7 2 2 4" xfId="13816"/>
    <cellStyle name="Percent 7 2 2 5" xfId="13817"/>
    <cellStyle name="Percent 7 2 2 5 2" xfId="21689"/>
    <cellStyle name="Percent 7 2 2 5 2 2" xfId="33152"/>
    <cellStyle name="Percent 7 2 2 5 3" xfId="33153"/>
    <cellStyle name="Percent 7 2 2 6" xfId="21690"/>
    <cellStyle name="Percent 7 2 2 6 2" xfId="33154"/>
    <cellStyle name="Percent 7 2 2 7" xfId="33155"/>
    <cellStyle name="Percent 7 2 3" xfId="13818"/>
    <cellStyle name="Percent 7 2 3 2" xfId="13819"/>
    <cellStyle name="Percent 7 2 3 2 2" xfId="13820"/>
    <cellStyle name="Percent 7 2 3 2 3" xfId="13821"/>
    <cellStyle name="Percent 7 2 3 2 3 2" xfId="21691"/>
    <cellStyle name="Percent 7 2 3 2 3 2 2" xfId="33156"/>
    <cellStyle name="Percent 7 2 3 2 3 3" xfId="33157"/>
    <cellStyle name="Percent 7 2 3 2 4" xfId="21692"/>
    <cellStyle name="Percent 7 2 3 2 4 2" xfId="33158"/>
    <cellStyle name="Percent 7 2 3 2 5" xfId="33159"/>
    <cellStyle name="Percent 7 2 3 3" xfId="13822"/>
    <cellStyle name="Percent 7 2 3 4" xfId="13823"/>
    <cellStyle name="Percent 7 2 3 4 2" xfId="21693"/>
    <cellStyle name="Percent 7 2 3 4 2 2" xfId="33160"/>
    <cellStyle name="Percent 7 2 3 4 3" xfId="33161"/>
    <cellStyle name="Percent 7 2 3 5" xfId="21694"/>
    <cellStyle name="Percent 7 2 3 5 2" xfId="33162"/>
    <cellStyle name="Percent 7 2 3 6" xfId="33163"/>
    <cellStyle name="Percent 7 2 4" xfId="13824"/>
    <cellStyle name="Percent 7 2 4 2" xfId="13825"/>
    <cellStyle name="Percent 7 2 4 2 2" xfId="13826"/>
    <cellStyle name="Percent 7 2 4 2 3" xfId="13827"/>
    <cellStyle name="Percent 7 2 4 2 3 2" xfId="21695"/>
    <cellStyle name="Percent 7 2 4 2 3 2 2" xfId="33164"/>
    <cellStyle name="Percent 7 2 4 2 3 3" xfId="33165"/>
    <cellStyle name="Percent 7 2 4 2 4" xfId="21696"/>
    <cellStyle name="Percent 7 2 4 2 4 2" xfId="33166"/>
    <cellStyle name="Percent 7 2 4 2 5" xfId="33167"/>
    <cellStyle name="Percent 7 2 4 3" xfId="13828"/>
    <cellStyle name="Percent 7 2 4 4" xfId="13829"/>
    <cellStyle name="Percent 7 2 4 4 2" xfId="21697"/>
    <cellStyle name="Percent 7 2 4 4 2 2" xfId="33168"/>
    <cellStyle name="Percent 7 2 4 4 3" xfId="33169"/>
    <cellStyle name="Percent 7 2 4 5" xfId="21698"/>
    <cellStyle name="Percent 7 2 4 5 2" xfId="33170"/>
    <cellStyle name="Percent 7 2 4 6" xfId="33171"/>
    <cellStyle name="Percent 7 2 5" xfId="13830"/>
    <cellStyle name="Percent 7 2 5 2" xfId="13831"/>
    <cellStyle name="Percent 7 2 5 2 2" xfId="13832"/>
    <cellStyle name="Percent 7 2 5 2 3" xfId="13833"/>
    <cellStyle name="Percent 7 2 5 2 3 2" xfId="21699"/>
    <cellStyle name="Percent 7 2 5 2 3 2 2" xfId="33172"/>
    <cellStyle name="Percent 7 2 5 2 3 3" xfId="33173"/>
    <cellStyle name="Percent 7 2 5 2 4" xfId="21700"/>
    <cellStyle name="Percent 7 2 5 2 4 2" xfId="33174"/>
    <cellStyle name="Percent 7 2 5 2 5" xfId="33175"/>
    <cellStyle name="Percent 7 2 5 3" xfId="13834"/>
    <cellStyle name="Percent 7 2 5 4" xfId="13835"/>
    <cellStyle name="Percent 7 2 5 4 2" xfId="21701"/>
    <cellStyle name="Percent 7 2 5 4 2 2" xfId="33176"/>
    <cellStyle name="Percent 7 2 5 4 3" xfId="33177"/>
    <cellStyle name="Percent 7 2 5 5" xfId="21702"/>
    <cellStyle name="Percent 7 2 5 5 2" xfId="33178"/>
    <cellStyle name="Percent 7 2 5 6" xfId="33179"/>
    <cellStyle name="Percent 7 2 6" xfId="13836"/>
    <cellStyle name="Percent 7 2 6 2" xfId="13837"/>
    <cellStyle name="Percent 7 2 6 2 2" xfId="13838"/>
    <cellStyle name="Percent 7 2 6 2 3" xfId="13839"/>
    <cellStyle name="Percent 7 2 6 2 3 2" xfId="21703"/>
    <cellStyle name="Percent 7 2 6 2 3 2 2" xfId="33180"/>
    <cellStyle name="Percent 7 2 6 2 3 3" xfId="33181"/>
    <cellStyle name="Percent 7 2 6 2 4" xfId="21704"/>
    <cellStyle name="Percent 7 2 6 2 4 2" xfId="33182"/>
    <cellStyle name="Percent 7 2 6 2 5" xfId="33183"/>
    <cellStyle name="Percent 7 2 6 3" xfId="13840"/>
    <cellStyle name="Percent 7 2 6 4" xfId="13841"/>
    <cellStyle name="Percent 7 2 6 4 2" xfId="21705"/>
    <cellStyle name="Percent 7 2 6 4 2 2" xfId="33184"/>
    <cellStyle name="Percent 7 2 6 4 3" xfId="33185"/>
    <cellStyle name="Percent 7 2 6 5" xfId="21706"/>
    <cellStyle name="Percent 7 2 6 5 2" xfId="33186"/>
    <cellStyle name="Percent 7 2 6 6" xfId="33187"/>
    <cellStyle name="Percent 7 2 7" xfId="13842"/>
    <cellStyle name="Percent 7 2 7 2" xfId="13843"/>
    <cellStyle name="Percent 7 2 7 2 2" xfId="13844"/>
    <cellStyle name="Percent 7 2 7 2 3" xfId="13845"/>
    <cellStyle name="Percent 7 2 7 2 3 2" xfId="21707"/>
    <cellStyle name="Percent 7 2 7 2 3 2 2" xfId="33188"/>
    <cellStyle name="Percent 7 2 7 2 3 3" xfId="33189"/>
    <cellStyle name="Percent 7 2 7 2 4" xfId="21708"/>
    <cellStyle name="Percent 7 2 7 2 4 2" xfId="33190"/>
    <cellStyle name="Percent 7 2 7 2 5" xfId="33191"/>
    <cellStyle name="Percent 7 2 7 3" xfId="13846"/>
    <cellStyle name="Percent 7 2 7 4" xfId="13847"/>
    <cellStyle name="Percent 7 2 7 4 2" xfId="21709"/>
    <cellStyle name="Percent 7 2 7 4 2 2" xfId="33192"/>
    <cellStyle name="Percent 7 2 7 4 3" xfId="33193"/>
    <cellStyle name="Percent 7 2 7 5" xfId="21710"/>
    <cellStyle name="Percent 7 2 7 5 2" xfId="33194"/>
    <cellStyle name="Percent 7 2 7 6" xfId="33195"/>
    <cellStyle name="Percent 7 2 8" xfId="13848"/>
    <cellStyle name="Percent 7 2 8 2" xfId="13849"/>
    <cellStyle name="Percent 7 2 8 2 2" xfId="13850"/>
    <cellStyle name="Percent 7 2 8 2 3" xfId="13851"/>
    <cellStyle name="Percent 7 2 8 2 3 2" xfId="21711"/>
    <cellStyle name="Percent 7 2 8 2 3 2 2" xfId="33196"/>
    <cellStyle name="Percent 7 2 8 2 3 3" xfId="33197"/>
    <cellStyle name="Percent 7 2 8 2 4" xfId="21712"/>
    <cellStyle name="Percent 7 2 8 2 4 2" xfId="33198"/>
    <cellStyle name="Percent 7 2 8 2 5" xfId="33199"/>
    <cellStyle name="Percent 7 2 8 3" xfId="13852"/>
    <cellStyle name="Percent 7 2 8 4" xfId="13853"/>
    <cellStyle name="Percent 7 2 8 4 2" xfId="21713"/>
    <cellStyle name="Percent 7 2 8 4 2 2" xfId="33200"/>
    <cellStyle name="Percent 7 2 8 4 3" xfId="33201"/>
    <cellStyle name="Percent 7 2 8 5" xfId="21714"/>
    <cellStyle name="Percent 7 2 8 5 2" xfId="33202"/>
    <cellStyle name="Percent 7 2 8 6" xfId="33203"/>
    <cellStyle name="Percent 7 2 9" xfId="13854"/>
    <cellStyle name="Percent 7 2 9 2" xfId="13855"/>
    <cellStyle name="Percent 7 2 9 2 2" xfId="13856"/>
    <cellStyle name="Percent 7 2 9 2 3" xfId="13857"/>
    <cellStyle name="Percent 7 2 9 2 3 2" xfId="21715"/>
    <cellStyle name="Percent 7 2 9 2 3 2 2" xfId="33204"/>
    <cellStyle name="Percent 7 2 9 2 3 3" xfId="33205"/>
    <cellStyle name="Percent 7 2 9 2 4" xfId="21716"/>
    <cellStyle name="Percent 7 2 9 2 4 2" xfId="33206"/>
    <cellStyle name="Percent 7 2 9 2 5" xfId="33207"/>
    <cellStyle name="Percent 7 2 9 3" xfId="13858"/>
    <cellStyle name="Percent 7 2 9 4" xfId="13859"/>
    <cellStyle name="Percent 7 2 9 4 2" xfId="21717"/>
    <cellStyle name="Percent 7 2 9 4 2 2" xfId="33208"/>
    <cellStyle name="Percent 7 2 9 4 3" xfId="33209"/>
    <cellStyle name="Percent 7 2 9 5" xfId="21718"/>
    <cellStyle name="Percent 7 2 9 5 2" xfId="33210"/>
    <cellStyle name="Percent 7 2 9 6" xfId="33211"/>
    <cellStyle name="Percent 7 3" xfId="13860"/>
    <cellStyle name="Percent 7 3 2" xfId="13861"/>
    <cellStyle name="Percent 7 4" xfId="13862"/>
    <cellStyle name="Percent 7 4 2" xfId="13863"/>
    <cellStyle name="Percent 7 5" xfId="13864"/>
    <cellStyle name="Percent 7 5 2" xfId="13865"/>
    <cellStyle name="Percent 7 6" xfId="13866"/>
    <cellStyle name="Percent 7 6 2" xfId="13867"/>
    <cellStyle name="Percent 7 7" xfId="13868"/>
    <cellStyle name="Percent 7 7 2" xfId="13869"/>
    <cellStyle name="Percent 7 8" xfId="13870"/>
    <cellStyle name="Percent 7 8 2" xfId="13871"/>
    <cellStyle name="Percent 7 9" xfId="13872"/>
    <cellStyle name="Percent 7 9 2" xfId="13873"/>
    <cellStyle name="Percent 70" xfId="13874"/>
    <cellStyle name="Percent 70 2" xfId="13875"/>
    <cellStyle name="Percent 71" xfId="13876"/>
    <cellStyle name="Percent 71 2" xfId="13877"/>
    <cellStyle name="Percent 71 3" xfId="13878"/>
    <cellStyle name="Percent 72" xfId="13879"/>
    <cellStyle name="Percent 72 2" xfId="13880"/>
    <cellStyle name="Percent 73" xfId="13881"/>
    <cellStyle name="Percent 73 2" xfId="13882"/>
    <cellStyle name="Percent 73 2 2" xfId="13883"/>
    <cellStyle name="Percent 73 2 3" xfId="13884"/>
    <cellStyle name="Percent 73 2 3 2" xfId="21719"/>
    <cellStyle name="Percent 73 2 3 2 2" xfId="21720"/>
    <cellStyle name="Percent 73 2 3 2 2 2" xfId="33212"/>
    <cellStyle name="Percent 73 2 3 2 3" xfId="33213"/>
    <cellStyle name="Percent 73 2 3 3" xfId="21721"/>
    <cellStyle name="Percent 73 2 3 3 2" xfId="21722"/>
    <cellStyle name="Percent 73 2 3 3 2 2" xfId="33214"/>
    <cellStyle name="Percent 73 2 3 3 3" xfId="33215"/>
    <cellStyle name="Percent 73 2 3 4" xfId="21723"/>
    <cellStyle name="Percent 73 2 3 4 2" xfId="33216"/>
    <cellStyle name="Percent 73 2 3 5" xfId="33217"/>
    <cellStyle name="Percent 73 2 4" xfId="21724"/>
    <cellStyle name="Percent 73 2 4 2" xfId="33218"/>
    <cellStyle name="Percent 73 2 5" xfId="33219"/>
    <cellStyle name="Percent 73 3" xfId="13885"/>
    <cellStyle name="Percent 73 3 2" xfId="13886"/>
    <cellStyle name="Percent 73 3 3" xfId="13887"/>
    <cellStyle name="Percent 73 3 3 2" xfId="21725"/>
    <cellStyle name="Percent 73 3 3 2 2" xfId="33220"/>
    <cellStyle name="Percent 73 3 3 3" xfId="33221"/>
    <cellStyle name="Percent 73 3 4" xfId="21726"/>
    <cellStyle name="Percent 73 3 4 2" xfId="33222"/>
    <cellStyle name="Percent 73 3 5" xfId="33223"/>
    <cellStyle name="Percent 73 4" xfId="13888"/>
    <cellStyle name="Percent 73 4 2" xfId="13889"/>
    <cellStyle name="Percent 73 4 3" xfId="13890"/>
    <cellStyle name="Percent 73 4 3 2" xfId="21727"/>
    <cellStyle name="Percent 73 4 3 2 2" xfId="33224"/>
    <cellStyle name="Percent 73 4 3 3" xfId="33225"/>
    <cellStyle name="Percent 73 4 4" xfId="21728"/>
    <cellStyle name="Percent 73 4 4 2" xfId="33226"/>
    <cellStyle name="Percent 73 4 5" xfId="33227"/>
    <cellStyle name="Percent 73 5" xfId="13891"/>
    <cellStyle name="Percent 73 6" xfId="13892"/>
    <cellStyle name="Percent 73 6 2" xfId="21729"/>
    <cellStyle name="Percent 73 6 2 2" xfId="33228"/>
    <cellStyle name="Percent 73 6 3" xfId="33229"/>
    <cellStyle name="Percent 73 7" xfId="21730"/>
    <cellStyle name="Percent 73 7 2" xfId="33230"/>
    <cellStyle name="Percent 73 8" xfId="33231"/>
    <cellStyle name="Percent 74" xfId="13893"/>
    <cellStyle name="Percent 75" xfId="13894"/>
    <cellStyle name="Percent 75 2" xfId="13895"/>
    <cellStyle name="Percent 75 3" xfId="21731"/>
    <cellStyle name="Percent 75 3 2" xfId="21732"/>
    <cellStyle name="Percent 75 3 2 2" xfId="33232"/>
    <cellStyle name="Percent 75 3 3" xfId="33233"/>
    <cellStyle name="Percent 75 3 4" xfId="33234"/>
    <cellStyle name="Percent 75 4" xfId="21733"/>
    <cellStyle name="Percent 75 4 2" xfId="21734"/>
    <cellStyle name="Percent 75 4 2 2" xfId="33235"/>
    <cellStyle name="Percent 75 4 3" xfId="33236"/>
    <cellStyle name="Percent 75 5" xfId="21735"/>
    <cellStyle name="Percent 75 5 2" xfId="33237"/>
    <cellStyle name="Percent 75 6" xfId="33238"/>
    <cellStyle name="Percent 76" xfId="13896"/>
    <cellStyle name="Percent 76 2" xfId="13897"/>
    <cellStyle name="Percent 76 2 2" xfId="21736"/>
    <cellStyle name="Percent 76 2 2 2" xfId="33239"/>
    <cellStyle name="Percent 76 2 3" xfId="33240"/>
    <cellStyle name="Percent 76 3" xfId="33241"/>
    <cellStyle name="Percent 76 3 2" xfId="33242"/>
    <cellStyle name="Percent 76 3 4" xfId="33765"/>
    <cellStyle name="Percent 76 5" xfId="33759"/>
    <cellStyle name="Percent 76 5 2" xfId="33770"/>
    <cellStyle name="Percent 77" xfId="13898"/>
    <cellStyle name="Percent 77 2" xfId="13899"/>
    <cellStyle name="Percent 77 2 2" xfId="21737"/>
    <cellStyle name="Percent 77 2 2 2" xfId="33243"/>
    <cellStyle name="Percent 77 2 3" xfId="33244"/>
    <cellStyle name="Percent 77 3" xfId="21738"/>
    <cellStyle name="Percent 77 3 2" xfId="33245"/>
    <cellStyle name="Percent 77 4" xfId="33246"/>
    <cellStyle name="Percent 78" xfId="13900"/>
    <cellStyle name="Percent 78 2" xfId="21739"/>
    <cellStyle name="Percent 78 2 2" xfId="33247"/>
    <cellStyle name="Percent 78 3" xfId="33248"/>
    <cellStyle name="Percent 79" xfId="13901"/>
    <cellStyle name="Percent 79 2" xfId="21740"/>
    <cellStyle name="Percent 79 2 2" xfId="33249"/>
    <cellStyle name="Percent 79 3" xfId="33250"/>
    <cellStyle name="Percent 8" xfId="3"/>
    <cellStyle name="Percent 8 10" xfId="13902"/>
    <cellStyle name="Percent 8 10 2" xfId="21741"/>
    <cellStyle name="Percent 8 10 2 2" xfId="33251"/>
    <cellStyle name="Percent 8 10 3" xfId="33252"/>
    <cellStyle name="Percent 8 11" xfId="13903"/>
    <cellStyle name="Percent 8 12" xfId="21742"/>
    <cellStyle name="Percent 8 12 2" xfId="33253"/>
    <cellStyle name="Percent 8 13" xfId="21743"/>
    <cellStyle name="Percent 8 14" xfId="21744"/>
    <cellStyle name="Percent 8 2" xfId="13904"/>
    <cellStyle name="Percent 8 2 10" xfId="21745"/>
    <cellStyle name="Percent 8 2 10 2" xfId="33254"/>
    <cellStyle name="Percent 8 2 11" xfId="33255"/>
    <cellStyle name="Percent 8 2 2" xfId="13905"/>
    <cellStyle name="Percent 8 2 2 2" xfId="13906"/>
    <cellStyle name="Percent 8 2 2 2 2" xfId="13907"/>
    <cellStyle name="Percent 8 2 2 2 2 2" xfId="13908"/>
    <cellStyle name="Percent 8 2 2 2 2 2 2" xfId="33256"/>
    <cellStyle name="Percent 8 2 2 2 2 3" xfId="13909"/>
    <cellStyle name="Percent 8 2 2 2 2 3 2" xfId="21746"/>
    <cellStyle name="Percent 8 2 2 2 2 3 2 2" xfId="33257"/>
    <cellStyle name="Percent 8 2 2 2 2 3 3" xfId="33258"/>
    <cellStyle name="Percent 8 2 2 2 2 4" xfId="21747"/>
    <cellStyle name="Percent 8 2 2 2 2 4 2" xfId="33259"/>
    <cellStyle name="Percent 8 2 2 2 2 5" xfId="33260"/>
    <cellStyle name="Percent 8 2 2 2 3" xfId="13910"/>
    <cellStyle name="Percent 8 2 2 2 3 2" xfId="33261"/>
    <cellStyle name="Percent 8 2 2 2 4" xfId="13911"/>
    <cellStyle name="Percent 8 2 2 2 4 2" xfId="21748"/>
    <cellStyle name="Percent 8 2 2 2 4 2 2" xfId="33262"/>
    <cellStyle name="Percent 8 2 2 2 4 3" xfId="33263"/>
    <cellStyle name="Percent 8 2 2 2 5" xfId="21749"/>
    <cellStyle name="Percent 8 2 2 2 5 2" xfId="33264"/>
    <cellStyle name="Percent 8 2 2 2 6" xfId="33265"/>
    <cellStyle name="Percent 8 2 2 3" xfId="13912"/>
    <cellStyle name="Percent 8 2 2 3 2" xfId="13913"/>
    <cellStyle name="Percent 8 2 2 3 2 2" xfId="13914"/>
    <cellStyle name="Percent 8 2 2 3 2 3" xfId="13915"/>
    <cellStyle name="Percent 8 2 2 3 2 3 2" xfId="21750"/>
    <cellStyle name="Percent 8 2 2 3 2 3 2 2" xfId="33266"/>
    <cellStyle name="Percent 8 2 2 3 2 3 3" xfId="33267"/>
    <cellStyle name="Percent 8 2 2 3 2 4" xfId="21751"/>
    <cellStyle name="Percent 8 2 2 3 2 4 2" xfId="33268"/>
    <cellStyle name="Percent 8 2 2 3 2 5" xfId="33269"/>
    <cellStyle name="Percent 8 2 2 3 3" xfId="13916"/>
    <cellStyle name="Percent 8 2 2 3 4" xfId="13917"/>
    <cellStyle name="Percent 8 2 2 3 4 2" xfId="21752"/>
    <cellStyle name="Percent 8 2 2 3 4 2 2" xfId="33270"/>
    <cellStyle name="Percent 8 2 2 3 4 3" xfId="33271"/>
    <cellStyle name="Percent 8 2 2 3 5" xfId="21753"/>
    <cellStyle name="Percent 8 2 2 3 5 2" xfId="33272"/>
    <cellStyle name="Percent 8 2 2 3 6" xfId="33273"/>
    <cellStyle name="Percent 8 2 2 4" xfId="13918"/>
    <cellStyle name="Percent 8 2 2 4 2" xfId="13919"/>
    <cellStyle name="Percent 8 2 2 4 2 2" xfId="13920"/>
    <cellStyle name="Percent 8 2 2 4 2 3" xfId="13921"/>
    <cellStyle name="Percent 8 2 2 4 2 3 2" xfId="21754"/>
    <cellStyle name="Percent 8 2 2 4 2 3 2 2" xfId="33274"/>
    <cellStyle name="Percent 8 2 2 4 2 3 3" xfId="33275"/>
    <cellStyle name="Percent 8 2 2 4 2 4" xfId="21755"/>
    <cellStyle name="Percent 8 2 2 4 2 4 2" xfId="33276"/>
    <cellStyle name="Percent 8 2 2 4 2 5" xfId="33277"/>
    <cellStyle name="Percent 8 2 2 4 3" xfId="13922"/>
    <cellStyle name="Percent 8 2 2 4 4" xfId="13923"/>
    <cellStyle name="Percent 8 2 2 4 4 2" xfId="21756"/>
    <cellStyle name="Percent 8 2 2 4 4 2 2" xfId="33278"/>
    <cellStyle name="Percent 8 2 2 4 4 3" xfId="33279"/>
    <cellStyle name="Percent 8 2 2 4 5" xfId="21757"/>
    <cellStyle name="Percent 8 2 2 4 5 2" xfId="33280"/>
    <cellStyle name="Percent 8 2 2 4 6" xfId="33281"/>
    <cellStyle name="Percent 8 2 2 5" xfId="13924"/>
    <cellStyle name="Percent 8 2 2 5 2" xfId="13925"/>
    <cellStyle name="Percent 8 2 2 5 2 2" xfId="13926"/>
    <cellStyle name="Percent 8 2 2 5 2 3" xfId="13927"/>
    <cellStyle name="Percent 8 2 2 5 2 3 2" xfId="21758"/>
    <cellStyle name="Percent 8 2 2 5 2 3 2 2" xfId="33282"/>
    <cellStyle name="Percent 8 2 2 5 2 3 3" xfId="33283"/>
    <cellStyle name="Percent 8 2 2 5 2 4" xfId="21759"/>
    <cellStyle name="Percent 8 2 2 5 2 4 2" xfId="33284"/>
    <cellStyle name="Percent 8 2 2 5 2 5" xfId="33285"/>
    <cellStyle name="Percent 8 2 2 5 3" xfId="13928"/>
    <cellStyle name="Percent 8 2 2 5 4" xfId="13929"/>
    <cellStyle name="Percent 8 2 2 5 4 2" xfId="21760"/>
    <cellStyle name="Percent 8 2 2 5 4 2 2" xfId="33286"/>
    <cellStyle name="Percent 8 2 2 5 4 3" xfId="33287"/>
    <cellStyle name="Percent 8 2 2 5 5" xfId="21761"/>
    <cellStyle name="Percent 8 2 2 5 5 2" xfId="33288"/>
    <cellStyle name="Percent 8 2 2 5 6" xfId="33289"/>
    <cellStyle name="Percent 8 2 2 6" xfId="13930"/>
    <cellStyle name="Percent 8 2 3" xfId="13931"/>
    <cellStyle name="Percent 8 2 3 2" xfId="13932"/>
    <cellStyle name="Percent 8 2 4" xfId="13933"/>
    <cellStyle name="Percent 8 2 4 2" xfId="13934"/>
    <cellStyle name="Percent 8 2 5" xfId="13935"/>
    <cellStyle name="Percent 8 2 5 2" xfId="13936"/>
    <cellStyle name="Percent 8 2 6" xfId="13937"/>
    <cellStyle name="Percent 8 2 6 2" xfId="13938"/>
    <cellStyle name="Percent 8 2 6 3" xfId="13939"/>
    <cellStyle name="Percent 8 2 6 3 2" xfId="21762"/>
    <cellStyle name="Percent 8 2 6 3 2 2" xfId="33290"/>
    <cellStyle name="Percent 8 2 6 3 3" xfId="33291"/>
    <cellStyle name="Percent 8 2 6 4" xfId="21763"/>
    <cellStyle name="Percent 8 2 6 4 2" xfId="33292"/>
    <cellStyle name="Percent 8 2 6 5" xfId="33293"/>
    <cellStyle name="Percent 8 2 7" xfId="13940"/>
    <cellStyle name="Percent 8 2 7 2" xfId="13941"/>
    <cellStyle name="Percent 8 2 7 3" xfId="13942"/>
    <cellStyle name="Percent 8 2 7 3 2" xfId="21764"/>
    <cellStyle name="Percent 8 2 7 3 2 2" xfId="33294"/>
    <cellStyle name="Percent 8 2 7 3 3" xfId="33295"/>
    <cellStyle name="Percent 8 2 7 4" xfId="21765"/>
    <cellStyle name="Percent 8 2 7 4 2" xfId="33296"/>
    <cellStyle name="Percent 8 2 7 5" xfId="33297"/>
    <cellStyle name="Percent 8 2 8" xfId="13943"/>
    <cellStyle name="Percent 8 2 9" xfId="13944"/>
    <cellStyle name="Percent 8 2 9 2" xfId="21766"/>
    <cellStyle name="Percent 8 2 9 2 2" xfId="33298"/>
    <cellStyle name="Percent 8 2 9 3" xfId="33299"/>
    <cellStyle name="Percent 8 3" xfId="13945"/>
    <cellStyle name="Percent 8 3 2" xfId="13946"/>
    <cellStyle name="Percent 8 3 2 2" xfId="13947"/>
    <cellStyle name="Percent 8 3 2 3" xfId="13948"/>
    <cellStyle name="Percent 8 3 2 3 2" xfId="21767"/>
    <cellStyle name="Percent 8 3 2 3 2 2" xfId="33300"/>
    <cellStyle name="Percent 8 3 2 3 3" xfId="33301"/>
    <cellStyle name="Percent 8 3 2 4" xfId="21768"/>
    <cellStyle name="Percent 8 3 2 4 2" xfId="33302"/>
    <cellStyle name="Percent 8 3 2 5" xfId="33303"/>
    <cellStyle name="Percent 8 3 3" xfId="13949"/>
    <cellStyle name="Percent 8 3 4" xfId="13950"/>
    <cellStyle name="Percent 8 3 4 2" xfId="21769"/>
    <cellStyle name="Percent 8 3 4 2 2" xfId="33304"/>
    <cellStyle name="Percent 8 3 4 3" xfId="33305"/>
    <cellStyle name="Percent 8 3 5" xfId="21770"/>
    <cellStyle name="Percent 8 3 5 2" xfId="33306"/>
    <cellStyle name="Percent 8 3 6" xfId="33307"/>
    <cellStyle name="Percent 8 4" xfId="13951"/>
    <cellStyle name="Percent 8 4 2" xfId="13952"/>
    <cellStyle name="Percent 8 4 2 2" xfId="13953"/>
    <cellStyle name="Percent 8 4 2 3" xfId="13954"/>
    <cellStyle name="Percent 8 4 2 3 2" xfId="21771"/>
    <cellStyle name="Percent 8 4 2 3 2 2" xfId="33308"/>
    <cellStyle name="Percent 8 4 2 3 3" xfId="33309"/>
    <cellStyle name="Percent 8 4 2 4" xfId="21772"/>
    <cellStyle name="Percent 8 4 2 4 2" xfId="33310"/>
    <cellStyle name="Percent 8 4 2 5" xfId="33311"/>
    <cellStyle name="Percent 8 4 3" xfId="13955"/>
    <cellStyle name="Percent 8 4 4" xfId="13956"/>
    <cellStyle name="Percent 8 4 4 2" xfId="21773"/>
    <cellStyle name="Percent 8 4 4 2 2" xfId="33312"/>
    <cellStyle name="Percent 8 4 4 3" xfId="33313"/>
    <cellStyle name="Percent 8 4 5" xfId="21774"/>
    <cellStyle name="Percent 8 4 5 2" xfId="33314"/>
    <cellStyle name="Percent 8 4 6" xfId="33315"/>
    <cellStyle name="Percent 8 5" xfId="13957"/>
    <cellStyle name="Percent 8 5 2" xfId="13958"/>
    <cellStyle name="Percent 8 5 2 2" xfId="13959"/>
    <cellStyle name="Percent 8 5 2 3" xfId="13960"/>
    <cellStyle name="Percent 8 5 2 3 2" xfId="21775"/>
    <cellStyle name="Percent 8 5 2 3 2 2" xfId="33316"/>
    <cellStyle name="Percent 8 5 2 3 3" xfId="33317"/>
    <cellStyle name="Percent 8 5 2 4" xfId="21776"/>
    <cellStyle name="Percent 8 5 2 4 2" xfId="33318"/>
    <cellStyle name="Percent 8 5 2 5" xfId="33319"/>
    <cellStyle name="Percent 8 5 3" xfId="13961"/>
    <cellStyle name="Percent 8 5 4" xfId="13962"/>
    <cellStyle name="Percent 8 5 4 2" xfId="21777"/>
    <cellStyle name="Percent 8 5 4 2 2" xfId="33320"/>
    <cellStyle name="Percent 8 5 4 3" xfId="33321"/>
    <cellStyle name="Percent 8 5 5" xfId="21778"/>
    <cellStyle name="Percent 8 5 5 2" xfId="33322"/>
    <cellStyle name="Percent 8 5 6" xfId="33323"/>
    <cellStyle name="Percent 8 6" xfId="13963"/>
    <cellStyle name="Percent 8 6 2" xfId="13964"/>
    <cellStyle name="Percent 8 6 2 2" xfId="13965"/>
    <cellStyle name="Percent 8 6 2 3" xfId="13966"/>
    <cellStyle name="Percent 8 6 2 3 2" xfId="21779"/>
    <cellStyle name="Percent 8 6 2 3 2 2" xfId="33324"/>
    <cellStyle name="Percent 8 6 2 3 3" xfId="33325"/>
    <cellStyle name="Percent 8 6 2 4" xfId="21780"/>
    <cellStyle name="Percent 8 6 2 4 2" xfId="33326"/>
    <cellStyle name="Percent 8 6 2 5" xfId="33327"/>
    <cellStyle name="Percent 8 6 3" xfId="13967"/>
    <cellStyle name="Percent 8 6 4" xfId="13968"/>
    <cellStyle name="Percent 8 6 4 2" xfId="21781"/>
    <cellStyle name="Percent 8 6 4 2 2" xfId="33328"/>
    <cellStyle name="Percent 8 6 4 3" xfId="33329"/>
    <cellStyle name="Percent 8 6 5" xfId="21782"/>
    <cellStyle name="Percent 8 6 5 2" xfId="33330"/>
    <cellStyle name="Percent 8 6 6" xfId="33331"/>
    <cellStyle name="Percent 8 7" xfId="13969"/>
    <cellStyle name="Percent 8 7 2" xfId="13970"/>
    <cellStyle name="Percent 8 7 3" xfId="33332"/>
    <cellStyle name="Percent 8 8" xfId="13971"/>
    <cellStyle name="Percent 8 8 2" xfId="13972"/>
    <cellStyle name="Percent 8 8 3" xfId="13973"/>
    <cellStyle name="Percent 8 8 3 2" xfId="21783"/>
    <cellStyle name="Percent 8 8 3 2 2" xfId="33333"/>
    <cellStyle name="Percent 8 8 3 3" xfId="33334"/>
    <cellStyle name="Percent 8 8 4" xfId="21784"/>
    <cellStyle name="Percent 8 8 4 2" xfId="33335"/>
    <cellStyle name="Percent 8 8 5" xfId="33336"/>
    <cellStyle name="Percent 8 9" xfId="13974"/>
    <cellStyle name="Percent 80" xfId="13975"/>
    <cellStyle name="Percent 80 2" xfId="21785"/>
    <cellStyle name="Percent 80 2 2" xfId="33337"/>
    <cellStyle name="Percent 80 3" xfId="33338"/>
    <cellStyle name="Percent 81" xfId="21786"/>
    <cellStyle name="Percent 81 2" xfId="33668"/>
    <cellStyle name="Percent 82" xfId="21787"/>
    <cellStyle name="Percent 83" xfId="21788"/>
    <cellStyle name="Percent 84" xfId="33612"/>
    <cellStyle name="Percent 85" xfId="33617"/>
    <cellStyle name="Percent 85 2" xfId="33721"/>
    <cellStyle name="Percent 85 2 2" xfId="33768"/>
    <cellStyle name="Percent 86" xfId="33682"/>
    <cellStyle name="Percent 87" xfId="33747"/>
    <cellStyle name="Percent 9" xfId="13976"/>
    <cellStyle name="Percent 9 2" xfId="13977"/>
    <cellStyle name="Percent 9 2 2" xfId="13978"/>
    <cellStyle name="Percent 9 3" xfId="13979"/>
    <cellStyle name="Percent 9 4" xfId="13980"/>
    <cellStyle name="PRINTFONT" xfId="13981"/>
    <cellStyle name="PRINTFONT 2" xfId="13982"/>
    <cellStyle name="PSChar" xfId="13983"/>
    <cellStyle name="PSChar 2" xfId="13984"/>
    <cellStyle name="PSDate" xfId="13985"/>
    <cellStyle name="PSDate 2" xfId="13986"/>
    <cellStyle name="PSDec" xfId="13987"/>
    <cellStyle name="PSDec 2" xfId="13988"/>
    <cellStyle name="PSHeading" xfId="13989"/>
    <cellStyle name="PSHeading 2" xfId="13990"/>
    <cellStyle name="PSHeading 3" xfId="13991"/>
    <cellStyle name="PSHeading 3 2" xfId="21789"/>
    <cellStyle name="PSHeading 3 2 2" xfId="33339"/>
    <cellStyle name="PSHeading 4" xfId="21790"/>
    <cellStyle name="PSHeading 4 2" xfId="33340"/>
    <cellStyle name="PSInt" xfId="13992"/>
    <cellStyle name="PSInt 2" xfId="13993"/>
    <cellStyle name="PSSpacer" xfId="13994"/>
    <cellStyle name="PSSpacer 2" xfId="13995"/>
    <cellStyle name="Reset  - Style4" xfId="13996"/>
    <cellStyle name="Reset  - Style4 2" xfId="13997"/>
    <cellStyle name="Reset  - Style7" xfId="13998"/>
    <cellStyle name="Reset  - Style7 2" xfId="13999"/>
    <cellStyle name="SectionHeaderNormal" xfId="14000"/>
    <cellStyle name="STD" xfId="14001"/>
    <cellStyle name="STD 2" xfId="14002"/>
    <cellStyle name="Style 1060" xfId="14003"/>
    <cellStyle name="Style 1092" xfId="14004"/>
    <cellStyle name="Style 1096" xfId="14005"/>
    <cellStyle name="Style 1100" xfId="14006"/>
    <cellStyle name="Style 21" xfId="70"/>
    <cellStyle name="Style 21 2" xfId="71"/>
    <cellStyle name="Style 21 2 2" xfId="14007"/>
    <cellStyle name="Style 21 3" xfId="14008"/>
    <cellStyle name="Style 21 3 2" xfId="14009"/>
    <cellStyle name="Style 21 4" xfId="14010"/>
    <cellStyle name="Style 21 4 2" xfId="14011"/>
    <cellStyle name="Style 21 5" xfId="14012"/>
    <cellStyle name="Style 21 5 2" xfId="14013"/>
    <cellStyle name="Style 21 6" xfId="14014"/>
    <cellStyle name="Style 22" xfId="72"/>
    <cellStyle name="Style 22 2" xfId="73"/>
    <cellStyle name="Style 22 2 2" xfId="14015"/>
    <cellStyle name="Style 22 3" xfId="14016"/>
    <cellStyle name="Style 22 3 2" xfId="14017"/>
    <cellStyle name="Style 22 4" xfId="14018"/>
    <cellStyle name="Style 22 4 2" xfId="14019"/>
    <cellStyle name="Style 22 5" xfId="14020"/>
    <cellStyle name="Style 22 5 2" xfId="14021"/>
    <cellStyle name="Style 22 6" xfId="14022"/>
    <cellStyle name="Style 23" xfId="74"/>
    <cellStyle name="Style 23 2" xfId="75"/>
    <cellStyle name="Style 23 2 2" xfId="14023"/>
    <cellStyle name="Style 23 3" xfId="14024"/>
    <cellStyle name="Style 23 3 2" xfId="14025"/>
    <cellStyle name="Style 23 4" xfId="14026"/>
    <cellStyle name="Style 23 4 2" xfId="14027"/>
    <cellStyle name="Style 23 5" xfId="14028"/>
    <cellStyle name="Style 23 5 2" xfId="14029"/>
    <cellStyle name="Style 23 6" xfId="14030"/>
    <cellStyle name="Style 24" xfId="76"/>
    <cellStyle name="Style 24 2" xfId="77"/>
    <cellStyle name="Style 24 2 2" xfId="14031"/>
    <cellStyle name="Style 24 3" xfId="14032"/>
    <cellStyle name="Style 24 3 2" xfId="14033"/>
    <cellStyle name="Style 24 4" xfId="14034"/>
    <cellStyle name="Style 24 4 2" xfId="14035"/>
    <cellStyle name="Style 24 5" xfId="14036"/>
    <cellStyle name="Style 24 5 2" xfId="14037"/>
    <cellStyle name="Style 24 6" xfId="14038"/>
    <cellStyle name="Style 25" xfId="78"/>
    <cellStyle name="Style 25 10" xfId="14039"/>
    <cellStyle name="Style 25 10 2" xfId="14040"/>
    <cellStyle name="Style 25 11" xfId="14041"/>
    <cellStyle name="Style 25 2" xfId="79"/>
    <cellStyle name="Style 25 2 2" xfId="14042"/>
    <cellStyle name="Style 25 3" xfId="80"/>
    <cellStyle name="Style 25 3 2" xfId="14043"/>
    <cellStyle name="Style 25 4" xfId="81"/>
    <cellStyle name="Style 25 4 2" xfId="14044"/>
    <cellStyle name="Style 25 5" xfId="82"/>
    <cellStyle name="Style 25 5 2" xfId="14045"/>
    <cellStyle name="Style 25 6" xfId="83"/>
    <cellStyle name="Style 25 6 2" xfId="14046"/>
    <cellStyle name="Style 25 7" xfId="84"/>
    <cellStyle name="Style 25 7 2" xfId="14047"/>
    <cellStyle name="Style 25 8" xfId="14048"/>
    <cellStyle name="Style 25 8 2" xfId="14049"/>
    <cellStyle name="Style 25 9" xfId="14050"/>
    <cellStyle name="Style 25 9 2" xfId="14051"/>
    <cellStyle name="Style 26" xfId="85"/>
    <cellStyle name="Style 26 2" xfId="86"/>
    <cellStyle name="Style 26 2 2" xfId="14052"/>
    <cellStyle name="Style 26 2 2 2" xfId="14053"/>
    <cellStyle name="Style 26 2 3" xfId="14054"/>
    <cellStyle name="Style 26 3" xfId="14055"/>
    <cellStyle name="Style 26 3 2" xfId="14056"/>
    <cellStyle name="Style 26 3 2 2" xfId="14057"/>
    <cellStyle name="Style 26 3 3" xfId="14058"/>
    <cellStyle name="Style 26 4" xfId="14059"/>
    <cellStyle name="Style 26 4 2" xfId="14060"/>
    <cellStyle name="Style 26 5" xfId="14061"/>
    <cellStyle name="Style 26 5 2" xfId="14062"/>
    <cellStyle name="Style 26 6" xfId="14063"/>
    <cellStyle name="Style 26 7" xfId="14064"/>
    <cellStyle name="Style 26 8" xfId="14065"/>
    <cellStyle name="Style 26 9" xfId="21791"/>
    <cellStyle name="Style 27" xfId="87"/>
    <cellStyle name="Style 27 2" xfId="88"/>
    <cellStyle name="Style 27 2 2" xfId="14066"/>
    <cellStyle name="Style 27 3" xfId="14067"/>
    <cellStyle name="Style 27 3 2" xfId="14068"/>
    <cellStyle name="Style 27 4" xfId="14069"/>
    <cellStyle name="Style 27 4 2" xfId="14070"/>
    <cellStyle name="Style 27 5" xfId="14071"/>
    <cellStyle name="Style 27 5 2" xfId="14072"/>
    <cellStyle name="Style 27 6" xfId="14073"/>
    <cellStyle name="Style 28" xfId="89"/>
    <cellStyle name="Style 28 2" xfId="90"/>
    <cellStyle name="Style 28 2 2" xfId="14074"/>
    <cellStyle name="Style 28 3" xfId="14075"/>
    <cellStyle name="Style 28 3 2" xfId="14076"/>
    <cellStyle name="Style 28 4" xfId="14077"/>
    <cellStyle name="Style 28 4 2" xfId="14078"/>
    <cellStyle name="Style 28 5" xfId="14079"/>
    <cellStyle name="Style 28 5 2" xfId="14080"/>
    <cellStyle name="Style 28 6" xfId="14081"/>
    <cellStyle name="Style 29" xfId="91"/>
    <cellStyle name="Style 29 10" xfId="14082"/>
    <cellStyle name="Style 29 10 2" xfId="14083"/>
    <cellStyle name="Style 29 11" xfId="14084"/>
    <cellStyle name="Style 29 11 2" xfId="14085"/>
    <cellStyle name="Style 29 12" xfId="14086"/>
    <cellStyle name="Style 29 12 2" xfId="14087"/>
    <cellStyle name="Style 29 13" xfId="14088"/>
    <cellStyle name="Style 29 13 2" xfId="14089"/>
    <cellStyle name="Style 29 14" xfId="14090"/>
    <cellStyle name="Style 29 14 2" xfId="14091"/>
    <cellStyle name="Style 29 15" xfId="14092"/>
    <cellStyle name="Style 29 15 2" xfId="14093"/>
    <cellStyle name="Style 29 16" xfId="14094"/>
    <cellStyle name="Style 29 16 2" xfId="14095"/>
    <cellStyle name="Style 29 17" xfId="14096"/>
    <cellStyle name="Style 29 2" xfId="92"/>
    <cellStyle name="Style 29 2 2" xfId="14097"/>
    <cellStyle name="Style 29 3" xfId="14098"/>
    <cellStyle name="Style 29 3 2" xfId="14099"/>
    <cellStyle name="Style 29 4" xfId="14100"/>
    <cellStyle name="Style 29 4 2" xfId="14101"/>
    <cellStyle name="Style 29 5" xfId="14102"/>
    <cellStyle name="Style 29 5 2" xfId="14103"/>
    <cellStyle name="Style 29 6" xfId="14104"/>
    <cellStyle name="Style 29 6 2" xfId="14105"/>
    <cellStyle name="Style 29 7" xfId="14106"/>
    <cellStyle name="Style 29 7 2" xfId="14107"/>
    <cellStyle name="Style 29 8" xfId="14108"/>
    <cellStyle name="Style 29 8 2" xfId="14109"/>
    <cellStyle name="Style 29 9" xfId="14110"/>
    <cellStyle name="Style 29 9 2" xfId="14111"/>
    <cellStyle name="Style 30" xfId="93"/>
    <cellStyle name="Style 30 10" xfId="14112"/>
    <cellStyle name="Style 30 10 2" xfId="14113"/>
    <cellStyle name="Style 30 11" xfId="14114"/>
    <cellStyle name="Style 30 11 2" xfId="14115"/>
    <cellStyle name="Style 30 12" xfId="14116"/>
    <cellStyle name="Style 30 12 2" xfId="14117"/>
    <cellStyle name="Style 30 13" xfId="14118"/>
    <cellStyle name="Style 30 13 2" xfId="14119"/>
    <cellStyle name="Style 30 14" xfId="14120"/>
    <cellStyle name="Style 30 14 2" xfId="14121"/>
    <cellStyle name="Style 30 15" xfId="14122"/>
    <cellStyle name="Style 30 15 2" xfId="14123"/>
    <cellStyle name="Style 30 16" xfId="14124"/>
    <cellStyle name="Style 30 16 2" xfId="14125"/>
    <cellStyle name="Style 30 17" xfId="14126"/>
    <cellStyle name="Style 30 2" xfId="94"/>
    <cellStyle name="Style 30 2 2" xfId="14127"/>
    <cellStyle name="Style 30 3" xfId="14128"/>
    <cellStyle name="Style 30 3 2" xfId="14129"/>
    <cellStyle name="Style 30 4" xfId="14130"/>
    <cellStyle name="Style 30 4 2" xfId="14131"/>
    <cellStyle name="Style 30 5" xfId="14132"/>
    <cellStyle name="Style 30 5 2" xfId="14133"/>
    <cellStyle name="Style 30 6" xfId="14134"/>
    <cellStyle name="Style 30 6 2" xfId="14135"/>
    <cellStyle name="Style 30 7" xfId="14136"/>
    <cellStyle name="Style 30 7 2" xfId="14137"/>
    <cellStyle name="Style 30 8" xfId="14138"/>
    <cellStyle name="Style 30 8 2" xfId="14139"/>
    <cellStyle name="Style 30 9" xfId="14140"/>
    <cellStyle name="Style 30 9 2" xfId="14141"/>
    <cellStyle name="Style 31" xfId="95"/>
    <cellStyle name="Style 31 2" xfId="96"/>
    <cellStyle name="Style 31 2 2" xfId="14142"/>
    <cellStyle name="Style 31 3" xfId="14143"/>
    <cellStyle name="Style 31 3 2" xfId="14144"/>
    <cellStyle name="Style 31 4" xfId="14145"/>
    <cellStyle name="Style 31 4 2" xfId="14146"/>
    <cellStyle name="Style 31 5" xfId="14147"/>
    <cellStyle name="Style 31 5 2" xfId="14148"/>
    <cellStyle name="Style 31 6" xfId="14149"/>
    <cellStyle name="Style 32" xfId="97"/>
    <cellStyle name="Style 32 2" xfId="98"/>
    <cellStyle name="Style 32 2 2" xfId="14150"/>
    <cellStyle name="Style 32 3" xfId="99"/>
    <cellStyle name="Style 32 3 2" xfId="14151"/>
    <cellStyle name="Style 32 4" xfId="100"/>
    <cellStyle name="Style 32 4 2" xfId="14152"/>
    <cellStyle name="Style 32 5" xfId="101"/>
    <cellStyle name="Style 32 5 2" xfId="14153"/>
    <cellStyle name="Style 32 6" xfId="102"/>
    <cellStyle name="Style 32 6 2" xfId="14154"/>
    <cellStyle name="Style 32 7" xfId="103"/>
    <cellStyle name="Style 32 7 2" xfId="14155"/>
    <cellStyle name="Style 32 8" xfId="14156"/>
    <cellStyle name="Style 33" xfId="104"/>
    <cellStyle name="Style 33 10" xfId="14157"/>
    <cellStyle name="Style 33 10 2" xfId="14158"/>
    <cellStyle name="Style 33 11" xfId="14159"/>
    <cellStyle name="Style 33 11 2" xfId="14160"/>
    <cellStyle name="Style 33 12" xfId="14161"/>
    <cellStyle name="Style 33 12 2" xfId="14162"/>
    <cellStyle name="Style 33 13" xfId="14163"/>
    <cellStyle name="Style 33 13 2" xfId="14164"/>
    <cellStyle name="Style 33 14" xfId="14165"/>
    <cellStyle name="Style 33 14 2" xfId="14166"/>
    <cellStyle name="Style 33 15" xfId="14167"/>
    <cellStyle name="Style 33 15 2" xfId="14168"/>
    <cellStyle name="Style 33 16" xfId="14169"/>
    <cellStyle name="Style 33 16 2" xfId="14170"/>
    <cellStyle name="Style 33 17" xfId="14171"/>
    <cellStyle name="Style 33 2" xfId="105"/>
    <cellStyle name="Style 33 2 2" xfId="14172"/>
    <cellStyle name="Style 33 3" xfId="14173"/>
    <cellStyle name="Style 33 3 2" xfId="14174"/>
    <cellStyle name="Style 33 4" xfId="14175"/>
    <cellStyle name="Style 33 4 2" xfId="14176"/>
    <cellStyle name="Style 33 5" xfId="14177"/>
    <cellStyle name="Style 33 5 2" xfId="14178"/>
    <cellStyle name="Style 33 6" xfId="14179"/>
    <cellStyle name="Style 33 6 2" xfId="14180"/>
    <cellStyle name="Style 33 7" xfId="14181"/>
    <cellStyle name="Style 33 7 2" xfId="14182"/>
    <cellStyle name="Style 33 8" xfId="14183"/>
    <cellStyle name="Style 33 8 2" xfId="14184"/>
    <cellStyle name="Style 33 9" xfId="14185"/>
    <cellStyle name="Style 33 9 2" xfId="14186"/>
    <cellStyle name="Style 34" xfId="106"/>
    <cellStyle name="Style 34 10" xfId="14187"/>
    <cellStyle name="Style 34 10 2" xfId="14188"/>
    <cellStyle name="Style 34 11" xfId="14189"/>
    <cellStyle name="Style 34 11 2" xfId="14190"/>
    <cellStyle name="Style 34 12" xfId="14191"/>
    <cellStyle name="Style 34 12 2" xfId="14192"/>
    <cellStyle name="Style 34 13" xfId="14193"/>
    <cellStyle name="Style 34 13 2" xfId="14194"/>
    <cellStyle name="Style 34 14" xfId="14195"/>
    <cellStyle name="Style 34 14 2" xfId="14196"/>
    <cellStyle name="Style 34 15" xfId="14197"/>
    <cellStyle name="Style 34 15 2" xfId="14198"/>
    <cellStyle name="Style 34 16" xfId="14199"/>
    <cellStyle name="Style 34 16 2" xfId="14200"/>
    <cellStyle name="Style 34 17" xfId="14201"/>
    <cellStyle name="Style 34 2" xfId="107"/>
    <cellStyle name="Style 34 2 2" xfId="14202"/>
    <cellStyle name="Style 34 3" xfId="14203"/>
    <cellStyle name="Style 34 3 2" xfId="14204"/>
    <cellStyle name="Style 34 4" xfId="14205"/>
    <cellStyle name="Style 34 4 2" xfId="14206"/>
    <cellStyle name="Style 34 5" xfId="14207"/>
    <cellStyle name="Style 34 5 2" xfId="14208"/>
    <cellStyle name="Style 34 6" xfId="14209"/>
    <cellStyle name="Style 34 6 2" xfId="14210"/>
    <cellStyle name="Style 34 7" xfId="14211"/>
    <cellStyle name="Style 34 7 2" xfId="14212"/>
    <cellStyle name="Style 34 8" xfId="14213"/>
    <cellStyle name="Style 34 8 2" xfId="14214"/>
    <cellStyle name="Style 34 9" xfId="14215"/>
    <cellStyle name="Style 34 9 2" xfId="14216"/>
    <cellStyle name="Style 35" xfId="108"/>
    <cellStyle name="Style 35 10" xfId="14217"/>
    <cellStyle name="Style 35 10 2" xfId="14218"/>
    <cellStyle name="Style 35 11" xfId="14219"/>
    <cellStyle name="Style 35 11 2" xfId="14220"/>
    <cellStyle name="Style 35 12" xfId="14221"/>
    <cellStyle name="Style 35 12 2" xfId="14222"/>
    <cellStyle name="Style 35 13" xfId="14223"/>
    <cellStyle name="Style 35 13 2" xfId="14224"/>
    <cellStyle name="Style 35 14" xfId="14225"/>
    <cellStyle name="Style 35 14 2" xfId="14226"/>
    <cellStyle name="Style 35 15" xfId="14227"/>
    <cellStyle name="Style 35 15 2" xfId="14228"/>
    <cellStyle name="Style 35 16" xfId="14229"/>
    <cellStyle name="Style 35 16 2" xfId="14230"/>
    <cellStyle name="Style 35 17" xfId="14231"/>
    <cellStyle name="Style 35 2" xfId="109"/>
    <cellStyle name="Style 35 2 2" xfId="14232"/>
    <cellStyle name="Style 35 3" xfId="14233"/>
    <cellStyle name="Style 35 3 2" xfId="14234"/>
    <cellStyle name="Style 35 4" xfId="14235"/>
    <cellStyle name="Style 35 4 2" xfId="14236"/>
    <cellStyle name="Style 35 5" xfId="14237"/>
    <cellStyle name="Style 35 5 2" xfId="14238"/>
    <cellStyle name="Style 35 6" xfId="14239"/>
    <cellStyle name="Style 35 6 2" xfId="14240"/>
    <cellStyle name="Style 35 7" xfId="14241"/>
    <cellStyle name="Style 35 7 2" xfId="14242"/>
    <cellStyle name="Style 35 8" xfId="14243"/>
    <cellStyle name="Style 35 8 2" xfId="14244"/>
    <cellStyle name="Style 35 9" xfId="14245"/>
    <cellStyle name="Style 35 9 2" xfId="14246"/>
    <cellStyle name="Style 36" xfId="110"/>
    <cellStyle name="Style 36 10" xfId="14247"/>
    <cellStyle name="Style 36 10 2" xfId="14248"/>
    <cellStyle name="Style 36 11" xfId="14249"/>
    <cellStyle name="Style 36 11 2" xfId="14250"/>
    <cellStyle name="Style 36 12" xfId="14251"/>
    <cellStyle name="Style 36 12 2" xfId="14252"/>
    <cellStyle name="Style 36 13" xfId="14253"/>
    <cellStyle name="Style 36 13 2" xfId="14254"/>
    <cellStyle name="Style 36 14" xfId="14255"/>
    <cellStyle name="Style 36 14 2" xfId="14256"/>
    <cellStyle name="Style 36 15" xfId="14257"/>
    <cellStyle name="Style 36 15 2" xfId="14258"/>
    <cellStyle name="Style 36 16" xfId="14259"/>
    <cellStyle name="Style 36 16 2" xfId="14260"/>
    <cellStyle name="Style 36 17" xfId="14261"/>
    <cellStyle name="Style 36 2" xfId="111"/>
    <cellStyle name="Style 36 2 2" xfId="14262"/>
    <cellStyle name="Style 36 3" xfId="14263"/>
    <cellStyle name="Style 36 3 2" xfId="14264"/>
    <cellStyle name="Style 36 4" xfId="14265"/>
    <cellStyle name="Style 36 4 2" xfId="14266"/>
    <cellStyle name="Style 36 5" xfId="14267"/>
    <cellStyle name="Style 36 5 2" xfId="14268"/>
    <cellStyle name="Style 36 6" xfId="14269"/>
    <cellStyle name="Style 36 6 2" xfId="14270"/>
    <cellStyle name="Style 36 7" xfId="14271"/>
    <cellStyle name="Style 36 7 2" xfId="14272"/>
    <cellStyle name="Style 36 8" xfId="14273"/>
    <cellStyle name="Style 36 8 2" xfId="14274"/>
    <cellStyle name="Style 36 9" xfId="14275"/>
    <cellStyle name="Style 36 9 2" xfId="14276"/>
    <cellStyle name="Style 39" xfId="112"/>
    <cellStyle name="Style 39 10" xfId="14277"/>
    <cellStyle name="Style 39 10 2" xfId="14278"/>
    <cellStyle name="Style 39 10 3" xfId="14279"/>
    <cellStyle name="Style 39 10 3 2" xfId="21792"/>
    <cellStyle name="Style 39 10 3 2 2" xfId="33341"/>
    <cellStyle name="Style 39 10 4" xfId="21793"/>
    <cellStyle name="Style 39 10 4 2" xfId="33342"/>
    <cellStyle name="Style 39 11" xfId="14280"/>
    <cellStyle name="Style 39 11 2" xfId="14281"/>
    <cellStyle name="Style 39 11 3" xfId="14282"/>
    <cellStyle name="Style 39 11 3 2" xfId="21794"/>
    <cellStyle name="Style 39 11 3 2 2" xfId="33343"/>
    <cellStyle name="Style 39 11 4" xfId="21795"/>
    <cellStyle name="Style 39 11 4 2" xfId="33344"/>
    <cellStyle name="Style 39 12" xfId="14283"/>
    <cellStyle name="Style 39 12 2" xfId="14284"/>
    <cellStyle name="Style 39 12 3" xfId="14285"/>
    <cellStyle name="Style 39 12 3 2" xfId="21796"/>
    <cellStyle name="Style 39 12 3 2 2" xfId="33345"/>
    <cellStyle name="Style 39 12 4" xfId="21797"/>
    <cellStyle name="Style 39 12 4 2" xfId="33346"/>
    <cellStyle name="Style 39 13" xfId="14286"/>
    <cellStyle name="Style 39 13 2" xfId="14287"/>
    <cellStyle name="Style 39 13 3" xfId="14288"/>
    <cellStyle name="Style 39 13 3 2" xfId="21798"/>
    <cellStyle name="Style 39 13 3 2 2" xfId="33347"/>
    <cellStyle name="Style 39 13 4" xfId="21799"/>
    <cellStyle name="Style 39 13 4 2" xfId="33348"/>
    <cellStyle name="Style 39 14" xfId="14289"/>
    <cellStyle name="Style 39 14 2" xfId="14290"/>
    <cellStyle name="Style 39 14 3" xfId="14291"/>
    <cellStyle name="Style 39 14 3 2" xfId="21800"/>
    <cellStyle name="Style 39 14 3 2 2" xfId="33349"/>
    <cellStyle name="Style 39 14 4" xfId="21801"/>
    <cellStyle name="Style 39 14 4 2" xfId="33350"/>
    <cellStyle name="Style 39 15" xfId="14292"/>
    <cellStyle name="Style 39 15 2" xfId="14293"/>
    <cellStyle name="Style 39 15 3" xfId="14294"/>
    <cellStyle name="Style 39 15 3 2" xfId="21802"/>
    <cellStyle name="Style 39 15 3 2 2" xfId="33351"/>
    <cellStyle name="Style 39 15 4" xfId="21803"/>
    <cellStyle name="Style 39 15 4 2" xfId="33352"/>
    <cellStyle name="Style 39 16" xfId="14295"/>
    <cellStyle name="Style 39 16 2" xfId="14296"/>
    <cellStyle name="Style 39 16 3" xfId="14297"/>
    <cellStyle name="Style 39 16 3 2" xfId="21804"/>
    <cellStyle name="Style 39 16 3 2 2" xfId="33353"/>
    <cellStyle name="Style 39 16 4" xfId="21805"/>
    <cellStyle name="Style 39 16 4 2" xfId="33354"/>
    <cellStyle name="Style 39 17" xfId="14298"/>
    <cellStyle name="Style 39 18" xfId="14299"/>
    <cellStyle name="Style 39 18 2" xfId="21806"/>
    <cellStyle name="Style 39 18 2 2" xfId="33355"/>
    <cellStyle name="Style 39 19" xfId="14300"/>
    <cellStyle name="Style 39 19 2" xfId="33356"/>
    <cellStyle name="Style 39 2" xfId="113"/>
    <cellStyle name="Style 39 2 2" xfId="14301"/>
    <cellStyle name="Style 39 2 2 2" xfId="14302"/>
    <cellStyle name="Style 39 2 2 2 2" xfId="21807"/>
    <cellStyle name="Style 39 2 2 2 2 2" xfId="33357"/>
    <cellStyle name="Style 39 2 3" xfId="14303"/>
    <cellStyle name="Style 39 2 3 2" xfId="21808"/>
    <cellStyle name="Style 39 2 3 2 2" xfId="33358"/>
    <cellStyle name="Style 39 2 4" xfId="21809"/>
    <cellStyle name="Style 39 2 4 2" xfId="33359"/>
    <cellStyle name="Style 39 20" xfId="33634"/>
    <cellStyle name="Style 39 3" xfId="14304"/>
    <cellStyle name="Style 39 3 2" xfId="14305"/>
    <cellStyle name="Style 39 3 3" xfId="14306"/>
    <cellStyle name="Style 39 3 3 2" xfId="21810"/>
    <cellStyle name="Style 39 3 3 2 2" xfId="33360"/>
    <cellStyle name="Style 39 3 4" xfId="21811"/>
    <cellStyle name="Style 39 3 4 2" xfId="33361"/>
    <cellStyle name="Style 39 4" xfId="14307"/>
    <cellStyle name="Style 39 4 2" xfId="14308"/>
    <cellStyle name="Style 39 4 3" xfId="14309"/>
    <cellStyle name="Style 39 4 3 2" xfId="21812"/>
    <cellStyle name="Style 39 4 3 2 2" xfId="33362"/>
    <cellStyle name="Style 39 4 4" xfId="21813"/>
    <cellStyle name="Style 39 4 4 2" xfId="33363"/>
    <cellStyle name="Style 39 5" xfId="14310"/>
    <cellStyle name="Style 39 5 2" xfId="14311"/>
    <cellStyle name="Style 39 5 3" xfId="14312"/>
    <cellStyle name="Style 39 5 3 2" xfId="21814"/>
    <cellStyle name="Style 39 5 3 2 2" xfId="33364"/>
    <cellStyle name="Style 39 5 4" xfId="21815"/>
    <cellStyle name="Style 39 5 4 2" xfId="33365"/>
    <cellStyle name="Style 39 6" xfId="14313"/>
    <cellStyle name="Style 39 6 2" xfId="14314"/>
    <cellStyle name="Style 39 6 3" xfId="14315"/>
    <cellStyle name="Style 39 6 3 2" xfId="21816"/>
    <cellStyle name="Style 39 6 3 2 2" xfId="33366"/>
    <cellStyle name="Style 39 6 4" xfId="21817"/>
    <cellStyle name="Style 39 6 4 2" xfId="33367"/>
    <cellStyle name="Style 39 7" xfId="14316"/>
    <cellStyle name="Style 39 7 2" xfId="14317"/>
    <cellStyle name="Style 39 7 3" xfId="14318"/>
    <cellStyle name="Style 39 7 3 2" xfId="21818"/>
    <cellStyle name="Style 39 7 3 2 2" xfId="33368"/>
    <cellStyle name="Style 39 7 4" xfId="21819"/>
    <cellStyle name="Style 39 7 4 2" xfId="33369"/>
    <cellStyle name="Style 39 8" xfId="14319"/>
    <cellStyle name="Style 39 8 2" xfId="14320"/>
    <cellStyle name="Style 39 8 3" xfId="14321"/>
    <cellStyle name="Style 39 8 3 2" xfId="21820"/>
    <cellStyle name="Style 39 8 3 2 2" xfId="33370"/>
    <cellStyle name="Style 39 8 4" xfId="21821"/>
    <cellStyle name="Style 39 8 4 2" xfId="33371"/>
    <cellStyle name="Style 39 9" xfId="14322"/>
    <cellStyle name="Style 39 9 2" xfId="14323"/>
    <cellStyle name="Style 39 9 3" xfId="14324"/>
    <cellStyle name="Style 39 9 3 2" xfId="21822"/>
    <cellStyle name="Style 39 9 3 2 2" xfId="33372"/>
    <cellStyle name="Style 39 9 4" xfId="21823"/>
    <cellStyle name="Style 39 9 4 2" xfId="33373"/>
    <cellStyle name="Style 740" xfId="14325"/>
    <cellStyle name="style1375471382137" xfId="14326"/>
    <cellStyle name="style1375471382137 2" xfId="21824"/>
    <cellStyle name="style1375471382137 2 2" xfId="21825"/>
    <cellStyle name="style1375471382137 2 2 2" xfId="33374"/>
    <cellStyle name="style1375471382137 2 3" xfId="33375"/>
    <cellStyle name="style1375471382137 3" xfId="21826"/>
    <cellStyle name="style1375471382137 3 2" xfId="33376"/>
    <cellStyle name="style1375471382137 4" xfId="33377"/>
    <cellStyle name="style1375471382227" xfId="14327"/>
    <cellStyle name="style1375471382227 2" xfId="21827"/>
    <cellStyle name="style1375471382227 2 2" xfId="21828"/>
    <cellStyle name="style1375471382227 2 2 2" xfId="33378"/>
    <cellStyle name="style1375471382227 2 3" xfId="33379"/>
    <cellStyle name="style1375471382227 3" xfId="21829"/>
    <cellStyle name="style1375471382227 3 2" xfId="33380"/>
    <cellStyle name="style1375471382227 4" xfId="33381"/>
    <cellStyle name="style1375471382301" xfId="14328"/>
    <cellStyle name="style1375471382301 2" xfId="21830"/>
    <cellStyle name="style1375471382301 2 2" xfId="21831"/>
    <cellStyle name="style1375471382301 2 2 2" xfId="33382"/>
    <cellStyle name="style1375471382301 2 3" xfId="33383"/>
    <cellStyle name="style1375471382301 3" xfId="21832"/>
    <cellStyle name="style1375471382301 3 2" xfId="33384"/>
    <cellStyle name="style1375471382301 4" xfId="33385"/>
    <cellStyle name="style1375471382349" xfId="14329"/>
    <cellStyle name="style1375471382349 2" xfId="21833"/>
    <cellStyle name="style1375471382349 2 2" xfId="21834"/>
    <cellStyle name="style1375471382349 2 2 2" xfId="33386"/>
    <cellStyle name="style1375471382349 2 3" xfId="33387"/>
    <cellStyle name="style1375471382349 3" xfId="21835"/>
    <cellStyle name="style1375471382349 3 2" xfId="33388"/>
    <cellStyle name="style1375471382349 4" xfId="33389"/>
    <cellStyle name="style1375471382403" xfId="14330"/>
    <cellStyle name="style1375471382403 2" xfId="21836"/>
    <cellStyle name="style1375471382403 2 2" xfId="21837"/>
    <cellStyle name="style1375471382403 2 2 2" xfId="33390"/>
    <cellStyle name="style1375471382403 2 3" xfId="33391"/>
    <cellStyle name="style1375471382403 3" xfId="21838"/>
    <cellStyle name="style1375471382403 3 2" xfId="33392"/>
    <cellStyle name="style1375471382403 4" xfId="33393"/>
    <cellStyle name="style1375471382455" xfId="14331"/>
    <cellStyle name="style1375471382455 2" xfId="21839"/>
    <cellStyle name="style1375471382455 2 2" xfId="21840"/>
    <cellStyle name="style1375471382455 2 2 2" xfId="33394"/>
    <cellStyle name="style1375471382455 2 3" xfId="33395"/>
    <cellStyle name="style1375471382455 3" xfId="21841"/>
    <cellStyle name="style1375471382455 3 2" xfId="33396"/>
    <cellStyle name="style1375471382455 4" xfId="33397"/>
    <cellStyle name="style1375471382513" xfId="14332"/>
    <cellStyle name="style1375471382513 2" xfId="21842"/>
    <cellStyle name="style1375471382513 2 2" xfId="21843"/>
    <cellStyle name="style1375471382513 2 2 2" xfId="33398"/>
    <cellStyle name="style1375471382513 2 3" xfId="33399"/>
    <cellStyle name="style1375471382513 3" xfId="21844"/>
    <cellStyle name="style1375471382513 3 2" xfId="33400"/>
    <cellStyle name="style1375471382513 4" xfId="33401"/>
    <cellStyle name="style1375471382595" xfId="14333"/>
    <cellStyle name="style1375471382595 2" xfId="21845"/>
    <cellStyle name="style1375471382595 2 2" xfId="21846"/>
    <cellStyle name="style1375471382595 2 2 2" xfId="33402"/>
    <cellStyle name="style1375471382595 2 3" xfId="33403"/>
    <cellStyle name="style1375471382595 3" xfId="21847"/>
    <cellStyle name="style1375471382595 3 2" xfId="33404"/>
    <cellStyle name="style1375471382595 4" xfId="33405"/>
    <cellStyle name="style1375471382647" xfId="14334"/>
    <cellStyle name="style1375471382647 2" xfId="21848"/>
    <cellStyle name="style1375471382647 2 2" xfId="21849"/>
    <cellStyle name="style1375471382647 2 2 2" xfId="33406"/>
    <cellStyle name="style1375471382647 2 3" xfId="33407"/>
    <cellStyle name="style1375471382647 3" xfId="21850"/>
    <cellStyle name="style1375471382647 3 2" xfId="33408"/>
    <cellStyle name="style1375471382647 4" xfId="33409"/>
    <cellStyle name="style1375471382696" xfId="14335"/>
    <cellStyle name="style1375471382696 2" xfId="21851"/>
    <cellStyle name="style1375471382696 2 2" xfId="21852"/>
    <cellStyle name="style1375471382696 2 2 2" xfId="33410"/>
    <cellStyle name="style1375471382696 2 3" xfId="33411"/>
    <cellStyle name="style1375471382696 3" xfId="21853"/>
    <cellStyle name="style1375471382696 3 2" xfId="33412"/>
    <cellStyle name="style1375471382696 4" xfId="33413"/>
    <cellStyle name="style1375471382748" xfId="14336"/>
    <cellStyle name="style1375471382748 2" xfId="21854"/>
    <cellStyle name="style1375471382748 2 2" xfId="21855"/>
    <cellStyle name="style1375471382748 2 2 2" xfId="33414"/>
    <cellStyle name="style1375471382748 2 3" xfId="33415"/>
    <cellStyle name="style1375471382748 3" xfId="21856"/>
    <cellStyle name="style1375471382748 3 2" xfId="33416"/>
    <cellStyle name="style1375471382748 4" xfId="33417"/>
    <cellStyle name="style1375471382806" xfId="14337"/>
    <cellStyle name="style1375471382806 2" xfId="21857"/>
    <cellStyle name="style1375471382806 2 2" xfId="21858"/>
    <cellStyle name="style1375471382806 2 2 2" xfId="33418"/>
    <cellStyle name="style1375471382806 2 3" xfId="33419"/>
    <cellStyle name="style1375471382806 3" xfId="21859"/>
    <cellStyle name="style1375471382806 3 2" xfId="33420"/>
    <cellStyle name="style1375471382806 4" xfId="33421"/>
    <cellStyle name="style1375471382860" xfId="14338"/>
    <cellStyle name="style1375471382860 2" xfId="21860"/>
    <cellStyle name="style1375471382860 2 2" xfId="21861"/>
    <cellStyle name="style1375471382860 2 2 2" xfId="33422"/>
    <cellStyle name="style1375471382860 2 3" xfId="33423"/>
    <cellStyle name="style1375471382860 3" xfId="21862"/>
    <cellStyle name="style1375471382860 3 2" xfId="33424"/>
    <cellStyle name="style1375471382860 4" xfId="33425"/>
    <cellStyle name="style1375471382916" xfId="14339"/>
    <cellStyle name="style1375471382916 2" xfId="21863"/>
    <cellStyle name="style1375471382916 2 2" xfId="21864"/>
    <cellStyle name="style1375471382916 2 2 2" xfId="33426"/>
    <cellStyle name="style1375471382916 2 3" xfId="33427"/>
    <cellStyle name="style1375471382916 3" xfId="21865"/>
    <cellStyle name="style1375471382916 3 2" xfId="33428"/>
    <cellStyle name="style1375471382916 4" xfId="33429"/>
    <cellStyle name="style1375471382982" xfId="14340"/>
    <cellStyle name="style1375471382982 2" xfId="21866"/>
    <cellStyle name="style1375471382982 2 2" xfId="21867"/>
    <cellStyle name="style1375471382982 2 2 2" xfId="33430"/>
    <cellStyle name="style1375471382982 2 3" xfId="33431"/>
    <cellStyle name="style1375471382982 3" xfId="21868"/>
    <cellStyle name="style1375471382982 3 2" xfId="33432"/>
    <cellStyle name="style1375471382982 4" xfId="33433"/>
    <cellStyle name="style1375471383033" xfId="14341"/>
    <cellStyle name="style1375471383033 2" xfId="21869"/>
    <cellStyle name="style1375471383033 2 2" xfId="21870"/>
    <cellStyle name="style1375471383033 2 2 2" xfId="33434"/>
    <cellStyle name="style1375471383033 2 3" xfId="33435"/>
    <cellStyle name="style1375471383033 3" xfId="21871"/>
    <cellStyle name="style1375471383033 3 2" xfId="33436"/>
    <cellStyle name="style1375471383033 4" xfId="33437"/>
    <cellStyle name="style1375471383081" xfId="14342"/>
    <cellStyle name="style1375471383081 2" xfId="21872"/>
    <cellStyle name="style1375471383081 2 2" xfId="21873"/>
    <cellStyle name="style1375471383081 2 2 2" xfId="33438"/>
    <cellStyle name="style1375471383081 2 3" xfId="33439"/>
    <cellStyle name="style1375471383081 3" xfId="21874"/>
    <cellStyle name="style1375471383081 3 2" xfId="33440"/>
    <cellStyle name="style1375471383081 4" xfId="33441"/>
    <cellStyle name="style1375471383133" xfId="14343"/>
    <cellStyle name="style1375471383133 2" xfId="21875"/>
    <cellStyle name="style1375471383133 2 2" xfId="21876"/>
    <cellStyle name="style1375471383133 2 2 2" xfId="33442"/>
    <cellStyle name="style1375471383133 2 3" xfId="33443"/>
    <cellStyle name="style1375471383133 3" xfId="21877"/>
    <cellStyle name="style1375471383133 3 2" xfId="33444"/>
    <cellStyle name="style1375471383133 4" xfId="33445"/>
    <cellStyle name="style1375471383185" xfId="14344"/>
    <cellStyle name="style1375471383185 2" xfId="21878"/>
    <cellStyle name="style1375471383185 2 2" xfId="21879"/>
    <cellStyle name="style1375471383185 2 2 2" xfId="33446"/>
    <cellStyle name="style1375471383185 2 3" xfId="33447"/>
    <cellStyle name="style1375471383185 3" xfId="21880"/>
    <cellStyle name="style1375471383185 3 2" xfId="33448"/>
    <cellStyle name="style1375471383185 4" xfId="33449"/>
    <cellStyle name="style1375471383258" xfId="14345"/>
    <cellStyle name="style1375471383258 2" xfId="21881"/>
    <cellStyle name="style1375471383258 2 2" xfId="21882"/>
    <cellStyle name="style1375471383258 2 2 2" xfId="33450"/>
    <cellStyle name="style1375471383258 2 3" xfId="33451"/>
    <cellStyle name="style1375471383258 3" xfId="21883"/>
    <cellStyle name="style1375471383258 3 2" xfId="33452"/>
    <cellStyle name="style1375471383258 4" xfId="33453"/>
    <cellStyle name="style1375471383297" xfId="14346"/>
    <cellStyle name="style1375471383297 2" xfId="21884"/>
    <cellStyle name="style1375471383297 2 2" xfId="21885"/>
    <cellStyle name="style1375471383297 2 2 2" xfId="33454"/>
    <cellStyle name="style1375471383297 2 3" xfId="33455"/>
    <cellStyle name="style1375471383297 3" xfId="21886"/>
    <cellStyle name="style1375471383297 3 2" xfId="33456"/>
    <cellStyle name="style1375471383297 4" xfId="33457"/>
    <cellStyle name="style1375471383343" xfId="14347"/>
    <cellStyle name="style1375471383343 2" xfId="21887"/>
    <cellStyle name="style1375471383343 2 2" xfId="21888"/>
    <cellStyle name="style1375471383343 2 2 2" xfId="33458"/>
    <cellStyle name="style1375471383343 2 3" xfId="33459"/>
    <cellStyle name="style1375471383343 3" xfId="21889"/>
    <cellStyle name="style1375471383343 3 2" xfId="33460"/>
    <cellStyle name="style1375471383343 4" xfId="33461"/>
    <cellStyle name="style1375471383398" xfId="14348"/>
    <cellStyle name="style1375471383398 2" xfId="21890"/>
    <cellStyle name="style1375471383398 2 2" xfId="21891"/>
    <cellStyle name="style1375471383398 2 2 2" xfId="33462"/>
    <cellStyle name="style1375471383398 2 3" xfId="33463"/>
    <cellStyle name="style1375471383398 3" xfId="21892"/>
    <cellStyle name="style1375471383398 3 2" xfId="33464"/>
    <cellStyle name="style1375471383398 4" xfId="33465"/>
    <cellStyle name="style1375471383459" xfId="14349"/>
    <cellStyle name="style1375471383459 2" xfId="21893"/>
    <cellStyle name="style1375471383459 2 2" xfId="21894"/>
    <cellStyle name="style1375471383459 2 2 2" xfId="33466"/>
    <cellStyle name="style1375471383459 2 3" xfId="33467"/>
    <cellStyle name="style1375471383459 3" xfId="21895"/>
    <cellStyle name="style1375471383459 3 2" xfId="33468"/>
    <cellStyle name="style1375471383459 4" xfId="33469"/>
    <cellStyle name="style1375471383517" xfId="14350"/>
    <cellStyle name="style1375471383517 2" xfId="21896"/>
    <cellStyle name="style1375471383517 2 2" xfId="21897"/>
    <cellStyle name="style1375471383517 2 2 2" xfId="33470"/>
    <cellStyle name="style1375471383517 2 3" xfId="33471"/>
    <cellStyle name="style1375471383517 3" xfId="21898"/>
    <cellStyle name="style1375471383517 3 2" xfId="33472"/>
    <cellStyle name="style1375471383517 4" xfId="33473"/>
    <cellStyle name="style1375471383575" xfId="14351"/>
    <cellStyle name="style1375471383575 2" xfId="21899"/>
    <cellStyle name="style1375471383575 2 2" xfId="21900"/>
    <cellStyle name="style1375471383575 2 2 2" xfId="33474"/>
    <cellStyle name="style1375471383575 2 3" xfId="33475"/>
    <cellStyle name="style1375471383575 3" xfId="21901"/>
    <cellStyle name="style1375471383575 3 2" xfId="33476"/>
    <cellStyle name="style1375471383575 4" xfId="33477"/>
    <cellStyle name="style1375471383618" xfId="14352"/>
    <cellStyle name="style1375471383618 2" xfId="21902"/>
    <cellStyle name="style1375471383618 2 2" xfId="21903"/>
    <cellStyle name="style1375471383618 2 2 2" xfId="33478"/>
    <cellStyle name="style1375471383618 2 3" xfId="33479"/>
    <cellStyle name="style1375471383618 3" xfId="21904"/>
    <cellStyle name="style1375471383618 3 2" xfId="33480"/>
    <cellStyle name="style1375471383618 4" xfId="33481"/>
    <cellStyle name="style1375471383660" xfId="14353"/>
    <cellStyle name="style1375471383660 2" xfId="21905"/>
    <cellStyle name="style1375471383660 2 2" xfId="21906"/>
    <cellStyle name="style1375471383660 2 2 2" xfId="33482"/>
    <cellStyle name="style1375471383660 2 3" xfId="33483"/>
    <cellStyle name="style1375471383660 3" xfId="21907"/>
    <cellStyle name="style1375471383660 3 2" xfId="33484"/>
    <cellStyle name="style1375471383660 4" xfId="33485"/>
    <cellStyle name="style1375471383723" xfId="14354"/>
    <cellStyle name="style1375471383723 2" xfId="21908"/>
    <cellStyle name="style1375471383723 2 2" xfId="21909"/>
    <cellStyle name="style1375471383723 2 2 2" xfId="33486"/>
    <cellStyle name="style1375471383723 2 3" xfId="33487"/>
    <cellStyle name="style1375471383723 3" xfId="21910"/>
    <cellStyle name="style1375471383723 3 2" xfId="33488"/>
    <cellStyle name="style1375471383723 4" xfId="33489"/>
    <cellStyle name="style1375471383766" xfId="14355"/>
    <cellStyle name="style1375471383766 2" xfId="21911"/>
    <cellStyle name="style1375471383766 2 2" xfId="21912"/>
    <cellStyle name="style1375471383766 2 2 2" xfId="33490"/>
    <cellStyle name="style1375471383766 2 3" xfId="33491"/>
    <cellStyle name="style1375471383766 3" xfId="21913"/>
    <cellStyle name="style1375471383766 3 2" xfId="33492"/>
    <cellStyle name="style1375471383766 4" xfId="33493"/>
    <cellStyle name="style1375471383810" xfId="14356"/>
    <cellStyle name="style1375471383810 2" xfId="21914"/>
    <cellStyle name="style1375471383810 2 2" xfId="21915"/>
    <cellStyle name="style1375471383810 2 2 2" xfId="33494"/>
    <cellStyle name="style1375471383810 2 3" xfId="33495"/>
    <cellStyle name="style1375471383810 3" xfId="21916"/>
    <cellStyle name="style1375471383810 3 2" xfId="33496"/>
    <cellStyle name="style1375471383810 4" xfId="33497"/>
    <cellStyle name="style1375471383861" xfId="14357"/>
    <cellStyle name="style1375471383861 2" xfId="21917"/>
    <cellStyle name="style1375471383861 2 2" xfId="21918"/>
    <cellStyle name="style1375471383861 2 2 2" xfId="33498"/>
    <cellStyle name="style1375471383861 2 3" xfId="33499"/>
    <cellStyle name="style1375471383861 3" xfId="21919"/>
    <cellStyle name="style1375471383861 3 2" xfId="33500"/>
    <cellStyle name="style1375471383861 4" xfId="33501"/>
    <cellStyle name="style1375471383922" xfId="14358"/>
    <cellStyle name="style1375471383922 2" xfId="21920"/>
    <cellStyle name="style1375471383922 2 2" xfId="21921"/>
    <cellStyle name="style1375471383922 2 2 2" xfId="33502"/>
    <cellStyle name="style1375471383922 2 3" xfId="33503"/>
    <cellStyle name="style1375471383922 3" xfId="21922"/>
    <cellStyle name="style1375471383922 3 2" xfId="33504"/>
    <cellStyle name="style1375471383922 4" xfId="33505"/>
    <cellStyle name="style1375471383971" xfId="14359"/>
    <cellStyle name="style1375471383971 2" xfId="21923"/>
    <cellStyle name="style1375471383971 2 2" xfId="21924"/>
    <cellStyle name="style1375471383971 2 2 2" xfId="33506"/>
    <cellStyle name="style1375471383971 2 3" xfId="33507"/>
    <cellStyle name="style1375471383971 3" xfId="21925"/>
    <cellStyle name="style1375471383971 3 2" xfId="33508"/>
    <cellStyle name="style1375471383971 4" xfId="33509"/>
    <cellStyle name="style1375471384029" xfId="14360"/>
    <cellStyle name="style1375471384029 2" xfId="21926"/>
    <cellStyle name="style1375471384029 2 2" xfId="21927"/>
    <cellStyle name="style1375471384029 2 2 2" xfId="33510"/>
    <cellStyle name="style1375471384029 2 3" xfId="33511"/>
    <cellStyle name="style1375471384029 3" xfId="21928"/>
    <cellStyle name="style1375471384029 3 2" xfId="33512"/>
    <cellStyle name="style1375471384029 4" xfId="33513"/>
    <cellStyle name="style1375471384082" xfId="14361"/>
    <cellStyle name="style1375471384082 2" xfId="21929"/>
    <cellStyle name="style1375471384082 2 2" xfId="21930"/>
    <cellStyle name="style1375471384082 2 2 2" xfId="33514"/>
    <cellStyle name="style1375471384082 2 3" xfId="33515"/>
    <cellStyle name="style1375471384082 3" xfId="21931"/>
    <cellStyle name="style1375471384082 3 2" xfId="33516"/>
    <cellStyle name="style1375471384082 4" xfId="33517"/>
    <cellStyle name="style1375471384126" xfId="14362"/>
    <cellStyle name="style1375471384126 2" xfId="21932"/>
    <cellStyle name="style1375471384126 2 2" xfId="21933"/>
    <cellStyle name="style1375471384126 2 2 2" xfId="33518"/>
    <cellStyle name="style1375471384126 2 3" xfId="33519"/>
    <cellStyle name="style1375471384126 3" xfId="21934"/>
    <cellStyle name="style1375471384126 3 2" xfId="33520"/>
    <cellStyle name="style1375471384126 4" xfId="33521"/>
    <cellStyle name="style1375471384177" xfId="14363"/>
    <cellStyle name="style1375471384177 2" xfId="21935"/>
    <cellStyle name="style1375471384177 2 2" xfId="21936"/>
    <cellStyle name="style1375471384177 2 2 2" xfId="33522"/>
    <cellStyle name="style1375471384177 2 3" xfId="33523"/>
    <cellStyle name="style1375471384177 3" xfId="21937"/>
    <cellStyle name="style1375471384177 3 2" xfId="33524"/>
    <cellStyle name="style1375471384177 4" xfId="33525"/>
    <cellStyle name="style1375471384226" xfId="14364"/>
    <cellStyle name="style1375471384226 2" xfId="21938"/>
    <cellStyle name="style1375471384226 2 2" xfId="21939"/>
    <cellStyle name="style1375471384226 2 2 2" xfId="33526"/>
    <cellStyle name="style1375471384226 2 3" xfId="33527"/>
    <cellStyle name="style1375471384226 3" xfId="21940"/>
    <cellStyle name="style1375471384226 3 2" xfId="33528"/>
    <cellStyle name="style1375471384226 4" xfId="33529"/>
    <cellStyle name="style1375471384266" xfId="14365"/>
    <cellStyle name="style1375471384266 2" xfId="21941"/>
    <cellStyle name="style1375471384266 2 2" xfId="21942"/>
    <cellStyle name="style1375471384266 2 2 2" xfId="33530"/>
    <cellStyle name="style1375471384266 2 3" xfId="33531"/>
    <cellStyle name="style1375471384266 3" xfId="21943"/>
    <cellStyle name="style1375471384266 3 2" xfId="33532"/>
    <cellStyle name="style1375471384266 4" xfId="33533"/>
    <cellStyle name="style1375471384311" xfId="14366"/>
    <cellStyle name="style1375471384311 2" xfId="21944"/>
    <cellStyle name="style1375471384311 2 2" xfId="21945"/>
    <cellStyle name="style1375471384311 2 2 2" xfId="33534"/>
    <cellStyle name="style1375471384311 2 3" xfId="33535"/>
    <cellStyle name="style1375471384311 3" xfId="21946"/>
    <cellStyle name="style1375471384311 3 2" xfId="33536"/>
    <cellStyle name="style1375471384311 4" xfId="33537"/>
    <cellStyle name="style1375471384363" xfId="14367"/>
    <cellStyle name="style1375471384363 2" xfId="21947"/>
    <cellStyle name="style1375471384363 2 2" xfId="21948"/>
    <cellStyle name="style1375471384363 2 2 2" xfId="33538"/>
    <cellStyle name="style1375471384363 2 3" xfId="33539"/>
    <cellStyle name="style1375471384363 3" xfId="21949"/>
    <cellStyle name="style1375471384363 3 2" xfId="33540"/>
    <cellStyle name="style1375471384363 4" xfId="33541"/>
    <cellStyle name="style1375471384409" xfId="14368"/>
    <cellStyle name="style1375471384409 2" xfId="21950"/>
    <cellStyle name="style1375471384409 2 2" xfId="21951"/>
    <cellStyle name="style1375471384409 2 2 2" xfId="33542"/>
    <cellStyle name="style1375471384409 2 3" xfId="33543"/>
    <cellStyle name="style1375471384409 3" xfId="21952"/>
    <cellStyle name="style1375471384409 3 2" xfId="33544"/>
    <cellStyle name="style1375471384409 4" xfId="33545"/>
    <cellStyle name="style1375471384453" xfId="14369"/>
    <cellStyle name="style1375471384453 2" xfId="21953"/>
    <cellStyle name="style1375471384453 2 2" xfId="21954"/>
    <cellStyle name="style1375471384453 2 2 2" xfId="33546"/>
    <cellStyle name="style1375471384453 2 3" xfId="33547"/>
    <cellStyle name="style1375471384453 3" xfId="21955"/>
    <cellStyle name="style1375471384453 3 2" xfId="33548"/>
    <cellStyle name="style1375471384453 4" xfId="33549"/>
    <cellStyle name="style1375471384536" xfId="14370"/>
    <cellStyle name="style1375471384536 2" xfId="21956"/>
    <cellStyle name="style1375471384536 2 2" xfId="21957"/>
    <cellStyle name="style1375471384536 2 2 2" xfId="33550"/>
    <cellStyle name="style1375471384536 2 3" xfId="33551"/>
    <cellStyle name="style1375471384536 3" xfId="21958"/>
    <cellStyle name="style1375471384536 3 2" xfId="33552"/>
    <cellStyle name="style1375471384536 4" xfId="33553"/>
    <cellStyle name="style1375471384591" xfId="14371"/>
    <cellStyle name="style1375471384591 2" xfId="21959"/>
    <cellStyle name="style1375471384591 2 2" xfId="21960"/>
    <cellStyle name="style1375471384591 2 2 2" xfId="33554"/>
    <cellStyle name="style1375471384591 2 3" xfId="33555"/>
    <cellStyle name="style1375471384591 3" xfId="21961"/>
    <cellStyle name="style1375471384591 3 2" xfId="33556"/>
    <cellStyle name="style1375471384591 4" xfId="33557"/>
    <cellStyle name="style1375471384633" xfId="14372"/>
    <cellStyle name="style1375471384633 2" xfId="21962"/>
    <cellStyle name="style1375471384633 2 2" xfId="21963"/>
    <cellStyle name="style1375471384633 2 2 2" xfId="33558"/>
    <cellStyle name="style1375471384633 2 3" xfId="33559"/>
    <cellStyle name="style1375471384633 3" xfId="21964"/>
    <cellStyle name="style1375471384633 3 2" xfId="33560"/>
    <cellStyle name="style1375471384633 4" xfId="33561"/>
    <cellStyle name="style1375471384677" xfId="14373"/>
    <cellStyle name="style1375471384677 2" xfId="21965"/>
    <cellStyle name="style1375471384677 2 2" xfId="21966"/>
    <cellStyle name="style1375471384677 2 2 2" xfId="33562"/>
    <cellStyle name="style1375471384677 2 3" xfId="33563"/>
    <cellStyle name="style1375471384677 3" xfId="21967"/>
    <cellStyle name="style1375471384677 3 2" xfId="33564"/>
    <cellStyle name="style1375471384677 4" xfId="33565"/>
    <cellStyle name="style1375471384719" xfId="14374"/>
    <cellStyle name="style1375471384719 2" xfId="21968"/>
    <cellStyle name="style1375471384719 2 2" xfId="21969"/>
    <cellStyle name="style1375471384719 2 2 2" xfId="33566"/>
    <cellStyle name="style1375471384719 2 3" xfId="33567"/>
    <cellStyle name="style1375471384719 3" xfId="21970"/>
    <cellStyle name="style1375471384719 3 2" xfId="33568"/>
    <cellStyle name="style1375471384719 4" xfId="33569"/>
    <cellStyle name="style1375471384760" xfId="14375"/>
    <cellStyle name="style1375471384760 2" xfId="21971"/>
    <cellStyle name="style1375471384760 2 2" xfId="21972"/>
    <cellStyle name="style1375471384760 2 2 2" xfId="33570"/>
    <cellStyle name="style1375471384760 2 3" xfId="33571"/>
    <cellStyle name="style1375471384760 3" xfId="21973"/>
    <cellStyle name="style1375471384760 3 2" xfId="33572"/>
    <cellStyle name="style1375471384760 4" xfId="33573"/>
    <cellStyle name="style1375471384798" xfId="14376"/>
    <cellStyle name="style1375471384798 2" xfId="21974"/>
    <cellStyle name="style1375471384798 2 2" xfId="21975"/>
    <cellStyle name="style1375471384798 2 2 2" xfId="33574"/>
    <cellStyle name="style1375471384798 2 3" xfId="33575"/>
    <cellStyle name="style1375471384798 3" xfId="21976"/>
    <cellStyle name="style1375471384798 3 2" xfId="33576"/>
    <cellStyle name="style1375471384798 4" xfId="33577"/>
    <cellStyle name="style1375471384845" xfId="14377"/>
    <cellStyle name="style1375471384845 2" xfId="21977"/>
    <cellStyle name="style1375471384845 2 2" xfId="21978"/>
    <cellStyle name="style1375471384845 2 2 2" xfId="33578"/>
    <cellStyle name="style1375471384845 2 3" xfId="33579"/>
    <cellStyle name="style1375471384845 3" xfId="21979"/>
    <cellStyle name="style1375471384845 3 2" xfId="33580"/>
    <cellStyle name="style1375471384845 4" xfId="33581"/>
    <cellStyle name="style1375471384884" xfId="14378"/>
    <cellStyle name="style1375471384884 2" xfId="21980"/>
    <cellStyle name="style1375471384884 2 2" xfId="21981"/>
    <cellStyle name="style1375471384884 2 2 2" xfId="33582"/>
    <cellStyle name="style1375471384884 2 3" xfId="33583"/>
    <cellStyle name="style1375471384884 3" xfId="21982"/>
    <cellStyle name="style1375471384884 3 2" xfId="33584"/>
    <cellStyle name="style1375471384884 4" xfId="33585"/>
    <cellStyle name="style1375471384922" xfId="14379"/>
    <cellStyle name="style1375471384922 2" xfId="21983"/>
    <cellStyle name="style1375471384922 2 2" xfId="21984"/>
    <cellStyle name="style1375471384922 2 2 2" xfId="33586"/>
    <cellStyle name="style1375471384922 2 3" xfId="33587"/>
    <cellStyle name="style1375471384922 3" xfId="21985"/>
    <cellStyle name="style1375471384922 3 2" xfId="33588"/>
    <cellStyle name="style1375471384922 4" xfId="33589"/>
    <cellStyle name="style1375471384954" xfId="14380"/>
    <cellStyle name="style1375471384954 2" xfId="21986"/>
    <cellStyle name="style1375471384954 2 2" xfId="21987"/>
    <cellStyle name="style1375471384954 2 2 2" xfId="33590"/>
    <cellStyle name="style1375471384954 2 3" xfId="33591"/>
    <cellStyle name="style1375471384954 3" xfId="21988"/>
    <cellStyle name="style1375471384954 3 2" xfId="33592"/>
    <cellStyle name="style1375471384954 4" xfId="33593"/>
    <cellStyle name="style1375471384984" xfId="14381"/>
    <cellStyle name="style1375471384984 2" xfId="21989"/>
    <cellStyle name="style1375471384984 2 2" xfId="21990"/>
    <cellStyle name="style1375471384984 2 2 2" xfId="33594"/>
    <cellStyle name="style1375471384984 2 3" xfId="33595"/>
    <cellStyle name="style1375471384984 3" xfId="21991"/>
    <cellStyle name="style1375471384984 3 2" xfId="33596"/>
    <cellStyle name="style1375471384984 4" xfId="33597"/>
    <cellStyle name="style1375471385029" xfId="14382"/>
    <cellStyle name="style1375471385029 2" xfId="21992"/>
    <cellStyle name="style1375471385029 2 2" xfId="21993"/>
    <cellStyle name="style1375471385029 2 2 2" xfId="33598"/>
    <cellStyle name="style1375471385029 2 3" xfId="33599"/>
    <cellStyle name="style1375471385029 3" xfId="21994"/>
    <cellStyle name="style1375471385029 3 2" xfId="33600"/>
    <cellStyle name="style1375471385029 4" xfId="33601"/>
    <cellStyle name="style1375471385071" xfId="14383"/>
    <cellStyle name="style1375471385071 2" xfId="21995"/>
    <cellStyle name="style1375471385071 2 2" xfId="21996"/>
    <cellStyle name="style1375471385071 2 2 2" xfId="33602"/>
    <cellStyle name="style1375471385071 2 3" xfId="33603"/>
    <cellStyle name="style1375471385071 3" xfId="21997"/>
    <cellStyle name="style1375471385071 3 2" xfId="33604"/>
    <cellStyle name="style1375471385071 4" xfId="33605"/>
    <cellStyle name="style1375471385111" xfId="14384"/>
    <cellStyle name="style1375471385111 2" xfId="21998"/>
    <cellStyle name="style1375471385111 2 2" xfId="21999"/>
    <cellStyle name="style1375471385111 2 2 2" xfId="33606"/>
    <cellStyle name="style1375471385111 2 3" xfId="33607"/>
    <cellStyle name="style1375471385111 3" xfId="22000"/>
    <cellStyle name="style1375471385111 3 2" xfId="33608"/>
    <cellStyle name="style1375471385111 4" xfId="33609"/>
    <cellStyle name="style1387210766019" xfId="22001"/>
    <cellStyle name="style1387210766081" xfId="22002"/>
    <cellStyle name="style1387210766114" xfId="22003"/>
    <cellStyle name="style1387210766143" xfId="22004"/>
    <cellStyle name="style1387210766175" xfId="22005"/>
    <cellStyle name="style1387210766207" xfId="22006"/>
    <cellStyle name="style1387210766241" xfId="22007"/>
    <cellStyle name="style1387210766284" xfId="22008"/>
    <cellStyle name="style1387210766316" xfId="22009"/>
    <cellStyle name="style1387210766345" xfId="22010"/>
    <cellStyle name="style1387210766374" xfId="22011"/>
    <cellStyle name="style1387210766454" xfId="22012"/>
    <cellStyle name="style1387210766480" xfId="22013"/>
    <cellStyle name="style1387210766505" xfId="22014"/>
    <cellStyle name="style1387210766534" xfId="22015"/>
    <cellStyle name="style1387210766562" xfId="22016"/>
    <cellStyle name="style1387210766591" xfId="22017"/>
    <cellStyle name="style1387210766617" xfId="22018"/>
    <cellStyle name="style1387210766644" xfId="22019"/>
    <cellStyle name="style1387210766691" xfId="22020"/>
    <cellStyle name="style1387210766713" xfId="22021"/>
    <cellStyle name="style1387210766735" xfId="22022"/>
    <cellStyle name="style1387210766758" xfId="22023"/>
    <cellStyle name="style1387210766779" xfId="22024"/>
    <cellStyle name="style1387210766806" xfId="22025"/>
    <cellStyle name="style1387210766829" xfId="22026"/>
    <cellStyle name="style1387210766854" xfId="22027"/>
    <cellStyle name="style1387210766912" xfId="22028"/>
    <cellStyle name="style1387210766938" xfId="22029"/>
    <cellStyle name="style1387210766966" xfId="22030"/>
    <cellStyle name="style1387210766994" xfId="22031"/>
    <cellStyle name="style1387210767027" xfId="22032"/>
    <cellStyle name="style1387210767053" xfId="22033"/>
    <cellStyle name="style1387210767073" xfId="22034"/>
    <cellStyle name="style1387210767098" xfId="22035"/>
    <cellStyle name="style1387210767125" xfId="22036"/>
    <cellStyle name="style1387210767157" xfId="22037"/>
    <cellStyle name="style1387210767185" xfId="22038"/>
    <cellStyle name="style1387210767204" xfId="22039"/>
    <cellStyle name="style1387210767230" xfId="22040"/>
    <cellStyle name="style1387210767265" xfId="22041"/>
    <cellStyle name="style1387210767300" xfId="22042"/>
    <cellStyle name="style1387210767326" xfId="22043"/>
    <cellStyle name="style1387210767356" xfId="22044"/>
    <cellStyle name="style1387210767377" xfId="22045"/>
    <cellStyle name="style1387210767398" xfId="22046"/>
    <cellStyle name="style1387210767420" xfId="22047"/>
    <cellStyle name="style1387210767442" xfId="22048"/>
    <cellStyle name="style1387210767470" xfId="22049"/>
    <cellStyle name="style1387210767503" xfId="22050"/>
    <cellStyle name="style1387210767533" xfId="22051"/>
    <cellStyle name="style1387210767590" xfId="22052"/>
    <cellStyle name="style1387210767616" xfId="22053"/>
    <cellStyle name="style1387210767645" xfId="22054"/>
    <cellStyle name="style1387210767665" xfId="22055"/>
    <cellStyle name="style1387210767689" xfId="22056"/>
    <cellStyle name="style1387210767709" xfId="22057"/>
    <cellStyle name="style1387210767730" xfId="22058"/>
    <cellStyle name="style1387210767753" xfId="22059"/>
    <cellStyle name="style1387210767774" xfId="22060"/>
    <cellStyle name="style1387210767792" xfId="22061"/>
    <cellStyle name="style1387210767813" xfId="22062"/>
    <cellStyle name="style1387210767832" xfId="22063"/>
    <cellStyle name="style1387210767887" xfId="22064"/>
    <cellStyle name="style1387210767928" xfId="22065"/>
    <cellStyle name="style1387210767965" xfId="22066"/>
    <cellStyle name="style1387210767984" xfId="22067"/>
    <cellStyle name="style1387210768002" xfId="22068"/>
    <cellStyle name="style1387210768023" xfId="22069"/>
    <cellStyle name="style1387210768042" xfId="22070"/>
    <cellStyle name="style1387210768061" xfId="22071"/>
    <cellStyle name="style1387210768084" xfId="22072"/>
    <cellStyle name="style1387210768102" xfId="22073"/>
    <cellStyle name="style1387210768161" xfId="22074"/>
    <cellStyle name="style1387210768191" xfId="22075"/>
    <cellStyle name="style1387210768226" xfId="22076"/>
    <cellStyle name="style1387210768253" xfId="22077"/>
    <cellStyle name="SubScript" xfId="14385"/>
    <cellStyle name="SuperScript" xfId="14386"/>
    <cellStyle name="Table  - Style5" xfId="14387"/>
    <cellStyle name="Table  - Style5 2" xfId="14388"/>
    <cellStyle name="Table  - Style6" xfId="14389"/>
    <cellStyle name="Table  - Style6 2" xfId="14390"/>
    <cellStyle name="Text B &amp; U" xfId="14391"/>
    <cellStyle name="Text B &amp; U 2" xfId="14392"/>
    <cellStyle name="Text STD 1" xfId="14393"/>
    <cellStyle name="Text STD 1 2" xfId="14394"/>
    <cellStyle name="Text STD 2" xfId="14395"/>
    <cellStyle name="Text STD 2 2" xfId="14396"/>
    <cellStyle name="Text STD 3" xfId="14397"/>
    <cellStyle name="Text STD 3 2" xfId="14398"/>
    <cellStyle name="Text Under 0" xfId="14399"/>
    <cellStyle name="Text Under 0 2" xfId="14400"/>
    <cellStyle name="Text Under 1" xfId="14401"/>
    <cellStyle name="Text Under 1 2" xfId="14402"/>
    <cellStyle name="Text Wrap" xfId="14403"/>
    <cellStyle name="Text Wrap 2" xfId="14404"/>
    <cellStyle name="TextBold" xfId="14405"/>
    <cellStyle name="TextItalic" xfId="14406"/>
    <cellStyle name="TextNormal" xfId="114"/>
    <cellStyle name="Title  - Style1" xfId="14407"/>
    <cellStyle name="Title  - Style1 2" xfId="14408"/>
    <cellStyle name="Title  - Style6" xfId="14409"/>
    <cellStyle name="Title  - Style6 2" xfId="14410"/>
    <cellStyle name="Title 2" xfId="14411"/>
    <cellStyle name="Title 2 2" xfId="14412"/>
    <cellStyle name="Title 3" xfId="14413"/>
    <cellStyle name="Title 3 2" xfId="14414"/>
    <cellStyle name="Title 4" xfId="14415"/>
    <cellStyle name="Title 4 2" xfId="14416"/>
    <cellStyle name="TitleNormal" xfId="14417"/>
    <cellStyle name="Total 2" xfId="14418"/>
    <cellStyle name="Total 2 2" xfId="14419"/>
    <cellStyle name="Total 3" xfId="14420"/>
    <cellStyle name="Total 3 2" xfId="14421"/>
    <cellStyle name="Total 4" xfId="14422"/>
    <cellStyle name="Total 4 2" xfId="14423"/>
    <cellStyle name="Total 5" xfId="14424"/>
    <cellStyle name="Total 5 2" xfId="14425"/>
    <cellStyle name="Total 6" xfId="14426"/>
    <cellStyle name="TotCol - Style5" xfId="14427"/>
    <cellStyle name="TotCol - Style5 2" xfId="14428"/>
    <cellStyle name="TotCol - Style7" xfId="14429"/>
    <cellStyle name="TotCol - Style7 2" xfId="14430"/>
    <cellStyle name="TotRow - Style4" xfId="14431"/>
    <cellStyle name="TotRow - Style4 2" xfId="14432"/>
    <cellStyle name="TotRow - Style8" xfId="14433"/>
    <cellStyle name="TotRow - Style8 2" xfId="14434"/>
    <cellStyle name="Undefined" xfId="14435"/>
    <cellStyle name="Undefined 2" xfId="14436"/>
    <cellStyle name="UnDERLINED" xfId="14437"/>
    <cellStyle name="Warning Text 2" xfId="14438"/>
    <cellStyle name="Warning Text 2 2" xfId="14439"/>
    <cellStyle name="Warning Text 3" xfId="14440"/>
    <cellStyle name="Warning Text 3 2" xfId="14441"/>
    <cellStyle name="Warning Text 4" xfId="14442"/>
    <cellStyle name="Warning Text 4 2" xfId="14443"/>
    <cellStyle name="Warning Text 5" xfId="14444"/>
    <cellStyle name="Warning Text 5 2" xfId="14445"/>
    <cellStyle name="Warning Text 6" xfId="14446"/>
  </cellStyles>
  <dxfs count="0"/>
  <tableStyles count="0"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4448837124526107"/>
          <c:y val="5.147871674550128E-2"/>
          <c:w val="0.79174777631962689"/>
          <c:h val="0.87713753094490077"/>
        </c:manualLayout>
      </c:layout>
      <c:scatterChart>
        <c:scatterStyle val="lineMarker"/>
        <c:varyColors val="0"/>
        <c:ser>
          <c:idx val="0"/>
          <c:order val="0"/>
          <c:spPr>
            <a:ln w="28575">
              <a:noFill/>
            </a:ln>
          </c:spPr>
          <c:marker>
            <c:symbol val="diamond"/>
            <c:size val="7"/>
            <c:spPr>
              <a:solidFill>
                <a:srgbClr val="4472C4"/>
              </a:solidFill>
              <a:ln>
                <a:noFill/>
              </a:ln>
            </c:spPr>
          </c:marker>
          <c:trendline>
            <c:trendlineType val="log"/>
            <c:dispRSqr val="1"/>
            <c:dispEq val="1"/>
            <c:trendlineLbl>
              <c:layout>
                <c:manualLayout>
                  <c:x val="8.9445120805431946E-2"/>
                  <c:y val="-0.40073398592817699"/>
                </c:manualLayout>
              </c:layout>
              <c:numFmt formatCode="#,##0.0000" sourceLinked="0"/>
            </c:trendlineLbl>
          </c:trendline>
          <c:xVal>
            <c:numRef>
              <c:f>'DEU 2.06R Risk Premium'!$F$48:$F$1170</c:f>
              <c:numCache>
                <c:formatCode>0.00%</c:formatCode>
                <c:ptCount val="1123"/>
                <c:pt idx="0">
                  <c:v>9.3944919786096232E-2</c:v>
                </c:pt>
                <c:pt idx="1">
                  <c:v>9.401604278074864E-2</c:v>
                </c:pt>
                <c:pt idx="2">
                  <c:v>9.4431550802138983E-2</c:v>
                </c:pt>
                <c:pt idx="3">
                  <c:v>9.4729946524064135E-2</c:v>
                </c:pt>
                <c:pt idx="4">
                  <c:v>9.5585026737967885E-2</c:v>
                </c:pt>
                <c:pt idx="5">
                  <c:v>9.6322459893048093E-2</c:v>
                </c:pt>
                <c:pt idx="6">
                  <c:v>9.674545454545451E-2</c:v>
                </c:pt>
                <c:pt idx="7">
                  <c:v>9.6898930481283368E-2</c:v>
                </c:pt>
                <c:pt idx="8">
                  <c:v>9.8566844919786151E-2</c:v>
                </c:pt>
                <c:pt idx="9">
                  <c:v>9.9093582887700551E-2</c:v>
                </c:pt>
                <c:pt idx="10">
                  <c:v>9.9473262032085591E-2</c:v>
                </c:pt>
                <c:pt idx="11">
                  <c:v>0.10036631016042787</c:v>
                </c:pt>
                <c:pt idx="12">
                  <c:v>0.10201550802139042</c:v>
                </c:pt>
                <c:pt idx="13">
                  <c:v>0.10257754010695191</c:v>
                </c:pt>
                <c:pt idx="14">
                  <c:v>0.10506898395721925</c:v>
                </c:pt>
                <c:pt idx="15">
                  <c:v>0.10555561497326202</c:v>
                </c:pt>
                <c:pt idx="16">
                  <c:v>0.10563262032085557</c:v>
                </c:pt>
                <c:pt idx="17">
                  <c:v>0.1061893048128342</c:v>
                </c:pt>
                <c:pt idx="18">
                  <c:v>0.10653262032085555</c:v>
                </c:pt>
                <c:pt idx="19">
                  <c:v>0.10666417112299462</c:v>
                </c:pt>
                <c:pt idx="20">
                  <c:v>0.10709358288770049</c:v>
                </c:pt>
                <c:pt idx="21">
                  <c:v>0.10736042780748663</c:v>
                </c:pt>
                <c:pt idx="22">
                  <c:v>0.10773850267379678</c:v>
                </c:pt>
                <c:pt idx="23">
                  <c:v>0.1078866310160428</c:v>
                </c:pt>
                <c:pt idx="24">
                  <c:v>0.10791016042780752</c:v>
                </c:pt>
                <c:pt idx="25">
                  <c:v>0.10792673796791442</c:v>
                </c:pt>
                <c:pt idx="26">
                  <c:v>0.10791925133689838</c:v>
                </c:pt>
                <c:pt idx="27">
                  <c:v>0.10802192513368983</c:v>
                </c:pt>
                <c:pt idx="28">
                  <c:v>0.10813903743315509</c:v>
                </c:pt>
                <c:pt idx="29">
                  <c:v>0.10842352941176474</c:v>
                </c:pt>
                <c:pt idx="30">
                  <c:v>0.10873208556149734</c:v>
                </c:pt>
                <c:pt idx="31">
                  <c:v>0.10873208556149734</c:v>
                </c:pt>
                <c:pt idx="32">
                  <c:v>0.1089577540106952</c:v>
                </c:pt>
                <c:pt idx="33">
                  <c:v>0.10980641711229944</c:v>
                </c:pt>
                <c:pt idx="34">
                  <c:v>0.11054545454545453</c:v>
                </c:pt>
                <c:pt idx="35">
                  <c:v>0.11054545454545453</c:v>
                </c:pt>
                <c:pt idx="36">
                  <c:v>0.11093636363636364</c:v>
                </c:pt>
                <c:pt idx="37">
                  <c:v>0.1109812834224599</c:v>
                </c:pt>
                <c:pt idx="38">
                  <c:v>0.1109812834224599</c:v>
                </c:pt>
                <c:pt idx="39">
                  <c:v>0.11103636363636366</c:v>
                </c:pt>
                <c:pt idx="40">
                  <c:v>0.11103636363636366</c:v>
                </c:pt>
                <c:pt idx="41">
                  <c:v>0.11120106951871661</c:v>
                </c:pt>
                <c:pt idx="42">
                  <c:v>0.11123208556149736</c:v>
                </c:pt>
                <c:pt idx="43">
                  <c:v>0.11131069518716583</c:v>
                </c:pt>
                <c:pt idx="44">
                  <c:v>0.11139839572192517</c:v>
                </c:pt>
                <c:pt idx="45">
                  <c:v>0.11145721925133692</c:v>
                </c:pt>
                <c:pt idx="46">
                  <c:v>0.1114117647058824</c:v>
                </c:pt>
                <c:pt idx="47">
                  <c:v>0.11132299465240642</c:v>
                </c:pt>
                <c:pt idx="48">
                  <c:v>0.111332192513369</c:v>
                </c:pt>
                <c:pt idx="49">
                  <c:v>0.11146951871657752</c:v>
                </c:pt>
                <c:pt idx="50">
                  <c:v>0.11159657754010692</c:v>
                </c:pt>
                <c:pt idx="51">
                  <c:v>0.11159657754010692</c:v>
                </c:pt>
                <c:pt idx="52">
                  <c:v>0.11161807486631016</c:v>
                </c:pt>
                <c:pt idx="53">
                  <c:v>0.11156481283422458</c:v>
                </c:pt>
                <c:pt idx="54">
                  <c:v>0.11145764705882354</c:v>
                </c:pt>
                <c:pt idx="55">
                  <c:v>0.111411871657754</c:v>
                </c:pt>
                <c:pt idx="56">
                  <c:v>0.111392192513369</c:v>
                </c:pt>
                <c:pt idx="57">
                  <c:v>0.11133754010695186</c:v>
                </c:pt>
                <c:pt idx="58">
                  <c:v>0.11139454545454545</c:v>
                </c:pt>
                <c:pt idx="59">
                  <c:v>0.11199775401069516</c:v>
                </c:pt>
                <c:pt idx="60">
                  <c:v>0.11231582887700538</c:v>
                </c:pt>
                <c:pt idx="61">
                  <c:v>0.11333272727272729</c:v>
                </c:pt>
                <c:pt idx="62">
                  <c:v>0.11396748663101605</c:v>
                </c:pt>
                <c:pt idx="63">
                  <c:v>0.11599144385026733</c:v>
                </c:pt>
                <c:pt idx="64">
                  <c:v>0.1173806417112299</c:v>
                </c:pt>
                <c:pt idx="65">
                  <c:v>0.1181613903743315</c:v>
                </c:pt>
                <c:pt idx="66">
                  <c:v>0.11909893048128338</c:v>
                </c:pt>
                <c:pt idx="67">
                  <c:v>0.12122652406417109</c:v>
                </c:pt>
                <c:pt idx="68">
                  <c:v>0.12122652406417109</c:v>
                </c:pt>
                <c:pt idx="69">
                  <c:v>0.12140042780748661</c:v>
                </c:pt>
                <c:pt idx="70">
                  <c:v>0.12140042780748661</c:v>
                </c:pt>
                <c:pt idx="71">
                  <c:v>0.12372235294117646</c:v>
                </c:pt>
                <c:pt idx="72">
                  <c:v>0.12455743315508024</c:v>
                </c:pt>
                <c:pt idx="73">
                  <c:v>0.12573315508021393</c:v>
                </c:pt>
                <c:pt idx="74">
                  <c:v>0.12599283422459892</c:v>
                </c:pt>
                <c:pt idx="75">
                  <c:v>0.12640727272727273</c:v>
                </c:pt>
                <c:pt idx="76">
                  <c:v>0.12691689839572193</c:v>
                </c:pt>
                <c:pt idx="77">
                  <c:v>0.12714331550802138</c:v>
                </c:pt>
                <c:pt idx="78">
                  <c:v>0.12776737967914439</c:v>
                </c:pt>
                <c:pt idx="79">
                  <c:v>0.12822930481283423</c:v>
                </c:pt>
                <c:pt idx="80">
                  <c:v>0.12822930481283423</c:v>
                </c:pt>
                <c:pt idx="81">
                  <c:v>0.12864203208556152</c:v>
                </c:pt>
                <c:pt idx="82">
                  <c:v>0.12864203208556152</c:v>
                </c:pt>
                <c:pt idx="83">
                  <c:v>0.12932684491978616</c:v>
                </c:pt>
                <c:pt idx="84">
                  <c:v>0.12932684491978616</c:v>
                </c:pt>
                <c:pt idx="85">
                  <c:v>0.12932684491978616</c:v>
                </c:pt>
                <c:pt idx="86">
                  <c:v>0.1301871657754011</c:v>
                </c:pt>
                <c:pt idx="87">
                  <c:v>0.13043336898395727</c:v>
                </c:pt>
                <c:pt idx="88">
                  <c:v>0.13053925133689845</c:v>
                </c:pt>
                <c:pt idx="89">
                  <c:v>0.13241304812834231</c:v>
                </c:pt>
                <c:pt idx="90">
                  <c:v>0.1325654545454546</c:v>
                </c:pt>
                <c:pt idx="91">
                  <c:v>0.13307401069518718</c:v>
                </c:pt>
                <c:pt idx="92">
                  <c:v>0.133244064171123</c:v>
                </c:pt>
                <c:pt idx="93">
                  <c:v>0.13359700534759358</c:v>
                </c:pt>
                <c:pt idx="94">
                  <c:v>0.1342585026737968</c:v>
                </c:pt>
                <c:pt idx="95">
                  <c:v>0.13499754010695186</c:v>
                </c:pt>
                <c:pt idx="96">
                  <c:v>0.13499754010695186</c:v>
                </c:pt>
                <c:pt idx="97">
                  <c:v>0.13499754010695186</c:v>
                </c:pt>
                <c:pt idx="98">
                  <c:v>0.13540074866310159</c:v>
                </c:pt>
                <c:pt idx="99">
                  <c:v>0.13555582887700532</c:v>
                </c:pt>
                <c:pt idx="100">
                  <c:v>0.13597240641711228</c:v>
                </c:pt>
                <c:pt idx="101">
                  <c:v>0.13624941176470587</c:v>
                </c:pt>
                <c:pt idx="102">
                  <c:v>0.13638203208556149</c:v>
                </c:pt>
                <c:pt idx="103">
                  <c:v>0.13646652406417109</c:v>
                </c:pt>
                <c:pt idx="104">
                  <c:v>0.13659112299465237</c:v>
                </c:pt>
                <c:pt idx="105">
                  <c:v>0.13659112299465237</c:v>
                </c:pt>
                <c:pt idx="106">
                  <c:v>0.13659112299465237</c:v>
                </c:pt>
                <c:pt idx="107">
                  <c:v>0.13656491978609619</c:v>
                </c:pt>
                <c:pt idx="108">
                  <c:v>0.13656812834224594</c:v>
                </c:pt>
                <c:pt idx="109">
                  <c:v>0.13656812834224594</c:v>
                </c:pt>
                <c:pt idx="110">
                  <c:v>0.13691144385026732</c:v>
                </c:pt>
                <c:pt idx="111">
                  <c:v>0.13703764705882346</c:v>
                </c:pt>
                <c:pt idx="112">
                  <c:v>0.13717721925133683</c:v>
                </c:pt>
                <c:pt idx="113">
                  <c:v>0.13717721925133683</c:v>
                </c:pt>
                <c:pt idx="114">
                  <c:v>0.13744459893048125</c:v>
                </c:pt>
                <c:pt idx="115">
                  <c:v>0.13744459893048125</c:v>
                </c:pt>
                <c:pt idx="116">
                  <c:v>0.1374980748663101</c:v>
                </c:pt>
                <c:pt idx="117">
                  <c:v>0.13802160427807489</c:v>
                </c:pt>
                <c:pt idx="118">
                  <c:v>0.13841572192513371</c:v>
                </c:pt>
                <c:pt idx="119">
                  <c:v>0.13850288770053479</c:v>
                </c:pt>
                <c:pt idx="120">
                  <c:v>0.13855636363636364</c:v>
                </c:pt>
                <c:pt idx="121">
                  <c:v>0.13862855614973263</c:v>
                </c:pt>
                <c:pt idx="122">
                  <c:v>0.13874727272727275</c:v>
                </c:pt>
                <c:pt idx="123">
                  <c:v>0.13880288770053478</c:v>
                </c:pt>
                <c:pt idx="124">
                  <c:v>0.13880288770053478</c:v>
                </c:pt>
                <c:pt idx="125">
                  <c:v>0.13887454545454547</c:v>
                </c:pt>
                <c:pt idx="126">
                  <c:v>0.13909326203208561</c:v>
                </c:pt>
                <c:pt idx="127">
                  <c:v>0.13912909090909095</c:v>
                </c:pt>
                <c:pt idx="128">
                  <c:v>0.13917828877005353</c:v>
                </c:pt>
                <c:pt idx="129">
                  <c:v>0.13967347593582893</c:v>
                </c:pt>
                <c:pt idx="130">
                  <c:v>0.13977508021390384</c:v>
                </c:pt>
                <c:pt idx="131">
                  <c:v>0.13980128342245998</c:v>
                </c:pt>
                <c:pt idx="132">
                  <c:v>0.13985155080213912</c:v>
                </c:pt>
                <c:pt idx="133">
                  <c:v>0.13988256684491987</c:v>
                </c:pt>
                <c:pt idx="134">
                  <c:v>0.13987561497326212</c:v>
                </c:pt>
                <c:pt idx="135">
                  <c:v>0.13987561497326212</c:v>
                </c:pt>
                <c:pt idx="136">
                  <c:v>0.13985957219251341</c:v>
                </c:pt>
                <c:pt idx="137">
                  <c:v>0.1396836363636364</c:v>
                </c:pt>
                <c:pt idx="138">
                  <c:v>0.13936117647058827</c:v>
                </c:pt>
                <c:pt idx="139">
                  <c:v>0.1392066310160428</c:v>
                </c:pt>
                <c:pt idx="140">
                  <c:v>0.13907133689839574</c:v>
                </c:pt>
                <c:pt idx="141">
                  <c:v>0.1390296256684492</c:v>
                </c:pt>
                <c:pt idx="142">
                  <c:v>0.13895796791443851</c:v>
                </c:pt>
                <c:pt idx="143">
                  <c:v>0.13867935828877007</c:v>
                </c:pt>
                <c:pt idx="144">
                  <c:v>0.13852481283422463</c:v>
                </c:pt>
                <c:pt idx="145">
                  <c:v>0.1381093048128342</c:v>
                </c:pt>
                <c:pt idx="146">
                  <c:v>0.13811037433155079</c:v>
                </c:pt>
                <c:pt idx="147">
                  <c:v>0.13793497326203205</c:v>
                </c:pt>
                <c:pt idx="148">
                  <c:v>0.13793497326203205</c:v>
                </c:pt>
                <c:pt idx="149">
                  <c:v>0.13787240641711226</c:v>
                </c:pt>
                <c:pt idx="150">
                  <c:v>0.13751679144385023</c:v>
                </c:pt>
                <c:pt idx="151">
                  <c:v>0.1371253475935828</c:v>
                </c:pt>
                <c:pt idx="152">
                  <c:v>0.13682962566844914</c:v>
                </c:pt>
                <c:pt idx="153">
                  <c:v>0.13664941176470582</c:v>
                </c:pt>
                <c:pt idx="154">
                  <c:v>0.13641732620320857</c:v>
                </c:pt>
                <c:pt idx="155">
                  <c:v>0.13632802139037428</c:v>
                </c:pt>
                <c:pt idx="156">
                  <c:v>0.13624085561497323</c:v>
                </c:pt>
                <c:pt idx="157">
                  <c:v>0.13586866310160425</c:v>
                </c:pt>
                <c:pt idx="158">
                  <c:v>0.13580930481283421</c:v>
                </c:pt>
                <c:pt idx="159">
                  <c:v>0.135651550802139</c:v>
                </c:pt>
                <c:pt idx="160">
                  <c:v>0.13547401069518714</c:v>
                </c:pt>
                <c:pt idx="161">
                  <c:v>0.13522748663101603</c:v>
                </c:pt>
                <c:pt idx="162">
                  <c:v>0.13509379679144384</c:v>
                </c:pt>
                <c:pt idx="163">
                  <c:v>0.13429807486631018</c:v>
                </c:pt>
                <c:pt idx="164">
                  <c:v>0.13419860962566846</c:v>
                </c:pt>
                <c:pt idx="165">
                  <c:v>0.13419860962566846</c:v>
                </c:pt>
                <c:pt idx="166">
                  <c:v>0.13419860962566846</c:v>
                </c:pt>
                <c:pt idx="167">
                  <c:v>0.13419860962566846</c:v>
                </c:pt>
                <c:pt idx="168">
                  <c:v>0.13406545454545454</c:v>
                </c:pt>
                <c:pt idx="169">
                  <c:v>0.13333711229946527</c:v>
                </c:pt>
                <c:pt idx="170">
                  <c:v>0.1325900534759358</c:v>
                </c:pt>
                <c:pt idx="171">
                  <c:v>0.1322205347593583</c:v>
                </c:pt>
                <c:pt idx="172">
                  <c:v>0.13123229946524068</c:v>
                </c:pt>
                <c:pt idx="173">
                  <c:v>0.13108310160427813</c:v>
                </c:pt>
                <c:pt idx="174">
                  <c:v>0.13072267379679148</c:v>
                </c:pt>
                <c:pt idx="175">
                  <c:v>0.13031786096256689</c:v>
                </c:pt>
                <c:pt idx="176">
                  <c:v>0.130112513368984</c:v>
                </c:pt>
                <c:pt idx="177">
                  <c:v>0.12862053475935831</c:v>
                </c:pt>
                <c:pt idx="178">
                  <c:v>0.12790128342245993</c:v>
                </c:pt>
                <c:pt idx="179">
                  <c:v>0.12773016042780752</c:v>
                </c:pt>
                <c:pt idx="180">
                  <c:v>0.12773016042780752</c:v>
                </c:pt>
                <c:pt idx="181">
                  <c:v>0.12724834224598935</c:v>
                </c:pt>
                <c:pt idx="182">
                  <c:v>0.12724834224598935</c:v>
                </c:pt>
                <c:pt idx="183">
                  <c:v>0.12724834224598935</c:v>
                </c:pt>
                <c:pt idx="184">
                  <c:v>0.12724834224598935</c:v>
                </c:pt>
                <c:pt idx="185">
                  <c:v>0.12724834224598935</c:v>
                </c:pt>
                <c:pt idx="186">
                  <c:v>0.12724834224598935</c:v>
                </c:pt>
                <c:pt idx="187">
                  <c:v>0.1268028877005348</c:v>
                </c:pt>
                <c:pt idx="188">
                  <c:v>0.12632053475935831</c:v>
                </c:pt>
                <c:pt idx="189">
                  <c:v>0.12583176470588239</c:v>
                </c:pt>
                <c:pt idx="190">
                  <c:v>0.12566652406417114</c:v>
                </c:pt>
                <c:pt idx="191">
                  <c:v>0.12520181818181819</c:v>
                </c:pt>
                <c:pt idx="192">
                  <c:v>0.12506278074866312</c:v>
                </c:pt>
                <c:pt idx="193">
                  <c:v>0.12491144385026741</c:v>
                </c:pt>
                <c:pt idx="194">
                  <c:v>0.12424192513368983</c:v>
                </c:pt>
                <c:pt idx="195">
                  <c:v>0.12424192513368983</c:v>
                </c:pt>
                <c:pt idx="196">
                  <c:v>0.12406438502673792</c:v>
                </c:pt>
                <c:pt idx="197">
                  <c:v>0.12406438502673792</c:v>
                </c:pt>
                <c:pt idx="198">
                  <c:v>0.12256919786096253</c:v>
                </c:pt>
                <c:pt idx="199">
                  <c:v>0.12241090909090906</c:v>
                </c:pt>
                <c:pt idx="200">
                  <c:v>0.12183176470588228</c:v>
                </c:pt>
                <c:pt idx="201">
                  <c:v>0.12130983957219242</c:v>
                </c:pt>
                <c:pt idx="202">
                  <c:v>0.12130983957219242</c:v>
                </c:pt>
                <c:pt idx="203">
                  <c:v>0.12078898395721918</c:v>
                </c:pt>
                <c:pt idx="204">
                  <c:v>0.12065743315508014</c:v>
                </c:pt>
                <c:pt idx="205">
                  <c:v>0.1197365775401069</c:v>
                </c:pt>
                <c:pt idx="206">
                  <c:v>0.11840663101604271</c:v>
                </c:pt>
                <c:pt idx="207">
                  <c:v>0.11791411764705872</c:v>
                </c:pt>
                <c:pt idx="208">
                  <c:v>0.11623818181818173</c:v>
                </c:pt>
                <c:pt idx="209">
                  <c:v>0.11568524064171114</c:v>
                </c:pt>
                <c:pt idx="210">
                  <c:v>0.11530449197860954</c:v>
                </c:pt>
                <c:pt idx="211">
                  <c:v>0.11530449197860954</c:v>
                </c:pt>
                <c:pt idx="212">
                  <c:v>0.11511251336898387</c:v>
                </c:pt>
                <c:pt idx="213">
                  <c:v>0.11300609625668444</c:v>
                </c:pt>
                <c:pt idx="214">
                  <c:v>0.11093764705882353</c:v>
                </c:pt>
                <c:pt idx="215">
                  <c:v>0.11063443850267378</c:v>
                </c:pt>
                <c:pt idx="216">
                  <c:v>0.10998951871657756</c:v>
                </c:pt>
                <c:pt idx="217">
                  <c:v>0.10897401069518721</c:v>
                </c:pt>
                <c:pt idx="218">
                  <c:v>0.10839128342245999</c:v>
                </c:pt>
                <c:pt idx="219">
                  <c:v>0.10822385026737977</c:v>
                </c:pt>
                <c:pt idx="220">
                  <c:v>0.10801508021390381</c:v>
                </c:pt>
                <c:pt idx="221">
                  <c:v>0.10788235294117653</c:v>
                </c:pt>
                <c:pt idx="222">
                  <c:v>0.10735101604278081</c:v>
                </c:pt>
                <c:pt idx="223">
                  <c:v>0.10735101604278081</c:v>
                </c:pt>
                <c:pt idx="224">
                  <c:v>0.10712283422459899</c:v>
                </c:pt>
                <c:pt idx="225">
                  <c:v>0.10700331550802143</c:v>
                </c:pt>
                <c:pt idx="226">
                  <c:v>0.10700331550802143</c:v>
                </c:pt>
                <c:pt idx="227">
                  <c:v>0.10697449197860968</c:v>
                </c:pt>
                <c:pt idx="228">
                  <c:v>0.10694310160427813</c:v>
                </c:pt>
                <c:pt idx="229">
                  <c:v>0.10688679144385031</c:v>
                </c:pt>
                <c:pt idx="230">
                  <c:v>0.1070482887700535</c:v>
                </c:pt>
                <c:pt idx="231">
                  <c:v>0.1070482887700535</c:v>
                </c:pt>
                <c:pt idx="232">
                  <c:v>0.10811957219251338</c:v>
                </c:pt>
                <c:pt idx="233">
                  <c:v>0.10818181818181818</c:v>
                </c:pt>
                <c:pt idx="234">
                  <c:v>0.10850807486631016</c:v>
                </c:pt>
                <c:pt idx="235">
                  <c:v>0.10865556149732621</c:v>
                </c:pt>
                <c:pt idx="236">
                  <c:v>0.10865556149732621</c:v>
                </c:pt>
                <c:pt idx="237">
                  <c:v>0.10893641711229947</c:v>
                </c:pt>
                <c:pt idx="238">
                  <c:v>0.10927160427807488</c:v>
                </c:pt>
                <c:pt idx="239">
                  <c:v>0.10958368983957219</c:v>
                </c:pt>
                <c:pt idx="240">
                  <c:v>0.10968604278074866</c:v>
                </c:pt>
                <c:pt idx="241">
                  <c:v>0.10979379679144385</c:v>
                </c:pt>
                <c:pt idx="242">
                  <c:v>0.10979379679144385</c:v>
                </c:pt>
                <c:pt idx="243">
                  <c:v>0.10979379679144385</c:v>
                </c:pt>
                <c:pt idx="244">
                  <c:v>0.11021486631016045</c:v>
                </c:pt>
                <c:pt idx="245">
                  <c:v>0.11041743315508022</c:v>
                </c:pt>
                <c:pt idx="246">
                  <c:v>0.11064074866310158</c:v>
                </c:pt>
                <c:pt idx="247">
                  <c:v>0.1106857754010695</c:v>
                </c:pt>
                <c:pt idx="248">
                  <c:v>0.1106857754010695</c:v>
                </c:pt>
                <c:pt idx="249">
                  <c:v>0.11102181818181817</c:v>
                </c:pt>
                <c:pt idx="250">
                  <c:v>0.11102181818181817</c:v>
                </c:pt>
                <c:pt idx="251">
                  <c:v>0.11102181818181817</c:v>
                </c:pt>
                <c:pt idx="252">
                  <c:v>0.1116904278074866</c:v>
                </c:pt>
                <c:pt idx="253">
                  <c:v>0.11203588235294111</c:v>
                </c:pt>
                <c:pt idx="254">
                  <c:v>0.11210245989304807</c:v>
                </c:pt>
                <c:pt idx="255">
                  <c:v>0.11216951871657749</c:v>
                </c:pt>
                <c:pt idx="256">
                  <c:v>0.11216951871657749</c:v>
                </c:pt>
                <c:pt idx="257">
                  <c:v>0.11258128342245981</c:v>
                </c:pt>
                <c:pt idx="258">
                  <c:v>0.11258128342245981</c:v>
                </c:pt>
                <c:pt idx="259">
                  <c:v>0.11270401069518708</c:v>
                </c:pt>
                <c:pt idx="260">
                  <c:v>0.11295005347593576</c:v>
                </c:pt>
                <c:pt idx="261">
                  <c:v>0.11301475935828872</c:v>
                </c:pt>
                <c:pt idx="262">
                  <c:v>0.11340700534759354</c:v>
                </c:pt>
                <c:pt idx="263">
                  <c:v>0.11360631016042777</c:v>
                </c:pt>
                <c:pt idx="264">
                  <c:v>0.11380278074866307</c:v>
                </c:pt>
                <c:pt idx="265">
                  <c:v>0.11418951871657751</c:v>
                </c:pt>
                <c:pt idx="266">
                  <c:v>0.11509748663101602</c:v>
                </c:pt>
                <c:pt idx="267">
                  <c:v>0.11580732620320855</c:v>
                </c:pt>
                <c:pt idx="268">
                  <c:v>0.11696823529411766</c:v>
                </c:pt>
                <c:pt idx="269">
                  <c:v>0.11724770053475933</c:v>
                </c:pt>
                <c:pt idx="270">
                  <c:v>0.1181162566844919</c:v>
                </c:pt>
                <c:pt idx="271">
                  <c:v>0.11856887700534745</c:v>
                </c:pt>
                <c:pt idx="272">
                  <c:v>0.1190128877005346</c:v>
                </c:pt>
                <c:pt idx="273">
                  <c:v>0.11987663101604266</c:v>
                </c:pt>
                <c:pt idx="274">
                  <c:v>0.119976844919786</c:v>
                </c:pt>
                <c:pt idx="275">
                  <c:v>0.12036860962566837</c:v>
                </c:pt>
                <c:pt idx="276">
                  <c:v>0.12184566844919775</c:v>
                </c:pt>
                <c:pt idx="277">
                  <c:v>0.12369272727272729</c:v>
                </c:pt>
                <c:pt idx="278">
                  <c:v>0.12505417112299466</c:v>
                </c:pt>
                <c:pt idx="279">
                  <c:v>0.12511780748663107</c:v>
                </c:pt>
                <c:pt idx="280">
                  <c:v>0.12536978609625674</c:v>
                </c:pt>
                <c:pt idx="281">
                  <c:v>0.12544374331550806</c:v>
                </c:pt>
                <c:pt idx="282">
                  <c:v>0.12562278074866315</c:v>
                </c:pt>
                <c:pt idx="283">
                  <c:v>0.12567053475935835</c:v>
                </c:pt>
                <c:pt idx="284">
                  <c:v>0.1257608556149733</c:v>
                </c:pt>
                <c:pt idx="285">
                  <c:v>0.12599470588235301</c:v>
                </c:pt>
                <c:pt idx="286">
                  <c:v>0.12599470588235301</c:v>
                </c:pt>
                <c:pt idx="287">
                  <c:v>0.12613171122994657</c:v>
                </c:pt>
                <c:pt idx="288">
                  <c:v>0.12623508021390381</c:v>
                </c:pt>
                <c:pt idx="289">
                  <c:v>0.12632780748663106</c:v>
                </c:pt>
                <c:pt idx="290">
                  <c:v>0.12634689839572197</c:v>
                </c:pt>
                <c:pt idx="291">
                  <c:v>0.12647860962566848</c:v>
                </c:pt>
                <c:pt idx="292">
                  <c:v>0.12646582887700533</c:v>
                </c:pt>
                <c:pt idx="293">
                  <c:v>0.1263957754010695</c:v>
                </c:pt>
                <c:pt idx="294">
                  <c:v>0.12627508021390371</c:v>
                </c:pt>
                <c:pt idx="295">
                  <c:v>0.1259971122994652</c:v>
                </c:pt>
                <c:pt idx="296">
                  <c:v>0.12547545454545456</c:v>
                </c:pt>
                <c:pt idx="297">
                  <c:v>0.12535176470588236</c:v>
                </c:pt>
                <c:pt idx="298">
                  <c:v>0.12507149732620315</c:v>
                </c:pt>
                <c:pt idx="299">
                  <c:v>0.12507149732620315</c:v>
                </c:pt>
                <c:pt idx="300">
                  <c:v>0.12497641711229943</c:v>
                </c:pt>
                <c:pt idx="301">
                  <c:v>0.12371625668449197</c:v>
                </c:pt>
                <c:pt idx="302">
                  <c:v>0.12326727272727273</c:v>
                </c:pt>
                <c:pt idx="303">
                  <c:v>0.12271240641711229</c:v>
                </c:pt>
                <c:pt idx="304">
                  <c:v>0.12249877005347594</c:v>
                </c:pt>
                <c:pt idx="305">
                  <c:v>0.12249877005347594</c:v>
                </c:pt>
                <c:pt idx="306">
                  <c:v>0.12161748663101608</c:v>
                </c:pt>
                <c:pt idx="307">
                  <c:v>0.12082791443850273</c:v>
                </c:pt>
                <c:pt idx="308">
                  <c:v>0.12021577540106958</c:v>
                </c:pt>
                <c:pt idx="309">
                  <c:v>0.11964005347593584</c:v>
                </c:pt>
                <c:pt idx="310">
                  <c:v>0.11582689839572197</c:v>
                </c:pt>
                <c:pt idx="311">
                  <c:v>0.11461855614973261</c:v>
                </c:pt>
                <c:pt idx="312">
                  <c:v>0.11384962566844922</c:v>
                </c:pt>
                <c:pt idx="313">
                  <c:v>0.11263502673796792</c:v>
                </c:pt>
                <c:pt idx="314">
                  <c:v>0.11111737967914435</c:v>
                </c:pt>
                <c:pt idx="315">
                  <c:v>0.11105267379679143</c:v>
                </c:pt>
                <c:pt idx="316">
                  <c:v>0.11069973262032085</c:v>
                </c:pt>
                <c:pt idx="317">
                  <c:v>0.1103472727272727</c:v>
                </c:pt>
                <c:pt idx="318">
                  <c:v>0.11023497326203206</c:v>
                </c:pt>
                <c:pt idx="319">
                  <c:v>0.11018053475935824</c:v>
                </c:pt>
                <c:pt idx="320">
                  <c:v>0.11018053475935824</c:v>
                </c:pt>
                <c:pt idx="321">
                  <c:v>0.10913572192513366</c:v>
                </c:pt>
                <c:pt idx="322">
                  <c:v>0.10854759358288767</c:v>
                </c:pt>
                <c:pt idx="323">
                  <c:v>0.10809010695187166</c:v>
                </c:pt>
                <c:pt idx="324">
                  <c:v>0.10787711229946524</c:v>
                </c:pt>
                <c:pt idx="325">
                  <c:v>0.10713748663101605</c:v>
                </c:pt>
                <c:pt idx="326">
                  <c:v>0.10680561497326202</c:v>
                </c:pt>
                <c:pt idx="327">
                  <c:v>0.10590342245989304</c:v>
                </c:pt>
                <c:pt idx="328">
                  <c:v>0.10590342245989304</c:v>
                </c:pt>
                <c:pt idx="329">
                  <c:v>0.10590342245989304</c:v>
                </c:pt>
                <c:pt idx="330">
                  <c:v>0.10525342245989304</c:v>
                </c:pt>
                <c:pt idx="331">
                  <c:v>0.10512673796791441</c:v>
                </c:pt>
                <c:pt idx="332">
                  <c:v>0.10512673796791441</c:v>
                </c:pt>
                <c:pt idx="333">
                  <c:v>0.10378272727272719</c:v>
                </c:pt>
                <c:pt idx="334">
                  <c:v>0.10204844919786087</c:v>
                </c:pt>
                <c:pt idx="335">
                  <c:v>0.10193941176470578</c:v>
                </c:pt>
                <c:pt idx="336">
                  <c:v>9.9772727272727207E-2</c:v>
                </c:pt>
                <c:pt idx="337">
                  <c:v>9.7642941176470585E-2</c:v>
                </c:pt>
                <c:pt idx="338">
                  <c:v>9.4672406417112248E-2</c:v>
                </c:pt>
                <c:pt idx="339">
                  <c:v>9.180839572192509E-2</c:v>
                </c:pt>
                <c:pt idx="340">
                  <c:v>9.1172139037433098E-2</c:v>
                </c:pt>
                <c:pt idx="341">
                  <c:v>9.1029090909090851E-2</c:v>
                </c:pt>
                <c:pt idx="342">
                  <c:v>9.0758556149732564E-2</c:v>
                </c:pt>
                <c:pt idx="343">
                  <c:v>8.9720748663101563E-2</c:v>
                </c:pt>
                <c:pt idx="344">
                  <c:v>8.9381229946524032E-2</c:v>
                </c:pt>
                <c:pt idx="345">
                  <c:v>8.76806951871658E-2</c:v>
                </c:pt>
                <c:pt idx="346">
                  <c:v>8.5857754010695175E-2</c:v>
                </c:pt>
                <c:pt idx="347">
                  <c:v>8.3844278074866302E-2</c:v>
                </c:pt>
                <c:pt idx="348">
                  <c:v>8.2226042780748632E-2</c:v>
                </c:pt>
                <c:pt idx="349">
                  <c:v>8.0231978609625665E-2</c:v>
                </c:pt>
                <c:pt idx="350">
                  <c:v>7.9051818181818181E-2</c:v>
                </c:pt>
                <c:pt idx="351">
                  <c:v>7.6721657754010714E-2</c:v>
                </c:pt>
                <c:pt idx="352">
                  <c:v>7.6634224598930489E-2</c:v>
                </c:pt>
                <c:pt idx="353">
                  <c:v>7.6105668449197875E-2</c:v>
                </c:pt>
                <c:pt idx="354">
                  <c:v>7.5642245989304829E-2</c:v>
                </c:pt>
                <c:pt idx="355">
                  <c:v>7.539342245989307E-2</c:v>
                </c:pt>
                <c:pt idx="356">
                  <c:v>7.4734278074866378E-2</c:v>
                </c:pt>
                <c:pt idx="357">
                  <c:v>7.4665989304812899E-2</c:v>
                </c:pt>
                <c:pt idx="358">
                  <c:v>7.4679518716577603E-2</c:v>
                </c:pt>
                <c:pt idx="359">
                  <c:v>7.4689411764705949E-2</c:v>
                </c:pt>
                <c:pt idx="360">
                  <c:v>7.4677058823529485E-2</c:v>
                </c:pt>
                <c:pt idx="361">
                  <c:v>7.4710267379679215E-2</c:v>
                </c:pt>
                <c:pt idx="362">
                  <c:v>7.4698663101604307E-2</c:v>
                </c:pt>
                <c:pt idx="363">
                  <c:v>7.4624919786096269E-2</c:v>
                </c:pt>
                <c:pt idx="364">
                  <c:v>7.4658930481283428E-2</c:v>
                </c:pt>
                <c:pt idx="365">
                  <c:v>7.5991604278074873E-2</c:v>
                </c:pt>
                <c:pt idx="366">
                  <c:v>7.7253957219251365E-2</c:v>
                </c:pt>
                <c:pt idx="367">
                  <c:v>7.8042566844919781E-2</c:v>
                </c:pt>
                <c:pt idx="368">
                  <c:v>7.8487700534759369E-2</c:v>
                </c:pt>
                <c:pt idx="369">
                  <c:v>7.881438502673796E-2</c:v>
                </c:pt>
                <c:pt idx="370">
                  <c:v>7.9344064171122997E-2</c:v>
                </c:pt>
                <c:pt idx="371">
                  <c:v>8.0856631016042735E-2</c:v>
                </c:pt>
                <c:pt idx="372">
                  <c:v>8.2737379679144338E-2</c:v>
                </c:pt>
                <c:pt idx="373">
                  <c:v>8.5470481283422453E-2</c:v>
                </c:pt>
                <c:pt idx="374">
                  <c:v>8.5470481283422453E-2</c:v>
                </c:pt>
                <c:pt idx="375">
                  <c:v>8.6754117647058801E-2</c:v>
                </c:pt>
                <c:pt idx="376">
                  <c:v>8.6825882352941142E-2</c:v>
                </c:pt>
                <c:pt idx="377">
                  <c:v>8.7345882352941162E-2</c:v>
                </c:pt>
                <c:pt idx="378">
                  <c:v>8.8140481283422459E-2</c:v>
                </c:pt>
                <c:pt idx="379">
                  <c:v>8.9030160427807453E-2</c:v>
                </c:pt>
                <c:pt idx="380">
                  <c:v>8.9396149732620292E-2</c:v>
                </c:pt>
                <c:pt idx="381">
                  <c:v>8.9396149732620292E-2</c:v>
                </c:pt>
                <c:pt idx="382">
                  <c:v>8.986898395721922E-2</c:v>
                </c:pt>
                <c:pt idx="383">
                  <c:v>8.9915401069518675E-2</c:v>
                </c:pt>
                <c:pt idx="384">
                  <c:v>8.9927219251336885E-2</c:v>
                </c:pt>
                <c:pt idx="385">
                  <c:v>8.986978609625669E-2</c:v>
                </c:pt>
                <c:pt idx="386">
                  <c:v>8.9460267379679159E-2</c:v>
                </c:pt>
                <c:pt idx="387">
                  <c:v>9.0162566844919842E-2</c:v>
                </c:pt>
                <c:pt idx="388">
                  <c:v>8.9977807486631062E-2</c:v>
                </c:pt>
                <c:pt idx="389">
                  <c:v>8.9858716577540146E-2</c:v>
                </c:pt>
                <c:pt idx="390">
                  <c:v>8.971545454545457E-2</c:v>
                </c:pt>
                <c:pt idx="391">
                  <c:v>8.9493368983957225E-2</c:v>
                </c:pt>
                <c:pt idx="392">
                  <c:v>8.9328395721925136E-2</c:v>
                </c:pt>
                <c:pt idx="393">
                  <c:v>8.9062620320855601E-2</c:v>
                </c:pt>
                <c:pt idx="394">
                  <c:v>8.8978877005347581E-2</c:v>
                </c:pt>
                <c:pt idx="395">
                  <c:v>8.9029144385026682E-2</c:v>
                </c:pt>
                <c:pt idx="396">
                  <c:v>8.9309144385026698E-2</c:v>
                </c:pt>
                <c:pt idx="397">
                  <c:v>8.9326149732620291E-2</c:v>
                </c:pt>
                <c:pt idx="398">
                  <c:v>8.933727272727271E-2</c:v>
                </c:pt>
                <c:pt idx="399">
                  <c:v>8.935941176470584E-2</c:v>
                </c:pt>
                <c:pt idx="400">
                  <c:v>8.9313475935828848E-2</c:v>
                </c:pt>
                <c:pt idx="401">
                  <c:v>8.9362994652406352E-2</c:v>
                </c:pt>
                <c:pt idx="402">
                  <c:v>8.9395614973261997E-2</c:v>
                </c:pt>
                <c:pt idx="403">
                  <c:v>8.9417860962566792E-2</c:v>
                </c:pt>
                <c:pt idx="404">
                  <c:v>8.9439893048128299E-2</c:v>
                </c:pt>
                <c:pt idx="405">
                  <c:v>8.9459786096256627E-2</c:v>
                </c:pt>
                <c:pt idx="406">
                  <c:v>8.9764331550802087E-2</c:v>
                </c:pt>
                <c:pt idx="407">
                  <c:v>9.0120267379679125E-2</c:v>
                </c:pt>
                <c:pt idx="408">
                  <c:v>9.0497433155080201E-2</c:v>
                </c:pt>
                <c:pt idx="409">
                  <c:v>9.0521229946524048E-2</c:v>
                </c:pt>
                <c:pt idx="410">
                  <c:v>9.053229946524062E-2</c:v>
                </c:pt>
                <c:pt idx="411">
                  <c:v>9.0639144385026738E-2</c:v>
                </c:pt>
                <c:pt idx="412">
                  <c:v>9.0625668449197852E-2</c:v>
                </c:pt>
                <c:pt idx="413">
                  <c:v>9.0499358288770024E-2</c:v>
                </c:pt>
                <c:pt idx="414">
                  <c:v>9.0372139037433158E-2</c:v>
                </c:pt>
                <c:pt idx="415">
                  <c:v>9.0413796791443901E-2</c:v>
                </c:pt>
                <c:pt idx="416">
                  <c:v>8.9625347593582913E-2</c:v>
                </c:pt>
                <c:pt idx="417">
                  <c:v>8.8388235294117629E-2</c:v>
                </c:pt>
                <c:pt idx="418">
                  <c:v>8.8225882352941154E-2</c:v>
                </c:pt>
                <c:pt idx="419">
                  <c:v>8.8052994652406347E-2</c:v>
                </c:pt>
                <c:pt idx="420">
                  <c:v>8.7587593582887688E-2</c:v>
                </c:pt>
                <c:pt idx="421">
                  <c:v>8.728342245989297E-2</c:v>
                </c:pt>
                <c:pt idx="422">
                  <c:v>8.7229786096256617E-2</c:v>
                </c:pt>
                <c:pt idx="423">
                  <c:v>8.624754010695182E-2</c:v>
                </c:pt>
                <c:pt idx="424">
                  <c:v>8.5751176470588192E-2</c:v>
                </c:pt>
                <c:pt idx="425">
                  <c:v>8.5431925133689801E-2</c:v>
                </c:pt>
                <c:pt idx="426">
                  <c:v>8.5390481283422415E-2</c:v>
                </c:pt>
                <c:pt idx="427">
                  <c:v>8.5303636363636318E-2</c:v>
                </c:pt>
                <c:pt idx="428">
                  <c:v>8.496427807486627E-2</c:v>
                </c:pt>
                <c:pt idx="429">
                  <c:v>8.4794973262032058E-2</c:v>
                </c:pt>
                <c:pt idx="430">
                  <c:v>8.4794973262032058E-2</c:v>
                </c:pt>
                <c:pt idx="431">
                  <c:v>8.454320855614969E-2</c:v>
                </c:pt>
                <c:pt idx="432">
                  <c:v>8.454320855614969E-2</c:v>
                </c:pt>
                <c:pt idx="433">
                  <c:v>8.3695080213903705E-2</c:v>
                </c:pt>
                <c:pt idx="434">
                  <c:v>8.3228502673796764E-2</c:v>
                </c:pt>
                <c:pt idx="435">
                  <c:v>8.2788395721925118E-2</c:v>
                </c:pt>
                <c:pt idx="436">
                  <c:v>8.2583208556149715E-2</c:v>
                </c:pt>
                <c:pt idx="437">
                  <c:v>8.2518074866310145E-2</c:v>
                </c:pt>
                <c:pt idx="438">
                  <c:v>8.2518074866310145E-2</c:v>
                </c:pt>
                <c:pt idx="439">
                  <c:v>8.2345026737967897E-2</c:v>
                </c:pt>
                <c:pt idx="440">
                  <c:v>8.1899037433155075E-2</c:v>
                </c:pt>
                <c:pt idx="441">
                  <c:v>8.1612941176470596E-2</c:v>
                </c:pt>
                <c:pt idx="442">
                  <c:v>8.1429037433155077E-2</c:v>
                </c:pt>
                <c:pt idx="443">
                  <c:v>8.1466042780748635E-2</c:v>
                </c:pt>
                <c:pt idx="444">
                  <c:v>8.1569465240641695E-2</c:v>
                </c:pt>
                <c:pt idx="445">
                  <c:v>8.1743315508021372E-2</c:v>
                </c:pt>
                <c:pt idx="446">
                  <c:v>8.1855133689839557E-2</c:v>
                </c:pt>
                <c:pt idx="447">
                  <c:v>8.2412192513368968E-2</c:v>
                </c:pt>
                <c:pt idx="448">
                  <c:v>8.3112727272727241E-2</c:v>
                </c:pt>
                <c:pt idx="449">
                  <c:v>8.3282085561497285E-2</c:v>
                </c:pt>
                <c:pt idx="450">
                  <c:v>8.3408021390374301E-2</c:v>
                </c:pt>
                <c:pt idx="451">
                  <c:v>8.3452406417112254E-2</c:v>
                </c:pt>
                <c:pt idx="452">
                  <c:v>8.3565882352941157E-2</c:v>
                </c:pt>
                <c:pt idx="453">
                  <c:v>8.3837165775401082E-2</c:v>
                </c:pt>
                <c:pt idx="454">
                  <c:v>8.5283048128342254E-2</c:v>
                </c:pt>
                <c:pt idx="455">
                  <c:v>8.5283048128342254E-2</c:v>
                </c:pt>
                <c:pt idx="456">
                  <c:v>8.5813957219251322E-2</c:v>
                </c:pt>
                <c:pt idx="457">
                  <c:v>8.5985775401069511E-2</c:v>
                </c:pt>
                <c:pt idx="458">
                  <c:v>8.609711229946522E-2</c:v>
                </c:pt>
                <c:pt idx="459">
                  <c:v>8.6499732620320888E-2</c:v>
                </c:pt>
                <c:pt idx="460">
                  <c:v>8.6824385026738032E-2</c:v>
                </c:pt>
                <c:pt idx="461">
                  <c:v>8.6984652406417118E-2</c:v>
                </c:pt>
                <c:pt idx="462">
                  <c:v>8.7044705882352982E-2</c:v>
                </c:pt>
                <c:pt idx="463">
                  <c:v>8.7037860962566882E-2</c:v>
                </c:pt>
                <c:pt idx="464">
                  <c:v>8.7020855614973275E-2</c:v>
                </c:pt>
                <c:pt idx="465">
                  <c:v>8.7020855614973275E-2</c:v>
                </c:pt>
                <c:pt idx="466">
                  <c:v>8.6979197860962601E-2</c:v>
                </c:pt>
                <c:pt idx="467">
                  <c:v>8.6967058823529453E-2</c:v>
                </c:pt>
                <c:pt idx="468">
                  <c:v>8.6755775401069574E-2</c:v>
                </c:pt>
                <c:pt idx="469">
                  <c:v>8.6711229946524124E-2</c:v>
                </c:pt>
                <c:pt idx="470">
                  <c:v>8.6699037433155143E-2</c:v>
                </c:pt>
                <c:pt idx="471">
                  <c:v>8.6699037433155143E-2</c:v>
                </c:pt>
                <c:pt idx="472">
                  <c:v>8.6699037433155143E-2</c:v>
                </c:pt>
                <c:pt idx="473">
                  <c:v>8.6591443850267388E-2</c:v>
                </c:pt>
                <c:pt idx="474">
                  <c:v>8.6338288770053478E-2</c:v>
                </c:pt>
                <c:pt idx="475">
                  <c:v>8.6054331550802179E-2</c:v>
                </c:pt>
                <c:pt idx="476">
                  <c:v>8.5554759358288809E-2</c:v>
                </c:pt>
                <c:pt idx="477">
                  <c:v>8.5554759358288809E-2</c:v>
                </c:pt>
                <c:pt idx="478">
                  <c:v>8.5110695187165811E-2</c:v>
                </c:pt>
                <c:pt idx="479">
                  <c:v>8.4759625668449218E-2</c:v>
                </c:pt>
                <c:pt idx="480">
                  <c:v>8.4759625668449218E-2</c:v>
                </c:pt>
                <c:pt idx="481">
                  <c:v>8.3433957219251342E-2</c:v>
                </c:pt>
                <c:pt idx="482">
                  <c:v>8.3380802139037438E-2</c:v>
                </c:pt>
                <c:pt idx="483">
                  <c:v>8.3352513368983958E-2</c:v>
                </c:pt>
                <c:pt idx="484">
                  <c:v>8.3058823529411741E-2</c:v>
                </c:pt>
                <c:pt idx="485">
                  <c:v>8.3058823529411741E-2</c:v>
                </c:pt>
                <c:pt idx="486">
                  <c:v>8.3040053475935807E-2</c:v>
                </c:pt>
                <c:pt idx="487">
                  <c:v>8.2757112299465196E-2</c:v>
                </c:pt>
                <c:pt idx="488">
                  <c:v>8.2601069518716541E-2</c:v>
                </c:pt>
                <c:pt idx="489">
                  <c:v>8.2297272727272733E-2</c:v>
                </c:pt>
                <c:pt idx="490">
                  <c:v>8.2269625668449212E-2</c:v>
                </c:pt>
                <c:pt idx="491">
                  <c:v>8.2181443850267377E-2</c:v>
                </c:pt>
                <c:pt idx="492">
                  <c:v>8.2092566844919765E-2</c:v>
                </c:pt>
                <c:pt idx="493">
                  <c:v>8.2024491978609601E-2</c:v>
                </c:pt>
                <c:pt idx="494">
                  <c:v>8.1968449197860935E-2</c:v>
                </c:pt>
                <c:pt idx="495">
                  <c:v>8.1958770053475918E-2</c:v>
                </c:pt>
                <c:pt idx="496">
                  <c:v>8.1769090909090889E-2</c:v>
                </c:pt>
                <c:pt idx="497">
                  <c:v>8.1769090909090889E-2</c:v>
                </c:pt>
                <c:pt idx="498">
                  <c:v>8.1755401069518702E-2</c:v>
                </c:pt>
                <c:pt idx="499">
                  <c:v>8.1605347593582858E-2</c:v>
                </c:pt>
                <c:pt idx="500">
                  <c:v>8.1548609625668428E-2</c:v>
                </c:pt>
                <c:pt idx="501">
                  <c:v>8.1357058823529435E-2</c:v>
                </c:pt>
                <c:pt idx="502">
                  <c:v>8.1357058823529435E-2</c:v>
                </c:pt>
                <c:pt idx="503">
                  <c:v>8.1097967914438504E-2</c:v>
                </c:pt>
                <c:pt idx="504">
                  <c:v>8.0512941176470579E-2</c:v>
                </c:pt>
                <c:pt idx="505">
                  <c:v>8.0315294117647054E-2</c:v>
                </c:pt>
                <c:pt idx="506">
                  <c:v>7.9981390374331579E-2</c:v>
                </c:pt>
                <c:pt idx="507">
                  <c:v>7.984647058823531E-2</c:v>
                </c:pt>
                <c:pt idx="508">
                  <c:v>7.9440106951871661E-2</c:v>
                </c:pt>
                <c:pt idx="509">
                  <c:v>7.8637700534759353E-2</c:v>
                </c:pt>
                <c:pt idx="510">
                  <c:v>7.8484010695187165E-2</c:v>
                </c:pt>
                <c:pt idx="511">
                  <c:v>7.8479893048128344E-2</c:v>
                </c:pt>
                <c:pt idx="512">
                  <c:v>7.8299251336898412E-2</c:v>
                </c:pt>
                <c:pt idx="513">
                  <c:v>7.8194117647058831E-2</c:v>
                </c:pt>
                <c:pt idx="514">
                  <c:v>7.7889144385026712E-2</c:v>
                </c:pt>
                <c:pt idx="515">
                  <c:v>7.7527058823529379E-2</c:v>
                </c:pt>
                <c:pt idx="516">
                  <c:v>7.7213368983957212E-2</c:v>
                </c:pt>
                <c:pt idx="517">
                  <c:v>7.71770053475936E-2</c:v>
                </c:pt>
                <c:pt idx="518">
                  <c:v>7.714609625668449E-2</c:v>
                </c:pt>
                <c:pt idx="519">
                  <c:v>7.7075989304812839E-2</c:v>
                </c:pt>
                <c:pt idx="520">
                  <c:v>7.705716577540106E-2</c:v>
                </c:pt>
                <c:pt idx="521">
                  <c:v>7.7047540106951862E-2</c:v>
                </c:pt>
                <c:pt idx="522">
                  <c:v>7.7038930481283407E-2</c:v>
                </c:pt>
                <c:pt idx="523">
                  <c:v>7.6974545454545448E-2</c:v>
                </c:pt>
                <c:pt idx="524">
                  <c:v>7.6757486631016059E-2</c:v>
                </c:pt>
                <c:pt idx="525">
                  <c:v>7.6757486631016059E-2</c:v>
                </c:pt>
                <c:pt idx="526">
                  <c:v>7.6631336898395783E-2</c:v>
                </c:pt>
                <c:pt idx="527">
                  <c:v>7.6363796791443894E-2</c:v>
                </c:pt>
                <c:pt idx="528">
                  <c:v>7.6248342245989364E-2</c:v>
                </c:pt>
                <c:pt idx="529">
                  <c:v>7.6248342245989364E-2</c:v>
                </c:pt>
                <c:pt idx="530">
                  <c:v>7.6081443850267397E-2</c:v>
                </c:pt>
                <c:pt idx="531">
                  <c:v>7.6055240641711236E-2</c:v>
                </c:pt>
                <c:pt idx="532">
                  <c:v>7.5857647058823557E-2</c:v>
                </c:pt>
                <c:pt idx="533">
                  <c:v>7.5857647058823557E-2</c:v>
                </c:pt>
                <c:pt idx="534">
                  <c:v>7.5284759358288808E-2</c:v>
                </c:pt>
                <c:pt idx="535">
                  <c:v>7.4750053475935857E-2</c:v>
                </c:pt>
                <c:pt idx="536">
                  <c:v>7.2704598930481271E-2</c:v>
                </c:pt>
                <c:pt idx="537">
                  <c:v>7.2540320855614959E-2</c:v>
                </c:pt>
                <c:pt idx="538">
                  <c:v>7.2540320855614959E-2</c:v>
                </c:pt>
                <c:pt idx="539">
                  <c:v>7.2006791443850235E-2</c:v>
                </c:pt>
                <c:pt idx="540">
                  <c:v>7.1960748663101579E-2</c:v>
                </c:pt>
                <c:pt idx="541">
                  <c:v>7.1636256684491958E-2</c:v>
                </c:pt>
                <c:pt idx="542">
                  <c:v>7.0628663101604289E-2</c:v>
                </c:pt>
                <c:pt idx="543">
                  <c:v>7.0628663101604289E-2</c:v>
                </c:pt>
                <c:pt idx="544">
                  <c:v>7.0524171122994653E-2</c:v>
                </c:pt>
                <c:pt idx="545">
                  <c:v>7.0294759358288758E-2</c:v>
                </c:pt>
                <c:pt idx="546">
                  <c:v>6.9722941176470585E-2</c:v>
                </c:pt>
                <c:pt idx="547">
                  <c:v>6.916513368983955E-2</c:v>
                </c:pt>
                <c:pt idx="548">
                  <c:v>6.881069518716576E-2</c:v>
                </c:pt>
                <c:pt idx="549">
                  <c:v>6.8738395721925138E-2</c:v>
                </c:pt>
                <c:pt idx="550">
                  <c:v>6.8738395721925138E-2</c:v>
                </c:pt>
                <c:pt idx="551">
                  <c:v>6.7392941176470586E-2</c:v>
                </c:pt>
                <c:pt idx="552">
                  <c:v>6.7233850267379686E-2</c:v>
                </c:pt>
                <c:pt idx="553">
                  <c:v>6.7156256684491974E-2</c:v>
                </c:pt>
                <c:pt idx="554">
                  <c:v>6.6717647058823507E-2</c:v>
                </c:pt>
                <c:pt idx="555">
                  <c:v>6.6498074866310139E-2</c:v>
                </c:pt>
                <c:pt idx="556">
                  <c:v>6.6419518716577516E-2</c:v>
                </c:pt>
                <c:pt idx="557">
                  <c:v>6.5997165775401059E-2</c:v>
                </c:pt>
                <c:pt idx="558">
                  <c:v>6.5804598930481267E-2</c:v>
                </c:pt>
                <c:pt idx="559">
                  <c:v>6.5738877005347585E-2</c:v>
                </c:pt>
                <c:pt idx="560">
                  <c:v>6.5738877005347585E-2</c:v>
                </c:pt>
                <c:pt idx="561">
                  <c:v>6.5738877005347585E-2</c:v>
                </c:pt>
                <c:pt idx="562">
                  <c:v>6.5612727272727267E-2</c:v>
                </c:pt>
                <c:pt idx="563">
                  <c:v>6.5278930481283429E-2</c:v>
                </c:pt>
                <c:pt idx="564">
                  <c:v>6.5055721925133703E-2</c:v>
                </c:pt>
                <c:pt idx="565">
                  <c:v>6.4985614973262051E-2</c:v>
                </c:pt>
                <c:pt idx="566">
                  <c:v>6.4907540106951878E-2</c:v>
                </c:pt>
                <c:pt idx="567">
                  <c:v>6.4546363636363624E-2</c:v>
                </c:pt>
                <c:pt idx="568">
                  <c:v>6.4546363636363624E-2</c:v>
                </c:pt>
                <c:pt idx="569">
                  <c:v>6.4448288770053472E-2</c:v>
                </c:pt>
                <c:pt idx="570">
                  <c:v>6.4408502673796775E-2</c:v>
                </c:pt>
                <c:pt idx="571">
                  <c:v>6.4363582887700527E-2</c:v>
                </c:pt>
                <c:pt idx="572">
                  <c:v>6.4101443850267364E-2</c:v>
                </c:pt>
                <c:pt idx="573">
                  <c:v>6.4025882352941169E-2</c:v>
                </c:pt>
                <c:pt idx="574">
                  <c:v>6.3696791443850265E-2</c:v>
                </c:pt>
                <c:pt idx="575">
                  <c:v>6.3511925133689848E-2</c:v>
                </c:pt>
                <c:pt idx="576">
                  <c:v>6.3352780748663101E-2</c:v>
                </c:pt>
                <c:pt idx="577">
                  <c:v>6.3452727272727258E-2</c:v>
                </c:pt>
                <c:pt idx="578">
                  <c:v>6.3913422459893024E-2</c:v>
                </c:pt>
                <c:pt idx="579">
                  <c:v>6.6347112299465258E-2</c:v>
                </c:pt>
                <c:pt idx="580">
                  <c:v>6.6737219251336924E-2</c:v>
                </c:pt>
                <c:pt idx="581">
                  <c:v>6.8323850267379707E-2</c:v>
                </c:pt>
                <c:pt idx="582">
                  <c:v>7.2045668449197839E-2</c:v>
                </c:pt>
                <c:pt idx="583">
                  <c:v>7.2045668449197839E-2</c:v>
                </c:pt>
                <c:pt idx="584">
                  <c:v>7.2567647058823501E-2</c:v>
                </c:pt>
                <c:pt idx="585">
                  <c:v>7.3159358288770016E-2</c:v>
                </c:pt>
                <c:pt idx="586">
                  <c:v>7.3159358288770016E-2</c:v>
                </c:pt>
                <c:pt idx="587">
                  <c:v>7.352133689839567E-2</c:v>
                </c:pt>
                <c:pt idx="588">
                  <c:v>7.5212513368983894E-2</c:v>
                </c:pt>
                <c:pt idx="589">
                  <c:v>7.5506149732620279E-2</c:v>
                </c:pt>
                <c:pt idx="590">
                  <c:v>7.5622994652406378E-2</c:v>
                </c:pt>
                <c:pt idx="591">
                  <c:v>7.589470588235292E-2</c:v>
                </c:pt>
                <c:pt idx="592">
                  <c:v>7.589470588235292E-2</c:v>
                </c:pt>
                <c:pt idx="593">
                  <c:v>7.599850267379675E-2</c:v>
                </c:pt>
                <c:pt idx="594">
                  <c:v>7.6090909090909042E-2</c:v>
                </c:pt>
                <c:pt idx="595">
                  <c:v>7.6214331550802095E-2</c:v>
                </c:pt>
                <c:pt idx="596">
                  <c:v>7.7151176470588251E-2</c:v>
                </c:pt>
                <c:pt idx="597">
                  <c:v>7.1591550802139067E-2</c:v>
                </c:pt>
                <c:pt idx="598">
                  <c:v>7.1309465240641745E-2</c:v>
                </c:pt>
                <c:pt idx="599">
                  <c:v>7.0600588235294165E-2</c:v>
                </c:pt>
                <c:pt idx="600">
                  <c:v>6.9838877005347577E-2</c:v>
                </c:pt>
                <c:pt idx="601">
                  <c:v>6.8613155080213886E-2</c:v>
                </c:pt>
                <c:pt idx="602">
                  <c:v>6.8541711229946498E-2</c:v>
                </c:pt>
                <c:pt idx="603">
                  <c:v>6.8541711229946498E-2</c:v>
                </c:pt>
                <c:pt idx="604">
                  <c:v>6.8078823529411747E-2</c:v>
                </c:pt>
                <c:pt idx="605">
                  <c:v>6.8012459893048105E-2</c:v>
                </c:pt>
                <c:pt idx="606">
                  <c:v>6.7664224598930456E-2</c:v>
                </c:pt>
                <c:pt idx="607">
                  <c:v>6.6753529411764684E-2</c:v>
                </c:pt>
                <c:pt idx="608">
                  <c:v>6.6482299465240619E-2</c:v>
                </c:pt>
                <c:pt idx="609">
                  <c:v>6.4544919786096236E-2</c:v>
                </c:pt>
                <c:pt idx="610">
                  <c:v>6.3988663101604226E-2</c:v>
                </c:pt>
                <c:pt idx="611">
                  <c:v>6.4065561497326201E-2</c:v>
                </c:pt>
                <c:pt idx="612">
                  <c:v>6.4054866310160441E-2</c:v>
                </c:pt>
                <c:pt idx="613">
                  <c:v>6.4046951871657778E-2</c:v>
                </c:pt>
                <c:pt idx="614">
                  <c:v>6.400732620320855E-2</c:v>
                </c:pt>
                <c:pt idx="615">
                  <c:v>6.4046524064171134E-2</c:v>
                </c:pt>
                <c:pt idx="616">
                  <c:v>6.4050962566844935E-2</c:v>
                </c:pt>
                <c:pt idx="617">
                  <c:v>6.4934278074866333E-2</c:v>
                </c:pt>
                <c:pt idx="618">
                  <c:v>6.5434491978609649E-2</c:v>
                </c:pt>
                <c:pt idx="619">
                  <c:v>6.7707272727272783E-2</c:v>
                </c:pt>
                <c:pt idx="620">
                  <c:v>6.8419090909090916E-2</c:v>
                </c:pt>
                <c:pt idx="621">
                  <c:v>6.8597914438502647E-2</c:v>
                </c:pt>
                <c:pt idx="622">
                  <c:v>6.8587005347593558E-2</c:v>
                </c:pt>
                <c:pt idx="623">
                  <c:v>6.8557058823529388E-2</c:v>
                </c:pt>
                <c:pt idx="624">
                  <c:v>6.8473208556149717E-2</c:v>
                </c:pt>
                <c:pt idx="625">
                  <c:v>6.846160427807485E-2</c:v>
                </c:pt>
                <c:pt idx="626">
                  <c:v>6.830352941176468E-2</c:v>
                </c:pt>
                <c:pt idx="627">
                  <c:v>6.8284117647058828E-2</c:v>
                </c:pt>
                <c:pt idx="628">
                  <c:v>6.8282887700534756E-2</c:v>
                </c:pt>
                <c:pt idx="629">
                  <c:v>6.8217058823529408E-2</c:v>
                </c:pt>
                <c:pt idx="630">
                  <c:v>6.8217058823529408E-2</c:v>
                </c:pt>
                <c:pt idx="631">
                  <c:v>6.8108395721925133E-2</c:v>
                </c:pt>
                <c:pt idx="632">
                  <c:v>6.7869304812834208E-2</c:v>
                </c:pt>
                <c:pt idx="633">
                  <c:v>6.8054117647058807E-2</c:v>
                </c:pt>
                <c:pt idx="634">
                  <c:v>6.7693475935828903E-2</c:v>
                </c:pt>
                <c:pt idx="635">
                  <c:v>6.7025294117647044E-2</c:v>
                </c:pt>
                <c:pt idx="636">
                  <c:v>6.696540106951869E-2</c:v>
                </c:pt>
                <c:pt idx="637">
                  <c:v>6.5319518716577554E-2</c:v>
                </c:pt>
                <c:pt idx="638">
                  <c:v>6.1051122994652388E-2</c:v>
                </c:pt>
                <c:pt idx="639">
                  <c:v>6.0982513368983943E-2</c:v>
                </c:pt>
                <c:pt idx="640">
                  <c:v>5.9409197860962576E-2</c:v>
                </c:pt>
                <c:pt idx="641">
                  <c:v>5.8200962566844941E-2</c:v>
                </c:pt>
                <c:pt idx="642">
                  <c:v>5.7980855614973272E-2</c:v>
                </c:pt>
                <c:pt idx="643">
                  <c:v>5.7701925133689838E-2</c:v>
                </c:pt>
                <c:pt idx="644">
                  <c:v>5.7043903743315513E-2</c:v>
                </c:pt>
                <c:pt idx="645">
                  <c:v>5.6306256684491962E-2</c:v>
                </c:pt>
                <c:pt idx="646">
                  <c:v>5.5168716577540106E-2</c:v>
                </c:pt>
                <c:pt idx="647">
                  <c:v>5.4915133689839565E-2</c:v>
                </c:pt>
                <c:pt idx="648">
                  <c:v>5.3170855614973291E-2</c:v>
                </c:pt>
                <c:pt idx="649">
                  <c:v>5.3099465240641713E-2</c:v>
                </c:pt>
                <c:pt idx="650">
                  <c:v>5.3099465240641713E-2</c:v>
                </c:pt>
                <c:pt idx="651">
                  <c:v>5.3540427807486662E-2</c:v>
                </c:pt>
                <c:pt idx="652">
                  <c:v>5.9195080213903802E-2</c:v>
                </c:pt>
                <c:pt idx="653">
                  <c:v>5.9942566844919824E-2</c:v>
                </c:pt>
                <c:pt idx="654">
                  <c:v>6.1620641711230009E-2</c:v>
                </c:pt>
                <c:pt idx="655">
                  <c:v>6.1971978609625722E-2</c:v>
                </c:pt>
                <c:pt idx="656">
                  <c:v>6.1945347593582875E-2</c:v>
                </c:pt>
                <c:pt idx="657">
                  <c:v>6.1835294117647009E-2</c:v>
                </c:pt>
                <c:pt idx="658">
                  <c:v>6.1804652406417075E-2</c:v>
                </c:pt>
                <c:pt idx="659">
                  <c:v>6.1473957219251293E-2</c:v>
                </c:pt>
                <c:pt idx="660">
                  <c:v>6.1422406417112267E-2</c:v>
                </c:pt>
                <c:pt idx="661">
                  <c:v>6.1121818181818152E-2</c:v>
                </c:pt>
                <c:pt idx="662">
                  <c:v>6.0046363636363662E-2</c:v>
                </c:pt>
                <c:pt idx="663">
                  <c:v>5.9966791443850281E-2</c:v>
                </c:pt>
                <c:pt idx="664">
                  <c:v>5.980283422459895E-2</c:v>
                </c:pt>
                <c:pt idx="665">
                  <c:v>5.870566844919789E-2</c:v>
                </c:pt>
                <c:pt idx="666">
                  <c:v>5.8647005347593623E-2</c:v>
                </c:pt>
                <c:pt idx="667">
                  <c:v>5.7538823529411767E-2</c:v>
                </c:pt>
                <c:pt idx="668">
                  <c:v>5.6632085561497333E-2</c:v>
                </c:pt>
                <c:pt idx="669">
                  <c:v>5.6132406417112278E-2</c:v>
                </c:pt>
                <c:pt idx="670">
                  <c:v>5.5390641711229927E-2</c:v>
                </c:pt>
                <c:pt idx="671">
                  <c:v>5.5390641711229927E-2</c:v>
                </c:pt>
                <c:pt idx="672">
                  <c:v>5.498112299465243E-2</c:v>
                </c:pt>
                <c:pt idx="673">
                  <c:v>5.4715240641711217E-2</c:v>
                </c:pt>
                <c:pt idx="674">
                  <c:v>5.4693262032085549E-2</c:v>
                </c:pt>
                <c:pt idx="675">
                  <c:v>5.441401069518715E-2</c:v>
                </c:pt>
                <c:pt idx="676">
                  <c:v>5.445424064171122E-2</c:v>
                </c:pt>
                <c:pt idx="677">
                  <c:v>5.4752021390374342E-2</c:v>
                </c:pt>
                <c:pt idx="678">
                  <c:v>5.4750887700534774E-2</c:v>
                </c:pt>
                <c:pt idx="679">
                  <c:v>5.4853593582887661E-2</c:v>
                </c:pt>
                <c:pt idx="680">
                  <c:v>5.4515224598930462E-2</c:v>
                </c:pt>
                <c:pt idx="681">
                  <c:v>5.4479106951871636E-2</c:v>
                </c:pt>
                <c:pt idx="682">
                  <c:v>5.3450486631016092E-2</c:v>
                </c:pt>
                <c:pt idx="683">
                  <c:v>5.3410893048128363E-2</c:v>
                </c:pt>
                <c:pt idx="684">
                  <c:v>5.3363652406417134E-2</c:v>
                </c:pt>
                <c:pt idx="685">
                  <c:v>5.328591443850271E-2</c:v>
                </c:pt>
                <c:pt idx="686">
                  <c:v>5.3252459893048151E-2</c:v>
                </c:pt>
                <c:pt idx="687">
                  <c:v>5.3016631016042808E-2</c:v>
                </c:pt>
                <c:pt idx="688">
                  <c:v>5.3016631016042808E-2</c:v>
                </c:pt>
                <c:pt idx="689">
                  <c:v>5.26638502673797E-2</c:v>
                </c:pt>
                <c:pt idx="690">
                  <c:v>5.1852914438502665E-2</c:v>
                </c:pt>
                <c:pt idx="691">
                  <c:v>5.1643465240641694E-2</c:v>
                </c:pt>
                <c:pt idx="692">
                  <c:v>5.0055117647058826E-2</c:v>
                </c:pt>
                <c:pt idx="693">
                  <c:v>4.9850524064171148E-2</c:v>
                </c:pt>
                <c:pt idx="694">
                  <c:v>4.972314438502675E-2</c:v>
                </c:pt>
                <c:pt idx="695">
                  <c:v>4.9517882352941162E-2</c:v>
                </c:pt>
                <c:pt idx="696">
                  <c:v>4.9249074866310145E-2</c:v>
                </c:pt>
                <c:pt idx="697">
                  <c:v>4.8844171122994676E-2</c:v>
                </c:pt>
                <c:pt idx="698">
                  <c:v>4.8658946524064203E-2</c:v>
                </c:pt>
                <c:pt idx="699">
                  <c:v>4.7977363636363624E-2</c:v>
                </c:pt>
                <c:pt idx="700">
                  <c:v>4.7953336898395718E-2</c:v>
                </c:pt>
                <c:pt idx="701">
                  <c:v>4.7807438502673785E-2</c:v>
                </c:pt>
                <c:pt idx="702">
                  <c:v>4.8141203208556117E-2</c:v>
                </c:pt>
                <c:pt idx="703">
                  <c:v>4.8453497326203174E-2</c:v>
                </c:pt>
                <c:pt idx="704">
                  <c:v>4.8506139037433137E-2</c:v>
                </c:pt>
                <c:pt idx="705">
                  <c:v>4.8654786096256654E-2</c:v>
                </c:pt>
                <c:pt idx="706">
                  <c:v>4.8709711229946502E-2</c:v>
                </c:pt>
                <c:pt idx="707">
                  <c:v>4.8709711229946502E-2</c:v>
                </c:pt>
                <c:pt idx="708">
                  <c:v>4.8813614973262011E-2</c:v>
                </c:pt>
                <c:pt idx="709">
                  <c:v>4.8828989304812817E-2</c:v>
                </c:pt>
                <c:pt idx="710">
                  <c:v>4.8828989304812817E-2</c:v>
                </c:pt>
                <c:pt idx="711">
                  <c:v>4.894509090909091E-2</c:v>
                </c:pt>
                <c:pt idx="712">
                  <c:v>4.9333240641711219E-2</c:v>
                </c:pt>
                <c:pt idx="713">
                  <c:v>4.9397807486631001E-2</c:v>
                </c:pt>
                <c:pt idx="714">
                  <c:v>4.9400149732620316E-2</c:v>
                </c:pt>
                <c:pt idx="715">
                  <c:v>4.9400149732620316E-2</c:v>
                </c:pt>
                <c:pt idx="716">
                  <c:v>4.9516748663101601E-2</c:v>
                </c:pt>
                <c:pt idx="717">
                  <c:v>4.9516748663101601E-2</c:v>
                </c:pt>
                <c:pt idx="718">
                  <c:v>4.9836919786096279E-2</c:v>
                </c:pt>
                <c:pt idx="719">
                  <c:v>5.0502347593582908E-2</c:v>
                </c:pt>
                <c:pt idx="720">
                  <c:v>5.0502347593582908E-2</c:v>
                </c:pt>
                <c:pt idx="721">
                  <c:v>5.0618133689839591E-2</c:v>
                </c:pt>
                <c:pt idx="722">
                  <c:v>5.0671770053475944E-2</c:v>
                </c:pt>
                <c:pt idx="723">
                  <c:v>5.1032716577540105E-2</c:v>
                </c:pt>
                <c:pt idx="724">
                  <c:v>5.1023614973262042E-2</c:v>
                </c:pt>
                <c:pt idx="725">
                  <c:v>5.1042524064171126E-2</c:v>
                </c:pt>
                <c:pt idx="726">
                  <c:v>5.1027598930481324E-2</c:v>
                </c:pt>
                <c:pt idx="727">
                  <c:v>5.1027598930481324E-2</c:v>
                </c:pt>
                <c:pt idx="728">
                  <c:v>5.0998705882352967E-2</c:v>
                </c:pt>
                <c:pt idx="729">
                  <c:v>5.0941288770053501E-2</c:v>
                </c:pt>
                <c:pt idx="730">
                  <c:v>5.0871310160427841E-2</c:v>
                </c:pt>
                <c:pt idx="731">
                  <c:v>5.0871310160427841E-2</c:v>
                </c:pt>
                <c:pt idx="732">
                  <c:v>5.0823278074866307E-2</c:v>
                </c:pt>
                <c:pt idx="733">
                  <c:v>5.0813245989304819E-2</c:v>
                </c:pt>
                <c:pt idx="734">
                  <c:v>5.089249197860965E-2</c:v>
                </c:pt>
                <c:pt idx="735">
                  <c:v>5.0906197860962572E-2</c:v>
                </c:pt>
                <c:pt idx="736">
                  <c:v>5.0894759358288771E-2</c:v>
                </c:pt>
                <c:pt idx="737">
                  <c:v>5.0866106951871659E-2</c:v>
                </c:pt>
                <c:pt idx="738">
                  <c:v>4.9480358288770052E-2</c:v>
                </c:pt>
                <c:pt idx="739">
                  <c:v>4.8618967914438524E-2</c:v>
                </c:pt>
                <c:pt idx="740">
                  <c:v>4.835826737967916E-2</c:v>
                </c:pt>
                <c:pt idx="741">
                  <c:v>4.8005727272727283E-2</c:v>
                </c:pt>
                <c:pt idx="742">
                  <c:v>4.76597860962567E-2</c:v>
                </c:pt>
                <c:pt idx="743">
                  <c:v>4.7132582887700558E-2</c:v>
                </c:pt>
                <c:pt idx="744">
                  <c:v>4.7076144385026754E-2</c:v>
                </c:pt>
                <c:pt idx="745">
                  <c:v>4.6529721925133667E-2</c:v>
                </c:pt>
                <c:pt idx="746">
                  <c:v>4.633637967914437E-2</c:v>
                </c:pt>
                <c:pt idx="747">
                  <c:v>4.5994839572192518E-2</c:v>
                </c:pt>
                <c:pt idx="748">
                  <c:v>4.5328224598930524E-2</c:v>
                </c:pt>
                <c:pt idx="749">
                  <c:v>4.5181609625668494E-2</c:v>
                </c:pt>
                <c:pt idx="750">
                  <c:v>4.5171155080213951E-2</c:v>
                </c:pt>
                <c:pt idx="751">
                  <c:v>4.5171155080213951E-2</c:v>
                </c:pt>
                <c:pt idx="752">
                  <c:v>4.5152566844919827E-2</c:v>
                </c:pt>
                <c:pt idx="753">
                  <c:v>4.5264331550802152E-2</c:v>
                </c:pt>
                <c:pt idx="754">
                  <c:v>4.5297941176470596E-2</c:v>
                </c:pt>
                <c:pt idx="755">
                  <c:v>4.534712834224601E-2</c:v>
                </c:pt>
                <c:pt idx="756">
                  <c:v>4.5303737967914433E-2</c:v>
                </c:pt>
                <c:pt idx="757">
                  <c:v>4.5298459893048128E-2</c:v>
                </c:pt>
                <c:pt idx="758">
                  <c:v>4.5252775401069534E-2</c:v>
                </c:pt>
                <c:pt idx="759">
                  <c:v>4.5249582887700555E-2</c:v>
                </c:pt>
                <c:pt idx="760">
                  <c:v>4.5249582887700555E-2</c:v>
                </c:pt>
                <c:pt idx="761">
                  <c:v>4.5241802139037453E-2</c:v>
                </c:pt>
                <c:pt idx="762">
                  <c:v>4.5241802139037453E-2</c:v>
                </c:pt>
                <c:pt idx="763">
                  <c:v>4.5203491978609636E-2</c:v>
                </c:pt>
                <c:pt idx="764">
                  <c:v>4.5163347593582891E-2</c:v>
                </c:pt>
                <c:pt idx="765">
                  <c:v>4.5166935828877021E-2</c:v>
                </c:pt>
                <c:pt idx="766">
                  <c:v>4.5166935828877021E-2</c:v>
                </c:pt>
                <c:pt idx="767">
                  <c:v>4.5225139037433151E-2</c:v>
                </c:pt>
                <c:pt idx="768">
                  <c:v>4.5306550802139058E-2</c:v>
                </c:pt>
                <c:pt idx="769">
                  <c:v>4.6509229946524067E-2</c:v>
                </c:pt>
                <c:pt idx="770">
                  <c:v>4.8652770053475923E-2</c:v>
                </c:pt>
                <c:pt idx="771">
                  <c:v>4.8652770053475923E-2</c:v>
                </c:pt>
                <c:pt idx="772">
                  <c:v>4.9311181818181789E-2</c:v>
                </c:pt>
                <c:pt idx="773">
                  <c:v>4.9349652406417074E-2</c:v>
                </c:pt>
                <c:pt idx="774">
                  <c:v>4.9579390374331546E-2</c:v>
                </c:pt>
                <c:pt idx="775">
                  <c:v>4.9669764705882392E-2</c:v>
                </c:pt>
                <c:pt idx="776">
                  <c:v>4.9729935828877039E-2</c:v>
                </c:pt>
                <c:pt idx="777">
                  <c:v>4.9790465240641728E-2</c:v>
                </c:pt>
                <c:pt idx="778">
                  <c:v>4.9721914438502698E-2</c:v>
                </c:pt>
                <c:pt idx="779">
                  <c:v>4.9477090909090922E-2</c:v>
                </c:pt>
                <c:pt idx="780">
                  <c:v>4.9436459893048131E-2</c:v>
                </c:pt>
                <c:pt idx="781">
                  <c:v>4.9403310160427816E-2</c:v>
                </c:pt>
                <c:pt idx="782">
                  <c:v>4.9293711229946531E-2</c:v>
                </c:pt>
                <c:pt idx="783">
                  <c:v>4.9219106951871643E-2</c:v>
                </c:pt>
                <c:pt idx="784">
                  <c:v>4.9077962566844928E-2</c:v>
                </c:pt>
                <c:pt idx="785">
                  <c:v>4.8560171122994662E-2</c:v>
                </c:pt>
                <c:pt idx="786">
                  <c:v>4.8446112299465244E-2</c:v>
                </c:pt>
                <c:pt idx="787">
                  <c:v>4.8420486631016044E-2</c:v>
                </c:pt>
                <c:pt idx="788">
                  <c:v>4.8397754010695182E-2</c:v>
                </c:pt>
                <c:pt idx="789">
                  <c:v>4.829593048128341E-2</c:v>
                </c:pt>
                <c:pt idx="790">
                  <c:v>4.8148540106951861E-2</c:v>
                </c:pt>
                <c:pt idx="791">
                  <c:v>4.8432823529411757E-2</c:v>
                </c:pt>
                <c:pt idx="792">
                  <c:v>4.8432823529411757E-2</c:v>
                </c:pt>
                <c:pt idx="793">
                  <c:v>4.8453652406417115E-2</c:v>
                </c:pt>
                <c:pt idx="794">
                  <c:v>4.8576737967914445E-2</c:v>
                </c:pt>
                <c:pt idx="795">
                  <c:v>4.8700069518716589E-2</c:v>
                </c:pt>
                <c:pt idx="796">
                  <c:v>4.876901604278075E-2</c:v>
                </c:pt>
                <c:pt idx="797">
                  <c:v>4.9109887700534774E-2</c:v>
                </c:pt>
                <c:pt idx="798">
                  <c:v>4.9143491978609628E-2</c:v>
                </c:pt>
                <c:pt idx="799">
                  <c:v>4.9123684491978618E-2</c:v>
                </c:pt>
                <c:pt idx="800">
                  <c:v>4.9157887700534746E-2</c:v>
                </c:pt>
                <c:pt idx="801">
                  <c:v>4.9161342245989295E-2</c:v>
                </c:pt>
                <c:pt idx="802">
                  <c:v>4.9120983957219228E-2</c:v>
                </c:pt>
                <c:pt idx="803">
                  <c:v>4.9071855614973237E-2</c:v>
                </c:pt>
                <c:pt idx="804">
                  <c:v>4.8938026737967891E-2</c:v>
                </c:pt>
                <c:pt idx="805">
                  <c:v>4.8912021390374316E-2</c:v>
                </c:pt>
                <c:pt idx="806">
                  <c:v>4.8842395721925114E-2</c:v>
                </c:pt>
                <c:pt idx="807">
                  <c:v>4.8810871657753989E-2</c:v>
                </c:pt>
                <c:pt idx="808">
                  <c:v>4.8661342245989288E-2</c:v>
                </c:pt>
                <c:pt idx="809">
                  <c:v>4.863074331550802E-2</c:v>
                </c:pt>
                <c:pt idx="810">
                  <c:v>4.8609946524064168E-2</c:v>
                </c:pt>
                <c:pt idx="811">
                  <c:v>4.8609946524064168E-2</c:v>
                </c:pt>
                <c:pt idx="812">
                  <c:v>4.8609946524064168E-2</c:v>
                </c:pt>
                <c:pt idx="813">
                  <c:v>4.8576294117647051E-2</c:v>
                </c:pt>
                <c:pt idx="814">
                  <c:v>4.8312294117647051E-2</c:v>
                </c:pt>
                <c:pt idx="815">
                  <c:v>4.812744385026739E-2</c:v>
                </c:pt>
                <c:pt idx="816">
                  <c:v>4.812744385026739E-2</c:v>
                </c:pt>
                <c:pt idx="817">
                  <c:v>4.7755042780748685E-2</c:v>
                </c:pt>
                <c:pt idx="818">
                  <c:v>4.7755042780748685E-2</c:v>
                </c:pt>
                <c:pt idx="819">
                  <c:v>4.758215508021392E-2</c:v>
                </c:pt>
                <c:pt idx="820">
                  <c:v>4.6300080213903735E-2</c:v>
                </c:pt>
                <c:pt idx="821">
                  <c:v>4.5317465240641688E-2</c:v>
                </c:pt>
                <c:pt idx="822">
                  <c:v>4.5222604278074834E-2</c:v>
                </c:pt>
                <c:pt idx="823">
                  <c:v>4.5178251336898366E-2</c:v>
                </c:pt>
                <c:pt idx="824">
                  <c:v>4.4982417112299437E-2</c:v>
                </c:pt>
                <c:pt idx="825">
                  <c:v>4.4982417112299437E-2</c:v>
                </c:pt>
                <c:pt idx="826">
                  <c:v>4.504281818181817E-2</c:v>
                </c:pt>
                <c:pt idx="827">
                  <c:v>4.5005406417112294E-2</c:v>
                </c:pt>
                <c:pt idx="828">
                  <c:v>4.4788877005347581E-2</c:v>
                </c:pt>
                <c:pt idx="829">
                  <c:v>4.4796122994652396E-2</c:v>
                </c:pt>
                <c:pt idx="830">
                  <c:v>4.4796122994652396E-2</c:v>
                </c:pt>
                <c:pt idx="831">
                  <c:v>4.4796122994652396E-2</c:v>
                </c:pt>
                <c:pt idx="832">
                  <c:v>4.4781545454545463E-2</c:v>
                </c:pt>
                <c:pt idx="833">
                  <c:v>4.4753754010695181E-2</c:v>
                </c:pt>
                <c:pt idx="834">
                  <c:v>4.4712754010695188E-2</c:v>
                </c:pt>
                <c:pt idx="835">
                  <c:v>4.4668475935828886E-2</c:v>
                </c:pt>
                <c:pt idx="836">
                  <c:v>4.4616197860962568E-2</c:v>
                </c:pt>
                <c:pt idx="837">
                  <c:v>4.4616197860962568E-2</c:v>
                </c:pt>
                <c:pt idx="838">
                  <c:v>4.4184614973262003E-2</c:v>
                </c:pt>
                <c:pt idx="839">
                  <c:v>4.4184614973262003E-2</c:v>
                </c:pt>
                <c:pt idx="840">
                  <c:v>4.4184614973262003E-2</c:v>
                </c:pt>
                <c:pt idx="841">
                  <c:v>4.4142903743315483E-2</c:v>
                </c:pt>
                <c:pt idx="842">
                  <c:v>4.3749021390374294E-2</c:v>
                </c:pt>
                <c:pt idx="843">
                  <c:v>4.2581176470588199E-2</c:v>
                </c:pt>
                <c:pt idx="844">
                  <c:v>4.2396005347593552E-2</c:v>
                </c:pt>
                <c:pt idx="845">
                  <c:v>4.2304219251336858E-2</c:v>
                </c:pt>
                <c:pt idx="846">
                  <c:v>4.1378689839572158E-2</c:v>
                </c:pt>
                <c:pt idx="847">
                  <c:v>4.0363866310160409E-2</c:v>
                </c:pt>
                <c:pt idx="848">
                  <c:v>3.8927919786096277E-2</c:v>
                </c:pt>
                <c:pt idx="849">
                  <c:v>3.8350005347593606E-2</c:v>
                </c:pt>
                <c:pt idx="850">
                  <c:v>3.8070278074866341E-2</c:v>
                </c:pt>
                <c:pt idx="851">
                  <c:v>3.7107684491978626E-2</c:v>
                </c:pt>
                <c:pt idx="852">
                  <c:v>3.6990663101604281E-2</c:v>
                </c:pt>
                <c:pt idx="853">
                  <c:v>3.7015165775401079E-2</c:v>
                </c:pt>
                <c:pt idx="854">
                  <c:v>3.7063443850267386E-2</c:v>
                </c:pt>
                <c:pt idx="855">
                  <c:v>3.7285395721925144E-2</c:v>
                </c:pt>
                <c:pt idx="856">
                  <c:v>3.7365689839572197E-2</c:v>
                </c:pt>
                <c:pt idx="857">
                  <c:v>3.7376016042780756E-2</c:v>
                </c:pt>
                <c:pt idx="858">
                  <c:v>3.7488486631016046E-2</c:v>
                </c:pt>
                <c:pt idx="859">
                  <c:v>3.7488486631016046E-2</c:v>
                </c:pt>
                <c:pt idx="860">
                  <c:v>4.0894909090909093E-2</c:v>
                </c:pt>
                <c:pt idx="861">
                  <c:v>4.1096866310160428E-2</c:v>
                </c:pt>
                <c:pt idx="862">
                  <c:v>4.1160679144385037E-2</c:v>
                </c:pt>
                <c:pt idx="863">
                  <c:v>4.1160679144385037E-2</c:v>
                </c:pt>
                <c:pt idx="864">
                  <c:v>4.1247780748663115E-2</c:v>
                </c:pt>
                <c:pt idx="865">
                  <c:v>4.1845470588235303E-2</c:v>
                </c:pt>
                <c:pt idx="866">
                  <c:v>4.2428010695187181E-2</c:v>
                </c:pt>
                <c:pt idx="867">
                  <c:v>4.2526128342246006E-2</c:v>
                </c:pt>
                <c:pt idx="868">
                  <c:v>4.2573320855614993E-2</c:v>
                </c:pt>
                <c:pt idx="869">
                  <c:v>4.2624443850267403E-2</c:v>
                </c:pt>
                <c:pt idx="870">
                  <c:v>4.2624443850267403E-2</c:v>
                </c:pt>
                <c:pt idx="871">
                  <c:v>4.2624443850267403E-2</c:v>
                </c:pt>
                <c:pt idx="872">
                  <c:v>4.2725080213903761E-2</c:v>
                </c:pt>
                <c:pt idx="873">
                  <c:v>4.2725080213903761E-2</c:v>
                </c:pt>
                <c:pt idx="874">
                  <c:v>4.2928513368983963E-2</c:v>
                </c:pt>
                <c:pt idx="875">
                  <c:v>4.2975951871657751E-2</c:v>
                </c:pt>
                <c:pt idx="876">
                  <c:v>4.3424438502673801E-2</c:v>
                </c:pt>
                <c:pt idx="877">
                  <c:v>4.3682491978609635E-2</c:v>
                </c:pt>
                <c:pt idx="878">
                  <c:v>4.3682491978609635E-2</c:v>
                </c:pt>
                <c:pt idx="879">
                  <c:v>4.3733973262032114E-2</c:v>
                </c:pt>
                <c:pt idx="880">
                  <c:v>4.3944609625668464E-2</c:v>
                </c:pt>
                <c:pt idx="881">
                  <c:v>4.4022705882352929E-2</c:v>
                </c:pt>
                <c:pt idx="882">
                  <c:v>4.4023588235294106E-2</c:v>
                </c:pt>
                <c:pt idx="883">
                  <c:v>4.4184262032085558E-2</c:v>
                </c:pt>
                <c:pt idx="884">
                  <c:v>4.4317759358288779E-2</c:v>
                </c:pt>
                <c:pt idx="885">
                  <c:v>4.4336673796791459E-2</c:v>
                </c:pt>
                <c:pt idx="886">
                  <c:v>4.4353647058823546E-2</c:v>
                </c:pt>
                <c:pt idx="887">
                  <c:v>4.4421834224598951E-2</c:v>
                </c:pt>
                <c:pt idx="888">
                  <c:v>4.4556577540106966E-2</c:v>
                </c:pt>
                <c:pt idx="889">
                  <c:v>4.4556577540106966E-2</c:v>
                </c:pt>
                <c:pt idx="890">
                  <c:v>4.4556577540106966E-2</c:v>
                </c:pt>
                <c:pt idx="891">
                  <c:v>4.4603096256684488E-2</c:v>
                </c:pt>
                <c:pt idx="892">
                  <c:v>4.4597326203208547E-2</c:v>
                </c:pt>
                <c:pt idx="893">
                  <c:v>4.4567909090909102E-2</c:v>
                </c:pt>
                <c:pt idx="894">
                  <c:v>4.4558893048128337E-2</c:v>
                </c:pt>
                <c:pt idx="895">
                  <c:v>4.4569475935828863E-2</c:v>
                </c:pt>
                <c:pt idx="896">
                  <c:v>4.410867914438503E-2</c:v>
                </c:pt>
                <c:pt idx="897">
                  <c:v>4.3986379679144386E-2</c:v>
                </c:pt>
                <c:pt idx="898">
                  <c:v>4.3083016042780753E-2</c:v>
                </c:pt>
                <c:pt idx="899">
                  <c:v>4.3083016042780753E-2</c:v>
                </c:pt>
                <c:pt idx="900">
                  <c:v>4.3083016042780753E-2</c:v>
                </c:pt>
                <c:pt idx="901">
                  <c:v>4.3083016042780753E-2</c:v>
                </c:pt>
                <c:pt idx="902">
                  <c:v>4.2005342245989299E-2</c:v>
                </c:pt>
                <c:pt idx="903">
                  <c:v>4.1744181818181812E-2</c:v>
                </c:pt>
                <c:pt idx="904">
                  <c:v>4.1744181818181812E-2</c:v>
                </c:pt>
                <c:pt idx="905">
                  <c:v>4.1711588235294104E-2</c:v>
                </c:pt>
                <c:pt idx="906">
                  <c:v>4.1455411764705886E-2</c:v>
                </c:pt>
                <c:pt idx="907">
                  <c:v>4.1267176470588224E-2</c:v>
                </c:pt>
                <c:pt idx="908">
                  <c:v>4.121714438502673E-2</c:v>
                </c:pt>
                <c:pt idx="909">
                  <c:v>4.121714438502673E-2</c:v>
                </c:pt>
                <c:pt idx="910">
                  <c:v>4.1188737967914432E-2</c:v>
                </c:pt>
                <c:pt idx="911">
                  <c:v>4.1142219251336896E-2</c:v>
                </c:pt>
                <c:pt idx="912">
                  <c:v>4.1106866310160431E-2</c:v>
                </c:pt>
                <c:pt idx="913">
                  <c:v>4.1091556149732623E-2</c:v>
                </c:pt>
                <c:pt idx="914">
                  <c:v>4.1030411764705885E-2</c:v>
                </c:pt>
                <c:pt idx="915">
                  <c:v>4.0889465240641715E-2</c:v>
                </c:pt>
                <c:pt idx="916">
                  <c:v>4.0856727272727274E-2</c:v>
                </c:pt>
                <c:pt idx="917">
                  <c:v>4.0852561497326211E-2</c:v>
                </c:pt>
                <c:pt idx="918">
                  <c:v>4.1610000000000008E-2</c:v>
                </c:pt>
                <c:pt idx="919">
                  <c:v>4.1996502673796794E-2</c:v>
                </c:pt>
                <c:pt idx="920">
                  <c:v>4.2347475935828882E-2</c:v>
                </c:pt>
                <c:pt idx="921">
                  <c:v>4.3171417112299444E-2</c:v>
                </c:pt>
                <c:pt idx="922">
                  <c:v>4.3584791443850253E-2</c:v>
                </c:pt>
                <c:pt idx="923">
                  <c:v>4.3757219251336861E-2</c:v>
                </c:pt>
                <c:pt idx="924">
                  <c:v>4.4082128342245973E-2</c:v>
                </c:pt>
                <c:pt idx="925">
                  <c:v>4.3254032085561507E-2</c:v>
                </c:pt>
                <c:pt idx="926">
                  <c:v>3.9298128342246004E-2</c:v>
                </c:pt>
                <c:pt idx="927">
                  <c:v>3.759755080213905E-2</c:v>
                </c:pt>
                <c:pt idx="928">
                  <c:v>3.716172727272727E-2</c:v>
                </c:pt>
                <c:pt idx="929">
                  <c:v>3.7001379679144387E-2</c:v>
                </c:pt>
                <c:pt idx="930">
                  <c:v>3.5929614973262025E-2</c:v>
                </c:pt>
                <c:pt idx="931">
                  <c:v>3.5929614973262025E-2</c:v>
                </c:pt>
                <c:pt idx="932">
                  <c:v>3.5929614973262025E-2</c:v>
                </c:pt>
                <c:pt idx="933">
                  <c:v>3.5259272727272729E-2</c:v>
                </c:pt>
                <c:pt idx="934">
                  <c:v>3.4857085561497324E-2</c:v>
                </c:pt>
                <c:pt idx="935">
                  <c:v>3.1563855614973255E-2</c:v>
                </c:pt>
                <c:pt idx="936">
                  <c:v>3.1563855614973255E-2</c:v>
                </c:pt>
                <c:pt idx="937">
                  <c:v>3.1312978609625661E-2</c:v>
                </c:pt>
                <c:pt idx="938">
                  <c:v>3.0966021390374326E-2</c:v>
                </c:pt>
                <c:pt idx="939">
                  <c:v>3.0918882352941175E-2</c:v>
                </c:pt>
                <c:pt idx="940">
                  <c:v>3.0610267379679135E-2</c:v>
                </c:pt>
                <c:pt idx="941">
                  <c:v>3.0531780748663088E-2</c:v>
                </c:pt>
                <c:pt idx="942">
                  <c:v>3.0510759358288755E-2</c:v>
                </c:pt>
                <c:pt idx="943">
                  <c:v>3.0371021390374314E-2</c:v>
                </c:pt>
                <c:pt idx="944">
                  <c:v>2.9224208556149753E-2</c:v>
                </c:pt>
                <c:pt idx="945">
                  <c:v>2.920211764705884E-2</c:v>
                </c:pt>
                <c:pt idx="946">
                  <c:v>2.9158385026737978E-2</c:v>
                </c:pt>
                <c:pt idx="947">
                  <c:v>2.9158385026737978E-2</c:v>
                </c:pt>
                <c:pt idx="948">
                  <c:v>2.9158385026737978E-2</c:v>
                </c:pt>
                <c:pt idx="949">
                  <c:v>2.9148422459893058E-2</c:v>
                </c:pt>
                <c:pt idx="950">
                  <c:v>2.9070834224598958E-2</c:v>
                </c:pt>
                <c:pt idx="951">
                  <c:v>2.9049080213903768E-2</c:v>
                </c:pt>
                <c:pt idx="952">
                  <c:v>2.8850935828877034E-2</c:v>
                </c:pt>
                <c:pt idx="953">
                  <c:v>2.8809951871657788E-2</c:v>
                </c:pt>
                <c:pt idx="954">
                  <c:v>2.8809951871657788E-2</c:v>
                </c:pt>
                <c:pt idx="955">
                  <c:v>2.8686534759358315E-2</c:v>
                </c:pt>
                <c:pt idx="956">
                  <c:v>2.8686534759358315E-2</c:v>
                </c:pt>
                <c:pt idx="957">
                  <c:v>2.8380326203208569E-2</c:v>
                </c:pt>
                <c:pt idx="958">
                  <c:v>2.8380326203208569E-2</c:v>
                </c:pt>
                <c:pt idx="959">
                  <c:v>2.8380326203208569E-2</c:v>
                </c:pt>
                <c:pt idx="960">
                  <c:v>2.8380326203208569E-2</c:v>
                </c:pt>
                <c:pt idx="961">
                  <c:v>2.8380326203208569E-2</c:v>
                </c:pt>
                <c:pt idx="962">
                  <c:v>2.8380326203208569E-2</c:v>
                </c:pt>
                <c:pt idx="963">
                  <c:v>2.8307347593582905E-2</c:v>
                </c:pt>
                <c:pt idx="964">
                  <c:v>2.860982352941176E-2</c:v>
                </c:pt>
                <c:pt idx="965">
                  <c:v>2.893312834224598E-2</c:v>
                </c:pt>
                <c:pt idx="966">
                  <c:v>2.9151304812834223E-2</c:v>
                </c:pt>
                <c:pt idx="967">
                  <c:v>2.9552860962566846E-2</c:v>
                </c:pt>
                <c:pt idx="968">
                  <c:v>2.9628743315508018E-2</c:v>
                </c:pt>
                <c:pt idx="969">
                  <c:v>3.0137759358288777E-2</c:v>
                </c:pt>
                <c:pt idx="970">
                  <c:v>3.0221026737967924E-2</c:v>
                </c:pt>
                <c:pt idx="971">
                  <c:v>3.0221026737967924E-2</c:v>
                </c:pt>
                <c:pt idx="972">
                  <c:v>3.0400775401069533E-2</c:v>
                </c:pt>
                <c:pt idx="973">
                  <c:v>3.3251941176470588E-2</c:v>
                </c:pt>
                <c:pt idx="974">
                  <c:v>3.4223679144385025E-2</c:v>
                </c:pt>
                <c:pt idx="975">
                  <c:v>3.4399368983957214E-2</c:v>
                </c:pt>
                <c:pt idx="976">
                  <c:v>3.443724598930481E-2</c:v>
                </c:pt>
                <c:pt idx="977">
                  <c:v>3.4672417112299458E-2</c:v>
                </c:pt>
                <c:pt idx="978">
                  <c:v>3.4975743315508019E-2</c:v>
                </c:pt>
                <c:pt idx="979">
                  <c:v>3.5210727272727255E-2</c:v>
                </c:pt>
                <c:pt idx="980">
                  <c:v>3.5253053475935811E-2</c:v>
                </c:pt>
                <c:pt idx="981">
                  <c:v>3.5293887700534744E-2</c:v>
                </c:pt>
                <c:pt idx="982">
                  <c:v>3.5338390374331528E-2</c:v>
                </c:pt>
                <c:pt idx="983">
                  <c:v>3.5468973262032057E-2</c:v>
                </c:pt>
                <c:pt idx="984">
                  <c:v>3.5726844919786067E-2</c:v>
                </c:pt>
                <c:pt idx="985">
                  <c:v>3.6552839572192485E-2</c:v>
                </c:pt>
                <c:pt idx="986">
                  <c:v>3.6594721925133661E-2</c:v>
                </c:pt>
                <c:pt idx="987">
                  <c:v>3.7144631016042755E-2</c:v>
                </c:pt>
                <c:pt idx="988">
                  <c:v>3.7168540106951843E-2</c:v>
                </c:pt>
                <c:pt idx="989">
                  <c:v>3.725001069518713E-2</c:v>
                </c:pt>
                <c:pt idx="990">
                  <c:v>3.7356085561497304E-2</c:v>
                </c:pt>
                <c:pt idx="991">
                  <c:v>3.7302614973262052E-2</c:v>
                </c:pt>
                <c:pt idx="992">
                  <c:v>3.7292449197860983E-2</c:v>
                </c:pt>
                <c:pt idx="993">
                  <c:v>3.7087181818181846E-2</c:v>
                </c:pt>
                <c:pt idx="994">
                  <c:v>3.7087181818181846E-2</c:v>
                </c:pt>
                <c:pt idx="995">
                  <c:v>3.6622197860962595E-2</c:v>
                </c:pt>
                <c:pt idx="996">
                  <c:v>3.6559855614973283E-2</c:v>
                </c:pt>
                <c:pt idx="997">
                  <c:v>3.6559855614973283E-2</c:v>
                </c:pt>
                <c:pt idx="998">
                  <c:v>3.6559855614973283E-2</c:v>
                </c:pt>
                <c:pt idx="999">
                  <c:v>3.6292818181818211E-2</c:v>
                </c:pt>
                <c:pt idx="1000">
                  <c:v>3.6037090909090935E-2</c:v>
                </c:pt>
                <c:pt idx="1001">
                  <c:v>3.5922240641711255E-2</c:v>
                </c:pt>
                <c:pt idx="1002">
                  <c:v>3.5046721925133702E-2</c:v>
                </c:pt>
                <c:pt idx="1003">
                  <c:v>3.4585679144385047E-2</c:v>
                </c:pt>
                <c:pt idx="1004">
                  <c:v>3.444292513368985E-2</c:v>
                </c:pt>
                <c:pt idx="1005">
                  <c:v>3.3703871657753993E-2</c:v>
                </c:pt>
                <c:pt idx="1006">
                  <c:v>3.3501925133689825E-2</c:v>
                </c:pt>
                <c:pt idx="1007">
                  <c:v>3.3305454545454541E-2</c:v>
                </c:pt>
                <c:pt idx="1008">
                  <c:v>3.3305454545454541E-2</c:v>
                </c:pt>
                <c:pt idx="1009">
                  <c:v>3.3039647058823535E-2</c:v>
                </c:pt>
                <c:pt idx="1010">
                  <c:v>3.2857978609625679E-2</c:v>
                </c:pt>
                <c:pt idx="1011">
                  <c:v>3.1602005347593588E-2</c:v>
                </c:pt>
                <c:pt idx="1012">
                  <c:v>3.1279128342245999E-2</c:v>
                </c:pt>
                <c:pt idx="1013">
                  <c:v>3.1279128342245999E-2</c:v>
                </c:pt>
                <c:pt idx="1014">
                  <c:v>2.8785310160427801E-2</c:v>
                </c:pt>
                <c:pt idx="1015">
                  <c:v>2.8158358288770068E-2</c:v>
                </c:pt>
                <c:pt idx="1016">
                  <c:v>2.7882475935828877E-2</c:v>
                </c:pt>
                <c:pt idx="1017">
                  <c:v>2.7823342245989299E-2</c:v>
                </c:pt>
                <c:pt idx="1018">
                  <c:v>2.8216085561497323E-2</c:v>
                </c:pt>
                <c:pt idx="1019">
                  <c:v>2.8323449197860961E-2</c:v>
                </c:pt>
                <c:pt idx="1020">
                  <c:v>2.8371561497326201E-2</c:v>
                </c:pt>
                <c:pt idx="1021">
                  <c:v>2.8655524064171111E-2</c:v>
                </c:pt>
                <c:pt idx="1022">
                  <c:v>2.8947967914438502E-2</c:v>
                </c:pt>
                <c:pt idx="1023">
                  <c:v>2.9092096256684487E-2</c:v>
                </c:pt>
                <c:pt idx="1024">
                  <c:v>2.9190486631016047E-2</c:v>
                </c:pt>
                <c:pt idx="1025">
                  <c:v>2.9236834224598936E-2</c:v>
                </c:pt>
                <c:pt idx="1026">
                  <c:v>2.9350288770053481E-2</c:v>
                </c:pt>
                <c:pt idx="1027">
                  <c:v>2.9651385026737993E-2</c:v>
                </c:pt>
                <c:pt idx="1028">
                  <c:v>2.9651385026737993E-2</c:v>
                </c:pt>
                <c:pt idx="1029">
                  <c:v>2.9686903743315517E-2</c:v>
                </c:pt>
                <c:pt idx="1030">
                  <c:v>2.9508133689839591E-2</c:v>
                </c:pt>
                <c:pt idx="1031">
                  <c:v>2.9444524064171137E-2</c:v>
                </c:pt>
                <c:pt idx="1032">
                  <c:v>2.9216652406417121E-2</c:v>
                </c:pt>
                <c:pt idx="1033">
                  <c:v>2.8283294117647077E-2</c:v>
                </c:pt>
                <c:pt idx="1034">
                  <c:v>2.8243064171123013E-2</c:v>
                </c:pt>
                <c:pt idx="1035">
                  <c:v>2.797083957219252E-2</c:v>
                </c:pt>
                <c:pt idx="1036">
                  <c:v>2.7914187165775407E-2</c:v>
                </c:pt>
                <c:pt idx="1037">
                  <c:v>2.771113903743315E-2</c:v>
                </c:pt>
                <c:pt idx="1038">
                  <c:v>2.771113903743315E-2</c:v>
                </c:pt>
                <c:pt idx="1039">
                  <c:v>2.5641486631016029E-2</c:v>
                </c:pt>
                <c:pt idx="1040">
                  <c:v>2.5160331550802131E-2</c:v>
                </c:pt>
                <c:pt idx="1041">
                  <c:v>2.5094165775401061E-2</c:v>
                </c:pt>
                <c:pt idx="1042">
                  <c:v>2.5025625668449188E-2</c:v>
                </c:pt>
                <c:pt idx="1043">
                  <c:v>2.4819272727272728E-2</c:v>
                </c:pt>
                <c:pt idx="1044">
                  <c:v>2.4736358288770049E-2</c:v>
                </c:pt>
                <c:pt idx="1045">
                  <c:v>2.4741663101604274E-2</c:v>
                </c:pt>
                <c:pt idx="1046">
                  <c:v>2.487041711229946E-2</c:v>
                </c:pt>
                <c:pt idx="1047">
                  <c:v>2.514591443850267E-2</c:v>
                </c:pt>
                <c:pt idx="1048">
                  <c:v>2.5254192513368981E-2</c:v>
                </c:pt>
                <c:pt idx="1049">
                  <c:v>2.5254192513368981E-2</c:v>
                </c:pt>
                <c:pt idx="1050">
                  <c:v>2.5338133689839573E-2</c:v>
                </c:pt>
                <c:pt idx="1051">
                  <c:v>2.5396647058823527E-2</c:v>
                </c:pt>
                <c:pt idx="1052">
                  <c:v>2.587957219251338E-2</c:v>
                </c:pt>
                <c:pt idx="1053">
                  <c:v>2.6343144385026745E-2</c:v>
                </c:pt>
                <c:pt idx="1054">
                  <c:v>2.6506994652406409E-2</c:v>
                </c:pt>
                <c:pt idx="1055">
                  <c:v>2.7681679144385015E-2</c:v>
                </c:pt>
                <c:pt idx="1056">
                  <c:v>2.7916893048128329E-2</c:v>
                </c:pt>
                <c:pt idx="1057">
                  <c:v>2.813245454545454E-2</c:v>
                </c:pt>
                <c:pt idx="1058">
                  <c:v>2.8787925133689843E-2</c:v>
                </c:pt>
                <c:pt idx="1059">
                  <c:v>2.9059748663101612E-2</c:v>
                </c:pt>
                <c:pt idx="1060">
                  <c:v>2.9348647058823545E-2</c:v>
                </c:pt>
                <c:pt idx="1061">
                  <c:v>2.9445668449197885E-2</c:v>
                </c:pt>
                <c:pt idx="1062">
                  <c:v>2.9708112299465256E-2</c:v>
                </c:pt>
                <c:pt idx="1063">
                  <c:v>2.9784021390374338E-2</c:v>
                </c:pt>
                <c:pt idx="1064">
                  <c:v>2.9291957219251329E-2</c:v>
                </c:pt>
                <c:pt idx="1065">
                  <c:v>2.922682887700534E-2</c:v>
                </c:pt>
                <c:pt idx="1066">
                  <c:v>2.9186304812834223E-2</c:v>
                </c:pt>
                <c:pt idx="1067">
                  <c:v>2.9158855614973257E-2</c:v>
                </c:pt>
                <c:pt idx="1068">
                  <c:v>2.9012598930481272E-2</c:v>
                </c:pt>
                <c:pt idx="1069">
                  <c:v>2.8985064171122989E-2</c:v>
                </c:pt>
                <c:pt idx="1070">
                  <c:v>2.897680213903742E-2</c:v>
                </c:pt>
                <c:pt idx="1071">
                  <c:v>2.8588935828876994E-2</c:v>
                </c:pt>
                <c:pt idx="1072">
                  <c:v>2.8555748663101593E-2</c:v>
                </c:pt>
                <c:pt idx="1073">
                  <c:v>2.8502422459893036E-2</c:v>
                </c:pt>
                <c:pt idx="1074">
                  <c:v>2.8382379679144372E-2</c:v>
                </c:pt>
                <c:pt idx="1075">
                  <c:v>2.826713368983956E-2</c:v>
                </c:pt>
                <c:pt idx="1076">
                  <c:v>2.8444780748663086E-2</c:v>
                </c:pt>
                <c:pt idx="1077">
                  <c:v>2.8444780748663086E-2</c:v>
                </c:pt>
                <c:pt idx="1078">
                  <c:v>2.8528930481283403E-2</c:v>
                </c:pt>
                <c:pt idx="1079">
                  <c:v>2.8741427807486633E-2</c:v>
                </c:pt>
                <c:pt idx="1080">
                  <c:v>2.8832823529411772E-2</c:v>
                </c:pt>
                <c:pt idx="1081">
                  <c:v>2.9053192513369009E-2</c:v>
                </c:pt>
                <c:pt idx="1082">
                  <c:v>2.9069358288770074E-2</c:v>
                </c:pt>
                <c:pt idx="1083">
                  <c:v>2.9124582887700555E-2</c:v>
                </c:pt>
                <c:pt idx="1084">
                  <c:v>2.9139155080213929E-2</c:v>
                </c:pt>
                <c:pt idx="1085">
                  <c:v>2.9522994652406428E-2</c:v>
                </c:pt>
                <c:pt idx="1086">
                  <c:v>2.9616946524064179E-2</c:v>
                </c:pt>
                <c:pt idx="1087">
                  <c:v>2.9710005347593584E-2</c:v>
                </c:pt>
                <c:pt idx="1088">
                  <c:v>2.9844155080213902E-2</c:v>
                </c:pt>
                <c:pt idx="1089">
                  <c:v>2.9865759358288772E-2</c:v>
                </c:pt>
                <c:pt idx="1090">
                  <c:v>3.0228262032085586E-2</c:v>
                </c:pt>
                <c:pt idx="1091">
                  <c:v>3.0254716577540138E-2</c:v>
                </c:pt>
                <c:pt idx="1092">
                  <c:v>3.0432524064171129E-2</c:v>
                </c:pt>
                <c:pt idx="1093">
                  <c:v>3.0453101604278082E-2</c:v>
                </c:pt>
                <c:pt idx="1094">
                  <c:v>3.0522818181818193E-2</c:v>
                </c:pt>
                <c:pt idx="1095">
                  <c:v>3.0543245989304829E-2</c:v>
                </c:pt>
                <c:pt idx="1096">
                  <c:v>3.0630903743315535E-2</c:v>
                </c:pt>
                <c:pt idx="1097">
                  <c:v>3.0630903743315535E-2</c:v>
                </c:pt>
                <c:pt idx="1098">
                  <c:v>3.0662732620320869E-2</c:v>
                </c:pt>
                <c:pt idx="1099">
                  <c:v>3.0662732620320869E-2</c:v>
                </c:pt>
                <c:pt idx="1100">
                  <c:v>3.0785208556149749E-2</c:v>
                </c:pt>
                <c:pt idx="1101">
                  <c:v>3.0927508021390385E-2</c:v>
                </c:pt>
                <c:pt idx="1102">
                  <c:v>3.1094812834224612E-2</c:v>
                </c:pt>
                <c:pt idx="1103">
                  <c:v>3.1105577540106965E-2</c:v>
                </c:pt>
                <c:pt idx="1104">
                  <c:v>3.1143866310160445E-2</c:v>
                </c:pt>
                <c:pt idx="1105">
                  <c:v>3.1221882352941179E-2</c:v>
                </c:pt>
                <c:pt idx="1106">
                  <c:v>3.1221882352941179E-2</c:v>
                </c:pt>
                <c:pt idx="1107">
                  <c:v>3.1416149732620323E-2</c:v>
                </c:pt>
                <c:pt idx="1108">
                  <c:v>3.1419561497326207E-2</c:v>
                </c:pt>
                <c:pt idx="1109">
                  <c:v>3.1427090909090905E-2</c:v>
                </c:pt>
                <c:pt idx="1110">
                  <c:v>3.1447080213903744E-2</c:v>
                </c:pt>
                <c:pt idx="1111">
                  <c:v>3.1448807486631022E-2</c:v>
                </c:pt>
                <c:pt idx="1112">
                  <c:v>3.1444550802139037E-2</c:v>
                </c:pt>
                <c:pt idx="1113">
                  <c:v>3.1444550802139037E-2</c:v>
                </c:pt>
                <c:pt idx="1114">
                  <c:v>3.1432748663101612E-2</c:v>
                </c:pt>
                <c:pt idx="1115">
                  <c:v>3.137917112299466E-2</c:v>
                </c:pt>
                <c:pt idx="1116">
                  <c:v>3.1238844919786103E-2</c:v>
                </c:pt>
                <c:pt idx="1117">
                  <c:v>3.1224823529411767E-2</c:v>
                </c:pt>
                <c:pt idx="1118">
                  <c:v>3.1077502673796789E-2</c:v>
                </c:pt>
                <c:pt idx="1119">
                  <c:v>3.1040764705882344E-2</c:v>
                </c:pt>
                <c:pt idx="1120">
                  <c:v>3.0961534759358283E-2</c:v>
                </c:pt>
                <c:pt idx="1121">
                  <c:v>2.7556112299465248E-2</c:v>
                </c:pt>
                <c:pt idx="1122">
                  <c:v>2.6859481283422471E-2</c:v>
                </c:pt>
              </c:numCache>
            </c:numRef>
          </c:xVal>
          <c:yVal>
            <c:numRef>
              <c:f>'DEU 2.06R Risk Premium'!$G$48:$G$1170</c:f>
              <c:numCache>
                <c:formatCode>0.00%</c:formatCode>
                <c:ptCount val="1123"/>
                <c:pt idx="0">
                  <c:v>3.1555080213903769E-2</c:v>
                </c:pt>
                <c:pt idx="1">
                  <c:v>4.3483957219251371E-2</c:v>
                </c:pt>
                <c:pt idx="2">
                  <c:v>3.7568449197861023E-2</c:v>
                </c:pt>
                <c:pt idx="3">
                  <c:v>4.5270053475935879E-2</c:v>
                </c:pt>
                <c:pt idx="4">
                  <c:v>3.0514973262032105E-2</c:v>
                </c:pt>
                <c:pt idx="5">
                  <c:v>4.8677540106951897E-2</c:v>
                </c:pt>
                <c:pt idx="6">
                  <c:v>3.3254545454545495E-2</c:v>
                </c:pt>
                <c:pt idx="7">
                  <c:v>3.3101069518716636E-2</c:v>
                </c:pt>
                <c:pt idx="8">
                  <c:v>4.1433155080213863E-2</c:v>
                </c:pt>
                <c:pt idx="9">
                  <c:v>4.0906417112299462E-2</c:v>
                </c:pt>
                <c:pt idx="10">
                  <c:v>3.5526737967914418E-2</c:v>
                </c:pt>
                <c:pt idx="11">
                  <c:v>3.9633689839572148E-2</c:v>
                </c:pt>
                <c:pt idx="12">
                  <c:v>2.4884491978609563E-2</c:v>
                </c:pt>
                <c:pt idx="13">
                  <c:v>4.4922459893048078E-2</c:v>
                </c:pt>
                <c:pt idx="14">
                  <c:v>1.9931016042780747E-2</c:v>
                </c:pt>
                <c:pt idx="15">
                  <c:v>3.7144385026737975E-2</c:v>
                </c:pt>
                <c:pt idx="16">
                  <c:v>3.1867379679144436E-2</c:v>
                </c:pt>
                <c:pt idx="17">
                  <c:v>4.8810695187165798E-2</c:v>
                </c:pt>
                <c:pt idx="18">
                  <c:v>3.9467379679144446E-2</c:v>
                </c:pt>
                <c:pt idx="19">
                  <c:v>5.3335828877005387E-2</c:v>
                </c:pt>
                <c:pt idx="20">
                  <c:v>3.0706417112299517E-2</c:v>
                </c:pt>
                <c:pt idx="21">
                  <c:v>3.513957219251336E-2</c:v>
                </c:pt>
                <c:pt idx="22">
                  <c:v>3.7361497326203225E-2</c:v>
                </c:pt>
                <c:pt idx="23">
                  <c:v>2.1113368983957201E-2</c:v>
                </c:pt>
                <c:pt idx="24">
                  <c:v>3.0089839572192495E-2</c:v>
                </c:pt>
                <c:pt idx="25">
                  <c:v>3.3073262032085562E-2</c:v>
                </c:pt>
                <c:pt idx="26">
                  <c:v>3.398074866310162E-2</c:v>
                </c:pt>
                <c:pt idx="27">
                  <c:v>1.6978074866310172E-2</c:v>
                </c:pt>
                <c:pt idx="28">
                  <c:v>4.0360962566844905E-2</c:v>
                </c:pt>
                <c:pt idx="29">
                  <c:v>2.1876470588235261E-2</c:v>
                </c:pt>
                <c:pt idx="30">
                  <c:v>2.7367914438502658E-2</c:v>
                </c:pt>
                <c:pt idx="31">
                  <c:v>3.1267914438502672E-2</c:v>
                </c:pt>
                <c:pt idx="32">
                  <c:v>3.1042245989304815E-2</c:v>
                </c:pt>
                <c:pt idx="33">
                  <c:v>4.0193582887700557E-2</c:v>
                </c:pt>
                <c:pt idx="34">
                  <c:v>3.445454545454546E-2</c:v>
                </c:pt>
                <c:pt idx="35">
                  <c:v>3.445454545454546E-2</c:v>
                </c:pt>
                <c:pt idx="36">
                  <c:v>2.9063636363636375E-2</c:v>
                </c:pt>
                <c:pt idx="37">
                  <c:v>4.1018716577540096E-2</c:v>
                </c:pt>
                <c:pt idx="38">
                  <c:v>4.1018716577540096E-2</c:v>
                </c:pt>
                <c:pt idx="39">
                  <c:v>8.9636363636363403E-3</c:v>
                </c:pt>
                <c:pt idx="40">
                  <c:v>1.8963636363636349E-2</c:v>
                </c:pt>
                <c:pt idx="41">
                  <c:v>3.3798930481283379E-2</c:v>
                </c:pt>
                <c:pt idx="42">
                  <c:v>3.8767914438502638E-2</c:v>
                </c:pt>
                <c:pt idx="43">
                  <c:v>3.2189304812834163E-2</c:v>
                </c:pt>
                <c:pt idx="44">
                  <c:v>2.1101604278074837E-2</c:v>
                </c:pt>
                <c:pt idx="45">
                  <c:v>4.3542780748663079E-2</c:v>
                </c:pt>
                <c:pt idx="46">
                  <c:v>2.3588235294117604E-2</c:v>
                </c:pt>
                <c:pt idx="47">
                  <c:v>3.4677005347593576E-2</c:v>
                </c:pt>
                <c:pt idx="48">
                  <c:v>5.2667807486630983E-2</c:v>
                </c:pt>
                <c:pt idx="49">
                  <c:v>4.3030481283422475E-2</c:v>
                </c:pt>
                <c:pt idx="50">
                  <c:v>3.0403422459893067E-2</c:v>
                </c:pt>
                <c:pt idx="51">
                  <c:v>3.2403422459893097E-2</c:v>
                </c:pt>
                <c:pt idx="52">
                  <c:v>2.8381925133689853E-2</c:v>
                </c:pt>
                <c:pt idx="53">
                  <c:v>2.2935187165775403E-2</c:v>
                </c:pt>
                <c:pt idx="54">
                  <c:v>2.8542352941176477E-2</c:v>
                </c:pt>
                <c:pt idx="55">
                  <c:v>3.358812834224599E-2</c:v>
                </c:pt>
                <c:pt idx="56">
                  <c:v>3.4207807486631006E-2</c:v>
                </c:pt>
                <c:pt idx="57">
                  <c:v>3.1662459893048153E-2</c:v>
                </c:pt>
                <c:pt idx="58">
                  <c:v>3.810545454545454E-2</c:v>
                </c:pt>
                <c:pt idx="59">
                  <c:v>4.0502245989304839E-2</c:v>
                </c:pt>
                <c:pt idx="60">
                  <c:v>2.0184171122994629E-2</c:v>
                </c:pt>
                <c:pt idx="61">
                  <c:v>3.1667272727272697E-2</c:v>
                </c:pt>
                <c:pt idx="62">
                  <c:v>3.1032513368983938E-2</c:v>
                </c:pt>
                <c:pt idx="63">
                  <c:v>4.0508556149732672E-2</c:v>
                </c:pt>
                <c:pt idx="64">
                  <c:v>3.5619358288770095E-2</c:v>
                </c:pt>
                <c:pt idx="65">
                  <c:v>3.4838609625668496E-2</c:v>
                </c:pt>
                <c:pt idx="66">
                  <c:v>3.0901069518716615E-2</c:v>
                </c:pt>
                <c:pt idx="67">
                  <c:v>1.3773475935828922E-2</c:v>
                </c:pt>
                <c:pt idx="68">
                  <c:v>2.1273475935828901E-2</c:v>
                </c:pt>
                <c:pt idx="69">
                  <c:v>1.4599572192513399E-2</c:v>
                </c:pt>
                <c:pt idx="70">
                  <c:v>2.8599572192513384E-2</c:v>
                </c:pt>
                <c:pt idx="71">
                  <c:v>1.6277647058823549E-2</c:v>
                </c:pt>
                <c:pt idx="72">
                  <c:v>2.2142566844919762E-2</c:v>
                </c:pt>
                <c:pt idx="73">
                  <c:v>3.4266844919786071E-2</c:v>
                </c:pt>
                <c:pt idx="74">
                  <c:v>2.1507165775401071E-2</c:v>
                </c:pt>
                <c:pt idx="75">
                  <c:v>1.3592727272727284E-2</c:v>
                </c:pt>
                <c:pt idx="76">
                  <c:v>3.3083101604278076E-2</c:v>
                </c:pt>
                <c:pt idx="77">
                  <c:v>4.1856684491978602E-2</c:v>
                </c:pt>
                <c:pt idx="78">
                  <c:v>3.0032620320855602E-2</c:v>
                </c:pt>
                <c:pt idx="79">
                  <c:v>9.4706951871657563E-3</c:v>
                </c:pt>
                <c:pt idx="80">
                  <c:v>2.6770695187165766E-2</c:v>
                </c:pt>
                <c:pt idx="81">
                  <c:v>6.3579679144384893E-3</c:v>
                </c:pt>
                <c:pt idx="82">
                  <c:v>1.3357967914438468E-2</c:v>
                </c:pt>
                <c:pt idx="83">
                  <c:v>7.8731550802138561E-3</c:v>
                </c:pt>
                <c:pt idx="84">
                  <c:v>7.8731550802138561E-3</c:v>
                </c:pt>
                <c:pt idx="85">
                  <c:v>1.4773155080213846E-2</c:v>
                </c:pt>
                <c:pt idx="86">
                  <c:v>2.43128342245989E-2</c:v>
                </c:pt>
                <c:pt idx="87">
                  <c:v>1.3866631016042713E-2</c:v>
                </c:pt>
                <c:pt idx="88">
                  <c:v>1.9460748663101546E-2</c:v>
                </c:pt>
                <c:pt idx="89">
                  <c:v>1.0986951871657685E-2</c:v>
                </c:pt>
                <c:pt idx="90">
                  <c:v>2.9934545454545408E-2</c:v>
                </c:pt>
                <c:pt idx="91">
                  <c:v>1.1925989304812812E-2</c:v>
                </c:pt>
                <c:pt idx="92">
                  <c:v>2.6155935828876986E-2</c:v>
                </c:pt>
                <c:pt idx="93">
                  <c:v>1.4402994652406437E-2</c:v>
                </c:pt>
                <c:pt idx="94">
                  <c:v>2.8241497326203208E-2</c:v>
                </c:pt>
                <c:pt idx="95">
                  <c:v>1.7502459893048133E-2</c:v>
                </c:pt>
                <c:pt idx="96">
                  <c:v>3.0002459893048145E-2</c:v>
                </c:pt>
                <c:pt idx="97">
                  <c:v>3.5002459893048149E-2</c:v>
                </c:pt>
                <c:pt idx="98">
                  <c:v>1.959925133689841E-2</c:v>
                </c:pt>
                <c:pt idx="99">
                  <c:v>-5.5582887700530992E-4</c:v>
                </c:pt>
                <c:pt idx="100">
                  <c:v>2.9027593582887729E-2</c:v>
                </c:pt>
                <c:pt idx="101">
                  <c:v>1.7050588235294123E-2</c:v>
                </c:pt>
                <c:pt idx="102">
                  <c:v>1.5317967914438513E-2</c:v>
                </c:pt>
                <c:pt idx="103">
                  <c:v>1.3533475935828904E-2</c:v>
                </c:pt>
                <c:pt idx="104">
                  <c:v>1.5908877005347627E-2</c:v>
                </c:pt>
                <c:pt idx="105">
                  <c:v>2.4408877005347634E-2</c:v>
                </c:pt>
                <c:pt idx="106">
                  <c:v>2.4408877005347634E-2</c:v>
                </c:pt>
                <c:pt idx="107">
                  <c:v>3.0935080213903815E-2</c:v>
                </c:pt>
                <c:pt idx="108">
                  <c:v>2.0431871657754064E-2</c:v>
                </c:pt>
                <c:pt idx="109">
                  <c:v>2.3431871657754066E-2</c:v>
                </c:pt>
                <c:pt idx="110">
                  <c:v>2.1188556149732696E-2</c:v>
                </c:pt>
                <c:pt idx="111">
                  <c:v>1.0462352941176534E-2</c:v>
                </c:pt>
                <c:pt idx="112">
                  <c:v>1.9822780748663171E-2</c:v>
                </c:pt>
                <c:pt idx="113">
                  <c:v>2.2822780748663174E-2</c:v>
                </c:pt>
                <c:pt idx="114">
                  <c:v>2.2555401069518755E-2</c:v>
                </c:pt>
                <c:pt idx="115">
                  <c:v>2.5055401069518757E-2</c:v>
                </c:pt>
                <c:pt idx="116">
                  <c:v>1.7501925133689894E-2</c:v>
                </c:pt>
                <c:pt idx="117">
                  <c:v>-1.8521604278074894E-2</c:v>
                </c:pt>
                <c:pt idx="118">
                  <c:v>2.4084278074866294E-2</c:v>
                </c:pt>
                <c:pt idx="119">
                  <c:v>2.9897112299465206E-2</c:v>
                </c:pt>
                <c:pt idx="120">
                  <c:v>1.4436363636363692E-3</c:v>
                </c:pt>
                <c:pt idx="121">
                  <c:v>2.377144385026736E-2</c:v>
                </c:pt>
                <c:pt idx="122">
                  <c:v>1.6252727272727252E-2</c:v>
                </c:pt>
                <c:pt idx="123">
                  <c:v>1.0697112299465211E-2</c:v>
                </c:pt>
                <c:pt idx="124">
                  <c:v>1.8697112299465218E-2</c:v>
                </c:pt>
                <c:pt idx="125">
                  <c:v>2.1125454545454531E-2</c:v>
                </c:pt>
                <c:pt idx="126">
                  <c:v>2.0506737967914412E-2</c:v>
                </c:pt>
                <c:pt idx="127">
                  <c:v>1.0870909090909042E-2</c:v>
                </c:pt>
                <c:pt idx="128">
                  <c:v>3.1821711229946481E-2</c:v>
                </c:pt>
                <c:pt idx="129">
                  <c:v>2.032652406417107E-2</c:v>
                </c:pt>
                <c:pt idx="130">
                  <c:v>2.272491978609617E-2</c:v>
                </c:pt>
                <c:pt idx="131">
                  <c:v>2.5198716577540026E-2</c:v>
                </c:pt>
                <c:pt idx="132">
                  <c:v>1.014844919786087E-2</c:v>
                </c:pt>
                <c:pt idx="133">
                  <c:v>2.5117433155080138E-2</c:v>
                </c:pt>
                <c:pt idx="134">
                  <c:v>1.1124385026737876E-2</c:v>
                </c:pt>
                <c:pt idx="135">
                  <c:v>2.7124385026737863E-2</c:v>
                </c:pt>
                <c:pt idx="136">
                  <c:v>7.1404278074865823E-3</c:v>
                </c:pt>
                <c:pt idx="137">
                  <c:v>1.0316363636363596E-2</c:v>
                </c:pt>
                <c:pt idx="138">
                  <c:v>6.3388235294117301E-3</c:v>
                </c:pt>
                <c:pt idx="139">
                  <c:v>1.8793368983957198E-2</c:v>
                </c:pt>
                <c:pt idx="140">
                  <c:v>1.9128663101604271E-2</c:v>
                </c:pt>
                <c:pt idx="141">
                  <c:v>1.5970374331550796E-2</c:v>
                </c:pt>
                <c:pt idx="142">
                  <c:v>2.3542032085561493E-2</c:v>
                </c:pt>
                <c:pt idx="143">
                  <c:v>6.320641711229924E-3</c:v>
                </c:pt>
                <c:pt idx="144">
                  <c:v>2.1475187165775372E-2</c:v>
                </c:pt>
                <c:pt idx="145">
                  <c:v>1.6890695187165794E-2</c:v>
                </c:pt>
                <c:pt idx="146">
                  <c:v>2.6889625668449213E-2</c:v>
                </c:pt>
                <c:pt idx="147">
                  <c:v>1.7565026737967948E-2</c:v>
                </c:pt>
                <c:pt idx="148">
                  <c:v>2.2065026737967952E-2</c:v>
                </c:pt>
                <c:pt idx="149">
                  <c:v>1.3127593582887731E-2</c:v>
                </c:pt>
                <c:pt idx="150">
                  <c:v>3.0483208556149777E-2</c:v>
                </c:pt>
                <c:pt idx="151">
                  <c:v>7.8746524064171874E-3</c:v>
                </c:pt>
                <c:pt idx="152">
                  <c:v>2.4170374331550865E-2</c:v>
                </c:pt>
                <c:pt idx="153">
                  <c:v>1.1550588235294174E-2</c:v>
                </c:pt>
                <c:pt idx="154">
                  <c:v>1.9382673796791428E-2</c:v>
                </c:pt>
                <c:pt idx="155">
                  <c:v>2.8671978609625726E-2</c:v>
                </c:pt>
                <c:pt idx="156">
                  <c:v>3.4859144385026769E-2</c:v>
                </c:pt>
                <c:pt idx="157">
                  <c:v>2.413133689839575E-2</c:v>
                </c:pt>
                <c:pt idx="158">
                  <c:v>2.6690695187165797E-2</c:v>
                </c:pt>
                <c:pt idx="159">
                  <c:v>1.9348449197860995E-2</c:v>
                </c:pt>
                <c:pt idx="160">
                  <c:v>2.4925989304812851E-2</c:v>
                </c:pt>
                <c:pt idx="161">
                  <c:v>2.5172513368983962E-2</c:v>
                </c:pt>
                <c:pt idx="162">
                  <c:v>1.7406203208556154E-2</c:v>
                </c:pt>
                <c:pt idx="163">
                  <c:v>1.070192513368981E-2</c:v>
                </c:pt>
                <c:pt idx="164">
                  <c:v>1.3201390374331545E-2</c:v>
                </c:pt>
                <c:pt idx="165">
                  <c:v>2.0801390374331541E-2</c:v>
                </c:pt>
                <c:pt idx="166">
                  <c:v>3.080139037433155E-2</c:v>
                </c:pt>
                <c:pt idx="167">
                  <c:v>3.2801390374331524E-2</c:v>
                </c:pt>
                <c:pt idx="168">
                  <c:v>3.0934545454545465E-2</c:v>
                </c:pt>
                <c:pt idx="169">
                  <c:v>1.6662887700534729E-2</c:v>
                </c:pt>
                <c:pt idx="170">
                  <c:v>2.6409946524064198E-2</c:v>
                </c:pt>
                <c:pt idx="171">
                  <c:v>2.6779465240641703E-2</c:v>
                </c:pt>
                <c:pt idx="172">
                  <c:v>3.8767700534759336E-2</c:v>
                </c:pt>
                <c:pt idx="173">
                  <c:v>1.6416898395721857E-2</c:v>
                </c:pt>
                <c:pt idx="174">
                  <c:v>3.1777326203208528E-2</c:v>
                </c:pt>
                <c:pt idx="175">
                  <c:v>2.7182139037433106E-2</c:v>
                </c:pt>
                <c:pt idx="176">
                  <c:v>1.7187486631016019E-2</c:v>
                </c:pt>
                <c:pt idx="177">
                  <c:v>3.1379465240641696E-2</c:v>
                </c:pt>
                <c:pt idx="178">
                  <c:v>2.7098716577540066E-2</c:v>
                </c:pt>
                <c:pt idx="179">
                  <c:v>1.7269839572192469E-2</c:v>
                </c:pt>
                <c:pt idx="180">
                  <c:v>3.2469839572192488E-2</c:v>
                </c:pt>
                <c:pt idx="181">
                  <c:v>2.5516577540106444E-3</c:v>
                </c:pt>
                <c:pt idx="182">
                  <c:v>2.7751657754010645E-2</c:v>
                </c:pt>
                <c:pt idx="183">
                  <c:v>2.7751657754010645E-2</c:v>
                </c:pt>
                <c:pt idx="184">
                  <c:v>2.9251657754010646E-2</c:v>
                </c:pt>
                <c:pt idx="185">
                  <c:v>3.2751657754010649E-2</c:v>
                </c:pt>
                <c:pt idx="186">
                  <c:v>3.375165775401065E-2</c:v>
                </c:pt>
                <c:pt idx="187">
                  <c:v>2.6497112299465192E-2</c:v>
                </c:pt>
                <c:pt idx="188">
                  <c:v>3.1179465240641691E-2</c:v>
                </c:pt>
                <c:pt idx="189">
                  <c:v>3.416823529411761E-2</c:v>
                </c:pt>
                <c:pt idx="190">
                  <c:v>3.8333475935828837E-2</c:v>
                </c:pt>
                <c:pt idx="191">
                  <c:v>3.7298181818181814E-2</c:v>
                </c:pt>
                <c:pt idx="192">
                  <c:v>2.4937219251336878E-2</c:v>
                </c:pt>
                <c:pt idx="193">
                  <c:v>3.2088556149732592E-2</c:v>
                </c:pt>
                <c:pt idx="194">
                  <c:v>2.8258074866310171E-2</c:v>
                </c:pt>
                <c:pt idx="195">
                  <c:v>2.8258074866310171E-2</c:v>
                </c:pt>
                <c:pt idx="196">
                  <c:v>3.8435614973262089E-2</c:v>
                </c:pt>
                <c:pt idx="197">
                  <c:v>3.8435614973262089E-2</c:v>
                </c:pt>
                <c:pt idx="198">
                  <c:v>3.6430802139037474E-2</c:v>
                </c:pt>
                <c:pt idx="199">
                  <c:v>3.2589090909090943E-2</c:v>
                </c:pt>
                <c:pt idx="200">
                  <c:v>2.8168235294117716E-2</c:v>
                </c:pt>
                <c:pt idx="201">
                  <c:v>3.3690160427807578E-2</c:v>
                </c:pt>
                <c:pt idx="202">
                  <c:v>3.8690160427807582E-2</c:v>
                </c:pt>
                <c:pt idx="203">
                  <c:v>2.8211016042780812E-2</c:v>
                </c:pt>
                <c:pt idx="204">
                  <c:v>2.9342566844919857E-2</c:v>
                </c:pt>
                <c:pt idx="205">
                  <c:v>3.0263422459893094E-2</c:v>
                </c:pt>
                <c:pt idx="206">
                  <c:v>3.8593368983957294E-2</c:v>
                </c:pt>
                <c:pt idx="207">
                  <c:v>3.4585882352941272E-2</c:v>
                </c:pt>
                <c:pt idx="208">
                  <c:v>4.3761818181818277E-2</c:v>
                </c:pt>
                <c:pt idx="209">
                  <c:v>3.3914759358288873E-2</c:v>
                </c:pt>
                <c:pt idx="210">
                  <c:v>3.8695508021390462E-2</c:v>
                </c:pt>
                <c:pt idx="211">
                  <c:v>4.5695508021390469E-2</c:v>
                </c:pt>
                <c:pt idx="212">
                  <c:v>3.4887486631016124E-2</c:v>
                </c:pt>
                <c:pt idx="213">
                  <c:v>1.9493903743315569E-2</c:v>
                </c:pt>
                <c:pt idx="214">
                  <c:v>3.9562352941176465E-2</c:v>
                </c:pt>
                <c:pt idx="215">
                  <c:v>4.3365561497326219E-2</c:v>
                </c:pt>
                <c:pt idx="216">
                  <c:v>4.5010481283422443E-2</c:v>
                </c:pt>
                <c:pt idx="217">
                  <c:v>3.9525989304812784E-2</c:v>
                </c:pt>
                <c:pt idx="218">
                  <c:v>3.1608716577540025E-2</c:v>
                </c:pt>
                <c:pt idx="219">
                  <c:v>3.6776149732620222E-2</c:v>
                </c:pt>
                <c:pt idx="220">
                  <c:v>3.6984919786096179E-2</c:v>
                </c:pt>
                <c:pt idx="221">
                  <c:v>4.0617647058823467E-2</c:v>
                </c:pt>
                <c:pt idx="222">
                  <c:v>3.4148983957219201E-2</c:v>
                </c:pt>
                <c:pt idx="223">
                  <c:v>5.7648983957219194E-2</c:v>
                </c:pt>
                <c:pt idx="224">
                  <c:v>3.7877165775400998E-2</c:v>
                </c:pt>
                <c:pt idx="225">
                  <c:v>4.0996684491978588E-2</c:v>
                </c:pt>
                <c:pt idx="226">
                  <c:v>5.199668449197857E-2</c:v>
                </c:pt>
                <c:pt idx="227">
                  <c:v>4.1025508021390336E-2</c:v>
                </c:pt>
                <c:pt idx="228">
                  <c:v>4.3056898395721868E-2</c:v>
                </c:pt>
                <c:pt idx="229">
                  <c:v>4.8113208556149686E-2</c:v>
                </c:pt>
                <c:pt idx="230">
                  <c:v>4.2951711229946496E-2</c:v>
                </c:pt>
                <c:pt idx="231">
                  <c:v>4.3951711229946497E-2</c:v>
                </c:pt>
                <c:pt idx="232">
                  <c:v>4.488042780748662E-2</c:v>
                </c:pt>
                <c:pt idx="233">
                  <c:v>4.97181818181818E-2</c:v>
                </c:pt>
                <c:pt idx="234">
                  <c:v>5.1491925133689845E-2</c:v>
                </c:pt>
                <c:pt idx="235">
                  <c:v>3.8844438502673787E-2</c:v>
                </c:pt>
                <c:pt idx="236">
                  <c:v>4.3844438502673791E-2</c:v>
                </c:pt>
                <c:pt idx="237">
                  <c:v>3.8563582887700523E-2</c:v>
                </c:pt>
                <c:pt idx="238">
                  <c:v>4.5828395721925111E-2</c:v>
                </c:pt>
                <c:pt idx="239">
                  <c:v>3.5416310160427802E-2</c:v>
                </c:pt>
                <c:pt idx="240">
                  <c:v>3.281395721925133E-2</c:v>
                </c:pt>
                <c:pt idx="241">
                  <c:v>5.1706203208556123E-2</c:v>
                </c:pt>
                <c:pt idx="242">
                  <c:v>5.2706203208556152E-2</c:v>
                </c:pt>
                <c:pt idx="243">
                  <c:v>5.2706203208556152E-2</c:v>
                </c:pt>
                <c:pt idx="244">
                  <c:v>4.4985133689839557E-2</c:v>
                </c:pt>
                <c:pt idx="245">
                  <c:v>4.1582566844919774E-2</c:v>
                </c:pt>
                <c:pt idx="246">
                  <c:v>3.6859251336898408E-2</c:v>
                </c:pt>
                <c:pt idx="247">
                  <c:v>3.8114224598930518E-2</c:v>
                </c:pt>
                <c:pt idx="248">
                  <c:v>4.2614224598930495E-2</c:v>
                </c:pt>
                <c:pt idx="249">
                  <c:v>3.7178181818181832E-2</c:v>
                </c:pt>
                <c:pt idx="250">
                  <c:v>5.4078181818181859E-2</c:v>
                </c:pt>
                <c:pt idx="251">
                  <c:v>5.4078181818181859E-2</c:v>
                </c:pt>
                <c:pt idx="252">
                  <c:v>3.330957219251339E-2</c:v>
                </c:pt>
                <c:pt idx="253">
                  <c:v>4.6964117647058892E-2</c:v>
                </c:pt>
                <c:pt idx="254">
                  <c:v>4.089754010695193E-2</c:v>
                </c:pt>
                <c:pt idx="255">
                  <c:v>3.2830481283422502E-2</c:v>
                </c:pt>
                <c:pt idx="256">
                  <c:v>4.2830481283422511E-2</c:v>
                </c:pt>
                <c:pt idx="257">
                  <c:v>4.1418716577540191E-2</c:v>
                </c:pt>
                <c:pt idx="258">
                  <c:v>4.7418716577540196E-2</c:v>
                </c:pt>
                <c:pt idx="259">
                  <c:v>4.4795989304812919E-2</c:v>
                </c:pt>
                <c:pt idx="260">
                  <c:v>3.7049946524064237E-2</c:v>
                </c:pt>
                <c:pt idx="261">
                  <c:v>3.698524064171127E-2</c:v>
                </c:pt>
                <c:pt idx="262">
                  <c:v>4.559299465240646E-2</c:v>
                </c:pt>
                <c:pt idx="263">
                  <c:v>4.1393689839572229E-2</c:v>
                </c:pt>
                <c:pt idx="264">
                  <c:v>4.1497219251336925E-2</c:v>
                </c:pt>
                <c:pt idx="265">
                  <c:v>4.4810481283422493E-2</c:v>
                </c:pt>
                <c:pt idx="266">
                  <c:v>2.7402513368983972E-2</c:v>
                </c:pt>
                <c:pt idx="267">
                  <c:v>2.9192673796791441E-2</c:v>
                </c:pt>
                <c:pt idx="268">
                  <c:v>4.3031764705882339E-2</c:v>
                </c:pt>
                <c:pt idx="269">
                  <c:v>3.7752299465240668E-2</c:v>
                </c:pt>
                <c:pt idx="270">
                  <c:v>3.38837433155081E-2</c:v>
                </c:pt>
                <c:pt idx="271">
                  <c:v>4.3431122994652557E-2</c:v>
                </c:pt>
                <c:pt idx="272">
                  <c:v>3.9487112299465402E-2</c:v>
                </c:pt>
                <c:pt idx="273">
                  <c:v>1.3623368983957343E-2</c:v>
                </c:pt>
                <c:pt idx="274">
                  <c:v>3.0023155080213998E-2</c:v>
                </c:pt>
                <c:pt idx="275">
                  <c:v>2.3631390374331651E-2</c:v>
                </c:pt>
                <c:pt idx="276">
                  <c:v>3.3154331550802246E-2</c:v>
                </c:pt>
                <c:pt idx="277">
                  <c:v>3.6307272727272716E-2</c:v>
                </c:pt>
                <c:pt idx="278">
                  <c:v>4.1845828877005359E-2</c:v>
                </c:pt>
                <c:pt idx="279">
                  <c:v>2.8182192513368926E-2</c:v>
                </c:pt>
                <c:pt idx="280">
                  <c:v>2.2830213903743263E-2</c:v>
                </c:pt>
                <c:pt idx="281">
                  <c:v>2.0956256684491942E-2</c:v>
                </c:pt>
                <c:pt idx="282">
                  <c:v>1.9577219251336847E-2</c:v>
                </c:pt>
                <c:pt idx="283">
                  <c:v>2.1829465240641638E-2</c:v>
                </c:pt>
                <c:pt idx="284">
                  <c:v>3.0239144385026701E-2</c:v>
                </c:pt>
                <c:pt idx="285">
                  <c:v>3.0005294117646991E-2</c:v>
                </c:pt>
                <c:pt idx="286">
                  <c:v>3.3005294117646994E-2</c:v>
                </c:pt>
                <c:pt idx="287">
                  <c:v>3.6368288770053436E-2</c:v>
                </c:pt>
                <c:pt idx="288">
                  <c:v>2.176491978609621E-2</c:v>
                </c:pt>
                <c:pt idx="289">
                  <c:v>2.1172192513368937E-2</c:v>
                </c:pt>
                <c:pt idx="290">
                  <c:v>2.8653101604278031E-2</c:v>
                </c:pt>
                <c:pt idx="291">
                  <c:v>2.3521390374331513E-2</c:v>
                </c:pt>
                <c:pt idx="292">
                  <c:v>2.8534171122994667E-2</c:v>
                </c:pt>
                <c:pt idx="293">
                  <c:v>2.3604224598930496E-2</c:v>
                </c:pt>
                <c:pt idx="294">
                  <c:v>3.2924919786096296E-2</c:v>
                </c:pt>
                <c:pt idx="295">
                  <c:v>2.9002887700534802E-2</c:v>
                </c:pt>
                <c:pt idx="296">
                  <c:v>2.4524545454545438E-2</c:v>
                </c:pt>
                <c:pt idx="297">
                  <c:v>2.4648235294117637E-2</c:v>
                </c:pt>
                <c:pt idx="298">
                  <c:v>3.242850267379685E-2</c:v>
                </c:pt>
                <c:pt idx="299">
                  <c:v>3.7428502673796854E-2</c:v>
                </c:pt>
                <c:pt idx="300">
                  <c:v>3.5023582887700577E-2</c:v>
                </c:pt>
                <c:pt idx="301">
                  <c:v>2.3783743315508019E-2</c:v>
                </c:pt>
                <c:pt idx="302">
                  <c:v>2.5232727272727268E-2</c:v>
                </c:pt>
                <c:pt idx="303">
                  <c:v>2.7287593582887709E-2</c:v>
                </c:pt>
                <c:pt idx="304">
                  <c:v>2.2501229946524051E-2</c:v>
                </c:pt>
                <c:pt idx="305">
                  <c:v>2.6101229946524043E-2</c:v>
                </c:pt>
                <c:pt idx="306">
                  <c:v>3.3382513368983915E-2</c:v>
                </c:pt>
                <c:pt idx="307">
                  <c:v>2.7172085561497292E-2</c:v>
                </c:pt>
                <c:pt idx="308">
                  <c:v>3.4784224598930422E-2</c:v>
                </c:pt>
                <c:pt idx="309">
                  <c:v>3.7359946524064158E-2</c:v>
                </c:pt>
                <c:pt idx="310">
                  <c:v>4.1673101604278034E-2</c:v>
                </c:pt>
                <c:pt idx="311">
                  <c:v>3.3581443850267387E-2</c:v>
                </c:pt>
                <c:pt idx="312">
                  <c:v>3.6150374331550772E-2</c:v>
                </c:pt>
                <c:pt idx="313">
                  <c:v>3.2364973262032068E-2</c:v>
                </c:pt>
                <c:pt idx="314">
                  <c:v>3.3882620320855636E-2</c:v>
                </c:pt>
                <c:pt idx="315">
                  <c:v>3.2747326203208582E-2</c:v>
                </c:pt>
                <c:pt idx="316">
                  <c:v>4.1800267379679151E-2</c:v>
                </c:pt>
                <c:pt idx="317">
                  <c:v>4.26527272727273E-2</c:v>
                </c:pt>
                <c:pt idx="318">
                  <c:v>3.4765026737967927E-2</c:v>
                </c:pt>
                <c:pt idx="319">
                  <c:v>2.7819465240641772E-2</c:v>
                </c:pt>
                <c:pt idx="320">
                  <c:v>3.481946524064175E-2</c:v>
                </c:pt>
                <c:pt idx="321">
                  <c:v>4.3364278074866341E-2</c:v>
                </c:pt>
                <c:pt idx="322">
                  <c:v>2.0852406417112321E-2</c:v>
                </c:pt>
                <c:pt idx="323">
                  <c:v>4.0909893048128337E-2</c:v>
                </c:pt>
                <c:pt idx="324">
                  <c:v>2.5122887700534766E-2</c:v>
                </c:pt>
                <c:pt idx="325">
                  <c:v>1.2862513368983947E-2</c:v>
                </c:pt>
                <c:pt idx="326">
                  <c:v>4.2194385026737974E-2</c:v>
                </c:pt>
                <c:pt idx="327">
                  <c:v>4.2896577540106978E-2</c:v>
                </c:pt>
                <c:pt idx="328">
                  <c:v>4.4096577540106957E-2</c:v>
                </c:pt>
                <c:pt idx="329">
                  <c:v>4.4096577540106957E-2</c:v>
                </c:pt>
                <c:pt idx="330">
                  <c:v>5.2246577540106962E-2</c:v>
                </c:pt>
                <c:pt idx="331">
                  <c:v>3.48732620320856E-2</c:v>
                </c:pt>
                <c:pt idx="332">
                  <c:v>3.9873262032085577E-2</c:v>
                </c:pt>
                <c:pt idx="333">
                  <c:v>4.1217272727272797E-2</c:v>
                </c:pt>
                <c:pt idx="334">
                  <c:v>2.2951550802139134E-2</c:v>
                </c:pt>
                <c:pt idx="335">
                  <c:v>5.0060588235294218E-2</c:v>
                </c:pt>
                <c:pt idx="336">
                  <c:v>4.0227272727272806E-2</c:v>
                </c:pt>
                <c:pt idx="337">
                  <c:v>3.1357058823529418E-2</c:v>
                </c:pt>
                <c:pt idx="338">
                  <c:v>3.5427593582887745E-2</c:v>
                </c:pt>
                <c:pt idx="339">
                  <c:v>4.0691604278074917E-2</c:v>
                </c:pt>
                <c:pt idx="340">
                  <c:v>4.8827860962566916E-2</c:v>
                </c:pt>
                <c:pt idx="341">
                  <c:v>4.7970909090909161E-2</c:v>
                </c:pt>
                <c:pt idx="342">
                  <c:v>3.9241443850267441E-2</c:v>
                </c:pt>
                <c:pt idx="343">
                  <c:v>5.0279251336898451E-2</c:v>
                </c:pt>
                <c:pt idx="344">
                  <c:v>4.6118770053475977E-2</c:v>
                </c:pt>
                <c:pt idx="345">
                  <c:v>3.1119304812834203E-2</c:v>
                </c:pt>
                <c:pt idx="346">
                  <c:v>4.0142245989304826E-2</c:v>
                </c:pt>
                <c:pt idx="347">
                  <c:v>4.9155721925133705E-2</c:v>
                </c:pt>
                <c:pt idx="348">
                  <c:v>5.2773957219251377E-2</c:v>
                </c:pt>
                <c:pt idx="349">
                  <c:v>5.2768021390374342E-2</c:v>
                </c:pt>
                <c:pt idx="350">
                  <c:v>4.8448181818181821E-2</c:v>
                </c:pt>
                <c:pt idx="351">
                  <c:v>5.3278342245989291E-2</c:v>
                </c:pt>
                <c:pt idx="352">
                  <c:v>6.0865775401069522E-2</c:v>
                </c:pt>
                <c:pt idx="353">
                  <c:v>6.3894331550802139E-2</c:v>
                </c:pt>
                <c:pt idx="354">
                  <c:v>6.1857754010695182E-2</c:v>
                </c:pt>
                <c:pt idx="355">
                  <c:v>5.6106577540106936E-2</c:v>
                </c:pt>
                <c:pt idx="356">
                  <c:v>6.3265721925133633E-2</c:v>
                </c:pt>
                <c:pt idx="357">
                  <c:v>6.4334010695187113E-2</c:v>
                </c:pt>
                <c:pt idx="358">
                  <c:v>5.2820481283422399E-2</c:v>
                </c:pt>
                <c:pt idx="359">
                  <c:v>6.0810588235294061E-2</c:v>
                </c:pt>
                <c:pt idx="360">
                  <c:v>4.6922941176470515E-2</c:v>
                </c:pt>
                <c:pt idx="361">
                  <c:v>5.1289732620320785E-2</c:v>
                </c:pt>
                <c:pt idx="362">
                  <c:v>4.5301336898395689E-2</c:v>
                </c:pt>
                <c:pt idx="363">
                  <c:v>4.7375080213903728E-2</c:v>
                </c:pt>
                <c:pt idx="364">
                  <c:v>5.5341069518716576E-2</c:v>
                </c:pt>
                <c:pt idx="365">
                  <c:v>5.250839572192513E-2</c:v>
                </c:pt>
                <c:pt idx="366">
                  <c:v>5.7746042780748644E-2</c:v>
                </c:pt>
                <c:pt idx="367">
                  <c:v>5.3957433155080226E-2</c:v>
                </c:pt>
                <c:pt idx="368">
                  <c:v>4.7512299465240632E-2</c:v>
                </c:pt>
                <c:pt idx="369">
                  <c:v>5.0185614973262044E-2</c:v>
                </c:pt>
                <c:pt idx="370">
                  <c:v>5.5655935828877012E-2</c:v>
                </c:pt>
                <c:pt idx="371">
                  <c:v>3.3143368983957269E-2</c:v>
                </c:pt>
                <c:pt idx="372">
                  <c:v>4.7262620320855667E-2</c:v>
                </c:pt>
                <c:pt idx="373">
                  <c:v>4.0529518716577548E-2</c:v>
                </c:pt>
                <c:pt idx="374">
                  <c:v>4.4329518716577546E-2</c:v>
                </c:pt>
                <c:pt idx="375">
                  <c:v>4.0745882352941201E-2</c:v>
                </c:pt>
                <c:pt idx="376">
                  <c:v>4.0674117647058861E-2</c:v>
                </c:pt>
                <c:pt idx="377">
                  <c:v>3.7654117647058838E-2</c:v>
                </c:pt>
                <c:pt idx="378">
                  <c:v>3.6859518716577541E-2</c:v>
                </c:pt>
                <c:pt idx="379">
                  <c:v>3.0969839572192542E-2</c:v>
                </c:pt>
                <c:pt idx="380">
                  <c:v>3.9103850267379711E-2</c:v>
                </c:pt>
                <c:pt idx="381">
                  <c:v>4.3103850267379715E-2</c:v>
                </c:pt>
                <c:pt idx="382">
                  <c:v>4.1631016042780786E-2</c:v>
                </c:pt>
                <c:pt idx="383">
                  <c:v>3.7584598930481328E-2</c:v>
                </c:pt>
                <c:pt idx="384">
                  <c:v>4.2072780748663122E-2</c:v>
                </c:pt>
                <c:pt idx="385">
                  <c:v>3.6130213903743311E-2</c:v>
                </c:pt>
                <c:pt idx="386">
                  <c:v>4.0539732620320845E-2</c:v>
                </c:pt>
                <c:pt idx="387">
                  <c:v>4.1637433155080159E-2</c:v>
                </c:pt>
                <c:pt idx="388">
                  <c:v>4.5022192513368947E-2</c:v>
                </c:pt>
                <c:pt idx="389">
                  <c:v>2.7341283422459867E-2</c:v>
                </c:pt>
                <c:pt idx="390">
                  <c:v>2.5284545454545435E-2</c:v>
                </c:pt>
                <c:pt idx="391">
                  <c:v>3.8006631016042777E-2</c:v>
                </c:pt>
                <c:pt idx="392">
                  <c:v>3.067160427807486E-2</c:v>
                </c:pt>
                <c:pt idx="393">
                  <c:v>3.0937379679144394E-2</c:v>
                </c:pt>
                <c:pt idx="394">
                  <c:v>4.5021122994652427E-2</c:v>
                </c:pt>
                <c:pt idx="395">
                  <c:v>3.8370855614973332E-2</c:v>
                </c:pt>
                <c:pt idx="396">
                  <c:v>3.9690855614973305E-2</c:v>
                </c:pt>
                <c:pt idx="397">
                  <c:v>3.4673850267379708E-2</c:v>
                </c:pt>
                <c:pt idx="398">
                  <c:v>4.7162727272727301E-2</c:v>
                </c:pt>
                <c:pt idx="399">
                  <c:v>4.3140588235294167E-2</c:v>
                </c:pt>
                <c:pt idx="400">
                  <c:v>4.1686524064171157E-2</c:v>
                </c:pt>
                <c:pt idx="401">
                  <c:v>3.863700534759365E-2</c:v>
                </c:pt>
                <c:pt idx="402">
                  <c:v>4.310438502673801E-2</c:v>
                </c:pt>
                <c:pt idx="403">
                  <c:v>4.5582139037433217E-2</c:v>
                </c:pt>
                <c:pt idx="404">
                  <c:v>4.0060106951871705E-2</c:v>
                </c:pt>
                <c:pt idx="405">
                  <c:v>4.0540213903743377E-2</c:v>
                </c:pt>
                <c:pt idx="406">
                  <c:v>3.0235668449197908E-2</c:v>
                </c:pt>
                <c:pt idx="407">
                  <c:v>3.7379732620320877E-2</c:v>
                </c:pt>
                <c:pt idx="408">
                  <c:v>3.9502566844919804E-2</c:v>
                </c:pt>
                <c:pt idx="409">
                  <c:v>3.8478770053475955E-2</c:v>
                </c:pt>
                <c:pt idx="410">
                  <c:v>4.4467700534759388E-2</c:v>
                </c:pt>
                <c:pt idx="411">
                  <c:v>3.5360855614973263E-2</c:v>
                </c:pt>
                <c:pt idx="412">
                  <c:v>3.9374331550802152E-2</c:v>
                </c:pt>
                <c:pt idx="413">
                  <c:v>4.3200641711229962E-2</c:v>
                </c:pt>
                <c:pt idx="414">
                  <c:v>3.9627860962566847E-2</c:v>
                </c:pt>
                <c:pt idx="415">
                  <c:v>3.9586203208556103E-2</c:v>
                </c:pt>
                <c:pt idx="416">
                  <c:v>4.5374652406417096E-2</c:v>
                </c:pt>
                <c:pt idx="417">
                  <c:v>2.9611764705882379E-2</c:v>
                </c:pt>
                <c:pt idx="418">
                  <c:v>3.9774117647058849E-2</c:v>
                </c:pt>
                <c:pt idx="419">
                  <c:v>4.1947005347593658E-2</c:v>
                </c:pt>
                <c:pt idx="420">
                  <c:v>3.7412406417112312E-2</c:v>
                </c:pt>
                <c:pt idx="421">
                  <c:v>4.0716577540107032E-2</c:v>
                </c:pt>
                <c:pt idx="422">
                  <c:v>4.1770213903743386E-2</c:v>
                </c:pt>
                <c:pt idx="423">
                  <c:v>3.4752459893048177E-2</c:v>
                </c:pt>
                <c:pt idx="424">
                  <c:v>4.4248823529411813E-2</c:v>
                </c:pt>
                <c:pt idx="425">
                  <c:v>3.8668074866310201E-2</c:v>
                </c:pt>
                <c:pt idx="426">
                  <c:v>4.7109518716577592E-2</c:v>
                </c:pt>
                <c:pt idx="427">
                  <c:v>4.3696363636363686E-2</c:v>
                </c:pt>
                <c:pt idx="428">
                  <c:v>5.103572192513374E-2</c:v>
                </c:pt>
                <c:pt idx="429">
                  <c:v>4.450502673796794E-2</c:v>
                </c:pt>
                <c:pt idx="430">
                  <c:v>4.7205026737967948E-2</c:v>
                </c:pt>
                <c:pt idx="431">
                  <c:v>4.145679144385031E-2</c:v>
                </c:pt>
                <c:pt idx="432">
                  <c:v>4.5456791443850314E-2</c:v>
                </c:pt>
                <c:pt idx="433">
                  <c:v>4.3804919786096297E-2</c:v>
                </c:pt>
                <c:pt idx="434">
                  <c:v>4.9271497326203242E-2</c:v>
                </c:pt>
                <c:pt idx="435">
                  <c:v>4.7211604278074887E-2</c:v>
                </c:pt>
                <c:pt idx="436">
                  <c:v>4.6416791443850289E-2</c:v>
                </c:pt>
                <c:pt idx="437">
                  <c:v>4.5481925133689857E-2</c:v>
                </c:pt>
                <c:pt idx="438">
                  <c:v>4.6481925133689858E-2</c:v>
                </c:pt>
                <c:pt idx="439">
                  <c:v>4.2654973262032103E-2</c:v>
                </c:pt>
                <c:pt idx="440">
                  <c:v>4.8100962566844929E-2</c:v>
                </c:pt>
                <c:pt idx="441">
                  <c:v>4.3387058823529404E-2</c:v>
                </c:pt>
                <c:pt idx="442">
                  <c:v>3.9570962566844919E-2</c:v>
                </c:pt>
                <c:pt idx="443">
                  <c:v>4.6533957219251368E-2</c:v>
                </c:pt>
                <c:pt idx="444">
                  <c:v>4.843053475935831E-2</c:v>
                </c:pt>
                <c:pt idx="445">
                  <c:v>4.0256684491978625E-2</c:v>
                </c:pt>
                <c:pt idx="446">
                  <c:v>5.064486631016045E-2</c:v>
                </c:pt>
                <c:pt idx="447">
                  <c:v>4.2087807486631032E-2</c:v>
                </c:pt>
                <c:pt idx="448">
                  <c:v>4.0887272727272758E-2</c:v>
                </c:pt>
                <c:pt idx="449">
                  <c:v>4.8717914438502721E-2</c:v>
                </c:pt>
                <c:pt idx="450">
                  <c:v>4.5591978609625702E-2</c:v>
                </c:pt>
                <c:pt idx="451">
                  <c:v>4.9047593582887752E-2</c:v>
                </c:pt>
                <c:pt idx="452">
                  <c:v>3.743411764705884E-2</c:v>
                </c:pt>
                <c:pt idx="453">
                  <c:v>3.3162834224598911E-2</c:v>
                </c:pt>
                <c:pt idx="454">
                  <c:v>3.9716951871657746E-2</c:v>
                </c:pt>
                <c:pt idx="455">
                  <c:v>3.9716951871657746E-2</c:v>
                </c:pt>
                <c:pt idx="456">
                  <c:v>3.9186042780748678E-2</c:v>
                </c:pt>
                <c:pt idx="457">
                  <c:v>4.1514224598930491E-2</c:v>
                </c:pt>
                <c:pt idx="458">
                  <c:v>3.890288770053478E-2</c:v>
                </c:pt>
                <c:pt idx="459">
                  <c:v>4.3500267379679117E-2</c:v>
                </c:pt>
                <c:pt idx="460">
                  <c:v>3.2175614973261976E-2</c:v>
                </c:pt>
                <c:pt idx="461">
                  <c:v>4.2515347593582886E-2</c:v>
                </c:pt>
                <c:pt idx="462">
                  <c:v>4.5455294117647024E-2</c:v>
                </c:pt>
                <c:pt idx="463">
                  <c:v>4.2962139037433122E-2</c:v>
                </c:pt>
                <c:pt idx="464">
                  <c:v>3.3979144385026722E-2</c:v>
                </c:pt>
                <c:pt idx="465">
                  <c:v>3.7979144385026725E-2</c:v>
                </c:pt>
                <c:pt idx="466">
                  <c:v>4.0520802139037401E-2</c:v>
                </c:pt>
                <c:pt idx="467">
                  <c:v>4.0532941176470549E-2</c:v>
                </c:pt>
                <c:pt idx="468">
                  <c:v>4.4244224598930432E-2</c:v>
                </c:pt>
                <c:pt idx="469">
                  <c:v>3.8288770053475876E-2</c:v>
                </c:pt>
                <c:pt idx="470">
                  <c:v>3.8300962566844857E-2</c:v>
                </c:pt>
                <c:pt idx="471">
                  <c:v>4.3300962566844861E-2</c:v>
                </c:pt>
                <c:pt idx="472">
                  <c:v>4.9300962566844866E-2</c:v>
                </c:pt>
                <c:pt idx="473">
                  <c:v>4.3608556149732594E-2</c:v>
                </c:pt>
                <c:pt idx="474">
                  <c:v>4.6161711229946528E-2</c:v>
                </c:pt>
                <c:pt idx="475">
                  <c:v>3.0945668449197813E-2</c:v>
                </c:pt>
                <c:pt idx="476">
                  <c:v>4.1445240641711192E-2</c:v>
                </c:pt>
                <c:pt idx="477">
                  <c:v>4.2445240641711193E-2</c:v>
                </c:pt>
                <c:pt idx="478">
                  <c:v>4.4889304812834194E-2</c:v>
                </c:pt>
                <c:pt idx="479">
                  <c:v>3.9740374331550782E-2</c:v>
                </c:pt>
                <c:pt idx="480">
                  <c:v>4.5240374331550787E-2</c:v>
                </c:pt>
                <c:pt idx="481">
                  <c:v>3.3566042780748651E-2</c:v>
                </c:pt>
                <c:pt idx="482">
                  <c:v>4.1619197860962562E-2</c:v>
                </c:pt>
                <c:pt idx="483">
                  <c:v>3.3647486631016035E-2</c:v>
                </c:pt>
                <c:pt idx="484">
                  <c:v>3.7941176470588256E-2</c:v>
                </c:pt>
                <c:pt idx="485">
                  <c:v>3.9941176470588272E-2</c:v>
                </c:pt>
                <c:pt idx="486">
                  <c:v>4.5959946524064196E-2</c:v>
                </c:pt>
                <c:pt idx="487">
                  <c:v>3.9742887700534801E-2</c:v>
                </c:pt>
                <c:pt idx="488">
                  <c:v>5.0398930481283466E-2</c:v>
                </c:pt>
                <c:pt idx="489">
                  <c:v>4.2702727272727267E-2</c:v>
                </c:pt>
                <c:pt idx="490">
                  <c:v>4.1730374331550787E-2</c:v>
                </c:pt>
                <c:pt idx="491">
                  <c:v>3.0818556149732626E-2</c:v>
                </c:pt>
                <c:pt idx="492">
                  <c:v>3.4907433155080228E-2</c:v>
                </c:pt>
                <c:pt idx="493">
                  <c:v>5.1975508021390407E-2</c:v>
                </c:pt>
                <c:pt idx="494">
                  <c:v>4.7031550802139069E-2</c:v>
                </c:pt>
                <c:pt idx="495">
                  <c:v>4.5541229946524084E-2</c:v>
                </c:pt>
                <c:pt idx="496">
                  <c:v>3.4230909090909103E-2</c:v>
                </c:pt>
                <c:pt idx="497">
                  <c:v>3.8230909090909107E-2</c:v>
                </c:pt>
                <c:pt idx="498">
                  <c:v>4.52445989304813E-2</c:v>
                </c:pt>
                <c:pt idx="499">
                  <c:v>4.5394652406417144E-2</c:v>
                </c:pt>
                <c:pt idx="500">
                  <c:v>3.5951390374331565E-2</c:v>
                </c:pt>
                <c:pt idx="501">
                  <c:v>4.4642941176470566E-2</c:v>
                </c:pt>
                <c:pt idx="502">
                  <c:v>4.6642941176470568E-2</c:v>
                </c:pt>
                <c:pt idx="503">
                  <c:v>3.9902032085561492E-2</c:v>
                </c:pt>
                <c:pt idx="504">
                  <c:v>4.7887058823529408E-2</c:v>
                </c:pt>
                <c:pt idx="505">
                  <c:v>3.9684705882352941E-2</c:v>
                </c:pt>
                <c:pt idx="506">
                  <c:v>5.0018609625668425E-2</c:v>
                </c:pt>
                <c:pt idx="507">
                  <c:v>3.7653529411764683E-2</c:v>
                </c:pt>
                <c:pt idx="508">
                  <c:v>4.5559893048128339E-2</c:v>
                </c:pt>
                <c:pt idx="509">
                  <c:v>4.8862299465240649E-2</c:v>
                </c:pt>
                <c:pt idx="510">
                  <c:v>4.3515989304812833E-2</c:v>
                </c:pt>
                <c:pt idx="511">
                  <c:v>3.1520106951871657E-2</c:v>
                </c:pt>
                <c:pt idx="512">
                  <c:v>4.1700748663101583E-2</c:v>
                </c:pt>
                <c:pt idx="513">
                  <c:v>3.3805882352941158E-2</c:v>
                </c:pt>
                <c:pt idx="514">
                  <c:v>4.3110855614973284E-2</c:v>
                </c:pt>
                <c:pt idx="515">
                  <c:v>4.6772941176470614E-2</c:v>
                </c:pt>
                <c:pt idx="516">
                  <c:v>3.878663101604278E-2</c:v>
                </c:pt>
                <c:pt idx="517">
                  <c:v>4.5322994652406398E-2</c:v>
                </c:pt>
                <c:pt idx="518">
                  <c:v>5.0353903743315512E-2</c:v>
                </c:pt>
                <c:pt idx="519">
                  <c:v>3.9424010695187167E-2</c:v>
                </c:pt>
                <c:pt idx="520">
                  <c:v>4.5442834224598938E-2</c:v>
                </c:pt>
                <c:pt idx="521">
                  <c:v>5.045245989304814E-2</c:v>
                </c:pt>
                <c:pt idx="522">
                  <c:v>3.6961069518716597E-2</c:v>
                </c:pt>
                <c:pt idx="523">
                  <c:v>2.9025454545454549E-2</c:v>
                </c:pt>
                <c:pt idx="524">
                  <c:v>3.3242513368983942E-2</c:v>
                </c:pt>
                <c:pt idx="525">
                  <c:v>4.3242513368983937E-2</c:v>
                </c:pt>
                <c:pt idx="526">
                  <c:v>4.1868663101604212E-2</c:v>
                </c:pt>
                <c:pt idx="527">
                  <c:v>4.2636203208556114E-2</c:v>
                </c:pt>
                <c:pt idx="528">
                  <c:v>4.6751657754010648E-2</c:v>
                </c:pt>
                <c:pt idx="529">
                  <c:v>4.7751657754010635E-2</c:v>
                </c:pt>
                <c:pt idx="530">
                  <c:v>4.3918556149732599E-2</c:v>
                </c:pt>
                <c:pt idx="531">
                  <c:v>4.394475935828876E-2</c:v>
                </c:pt>
                <c:pt idx="532">
                  <c:v>4.4142352941176438E-2</c:v>
                </c:pt>
                <c:pt idx="533">
                  <c:v>4.4142352941176438E-2</c:v>
                </c:pt>
                <c:pt idx="534">
                  <c:v>3.8715240641711196E-2</c:v>
                </c:pt>
                <c:pt idx="535">
                  <c:v>4.1249946524064135E-2</c:v>
                </c:pt>
                <c:pt idx="536">
                  <c:v>4.4795401069518723E-2</c:v>
                </c:pt>
                <c:pt idx="537">
                  <c:v>4.2459679144385046E-2</c:v>
                </c:pt>
                <c:pt idx="538">
                  <c:v>4.4959679144385034E-2</c:v>
                </c:pt>
                <c:pt idx="539">
                  <c:v>4.7993208556149761E-2</c:v>
                </c:pt>
                <c:pt idx="540">
                  <c:v>4.3039251336898426E-2</c:v>
                </c:pt>
                <c:pt idx="541">
                  <c:v>4.5863743315508035E-2</c:v>
                </c:pt>
                <c:pt idx="542">
                  <c:v>4.7171336898395699E-2</c:v>
                </c:pt>
                <c:pt idx="543">
                  <c:v>4.837133689839572E-2</c:v>
                </c:pt>
                <c:pt idx="544">
                  <c:v>4.4475828877005352E-2</c:v>
                </c:pt>
                <c:pt idx="545">
                  <c:v>4.4705240641711247E-2</c:v>
                </c:pt>
                <c:pt idx="546">
                  <c:v>3.7777058823529414E-2</c:v>
                </c:pt>
                <c:pt idx="547">
                  <c:v>4.5834866310160455E-2</c:v>
                </c:pt>
                <c:pt idx="548">
                  <c:v>5.0189304812834248E-2</c:v>
                </c:pt>
                <c:pt idx="549">
                  <c:v>4.3761604278074864E-2</c:v>
                </c:pt>
                <c:pt idx="550">
                  <c:v>4.5961604278074872E-2</c:v>
                </c:pt>
                <c:pt idx="551">
                  <c:v>3.760705882352941E-2</c:v>
                </c:pt>
                <c:pt idx="552">
                  <c:v>4.2766149732620315E-2</c:v>
                </c:pt>
                <c:pt idx="553">
                  <c:v>4.8843743315508018E-2</c:v>
                </c:pt>
                <c:pt idx="554">
                  <c:v>4.8282352941176498E-2</c:v>
                </c:pt>
                <c:pt idx="555">
                  <c:v>4.5501925133689849E-2</c:v>
                </c:pt>
                <c:pt idx="556">
                  <c:v>5.1080481283422477E-2</c:v>
                </c:pt>
                <c:pt idx="557">
                  <c:v>4.9502834224598946E-2</c:v>
                </c:pt>
                <c:pt idx="558">
                  <c:v>4.9195401069518738E-2</c:v>
                </c:pt>
                <c:pt idx="559">
                  <c:v>3.5261122994652408E-2</c:v>
                </c:pt>
                <c:pt idx="560">
                  <c:v>3.6261122994652409E-2</c:v>
                </c:pt>
                <c:pt idx="561">
                  <c:v>4.6761122994652418E-2</c:v>
                </c:pt>
                <c:pt idx="562">
                  <c:v>4.2387272727272746E-2</c:v>
                </c:pt>
                <c:pt idx="563">
                  <c:v>5.2721069518716579E-2</c:v>
                </c:pt>
                <c:pt idx="564">
                  <c:v>5.9944278074866297E-2</c:v>
                </c:pt>
                <c:pt idx="565">
                  <c:v>4.5014385026737949E-2</c:v>
                </c:pt>
                <c:pt idx="566">
                  <c:v>4.9592459893048113E-2</c:v>
                </c:pt>
                <c:pt idx="567">
                  <c:v>4.1453636363636373E-2</c:v>
                </c:pt>
                <c:pt idx="568">
                  <c:v>4.7453636363636365E-2</c:v>
                </c:pt>
                <c:pt idx="569">
                  <c:v>4.8551711229946531E-2</c:v>
                </c:pt>
                <c:pt idx="570">
                  <c:v>4.5591497326203226E-2</c:v>
                </c:pt>
                <c:pt idx="571">
                  <c:v>3.6636417112299466E-2</c:v>
                </c:pt>
                <c:pt idx="572">
                  <c:v>5.0898556149732641E-2</c:v>
                </c:pt>
                <c:pt idx="573">
                  <c:v>4.5974117647058832E-2</c:v>
                </c:pt>
                <c:pt idx="574">
                  <c:v>5.6303208556149731E-2</c:v>
                </c:pt>
                <c:pt idx="575">
                  <c:v>4.0488074866310161E-2</c:v>
                </c:pt>
                <c:pt idx="576">
                  <c:v>4.3647219251336897E-2</c:v>
                </c:pt>
                <c:pt idx="577">
                  <c:v>4.8947272727272742E-2</c:v>
                </c:pt>
                <c:pt idx="578">
                  <c:v>4.6086577540106977E-2</c:v>
                </c:pt>
                <c:pt idx="579">
                  <c:v>3.8652887700534738E-2</c:v>
                </c:pt>
                <c:pt idx="580">
                  <c:v>3.9262780748663073E-2</c:v>
                </c:pt>
                <c:pt idx="581">
                  <c:v>3.8676149732620291E-2</c:v>
                </c:pt>
                <c:pt idx="582">
                  <c:v>3.6954331550802161E-2</c:v>
                </c:pt>
                <c:pt idx="583">
                  <c:v>3.7954331550802162E-2</c:v>
                </c:pt>
                <c:pt idx="584">
                  <c:v>4.6132352941176485E-2</c:v>
                </c:pt>
                <c:pt idx="585">
                  <c:v>4.1840641711229989E-2</c:v>
                </c:pt>
                <c:pt idx="586">
                  <c:v>4.1840641711229989E-2</c:v>
                </c:pt>
                <c:pt idx="587">
                  <c:v>3.6478663101604331E-2</c:v>
                </c:pt>
                <c:pt idx="588">
                  <c:v>4.5987486631016095E-2</c:v>
                </c:pt>
                <c:pt idx="589">
                  <c:v>3.7493850267379725E-2</c:v>
                </c:pt>
                <c:pt idx="590">
                  <c:v>3.4377005347593623E-2</c:v>
                </c:pt>
                <c:pt idx="591">
                  <c:v>3.9105294117647085E-2</c:v>
                </c:pt>
                <c:pt idx="592">
                  <c:v>4.1105294117647073E-2</c:v>
                </c:pt>
                <c:pt idx="593">
                  <c:v>4.2201497326203249E-2</c:v>
                </c:pt>
                <c:pt idx="594">
                  <c:v>3.8909090909090963E-2</c:v>
                </c:pt>
                <c:pt idx="595">
                  <c:v>3.878566844919791E-2</c:v>
                </c:pt>
                <c:pt idx="596">
                  <c:v>3.284882352941175E-2</c:v>
                </c:pt>
                <c:pt idx="597">
                  <c:v>4.1408449197860936E-2</c:v>
                </c:pt>
                <c:pt idx="598">
                  <c:v>3.2690534759358264E-2</c:v>
                </c:pt>
                <c:pt idx="599">
                  <c:v>4.439941176470584E-2</c:v>
                </c:pt>
                <c:pt idx="600">
                  <c:v>3.7761122994652424E-2</c:v>
                </c:pt>
                <c:pt idx="601">
                  <c:v>5.6386844919786114E-2</c:v>
                </c:pt>
                <c:pt idx="602">
                  <c:v>4.2458288770053504E-2</c:v>
                </c:pt>
                <c:pt idx="603">
                  <c:v>4.4458288770053506E-2</c:v>
                </c:pt>
                <c:pt idx="604">
                  <c:v>4.0921176470588252E-2</c:v>
                </c:pt>
                <c:pt idx="605">
                  <c:v>4.5987540106951899E-2</c:v>
                </c:pt>
                <c:pt idx="606">
                  <c:v>6.8335775401069554E-2</c:v>
                </c:pt>
                <c:pt idx="607">
                  <c:v>4.6246470588235319E-2</c:v>
                </c:pt>
                <c:pt idx="608">
                  <c:v>4.9517700534759373E-2</c:v>
                </c:pt>
                <c:pt idx="609">
                  <c:v>4.8455080213903767E-2</c:v>
                </c:pt>
                <c:pt idx="610">
                  <c:v>5.2011336898395766E-2</c:v>
                </c:pt>
                <c:pt idx="611">
                  <c:v>4.7234438502673809E-2</c:v>
                </c:pt>
                <c:pt idx="612">
                  <c:v>4.0945133689839555E-2</c:v>
                </c:pt>
                <c:pt idx="613">
                  <c:v>4.3653048128342212E-2</c:v>
                </c:pt>
                <c:pt idx="614">
                  <c:v>4.1992673796791447E-2</c:v>
                </c:pt>
                <c:pt idx="615">
                  <c:v>4.5953475935828866E-2</c:v>
                </c:pt>
                <c:pt idx="616">
                  <c:v>4.8449037433155068E-2</c:v>
                </c:pt>
                <c:pt idx="617">
                  <c:v>4.7565721925133669E-2</c:v>
                </c:pt>
                <c:pt idx="618">
                  <c:v>4.7065508021390354E-2</c:v>
                </c:pt>
                <c:pt idx="619">
                  <c:v>3.2292727272727223E-2</c:v>
                </c:pt>
                <c:pt idx="620">
                  <c:v>4.4580909090909088E-2</c:v>
                </c:pt>
                <c:pt idx="621">
                  <c:v>4.4402085561497356E-2</c:v>
                </c:pt>
                <c:pt idx="622">
                  <c:v>4.4412994652406446E-2</c:v>
                </c:pt>
                <c:pt idx="623">
                  <c:v>4.1442941176470613E-2</c:v>
                </c:pt>
                <c:pt idx="624">
                  <c:v>5.1126791443850295E-2</c:v>
                </c:pt>
                <c:pt idx="625">
                  <c:v>4.6538395721925155E-2</c:v>
                </c:pt>
                <c:pt idx="626">
                  <c:v>4.4696470588235324E-2</c:v>
                </c:pt>
                <c:pt idx="627">
                  <c:v>4.4215882352941174E-2</c:v>
                </c:pt>
                <c:pt idx="628">
                  <c:v>4.4217112299465247E-2</c:v>
                </c:pt>
                <c:pt idx="629">
                  <c:v>4.1782941176470592E-2</c:v>
                </c:pt>
                <c:pt idx="630">
                  <c:v>4.9782941176470599E-2</c:v>
                </c:pt>
                <c:pt idx="631">
                  <c:v>4.9891604278074875E-2</c:v>
                </c:pt>
                <c:pt idx="632">
                  <c:v>3.963069518716579E-2</c:v>
                </c:pt>
                <c:pt idx="633">
                  <c:v>4.8945882352941186E-2</c:v>
                </c:pt>
                <c:pt idx="634">
                  <c:v>5.2306524064171092E-2</c:v>
                </c:pt>
                <c:pt idx="635">
                  <c:v>4.0474705882352954E-2</c:v>
                </c:pt>
                <c:pt idx="636">
                  <c:v>4.5534598930481313E-2</c:v>
                </c:pt>
                <c:pt idx="637">
                  <c:v>4.2180481283422444E-2</c:v>
                </c:pt>
                <c:pt idx="638">
                  <c:v>4.7948877005347612E-2</c:v>
                </c:pt>
                <c:pt idx="639">
                  <c:v>6.1017486631016055E-2</c:v>
                </c:pt>
                <c:pt idx="640">
                  <c:v>5.0590802139037425E-2</c:v>
                </c:pt>
                <c:pt idx="641">
                  <c:v>5.1099037433155053E-2</c:v>
                </c:pt>
                <c:pt idx="642">
                  <c:v>5.6019144385026733E-2</c:v>
                </c:pt>
                <c:pt idx="643">
                  <c:v>6.129807486631017E-2</c:v>
                </c:pt>
                <c:pt idx="644">
                  <c:v>5.3556096256684491E-2</c:v>
                </c:pt>
                <c:pt idx="645">
                  <c:v>5.7693743315508042E-2</c:v>
                </c:pt>
                <c:pt idx="646">
                  <c:v>6.6831283422459892E-2</c:v>
                </c:pt>
                <c:pt idx="647">
                  <c:v>6.6084866310160431E-2</c:v>
                </c:pt>
                <c:pt idx="648">
                  <c:v>5.8329144385026711E-2</c:v>
                </c:pt>
                <c:pt idx="649">
                  <c:v>5.3400534759358284E-2</c:v>
                </c:pt>
                <c:pt idx="650">
                  <c:v>5.3400534759358284E-2</c:v>
                </c:pt>
                <c:pt idx="651">
                  <c:v>5.895957219251334E-2</c:v>
                </c:pt>
                <c:pt idx="652">
                  <c:v>4.3304919786096192E-2</c:v>
                </c:pt>
                <c:pt idx="653">
                  <c:v>4.5057433155080172E-2</c:v>
                </c:pt>
                <c:pt idx="654">
                  <c:v>4.5479358288770005E-2</c:v>
                </c:pt>
                <c:pt idx="655">
                  <c:v>4.4028021390374275E-2</c:v>
                </c:pt>
                <c:pt idx="656">
                  <c:v>4.6054652406417138E-2</c:v>
                </c:pt>
                <c:pt idx="657">
                  <c:v>4.8664705882352992E-2</c:v>
                </c:pt>
                <c:pt idx="658">
                  <c:v>5.0695347593582928E-2</c:v>
                </c:pt>
                <c:pt idx="659">
                  <c:v>4.912604278074871E-2</c:v>
                </c:pt>
                <c:pt idx="660">
                  <c:v>6.057759358288773E-2</c:v>
                </c:pt>
                <c:pt idx="661">
                  <c:v>4.8878181818181848E-2</c:v>
                </c:pt>
                <c:pt idx="662">
                  <c:v>5.2453636363636341E-2</c:v>
                </c:pt>
                <c:pt idx="663">
                  <c:v>5.1633208556149723E-2</c:v>
                </c:pt>
                <c:pt idx="664">
                  <c:v>5.3197165775401054E-2</c:v>
                </c:pt>
                <c:pt idx="665">
                  <c:v>7.0294331550802114E-2</c:v>
                </c:pt>
                <c:pt idx="666">
                  <c:v>6.2352994652406374E-2</c:v>
                </c:pt>
                <c:pt idx="667">
                  <c:v>5.7461176470588238E-2</c:v>
                </c:pt>
                <c:pt idx="668">
                  <c:v>5.5867914438502669E-2</c:v>
                </c:pt>
                <c:pt idx="669">
                  <c:v>5.136759358288772E-2</c:v>
                </c:pt>
                <c:pt idx="670">
                  <c:v>4.7609358288770082E-2</c:v>
                </c:pt>
                <c:pt idx="671">
                  <c:v>5.4609358288770074E-2</c:v>
                </c:pt>
                <c:pt idx="672">
                  <c:v>4.5018877005347575E-2</c:v>
                </c:pt>
                <c:pt idx="673">
                  <c:v>5.5284759358288783E-2</c:v>
                </c:pt>
                <c:pt idx="674">
                  <c:v>5.5306737967914452E-2</c:v>
                </c:pt>
                <c:pt idx="675">
                  <c:v>6.0585989304812855E-2</c:v>
                </c:pt>
                <c:pt idx="676">
                  <c:v>5.5545759358288781E-2</c:v>
                </c:pt>
                <c:pt idx="677">
                  <c:v>6.2947978609625657E-2</c:v>
                </c:pt>
                <c:pt idx="678">
                  <c:v>6.8249112299465231E-2</c:v>
                </c:pt>
                <c:pt idx="679">
                  <c:v>5.514640641711234E-2</c:v>
                </c:pt>
                <c:pt idx="680">
                  <c:v>5.7484775401069527E-2</c:v>
                </c:pt>
                <c:pt idx="681">
                  <c:v>6.8520893048128376E-2</c:v>
                </c:pt>
                <c:pt idx="682">
                  <c:v>5.9549513368983911E-2</c:v>
                </c:pt>
                <c:pt idx="683">
                  <c:v>5.2589106951871634E-2</c:v>
                </c:pt>
                <c:pt idx="684">
                  <c:v>7.2636347593582867E-2</c:v>
                </c:pt>
                <c:pt idx="685">
                  <c:v>6.0714085561497294E-2</c:v>
                </c:pt>
                <c:pt idx="686">
                  <c:v>5.4247540106951847E-2</c:v>
                </c:pt>
                <c:pt idx="687">
                  <c:v>4.6983368983957198E-2</c:v>
                </c:pt>
                <c:pt idx="688">
                  <c:v>5.1983368983957189E-2</c:v>
                </c:pt>
                <c:pt idx="689">
                  <c:v>5.4836149732620298E-2</c:v>
                </c:pt>
                <c:pt idx="690">
                  <c:v>6.0147085561497324E-2</c:v>
                </c:pt>
                <c:pt idx="691">
                  <c:v>6.0856534759358309E-2</c:v>
                </c:pt>
                <c:pt idx="692">
                  <c:v>7.2944882352941193E-2</c:v>
                </c:pt>
                <c:pt idx="693">
                  <c:v>4.974947593582886E-2</c:v>
                </c:pt>
                <c:pt idx="694">
                  <c:v>6.4276855614973261E-2</c:v>
                </c:pt>
                <c:pt idx="695">
                  <c:v>7.0482117647058834E-2</c:v>
                </c:pt>
                <c:pt idx="696">
                  <c:v>7.0750925133689857E-2</c:v>
                </c:pt>
                <c:pt idx="697">
                  <c:v>6.5155828877005328E-2</c:v>
                </c:pt>
                <c:pt idx="698">
                  <c:v>6.1841053475935798E-2</c:v>
                </c:pt>
                <c:pt idx="699">
                  <c:v>6.2022636363636377E-2</c:v>
                </c:pt>
                <c:pt idx="700">
                  <c:v>6.2046663101604282E-2</c:v>
                </c:pt>
                <c:pt idx="701">
                  <c:v>6.9292561497326224E-2</c:v>
                </c:pt>
                <c:pt idx="702">
                  <c:v>5.3858796791443876E-2</c:v>
                </c:pt>
                <c:pt idx="703">
                  <c:v>5.0546502673796831E-2</c:v>
                </c:pt>
                <c:pt idx="704">
                  <c:v>5.3993860962566857E-2</c:v>
                </c:pt>
                <c:pt idx="705">
                  <c:v>5.674521390374334E-2</c:v>
                </c:pt>
                <c:pt idx="706">
                  <c:v>5.589028877005351E-2</c:v>
                </c:pt>
                <c:pt idx="707">
                  <c:v>5.8390288770053513E-2</c:v>
                </c:pt>
                <c:pt idx="708">
                  <c:v>6.118638502673799E-2</c:v>
                </c:pt>
                <c:pt idx="709">
                  <c:v>5.3171010695187176E-2</c:v>
                </c:pt>
                <c:pt idx="710">
                  <c:v>5.8671010695187181E-2</c:v>
                </c:pt>
                <c:pt idx="711">
                  <c:v>5.7054909090909087E-2</c:v>
                </c:pt>
                <c:pt idx="712">
                  <c:v>5.5666759358288777E-2</c:v>
                </c:pt>
                <c:pt idx="713">
                  <c:v>5.5602192513368995E-2</c:v>
                </c:pt>
                <c:pt idx="714">
                  <c:v>7.059985026737968E-2</c:v>
                </c:pt>
                <c:pt idx="715">
                  <c:v>7.059985026737968E-2</c:v>
                </c:pt>
                <c:pt idx="716">
                  <c:v>5.2983251336898393E-2</c:v>
                </c:pt>
                <c:pt idx="717">
                  <c:v>7.0483251336898395E-2</c:v>
                </c:pt>
                <c:pt idx="718">
                  <c:v>6.2663080213903724E-2</c:v>
                </c:pt>
                <c:pt idx="719">
                  <c:v>5.8497652406417092E-2</c:v>
                </c:pt>
                <c:pt idx="720">
                  <c:v>5.8497652406417092E-2</c:v>
                </c:pt>
                <c:pt idx="721">
                  <c:v>4.9381866310160415E-2</c:v>
                </c:pt>
                <c:pt idx="722">
                  <c:v>6.1528229946524064E-2</c:v>
                </c:pt>
                <c:pt idx="723">
                  <c:v>5.3967283422459891E-2</c:v>
                </c:pt>
                <c:pt idx="724">
                  <c:v>4.8976385026737963E-2</c:v>
                </c:pt>
                <c:pt idx="725">
                  <c:v>5.1457475935828868E-2</c:v>
                </c:pt>
                <c:pt idx="726">
                  <c:v>5.3972401069518672E-2</c:v>
                </c:pt>
                <c:pt idx="727">
                  <c:v>5.3972401069518672E-2</c:v>
                </c:pt>
                <c:pt idx="728">
                  <c:v>5.3001294117647042E-2</c:v>
                </c:pt>
                <c:pt idx="729">
                  <c:v>5.4058711229946495E-2</c:v>
                </c:pt>
                <c:pt idx="730">
                  <c:v>5.2128689839572168E-2</c:v>
                </c:pt>
                <c:pt idx="731">
                  <c:v>5.4128689839572156E-2</c:v>
                </c:pt>
                <c:pt idx="732">
                  <c:v>5.1176721925133686E-2</c:v>
                </c:pt>
                <c:pt idx="733">
                  <c:v>5.5186754010695178E-2</c:v>
                </c:pt>
                <c:pt idx="734">
                  <c:v>4.8107508021390355E-2</c:v>
                </c:pt>
                <c:pt idx="735">
                  <c:v>6.4093802139037426E-2</c:v>
                </c:pt>
                <c:pt idx="736">
                  <c:v>6.4105240641711234E-2</c:v>
                </c:pt>
                <c:pt idx="737">
                  <c:v>5.1633893048128335E-2</c:v>
                </c:pt>
                <c:pt idx="738">
                  <c:v>5.3519641711229957E-2</c:v>
                </c:pt>
                <c:pt idx="739">
                  <c:v>6.1381032085561477E-2</c:v>
                </c:pt>
                <c:pt idx="740">
                  <c:v>5.7641732620320837E-2</c:v>
                </c:pt>
                <c:pt idx="741">
                  <c:v>6.1994272727272717E-2</c:v>
                </c:pt>
                <c:pt idx="742">
                  <c:v>5.2340213903743306E-2</c:v>
                </c:pt>
                <c:pt idx="743">
                  <c:v>5.4667417112299443E-2</c:v>
                </c:pt>
                <c:pt idx="744">
                  <c:v>6.1923855614973246E-2</c:v>
                </c:pt>
                <c:pt idx="745">
                  <c:v>5.8470278074866329E-2</c:v>
                </c:pt>
                <c:pt idx="746">
                  <c:v>6.8663620320855628E-2</c:v>
                </c:pt>
                <c:pt idx="747">
                  <c:v>5.8005160427807491E-2</c:v>
                </c:pt>
                <c:pt idx="748">
                  <c:v>4.9171775401069463E-2</c:v>
                </c:pt>
                <c:pt idx="749">
                  <c:v>5.9918390374331505E-2</c:v>
                </c:pt>
                <c:pt idx="750">
                  <c:v>5.3828844919786054E-2</c:v>
                </c:pt>
                <c:pt idx="751">
                  <c:v>6.2328844919786047E-2</c:v>
                </c:pt>
                <c:pt idx="752">
                  <c:v>5.8847433155080182E-2</c:v>
                </c:pt>
                <c:pt idx="753">
                  <c:v>5.7235668449197842E-2</c:v>
                </c:pt>
                <c:pt idx="754">
                  <c:v>5.1702058823529393E-2</c:v>
                </c:pt>
                <c:pt idx="755">
                  <c:v>5.4652871657753996E-2</c:v>
                </c:pt>
                <c:pt idx="756">
                  <c:v>5.1696262032085556E-2</c:v>
                </c:pt>
                <c:pt idx="757">
                  <c:v>6.4701540106951866E-2</c:v>
                </c:pt>
                <c:pt idx="758">
                  <c:v>5.6047224598930467E-2</c:v>
                </c:pt>
                <c:pt idx="759">
                  <c:v>5.8750417112299454E-2</c:v>
                </c:pt>
                <c:pt idx="760">
                  <c:v>6.4750417112299452E-2</c:v>
                </c:pt>
                <c:pt idx="761">
                  <c:v>5.6758197860962541E-2</c:v>
                </c:pt>
                <c:pt idx="762">
                  <c:v>6.4758197860962541E-2</c:v>
                </c:pt>
                <c:pt idx="763">
                  <c:v>5.4796508021390369E-2</c:v>
                </c:pt>
                <c:pt idx="764">
                  <c:v>6.4836652406417117E-2</c:v>
                </c:pt>
                <c:pt idx="765">
                  <c:v>6.6833064171122974E-2</c:v>
                </c:pt>
                <c:pt idx="766">
                  <c:v>6.6833064171122974E-2</c:v>
                </c:pt>
                <c:pt idx="767">
                  <c:v>5.9774860962566845E-2</c:v>
                </c:pt>
                <c:pt idx="768">
                  <c:v>4.9693449197860944E-2</c:v>
                </c:pt>
                <c:pt idx="769">
                  <c:v>5.949077005347593E-2</c:v>
                </c:pt>
                <c:pt idx="770">
                  <c:v>4.7347229946524079E-2</c:v>
                </c:pt>
                <c:pt idx="771">
                  <c:v>5.1347229946524083E-2</c:v>
                </c:pt>
                <c:pt idx="772">
                  <c:v>6.0688818181818212E-2</c:v>
                </c:pt>
                <c:pt idx="773">
                  <c:v>5.8150347593582924E-2</c:v>
                </c:pt>
                <c:pt idx="774">
                  <c:v>4.8420609625668458E-2</c:v>
                </c:pt>
                <c:pt idx="775">
                  <c:v>4.7430235294117613E-2</c:v>
                </c:pt>
                <c:pt idx="776">
                  <c:v>5.0270064171122966E-2</c:v>
                </c:pt>
                <c:pt idx="777">
                  <c:v>6.0209534759358273E-2</c:v>
                </c:pt>
                <c:pt idx="778">
                  <c:v>5.2278085561497295E-2</c:v>
                </c:pt>
                <c:pt idx="779">
                  <c:v>5.4522909090909087E-2</c:v>
                </c:pt>
                <c:pt idx="780">
                  <c:v>6.056354010695187E-2</c:v>
                </c:pt>
                <c:pt idx="781">
                  <c:v>5.9596689839572184E-2</c:v>
                </c:pt>
                <c:pt idx="782">
                  <c:v>5.8706288770053482E-2</c:v>
                </c:pt>
                <c:pt idx="783">
                  <c:v>5.0780893048128363E-2</c:v>
                </c:pt>
                <c:pt idx="784">
                  <c:v>5.4922037433155081E-2</c:v>
                </c:pt>
                <c:pt idx="785">
                  <c:v>5.243982887700533E-2</c:v>
                </c:pt>
                <c:pt idx="786">
                  <c:v>5.405388770053475E-2</c:v>
                </c:pt>
                <c:pt idx="787">
                  <c:v>6.5079513368983946E-2</c:v>
                </c:pt>
                <c:pt idx="788">
                  <c:v>5.6602245989304814E-2</c:v>
                </c:pt>
                <c:pt idx="789">
                  <c:v>5.1704069518716596E-2</c:v>
                </c:pt>
                <c:pt idx="790">
                  <c:v>5.9351459893048138E-2</c:v>
                </c:pt>
                <c:pt idx="791">
                  <c:v>4.6867176470588238E-2</c:v>
                </c:pt>
                <c:pt idx="792">
                  <c:v>5.2567176470588235E-2</c:v>
                </c:pt>
                <c:pt idx="793">
                  <c:v>5.4046347593582879E-2</c:v>
                </c:pt>
                <c:pt idx="794">
                  <c:v>4.6423262032085556E-2</c:v>
                </c:pt>
                <c:pt idx="795">
                  <c:v>5.529993048128342E-2</c:v>
                </c:pt>
                <c:pt idx="796">
                  <c:v>5.2730983957219257E-2</c:v>
                </c:pt>
                <c:pt idx="797">
                  <c:v>5.5890112299465222E-2</c:v>
                </c:pt>
                <c:pt idx="798">
                  <c:v>4.7956508021390377E-2</c:v>
                </c:pt>
                <c:pt idx="799">
                  <c:v>5.0876315508021387E-2</c:v>
                </c:pt>
                <c:pt idx="800">
                  <c:v>4.7842112299465243E-2</c:v>
                </c:pt>
                <c:pt idx="801">
                  <c:v>5.5638657754010709E-2</c:v>
                </c:pt>
                <c:pt idx="802">
                  <c:v>5.5879016042780769E-2</c:v>
                </c:pt>
                <c:pt idx="803">
                  <c:v>4.7428144385026766E-2</c:v>
                </c:pt>
                <c:pt idx="804">
                  <c:v>5.1061973262032115E-2</c:v>
                </c:pt>
                <c:pt idx="805">
                  <c:v>5.0087978609625688E-2</c:v>
                </c:pt>
                <c:pt idx="806">
                  <c:v>5.1157604278074892E-2</c:v>
                </c:pt>
                <c:pt idx="807">
                  <c:v>6.0189128342246011E-2</c:v>
                </c:pt>
                <c:pt idx="808">
                  <c:v>5.9338657754010725E-2</c:v>
                </c:pt>
                <c:pt idx="809">
                  <c:v>5.536925668449199E-2</c:v>
                </c:pt>
                <c:pt idx="810">
                  <c:v>4.9390053475935836E-2</c:v>
                </c:pt>
                <c:pt idx="811">
                  <c:v>4.9390053475935836E-2</c:v>
                </c:pt>
                <c:pt idx="812">
                  <c:v>5.3390053475935825E-2</c:v>
                </c:pt>
                <c:pt idx="813">
                  <c:v>4.2423705882352947E-2</c:v>
                </c:pt>
                <c:pt idx="814">
                  <c:v>5.9187705882352948E-2</c:v>
                </c:pt>
                <c:pt idx="815">
                  <c:v>5.9372556149732608E-2</c:v>
                </c:pt>
                <c:pt idx="816">
                  <c:v>5.9372556149732608E-2</c:v>
                </c:pt>
                <c:pt idx="817">
                  <c:v>5.2144957219251317E-2</c:v>
                </c:pt>
                <c:pt idx="818">
                  <c:v>5.4144957219251305E-2</c:v>
                </c:pt>
                <c:pt idx="819">
                  <c:v>5.4417844919786074E-2</c:v>
                </c:pt>
                <c:pt idx="820">
                  <c:v>5.369991978609627E-2</c:v>
                </c:pt>
                <c:pt idx="821">
                  <c:v>5.9682534759358308E-2</c:v>
                </c:pt>
                <c:pt idx="822">
                  <c:v>5.4777395721925172E-2</c:v>
                </c:pt>
                <c:pt idx="823">
                  <c:v>5.482174866310164E-2</c:v>
                </c:pt>
                <c:pt idx="824">
                  <c:v>6.2017582887700561E-2</c:v>
                </c:pt>
                <c:pt idx="825">
                  <c:v>6.3217582887700574E-2</c:v>
                </c:pt>
                <c:pt idx="826">
                  <c:v>5.7457181818181824E-2</c:v>
                </c:pt>
                <c:pt idx="827">
                  <c:v>5.74945935828877E-2</c:v>
                </c:pt>
                <c:pt idx="828">
                  <c:v>6.2211122994652417E-2</c:v>
                </c:pt>
                <c:pt idx="829">
                  <c:v>6.2003877005347596E-2</c:v>
                </c:pt>
                <c:pt idx="830">
                  <c:v>6.2003877005347596E-2</c:v>
                </c:pt>
                <c:pt idx="831">
                  <c:v>6.2003877005347596E-2</c:v>
                </c:pt>
                <c:pt idx="832">
                  <c:v>5.7218454545454531E-2</c:v>
                </c:pt>
                <c:pt idx="833">
                  <c:v>5.8246245989304828E-2</c:v>
                </c:pt>
                <c:pt idx="834">
                  <c:v>5.6787245989304819E-2</c:v>
                </c:pt>
                <c:pt idx="835">
                  <c:v>5.5931524064171123E-2</c:v>
                </c:pt>
                <c:pt idx="836">
                  <c:v>6.1383802139037429E-2</c:v>
                </c:pt>
                <c:pt idx="837">
                  <c:v>6.1383802139037429E-2</c:v>
                </c:pt>
                <c:pt idx="838">
                  <c:v>6.0815385026737993E-2</c:v>
                </c:pt>
                <c:pt idx="839">
                  <c:v>6.0815385026737993E-2</c:v>
                </c:pt>
                <c:pt idx="840">
                  <c:v>6.0815385026737993E-2</c:v>
                </c:pt>
                <c:pt idx="841">
                  <c:v>6.0857096256684513E-2</c:v>
                </c:pt>
                <c:pt idx="842">
                  <c:v>6.0150978609625712E-2</c:v>
                </c:pt>
                <c:pt idx="843">
                  <c:v>5.7418823529411807E-2</c:v>
                </c:pt>
                <c:pt idx="844">
                  <c:v>5.8603994652406441E-2</c:v>
                </c:pt>
                <c:pt idx="845">
                  <c:v>5.9695780748663135E-2</c:v>
                </c:pt>
                <c:pt idx="846">
                  <c:v>6.3121310160427838E-2</c:v>
                </c:pt>
                <c:pt idx="847">
                  <c:v>6.0136133689839597E-2</c:v>
                </c:pt>
                <c:pt idx="848">
                  <c:v>6.4072080213903732E-2</c:v>
                </c:pt>
                <c:pt idx="849">
                  <c:v>6.3349994652406399E-2</c:v>
                </c:pt>
                <c:pt idx="850">
                  <c:v>6.9429721925133664E-2</c:v>
                </c:pt>
                <c:pt idx="851">
                  <c:v>7.0392315508021372E-2</c:v>
                </c:pt>
                <c:pt idx="852">
                  <c:v>6.500933689839572E-2</c:v>
                </c:pt>
                <c:pt idx="853">
                  <c:v>5.8384834224598905E-2</c:v>
                </c:pt>
                <c:pt idx="854">
                  <c:v>6.3936556149732607E-2</c:v>
                </c:pt>
                <c:pt idx="855">
                  <c:v>6.2714604278074862E-2</c:v>
                </c:pt>
                <c:pt idx="856">
                  <c:v>6.4734310160427813E-2</c:v>
                </c:pt>
                <c:pt idx="857">
                  <c:v>5.5723983957219246E-2</c:v>
                </c:pt>
                <c:pt idx="858">
                  <c:v>5.5111513368983955E-2</c:v>
                </c:pt>
                <c:pt idx="859">
                  <c:v>6.751151336898395E-2</c:v>
                </c:pt>
                <c:pt idx="860">
                  <c:v>6.3105090909090916E-2</c:v>
                </c:pt>
                <c:pt idx="861">
                  <c:v>5.9903133689839565E-2</c:v>
                </c:pt>
                <c:pt idx="862">
                  <c:v>6.033932085561497E-2</c:v>
                </c:pt>
                <c:pt idx="863">
                  <c:v>6.033932085561497E-2</c:v>
                </c:pt>
                <c:pt idx="864">
                  <c:v>5.8252219251336876E-2</c:v>
                </c:pt>
                <c:pt idx="865">
                  <c:v>5.2654529411764683E-2</c:v>
                </c:pt>
                <c:pt idx="866">
                  <c:v>6.2571989304812808E-2</c:v>
                </c:pt>
                <c:pt idx="867">
                  <c:v>6.4973871657753993E-2</c:v>
                </c:pt>
                <c:pt idx="868">
                  <c:v>6.0426679144385015E-2</c:v>
                </c:pt>
                <c:pt idx="869">
                  <c:v>6.1375556149732606E-2</c:v>
                </c:pt>
                <c:pt idx="870">
                  <c:v>6.1375556149732606E-2</c:v>
                </c:pt>
                <c:pt idx="871">
                  <c:v>6.2375556149732593E-2</c:v>
                </c:pt>
                <c:pt idx="872">
                  <c:v>5.9274919786096232E-2</c:v>
                </c:pt>
                <c:pt idx="873">
                  <c:v>6.1274919786096248E-2</c:v>
                </c:pt>
                <c:pt idx="874">
                  <c:v>6.5571486631016029E-2</c:v>
                </c:pt>
                <c:pt idx="875">
                  <c:v>6.0824048128342252E-2</c:v>
                </c:pt>
                <c:pt idx="876">
                  <c:v>5.8975561497326204E-2</c:v>
                </c:pt>
                <c:pt idx="877">
                  <c:v>5.8617508021390367E-2</c:v>
                </c:pt>
                <c:pt idx="878">
                  <c:v>5.9617508021390368E-2</c:v>
                </c:pt>
                <c:pt idx="879">
                  <c:v>6.0266026737967895E-2</c:v>
                </c:pt>
                <c:pt idx="880">
                  <c:v>5.6055390374331542E-2</c:v>
                </c:pt>
                <c:pt idx="881">
                  <c:v>6.0977294117647067E-2</c:v>
                </c:pt>
                <c:pt idx="882">
                  <c:v>5.1976411764705896E-2</c:v>
                </c:pt>
                <c:pt idx="883">
                  <c:v>5.7115737967914443E-2</c:v>
                </c:pt>
                <c:pt idx="884">
                  <c:v>6.2682240641711212E-2</c:v>
                </c:pt>
                <c:pt idx="885">
                  <c:v>5.0663326203208542E-2</c:v>
                </c:pt>
                <c:pt idx="886">
                  <c:v>5.6646352941176446E-2</c:v>
                </c:pt>
                <c:pt idx="887">
                  <c:v>5.9078165775401044E-2</c:v>
                </c:pt>
                <c:pt idx="888">
                  <c:v>4.7343422459893029E-2</c:v>
                </c:pt>
                <c:pt idx="889">
                  <c:v>4.9443422459893034E-2</c:v>
                </c:pt>
                <c:pt idx="890">
                  <c:v>4.9443422459893034E-2</c:v>
                </c:pt>
                <c:pt idx="891">
                  <c:v>6.0896903743315522E-2</c:v>
                </c:pt>
                <c:pt idx="892">
                  <c:v>5.5902673796791459E-2</c:v>
                </c:pt>
                <c:pt idx="893">
                  <c:v>6.5432090909090898E-2</c:v>
                </c:pt>
                <c:pt idx="894">
                  <c:v>5.5441106951871669E-2</c:v>
                </c:pt>
                <c:pt idx="895">
                  <c:v>5.8430524064171145E-2</c:v>
                </c:pt>
                <c:pt idx="896">
                  <c:v>8.1391320855614971E-2</c:v>
                </c:pt>
                <c:pt idx="897">
                  <c:v>5.7013620320855607E-2</c:v>
                </c:pt>
                <c:pt idx="898">
                  <c:v>5.2916983957219249E-2</c:v>
                </c:pt>
                <c:pt idx="899">
                  <c:v>5.6916983957219253E-2</c:v>
                </c:pt>
                <c:pt idx="900">
                  <c:v>5.6916983957219253E-2</c:v>
                </c:pt>
                <c:pt idx="901">
                  <c:v>5.9916983957219255E-2</c:v>
                </c:pt>
                <c:pt idx="902">
                  <c:v>6.199465775401071E-2</c:v>
                </c:pt>
                <c:pt idx="903">
                  <c:v>5.5755818181818191E-2</c:v>
                </c:pt>
                <c:pt idx="904">
                  <c:v>5.5755818181818191E-2</c:v>
                </c:pt>
                <c:pt idx="905">
                  <c:v>6.5788411764705901E-2</c:v>
                </c:pt>
                <c:pt idx="906">
                  <c:v>6.0544588235294107E-2</c:v>
                </c:pt>
                <c:pt idx="907">
                  <c:v>5.8732823529411782E-2</c:v>
                </c:pt>
                <c:pt idx="908">
                  <c:v>5.4382855614973274E-2</c:v>
                </c:pt>
                <c:pt idx="909">
                  <c:v>5.9682855614973274E-2</c:v>
                </c:pt>
                <c:pt idx="910">
                  <c:v>6.1311262032085562E-2</c:v>
                </c:pt>
                <c:pt idx="911">
                  <c:v>6.2157780748663106E-2</c:v>
                </c:pt>
                <c:pt idx="912">
                  <c:v>5.9893133689839562E-2</c:v>
                </c:pt>
                <c:pt idx="913">
                  <c:v>5.9908443850267369E-2</c:v>
                </c:pt>
                <c:pt idx="914">
                  <c:v>5.8169588235294112E-2</c:v>
                </c:pt>
                <c:pt idx="915">
                  <c:v>6.261053475935828E-2</c:v>
                </c:pt>
                <c:pt idx="916">
                  <c:v>6.2143272727272734E-2</c:v>
                </c:pt>
                <c:pt idx="917">
                  <c:v>6.2147438502673798E-2</c:v>
                </c:pt>
                <c:pt idx="918">
                  <c:v>5.9389999999999984E-2</c:v>
                </c:pt>
                <c:pt idx="919">
                  <c:v>5.2503497326203193E-2</c:v>
                </c:pt>
                <c:pt idx="920">
                  <c:v>5.8152524064171124E-2</c:v>
                </c:pt>
                <c:pt idx="921">
                  <c:v>6.1828582887700552E-2</c:v>
                </c:pt>
                <c:pt idx="922">
                  <c:v>5.6415208556149753E-2</c:v>
                </c:pt>
                <c:pt idx="923">
                  <c:v>4.4542780748663142E-2</c:v>
                </c:pt>
                <c:pt idx="924">
                  <c:v>4.7917871657754026E-2</c:v>
                </c:pt>
                <c:pt idx="925">
                  <c:v>5.7745967914438485E-2</c:v>
                </c:pt>
                <c:pt idx="926">
                  <c:v>5.6701871657753998E-2</c:v>
                </c:pt>
                <c:pt idx="927">
                  <c:v>5.7402449197860951E-2</c:v>
                </c:pt>
                <c:pt idx="928">
                  <c:v>6.2838272727272743E-2</c:v>
                </c:pt>
                <c:pt idx="929">
                  <c:v>6.6998620320855629E-2</c:v>
                </c:pt>
                <c:pt idx="930">
                  <c:v>5.4670385026737975E-2</c:v>
                </c:pt>
                <c:pt idx="931">
                  <c:v>5.8570385026737962E-2</c:v>
                </c:pt>
                <c:pt idx="932">
                  <c:v>5.8570385026737962E-2</c:v>
                </c:pt>
                <c:pt idx="933">
                  <c:v>6.6740727272727257E-2</c:v>
                </c:pt>
                <c:pt idx="934">
                  <c:v>6.5142914438502675E-2</c:v>
                </c:pt>
                <c:pt idx="935">
                  <c:v>6.3436144385026746E-2</c:v>
                </c:pt>
                <c:pt idx="936">
                  <c:v>6.5936144385026749E-2</c:v>
                </c:pt>
                <c:pt idx="937">
                  <c:v>6.6687021390374343E-2</c:v>
                </c:pt>
                <c:pt idx="938">
                  <c:v>6.5033978609625676E-2</c:v>
                </c:pt>
                <c:pt idx="939">
                  <c:v>6.6081117647058818E-2</c:v>
                </c:pt>
                <c:pt idx="940">
                  <c:v>7.2389732620320876E-2</c:v>
                </c:pt>
                <c:pt idx="941">
                  <c:v>7.3468219251336925E-2</c:v>
                </c:pt>
                <c:pt idx="942">
                  <c:v>6.5489240641711244E-2</c:v>
                </c:pt>
                <c:pt idx="943">
                  <c:v>6.7128978609625689E-2</c:v>
                </c:pt>
                <c:pt idx="944">
                  <c:v>7.3775791443850255E-2</c:v>
                </c:pt>
                <c:pt idx="945">
                  <c:v>6.5797882352941164E-2</c:v>
                </c:pt>
                <c:pt idx="946">
                  <c:v>6.3841614973262031E-2</c:v>
                </c:pt>
                <c:pt idx="947">
                  <c:v>6.9841614973262023E-2</c:v>
                </c:pt>
                <c:pt idx="948">
                  <c:v>7.0841614973262024E-2</c:v>
                </c:pt>
                <c:pt idx="949">
                  <c:v>6.5351577540106925E-2</c:v>
                </c:pt>
                <c:pt idx="950">
                  <c:v>7.1929165775401038E-2</c:v>
                </c:pt>
                <c:pt idx="951">
                  <c:v>7.3950919786096247E-2</c:v>
                </c:pt>
                <c:pt idx="952">
                  <c:v>7.1149064171122975E-2</c:v>
                </c:pt>
                <c:pt idx="953">
                  <c:v>7.5190048128342221E-2</c:v>
                </c:pt>
                <c:pt idx="954">
                  <c:v>7.6190048128342208E-2</c:v>
                </c:pt>
                <c:pt idx="955">
                  <c:v>7.1313465240641694E-2</c:v>
                </c:pt>
                <c:pt idx="956">
                  <c:v>7.6313465240641684E-2</c:v>
                </c:pt>
                <c:pt idx="957">
                  <c:v>6.6619673796791429E-2</c:v>
                </c:pt>
                <c:pt idx="958">
                  <c:v>7.261967379679142E-2</c:v>
                </c:pt>
                <c:pt idx="959">
                  <c:v>7.4119673796791422E-2</c:v>
                </c:pt>
                <c:pt idx="960">
                  <c:v>7.4619673796791436E-2</c:v>
                </c:pt>
                <c:pt idx="961">
                  <c:v>7.5619673796791437E-2</c:v>
                </c:pt>
                <c:pt idx="962">
                  <c:v>7.6619673796791424E-2</c:v>
                </c:pt>
                <c:pt idx="963">
                  <c:v>6.9692652406417102E-2</c:v>
                </c:pt>
                <c:pt idx="964">
                  <c:v>6.7390176470588245E-2</c:v>
                </c:pt>
                <c:pt idx="965">
                  <c:v>6.4066871657754029E-2</c:v>
                </c:pt>
                <c:pt idx="966">
                  <c:v>6.8848695187165784E-2</c:v>
                </c:pt>
                <c:pt idx="967">
                  <c:v>6.8447139037433158E-2</c:v>
                </c:pt>
                <c:pt idx="968">
                  <c:v>6.2871256684491977E-2</c:v>
                </c:pt>
                <c:pt idx="969">
                  <c:v>6.3862240641711226E-2</c:v>
                </c:pt>
                <c:pt idx="970">
                  <c:v>6.2578973262032073E-2</c:v>
                </c:pt>
                <c:pt idx="971">
                  <c:v>6.2578973262032073E-2</c:v>
                </c:pt>
                <c:pt idx="972">
                  <c:v>6.7599224598930474E-2</c:v>
                </c:pt>
                <c:pt idx="973">
                  <c:v>6.2748058823529407E-2</c:v>
                </c:pt>
                <c:pt idx="974">
                  <c:v>6.7776320855614969E-2</c:v>
                </c:pt>
                <c:pt idx="975">
                  <c:v>6.400063101604278E-2</c:v>
                </c:pt>
                <c:pt idx="976">
                  <c:v>6.8062754010695184E-2</c:v>
                </c:pt>
                <c:pt idx="977">
                  <c:v>6.0327582887700543E-2</c:v>
                </c:pt>
                <c:pt idx="978">
                  <c:v>6.7024256684491967E-2</c:v>
                </c:pt>
                <c:pt idx="979">
                  <c:v>6.0789272727272747E-2</c:v>
                </c:pt>
                <c:pt idx="980">
                  <c:v>6.2046946524064187E-2</c:v>
                </c:pt>
                <c:pt idx="981">
                  <c:v>6.4706112299465268E-2</c:v>
                </c:pt>
                <c:pt idx="982">
                  <c:v>5.5461609625668477E-2</c:v>
                </c:pt>
                <c:pt idx="983">
                  <c:v>6.1731026737967952E-2</c:v>
                </c:pt>
                <c:pt idx="984">
                  <c:v>6.4273155080213945E-2</c:v>
                </c:pt>
                <c:pt idx="985">
                  <c:v>5.9947160427807518E-2</c:v>
                </c:pt>
                <c:pt idx="986">
                  <c:v>5.5205278074866332E-2</c:v>
                </c:pt>
                <c:pt idx="987">
                  <c:v>5.5855368983957258E-2</c:v>
                </c:pt>
                <c:pt idx="988">
                  <c:v>6.1331459893048147E-2</c:v>
                </c:pt>
                <c:pt idx="989">
                  <c:v>5.8249989304812871E-2</c:v>
                </c:pt>
                <c:pt idx="990">
                  <c:v>5.9843914438502704E-2</c:v>
                </c:pt>
                <c:pt idx="991">
                  <c:v>5.7697385026737949E-2</c:v>
                </c:pt>
                <c:pt idx="992">
                  <c:v>6.0707550802139021E-2</c:v>
                </c:pt>
                <c:pt idx="993">
                  <c:v>5.3912818181818152E-2</c:v>
                </c:pt>
                <c:pt idx="994">
                  <c:v>5.8812818181818154E-2</c:v>
                </c:pt>
                <c:pt idx="995">
                  <c:v>6.7377802139037407E-2</c:v>
                </c:pt>
                <c:pt idx="996">
                  <c:v>6.444014438502671E-2</c:v>
                </c:pt>
                <c:pt idx="997">
                  <c:v>6.444014438502671E-2</c:v>
                </c:pt>
                <c:pt idx="998">
                  <c:v>6.444014438502671E-2</c:v>
                </c:pt>
                <c:pt idx="999">
                  <c:v>5.6707181818181802E-2</c:v>
                </c:pt>
                <c:pt idx="1000">
                  <c:v>5.6962909090909078E-2</c:v>
                </c:pt>
                <c:pt idx="1001">
                  <c:v>6.3077759358288743E-2</c:v>
                </c:pt>
                <c:pt idx="1002">
                  <c:v>5.5953278074866296E-2</c:v>
                </c:pt>
                <c:pt idx="1003">
                  <c:v>5.8914320855614953E-2</c:v>
                </c:pt>
                <c:pt idx="1004">
                  <c:v>6.3057074866310153E-2</c:v>
                </c:pt>
                <c:pt idx="1005">
                  <c:v>7.4296128342246026E-2</c:v>
                </c:pt>
                <c:pt idx="1006">
                  <c:v>6.8498074866310169E-2</c:v>
                </c:pt>
                <c:pt idx="1007">
                  <c:v>6.8694545454545453E-2</c:v>
                </c:pt>
                <c:pt idx="1008">
                  <c:v>6.9694545454545467E-2</c:v>
                </c:pt>
                <c:pt idx="1009">
                  <c:v>6.8960352941176459E-2</c:v>
                </c:pt>
                <c:pt idx="1010">
                  <c:v>6.7142021390374326E-2</c:v>
                </c:pt>
                <c:pt idx="1011">
                  <c:v>7.1397994652406427E-2</c:v>
                </c:pt>
                <c:pt idx="1012">
                  <c:v>5.9220871657754012E-2</c:v>
                </c:pt>
                <c:pt idx="1013">
                  <c:v>5.9220871657754012E-2</c:v>
                </c:pt>
                <c:pt idx="1014">
                  <c:v>6.6214689839572197E-2</c:v>
                </c:pt>
                <c:pt idx="1015">
                  <c:v>6.9841641711229932E-2</c:v>
                </c:pt>
                <c:pt idx="1016">
                  <c:v>6.211752406417112E-2</c:v>
                </c:pt>
                <c:pt idx="1017">
                  <c:v>6.9676657754010704E-2</c:v>
                </c:pt>
                <c:pt idx="1018">
                  <c:v>6.7283914438502679E-2</c:v>
                </c:pt>
                <c:pt idx="1019">
                  <c:v>6.9176550802139039E-2</c:v>
                </c:pt>
                <c:pt idx="1020">
                  <c:v>6.1628438502673799E-2</c:v>
                </c:pt>
                <c:pt idx="1021">
                  <c:v>6.9344475935828889E-2</c:v>
                </c:pt>
                <c:pt idx="1022">
                  <c:v>7.1052032085561503E-2</c:v>
                </c:pt>
                <c:pt idx="1023">
                  <c:v>7.0907903743315515E-2</c:v>
                </c:pt>
                <c:pt idx="1024">
                  <c:v>6.6809513368983955E-2</c:v>
                </c:pt>
                <c:pt idx="1025">
                  <c:v>6.9763165775401065E-2</c:v>
                </c:pt>
                <c:pt idx="1026">
                  <c:v>6.564971122994652E-2</c:v>
                </c:pt>
                <c:pt idx="1027">
                  <c:v>6.5348614973262012E-2</c:v>
                </c:pt>
                <c:pt idx="1028">
                  <c:v>6.5348614973262012E-2</c:v>
                </c:pt>
                <c:pt idx="1029">
                  <c:v>6.4313096256684479E-2</c:v>
                </c:pt>
                <c:pt idx="1030">
                  <c:v>6.6491866310160408E-2</c:v>
                </c:pt>
                <c:pt idx="1031">
                  <c:v>6.5555475935828861E-2</c:v>
                </c:pt>
                <c:pt idx="1032">
                  <c:v>6.4783347593582882E-2</c:v>
                </c:pt>
                <c:pt idx="1033">
                  <c:v>6.9716705882352931E-2</c:v>
                </c:pt>
                <c:pt idx="1034">
                  <c:v>6.6656935828876981E-2</c:v>
                </c:pt>
                <c:pt idx="1035">
                  <c:v>6.7529160427807489E-2</c:v>
                </c:pt>
                <c:pt idx="1036">
                  <c:v>6.8585812834224602E-2</c:v>
                </c:pt>
                <c:pt idx="1037">
                  <c:v>6.2288860962566847E-2</c:v>
                </c:pt>
                <c:pt idx="1038">
                  <c:v>6.2288860962566847E-2</c:v>
                </c:pt>
                <c:pt idx="1039">
                  <c:v>6.9358513368983965E-2</c:v>
                </c:pt>
                <c:pt idx="1040">
                  <c:v>7.2339668449197869E-2</c:v>
                </c:pt>
                <c:pt idx="1041">
                  <c:v>6.9905834224598937E-2</c:v>
                </c:pt>
                <c:pt idx="1042">
                  <c:v>6.6074374331550806E-2</c:v>
                </c:pt>
                <c:pt idx="1043">
                  <c:v>7.7180727272727262E-2</c:v>
                </c:pt>
                <c:pt idx="1044">
                  <c:v>7.226364171122994E-2</c:v>
                </c:pt>
                <c:pt idx="1045">
                  <c:v>7.3258336898395726E-2</c:v>
                </c:pt>
                <c:pt idx="1046">
                  <c:v>7.5129582887700552E-2</c:v>
                </c:pt>
                <c:pt idx="1047">
                  <c:v>7.5854085561497323E-2</c:v>
                </c:pt>
                <c:pt idx="1048">
                  <c:v>6.4745807486631016E-2</c:v>
                </c:pt>
                <c:pt idx="1049">
                  <c:v>6.4745807486631016E-2</c:v>
                </c:pt>
                <c:pt idx="1050">
                  <c:v>7.216186631016043E-2</c:v>
                </c:pt>
                <c:pt idx="1051">
                  <c:v>6.9603352941176477E-2</c:v>
                </c:pt>
                <c:pt idx="1052">
                  <c:v>6.4120427807486613E-2</c:v>
                </c:pt>
                <c:pt idx="1053">
                  <c:v>7.9156855614973265E-2</c:v>
                </c:pt>
                <c:pt idx="1054">
                  <c:v>6.5993005347593586E-2</c:v>
                </c:pt>
                <c:pt idx="1055">
                  <c:v>6.7318320855614983E-2</c:v>
                </c:pt>
                <c:pt idx="1056">
                  <c:v>5.9083106951871661E-2</c:v>
                </c:pt>
                <c:pt idx="1057">
                  <c:v>6.6867545454545457E-2</c:v>
                </c:pt>
                <c:pt idx="1058">
                  <c:v>6.7212074866310159E-2</c:v>
                </c:pt>
                <c:pt idx="1059">
                  <c:v>6.7940251336898377E-2</c:v>
                </c:pt>
                <c:pt idx="1060">
                  <c:v>6.765135294117644E-2</c:v>
                </c:pt>
                <c:pt idx="1061">
                  <c:v>6.655433155080212E-2</c:v>
                </c:pt>
                <c:pt idx="1062">
                  <c:v>6.5791887700534749E-2</c:v>
                </c:pt>
                <c:pt idx="1063">
                  <c:v>7.1215978609625655E-2</c:v>
                </c:pt>
                <c:pt idx="1064">
                  <c:v>6.4708042780748667E-2</c:v>
                </c:pt>
                <c:pt idx="1065">
                  <c:v>6.7773171122994649E-2</c:v>
                </c:pt>
                <c:pt idx="1066">
                  <c:v>8.9613695187165776E-2</c:v>
                </c:pt>
                <c:pt idx="1067">
                  <c:v>7.2841144385026729E-2</c:v>
                </c:pt>
                <c:pt idx="1068">
                  <c:v>6.6987401069518726E-2</c:v>
                </c:pt>
                <c:pt idx="1069">
                  <c:v>7.3014935828876998E-2</c:v>
                </c:pt>
                <c:pt idx="1070">
                  <c:v>7.152319786096259E-2</c:v>
                </c:pt>
                <c:pt idx="1071">
                  <c:v>6.641106417112301E-2</c:v>
                </c:pt>
                <c:pt idx="1072">
                  <c:v>6.944425133689841E-2</c:v>
                </c:pt>
                <c:pt idx="1073">
                  <c:v>6.3997577540106959E-2</c:v>
                </c:pt>
                <c:pt idx="1074">
                  <c:v>6.6617620320855636E-2</c:v>
                </c:pt>
                <c:pt idx="1075">
                  <c:v>6.9732866310160443E-2</c:v>
                </c:pt>
                <c:pt idx="1076">
                  <c:v>6.9555219251336925E-2</c:v>
                </c:pt>
                <c:pt idx="1077">
                  <c:v>6.9555219251336925E-2</c:v>
                </c:pt>
                <c:pt idx="1078">
                  <c:v>6.6471069518716591E-2</c:v>
                </c:pt>
                <c:pt idx="1079">
                  <c:v>6.1258572192513364E-2</c:v>
                </c:pt>
                <c:pt idx="1080">
                  <c:v>7.3067176470588219E-2</c:v>
                </c:pt>
                <c:pt idx="1081">
                  <c:v>6.5946807486630996E-2</c:v>
                </c:pt>
                <c:pt idx="1082">
                  <c:v>6.3930641711229946E-2</c:v>
                </c:pt>
                <c:pt idx="1083">
                  <c:v>6.5875417112299439E-2</c:v>
                </c:pt>
                <c:pt idx="1084">
                  <c:v>6.7860844919786056E-2</c:v>
                </c:pt>
                <c:pt idx="1085">
                  <c:v>6.4477005347593569E-2</c:v>
                </c:pt>
                <c:pt idx="1086">
                  <c:v>6.8383053475935818E-2</c:v>
                </c:pt>
                <c:pt idx="1087">
                  <c:v>5.8289994652406425E-2</c:v>
                </c:pt>
                <c:pt idx="1088">
                  <c:v>6.61558449197861E-2</c:v>
                </c:pt>
                <c:pt idx="1089">
                  <c:v>6.4134240641711221E-2</c:v>
                </c:pt>
                <c:pt idx="1090">
                  <c:v>6.2571737967914404E-2</c:v>
                </c:pt>
                <c:pt idx="1091">
                  <c:v>6.9745283422459864E-2</c:v>
                </c:pt>
                <c:pt idx="1092">
                  <c:v>6.9567475935828876E-2</c:v>
                </c:pt>
                <c:pt idx="1093">
                  <c:v>6.9546898395721923E-2</c:v>
                </c:pt>
                <c:pt idx="1094">
                  <c:v>6.7977181818181798E-2</c:v>
                </c:pt>
                <c:pt idx="1095">
                  <c:v>6.7456754010695175E-2</c:v>
                </c:pt>
                <c:pt idx="1096">
                  <c:v>6.3369096256684465E-2</c:v>
                </c:pt>
                <c:pt idx="1097">
                  <c:v>7.1369096256684458E-2</c:v>
                </c:pt>
                <c:pt idx="1098">
                  <c:v>6.4337267379679125E-2</c:v>
                </c:pt>
                <c:pt idx="1099">
                  <c:v>6.4337267379679125E-2</c:v>
                </c:pt>
                <c:pt idx="1100">
                  <c:v>6.5314791443850245E-2</c:v>
                </c:pt>
                <c:pt idx="1101">
                  <c:v>6.7072491978609622E-2</c:v>
                </c:pt>
                <c:pt idx="1102">
                  <c:v>6.2905187165775395E-2</c:v>
                </c:pt>
                <c:pt idx="1103">
                  <c:v>6.4894422459893034E-2</c:v>
                </c:pt>
                <c:pt idx="1104">
                  <c:v>6.7556133689839551E-2</c:v>
                </c:pt>
                <c:pt idx="1105">
                  <c:v>6.5778117647058806E-2</c:v>
                </c:pt>
                <c:pt idx="1106">
                  <c:v>6.5778117647058806E-2</c:v>
                </c:pt>
                <c:pt idx="1107">
                  <c:v>6.5583850267379673E-2</c:v>
                </c:pt>
                <c:pt idx="1108">
                  <c:v>6.1580438502673807E-2</c:v>
                </c:pt>
                <c:pt idx="1109">
                  <c:v>6.4572909090909097E-2</c:v>
                </c:pt>
                <c:pt idx="1110">
                  <c:v>6.1552919786096269E-2</c:v>
                </c:pt>
                <c:pt idx="1111">
                  <c:v>6.2051192513368977E-2</c:v>
                </c:pt>
                <c:pt idx="1112">
                  <c:v>6.1055449197860961E-2</c:v>
                </c:pt>
                <c:pt idx="1113">
                  <c:v>6.1055449197860961E-2</c:v>
                </c:pt>
                <c:pt idx="1114">
                  <c:v>6.6567251336898392E-2</c:v>
                </c:pt>
                <c:pt idx="1115">
                  <c:v>6.5620828877005322E-2</c:v>
                </c:pt>
                <c:pt idx="1116">
                  <c:v>5.8761155080213893E-2</c:v>
                </c:pt>
                <c:pt idx="1117">
                  <c:v>6.5775176470588226E-2</c:v>
                </c:pt>
                <c:pt idx="1118">
                  <c:v>6.6222497326203209E-2</c:v>
                </c:pt>
                <c:pt idx="1119">
                  <c:v>6.5459235294117651E-2</c:v>
                </c:pt>
                <c:pt idx="1120">
                  <c:v>6.703846524064172E-2</c:v>
                </c:pt>
                <c:pt idx="1121">
                  <c:v>7.2443887700534754E-2</c:v>
                </c:pt>
                <c:pt idx="1122">
                  <c:v>7.2140518716577534E-2</c:v>
                </c:pt>
              </c:numCache>
            </c:numRef>
          </c:yVal>
          <c:smooth val="0"/>
          <c:extLst xmlns:c16r2="http://schemas.microsoft.com/office/drawing/2015/06/chart">
            <c:ext xmlns:c16="http://schemas.microsoft.com/office/drawing/2014/chart" uri="{C3380CC4-5D6E-409C-BE32-E72D297353CC}">
              <c16:uniqueId val="{00000001-3E5F-4AB3-8F72-4BEFDECA7839}"/>
            </c:ext>
          </c:extLst>
        </c:ser>
        <c:dLbls>
          <c:showLegendKey val="0"/>
          <c:showVal val="0"/>
          <c:showCatName val="0"/>
          <c:showSerName val="0"/>
          <c:showPercent val="0"/>
          <c:showBubbleSize val="0"/>
        </c:dLbls>
        <c:axId val="472902904"/>
        <c:axId val="472909960"/>
      </c:scatterChart>
      <c:valAx>
        <c:axId val="472902904"/>
        <c:scaling>
          <c:orientation val="minMax"/>
        </c:scaling>
        <c:delete val="0"/>
        <c:axPos val="b"/>
        <c:title>
          <c:tx>
            <c:rich>
              <a:bodyPr/>
              <a:lstStyle/>
              <a:p>
                <a:pPr>
                  <a:defRPr/>
                </a:pPr>
                <a:r>
                  <a:rPr lang="en-US"/>
                  <a:t>Treasury Yield</a:t>
                </a:r>
              </a:p>
            </c:rich>
          </c:tx>
          <c:overlay val="0"/>
        </c:title>
        <c:numFmt formatCode="0.00%" sourceLinked="1"/>
        <c:majorTickMark val="none"/>
        <c:minorTickMark val="none"/>
        <c:tickLblPos val="nextTo"/>
        <c:txPr>
          <a:bodyPr rot="-60000000" vert="horz"/>
          <a:lstStyle/>
          <a:p>
            <a:pPr>
              <a:defRPr/>
            </a:pPr>
            <a:endParaRPr lang="en-US"/>
          </a:p>
        </c:txPr>
        <c:crossAx val="472909960"/>
        <c:crosses val="autoZero"/>
        <c:crossBetween val="midCat"/>
      </c:valAx>
      <c:valAx>
        <c:axId val="472909960"/>
        <c:scaling>
          <c:orientation val="minMax"/>
        </c:scaling>
        <c:delete val="0"/>
        <c:axPos val="l"/>
        <c:majorGridlines>
          <c:spPr>
            <a:ln>
              <a:prstDash val="sysDot"/>
            </a:ln>
          </c:spPr>
        </c:majorGridlines>
        <c:title>
          <c:tx>
            <c:rich>
              <a:bodyPr rot="-5400000" vert="horz"/>
              <a:lstStyle/>
              <a:p>
                <a:pPr>
                  <a:defRPr/>
                </a:pPr>
                <a:r>
                  <a:rPr lang="en-US"/>
                  <a:t>Risk Premium</a:t>
                </a:r>
              </a:p>
            </c:rich>
          </c:tx>
          <c:layout>
            <c:manualLayout>
              <c:xMode val="edge"/>
              <c:yMode val="edge"/>
              <c:x val="9.0350685331000297E-3"/>
              <c:y val="0.36384951881014882"/>
            </c:manualLayout>
          </c:layout>
          <c:overlay val="0"/>
        </c:title>
        <c:numFmt formatCode="0.00%" sourceLinked="1"/>
        <c:majorTickMark val="none"/>
        <c:minorTickMark val="none"/>
        <c:tickLblPos val="nextTo"/>
        <c:txPr>
          <a:bodyPr rot="-60000000" vert="horz"/>
          <a:lstStyle/>
          <a:p>
            <a:pPr>
              <a:defRPr/>
            </a:pPr>
            <a:endParaRPr lang="en-US"/>
          </a:p>
        </c:txPr>
        <c:crossAx val="472902904"/>
        <c:crosses val="autoZero"/>
        <c:crossBetween val="midCat"/>
      </c:valAx>
    </c:plotArea>
    <c:plotVisOnly val="1"/>
    <c:dispBlanksAs val="gap"/>
    <c:showDLblsOverMax val="0"/>
  </c:chart>
  <c:txPr>
    <a:bodyPr/>
    <a:lstStyle/>
    <a:p>
      <a:pPr>
        <a:defRPr sz="800">
          <a:latin typeface="Calibri" panose="020F0502020204030204" pitchFamily="34" charset="0"/>
          <a:cs typeface="Calibri" panose="020F0502020204030204" pitchFamily="34" charset="0"/>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32784538296353E-2"/>
          <c:y val="3.9281306737517362E-2"/>
          <c:w val="0.88150054879503703"/>
          <c:h val="0.74837047249197852"/>
        </c:manualLayout>
      </c:layout>
      <c:lineChart>
        <c:grouping val="standard"/>
        <c:varyColors val="0"/>
        <c:ser>
          <c:idx val="1"/>
          <c:order val="0"/>
          <c:tx>
            <c:v>Indicated Risk Premium</c:v>
          </c:tx>
          <c:spPr>
            <a:ln w="15875">
              <a:solidFill>
                <a:schemeClr val="tx1"/>
              </a:solidFill>
              <a:prstDash val="sysDash"/>
            </a:ln>
          </c:spPr>
          <c:marker>
            <c:symbol val="x"/>
            <c:size val="4"/>
            <c:spPr>
              <a:ln>
                <a:solidFill>
                  <a:schemeClr val="tx1"/>
                </a:solidFill>
              </a:ln>
            </c:spPr>
          </c:marker>
          <c:cat>
            <c:numRef>
              <c:f>'DEU 2.17R RP Rolling Avg'!$B$15:$B$44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'DEU 2.17R RP Rolling Avg'!$G$15:$G$44</c:f>
              <c:numCache>
                <c:formatCode>0.00%</c:formatCode>
                <c:ptCount val="30"/>
                <c:pt idx="0">
                  <c:v>4.4410000000000005E-2</c:v>
                </c:pt>
                <c:pt idx="1">
                  <c:v>4.1735000000000008E-2</c:v>
                </c:pt>
                <c:pt idx="2">
                  <c:v>4.2101666666666669E-2</c:v>
                </c:pt>
                <c:pt idx="3">
                  <c:v>4.3823333333333339E-2</c:v>
                </c:pt>
                <c:pt idx="4">
                  <c:v>4.2921666666666677E-2</c:v>
                </c:pt>
                <c:pt idx="5">
                  <c:v>4.3890000000000005E-2</c:v>
                </c:pt>
                <c:pt idx="6">
                  <c:v>4.4220000000000002E-2</c:v>
                </c:pt>
                <c:pt idx="7">
                  <c:v>4.4901666666666659E-2</c:v>
                </c:pt>
                <c:pt idx="8">
                  <c:v>4.726166666666666E-2</c:v>
                </c:pt>
                <c:pt idx="9">
                  <c:v>4.8889999999999989E-2</c:v>
                </c:pt>
                <c:pt idx="10">
                  <c:v>5.0693333333333326E-2</c:v>
                </c:pt>
                <c:pt idx="11">
                  <c:v>5.2628333333333333E-2</c:v>
                </c:pt>
                <c:pt idx="12">
                  <c:v>5.4459999999999995E-2</c:v>
                </c:pt>
                <c:pt idx="13">
                  <c:v>5.4661666666666664E-2</c:v>
                </c:pt>
                <c:pt idx="14">
                  <c:v>5.6159999999999988E-2</c:v>
                </c:pt>
                <c:pt idx="15">
                  <c:v>5.689333333333333E-2</c:v>
                </c:pt>
                <c:pt idx="16">
                  <c:v>5.6983636363636361E-2</c:v>
                </c:pt>
                <c:pt idx="17">
                  <c:v>5.6555303030303025E-2</c:v>
                </c:pt>
                <c:pt idx="18">
                  <c:v>5.6711969696969698E-2</c:v>
                </c:pt>
                <c:pt idx="19">
                  <c:v>5.7926969696969699E-2</c:v>
                </c:pt>
                <c:pt idx="20">
                  <c:v>5.8096969696969702E-2</c:v>
                </c:pt>
                <c:pt idx="21">
                  <c:v>5.911166666666666E-2</c:v>
                </c:pt>
                <c:pt idx="22">
                  <c:v>6.2378333333333334E-2</c:v>
                </c:pt>
                <c:pt idx="23">
                  <c:v>6.2619999999999995E-2</c:v>
                </c:pt>
                <c:pt idx="24">
                  <c:v>6.3198333333333329E-2</c:v>
                </c:pt>
                <c:pt idx="25">
                  <c:v>6.4918333333333328E-2</c:v>
                </c:pt>
                <c:pt idx="26">
                  <c:v>6.6785000000000011E-2</c:v>
                </c:pt>
                <c:pt idx="27">
                  <c:v>6.6396666666666673E-2</c:v>
                </c:pt>
                <c:pt idx="28">
                  <c:v>6.6888333333333327E-2</c:v>
                </c:pt>
                <c:pt idx="29">
                  <c:v>6.7478333333333335E-2</c:v>
                </c:pt>
              </c:numCache>
            </c:numRef>
          </c:val>
          <c:smooth val="0"/>
          <c:extLst xmlns:c16r2="http://schemas.microsoft.com/office/drawing/2015/06/chart">
            <c:ext xmlns:c16="http://schemas.microsoft.com/office/drawing/2014/chart" uri="{C3380CC4-5D6E-409C-BE32-E72D297353CC}">
              <c16:uniqueId val="{00000000-FBC0-4219-968A-CB11EC5EE263}"/>
            </c:ext>
          </c:extLst>
        </c:ser>
        <c:ser>
          <c:idx val="0"/>
          <c:order val="1"/>
          <c:tx>
            <c:v>30 Yr. Treasury Bond Yield</c:v>
          </c:tx>
          <c:spPr>
            <a:ln w="15875">
              <a:solidFill>
                <a:schemeClr val="tx1"/>
              </a:solidFill>
            </a:ln>
          </c:spPr>
          <c:marker>
            <c:symbol val="plus"/>
            <c:size val="4"/>
            <c:spPr>
              <a:ln>
                <a:solidFill>
                  <a:schemeClr val="tx1"/>
                </a:solidFill>
              </a:ln>
            </c:spPr>
          </c:marker>
          <c:cat>
            <c:numRef>
              <c:f>'DEU 2.17R RP Rolling Avg'!$B$15:$B$44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'DEU 2.17R RP Rolling Avg'!$F$15:$F$44</c:f>
              <c:numCache>
                <c:formatCode>0.00%</c:formatCode>
                <c:ptCount val="30"/>
                <c:pt idx="0">
                  <c:v>8.4790000000000004E-2</c:v>
                </c:pt>
                <c:pt idx="1">
                  <c:v>8.5464999999999985E-2</c:v>
                </c:pt>
                <c:pt idx="2">
                  <c:v>8.3638333333333328E-2</c:v>
                </c:pt>
                <c:pt idx="3">
                  <c:v>7.8916666666666663E-2</c:v>
                </c:pt>
                <c:pt idx="4">
                  <c:v>7.6758333333333331E-2</c:v>
                </c:pt>
                <c:pt idx="5">
                  <c:v>7.331E-2</c:v>
                </c:pt>
                <c:pt idx="6">
                  <c:v>7.0440000000000003E-2</c:v>
                </c:pt>
                <c:pt idx="7">
                  <c:v>6.8318333333333342E-2</c:v>
                </c:pt>
                <c:pt idx="8">
                  <c:v>6.6278333333333342E-2</c:v>
                </c:pt>
                <c:pt idx="9">
                  <c:v>6.3270000000000007E-2</c:v>
                </c:pt>
                <c:pt idx="10">
                  <c:v>6.138666666666668E-2</c:v>
                </c:pt>
                <c:pt idx="11">
                  <c:v>5.8971666666666665E-2</c:v>
                </c:pt>
                <c:pt idx="12">
                  <c:v>5.6620000000000004E-2</c:v>
                </c:pt>
                <c:pt idx="13">
                  <c:v>5.5378333333333342E-2</c:v>
                </c:pt>
                <c:pt idx="14">
                  <c:v>5.374000000000001E-2</c:v>
                </c:pt>
                <c:pt idx="15">
                  <c:v>5.1146666666666674E-2</c:v>
                </c:pt>
                <c:pt idx="16">
                  <c:v>4.9956363636363632E-2</c:v>
                </c:pt>
                <c:pt idx="17">
                  <c:v>4.8764696969696972E-2</c:v>
                </c:pt>
                <c:pt idx="18">
                  <c:v>4.7408030303030299E-2</c:v>
                </c:pt>
                <c:pt idx="19">
                  <c:v>4.5453030303030308E-2</c:v>
                </c:pt>
                <c:pt idx="20">
                  <c:v>4.4663030303030309E-2</c:v>
                </c:pt>
                <c:pt idx="21">
                  <c:v>4.2688333333333342E-2</c:v>
                </c:pt>
                <c:pt idx="22">
                  <c:v>3.8861666666666669E-2</c:v>
                </c:pt>
                <c:pt idx="23">
                  <c:v>3.7199999999999997E-2</c:v>
                </c:pt>
                <c:pt idx="24">
                  <c:v>3.5741666666666672E-2</c:v>
                </c:pt>
                <c:pt idx="25">
                  <c:v>3.2921666666666669E-2</c:v>
                </c:pt>
                <c:pt idx="26">
                  <c:v>3.0294999999999999E-2</c:v>
                </c:pt>
                <c:pt idx="27">
                  <c:v>3.0243333333333327E-2</c:v>
                </c:pt>
                <c:pt idx="28">
                  <c:v>2.9571666666666663E-2</c:v>
                </c:pt>
                <c:pt idx="29">
                  <c:v>2.8681666666666668E-2</c:v>
                </c:pt>
              </c:numCache>
            </c:numRef>
          </c:val>
          <c:smooth val="0"/>
          <c:extLst xmlns:c16r2="http://schemas.microsoft.com/office/drawing/2015/06/chart">
            <c:ext xmlns:c16="http://schemas.microsoft.com/office/drawing/2014/chart" uri="{C3380CC4-5D6E-409C-BE32-E72D297353CC}">
              <c16:uniqueId val="{00000001-FBC0-4219-968A-CB11EC5EE263}"/>
            </c:ext>
          </c:extLst>
        </c:ser>
        <c:dLbls>
          <c:showLegendKey val="0"/>
          <c:showVal val="0"/>
          <c:showCatName val="0"/>
          <c:showSerName val="0"/>
          <c:showPercent val="0"/>
          <c:showBubbleSize val="0"/>
        </c:dLbls>
        <c:marker val="1"/>
        <c:smooth val="0"/>
        <c:axId val="472907216"/>
        <c:axId val="472909176"/>
      </c:lineChart>
      <c:catAx>
        <c:axId val="472907216"/>
        <c:scaling>
          <c:orientation val="minMax"/>
        </c:scaling>
        <c:delete val="0"/>
        <c:axPos val="b"/>
        <c:numFmt formatCode="General" sourceLinked="1"/>
        <c:majorTickMark val="out"/>
        <c:minorTickMark val="none"/>
        <c:tickLblPos val="nextTo"/>
        <c:txPr>
          <a:bodyPr rot="5400000" vert="horz"/>
          <a:lstStyle/>
          <a:p>
            <a:pPr>
              <a:defRPr>
                <a:solidFill>
                  <a:schemeClr val="tx1">
                    <a:lumMod val="65000"/>
                    <a:lumOff val="35000"/>
                  </a:schemeClr>
                </a:solidFill>
              </a:defRPr>
            </a:pPr>
            <a:endParaRPr lang="en-US"/>
          </a:p>
        </c:txPr>
        <c:crossAx val="472909176"/>
        <c:crosses val="autoZero"/>
        <c:auto val="1"/>
        <c:lblAlgn val="ctr"/>
        <c:lblOffset val="100"/>
        <c:noMultiLvlLbl val="0"/>
      </c:catAx>
      <c:valAx>
        <c:axId val="472909176"/>
        <c:scaling>
          <c:orientation val="minMax"/>
        </c:scaling>
        <c:delete val="0"/>
        <c:axPos val="l"/>
        <c:majorGridlines>
          <c:spPr>
            <a:ln>
              <a:solidFill>
                <a:schemeClr val="bg1">
                  <a:lumMod val="65000"/>
                </a:schemeClr>
              </a:solidFill>
              <a:prstDash val="sysDot"/>
            </a:ln>
          </c:spPr>
        </c:majorGridlines>
        <c:numFmt formatCode="0.00%" sourceLinked="1"/>
        <c:majorTickMark val="none"/>
        <c:minorTickMark val="none"/>
        <c:tickLblPos val="nextTo"/>
        <c:txPr>
          <a:bodyPr/>
          <a:lstStyle/>
          <a:p>
            <a:pPr>
              <a:defRPr>
                <a:solidFill>
                  <a:schemeClr val="tx1">
                    <a:lumMod val="65000"/>
                    <a:lumOff val="35000"/>
                  </a:schemeClr>
                </a:solidFill>
              </a:defRPr>
            </a:pPr>
            <a:endParaRPr lang="en-US"/>
          </a:p>
        </c:txPr>
        <c:crossAx val="472907216"/>
        <c:crosses val="autoZero"/>
        <c:crossBetween val="between"/>
      </c:valAx>
    </c:plotArea>
    <c:legend>
      <c:legendPos val="b"/>
      <c:overlay val="0"/>
      <c:txPr>
        <a:bodyPr/>
        <a:lstStyle/>
        <a:p>
          <a:pPr>
            <a:defRPr>
              <a:solidFill>
                <a:schemeClr val="tx1">
                  <a:lumMod val="65000"/>
                  <a:lumOff val="35000"/>
                </a:schemeClr>
              </a:solidFill>
            </a:defRPr>
          </a:pPr>
          <a:endParaRPr lang="en-US"/>
        </a:p>
      </c:txPr>
    </c:legend>
    <c:plotVisOnly val="1"/>
    <c:dispBlanksAs val="gap"/>
    <c:showDLblsOverMax val="0"/>
  </c:chart>
  <c:spPr>
    <a:ln>
      <a:solidFill>
        <a:schemeClr val="bg1">
          <a:lumMod val="85000"/>
        </a:schemeClr>
      </a:solidFill>
    </a:ln>
  </c:spPr>
  <c:txPr>
    <a:bodyPr/>
    <a:lstStyle/>
    <a:p>
      <a:pPr>
        <a:defRPr sz="800">
          <a:latin typeface="+mn-lt"/>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26093613298337"/>
          <c:y val="3.9281306737517362E-2"/>
          <c:w val="0.81100349956255469"/>
          <c:h val="0.80610142486663894"/>
        </c:manualLayout>
      </c:layout>
      <c:scatterChart>
        <c:scatterStyle val="lineMarker"/>
        <c:varyColors val="0"/>
        <c:ser>
          <c:idx val="0"/>
          <c:order val="0"/>
          <c:spPr>
            <a:ln w="28575">
              <a:noFill/>
            </a:ln>
          </c:spPr>
          <c:marker>
            <c:symbol val="star"/>
            <c:size val="4"/>
            <c:spPr>
              <a:ln>
                <a:solidFill>
                  <a:schemeClr val="tx1"/>
                </a:solidFill>
              </a:ln>
            </c:spPr>
          </c:marker>
          <c:trendline>
            <c:spPr>
              <a:ln w="12700"/>
            </c:spPr>
            <c:trendlineType val="linear"/>
            <c:dispRSqr val="1"/>
            <c:dispEq val="1"/>
            <c:trendlineLbl>
              <c:layout>
                <c:manualLayout>
                  <c:x val="-3.2257655293088362E-2"/>
                  <c:y val="-0.24633311461067367"/>
                </c:manualLayout>
              </c:layout>
              <c:numFmt formatCode="#,##0.0000" sourceLinked="0"/>
              <c:spPr>
                <a:noFill/>
              </c:spPr>
              <c:txPr>
                <a:bodyPr/>
                <a:lstStyle/>
                <a:p>
                  <a:pPr>
                    <a:defRPr>
                      <a:solidFill>
                        <a:schemeClr val="tx1">
                          <a:lumMod val="65000"/>
                          <a:lumOff val="35000"/>
                        </a:schemeClr>
                      </a:solidFill>
                    </a:defRPr>
                  </a:pPr>
                  <a:endParaRPr lang="en-US"/>
                </a:p>
              </c:txPr>
            </c:trendlineLbl>
          </c:trendline>
          <c:xVal>
            <c:numRef>
              <c:f>'DEU 2.17R RP Rolling Avg'!$F$15:$F$44</c:f>
              <c:numCache>
                <c:formatCode>0.00%</c:formatCode>
                <c:ptCount val="30"/>
                <c:pt idx="0">
                  <c:v>8.4790000000000004E-2</c:v>
                </c:pt>
                <c:pt idx="1">
                  <c:v>8.5464999999999985E-2</c:v>
                </c:pt>
                <c:pt idx="2">
                  <c:v>8.3638333333333328E-2</c:v>
                </c:pt>
                <c:pt idx="3">
                  <c:v>7.8916666666666663E-2</c:v>
                </c:pt>
                <c:pt idx="4">
                  <c:v>7.6758333333333331E-2</c:v>
                </c:pt>
                <c:pt idx="5">
                  <c:v>7.331E-2</c:v>
                </c:pt>
                <c:pt idx="6">
                  <c:v>7.0440000000000003E-2</c:v>
                </c:pt>
                <c:pt idx="7">
                  <c:v>6.8318333333333342E-2</c:v>
                </c:pt>
                <c:pt idx="8">
                  <c:v>6.6278333333333342E-2</c:v>
                </c:pt>
                <c:pt idx="9">
                  <c:v>6.3270000000000007E-2</c:v>
                </c:pt>
                <c:pt idx="10">
                  <c:v>6.138666666666668E-2</c:v>
                </c:pt>
                <c:pt idx="11">
                  <c:v>5.8971666666666665E-2</c:v>
                </c:pt>
                <c:pt idx="12">
                  <c:v>5.6620000000000004E-2</c:v>
                </c:pt>
                <c:pt idx="13">
                  <c:v>5.5378333333333342E-2</c:v>
                </c:pt>
                <c:pt idx="14">
                  <c:v>5.374000000000001E-2</c:v>
                </c:pt>
                <c:pt idx="15">
                  <c:v>5.1146666666666674E-2</c:v>
                </c:pt>
                <c:pt idx="16">
                  <c:v>4.9956363636363632E-2</c:v>
                </c:pt>
                <c:pt idx="17">
                  <c:v>4.8764696969696972E-2</c:v>
                </c:pt>
                <c:pt idx="18">
                  <c:v>4.7408030303030299E-2</c:v>
                </c:pt>
                <c:pt idx="19">
                  <c:v>4.5453030303030308E-2</c:v>
                </c:pt>
                <c:pt idx="20">
                  <c:v>4.4663030303030309E-2</c:v>
                </c:pt>
                <c:pt idx="21">
                  <c:v>4.2688333333333342E-2</c:v>
                </c:pt>
                <c:pt idx="22">
                  <c:v>3.8861666666666669E-2</c:v>
                </c:pt>
                <c:pt idx="23">
                  <c:v>3.7199999999999997E-2</c:v>
                </c:pt>
                <c:pt idx="24">
                  <c:v>3.5741666666666672E-2</c:v>
                </c:pt>
                <c:pt idx="25">
                  <c:v>3.2921666666666669E-2</c:v>
                </c:pt>
                <c:pt idx="26">
                  <c:v>3.0294999999999999E-2</c:v>
                </c:pt>
                <c:pt idx="27">
                  <c:v>3.0243333333333327E-2</c:v>
                </c:pt>
                <c:pt idx="28">
                  <c:v>2.9571666666666663E-2</c:v>
                </c:pt>
                <c:pt idx="29">
                  <c:v>2.8681666666666668E-2</c:v>
                </c:pt>
              </c:numCache>
            </c:numRef>
          </c:xVal>
          <c:yVal>
            <c:numRef>
              <c:f>'DEU 2.17R RP Rolling Avg'!$G$15:$G$44</c:f>
              <c:numCache>
                <c:formatCode>0.00%</c:formatCode>
                <c:ptCount val="30"/>
                <c:pt idx="0">
                  <c:v>4.4410000000000005E-2</c:v>
                </c:pt>
                <c:pt idx="1">
                  <c:v>4.1735000000000008E-2</c:v>
                </c:pt>
                <c:pt idx="2">
                  <c:v>4.2101666666666669E-2</c:v>
                </c:pt>
                <c:pt idx="3">
                  <c:v>4.3823333333333339E-2</c:v>
                </c:pt>
                <c:pt idx="4">
                  <c:v>4.2921666666666677E-2</c:v>
                </c:pt>
                <c:pt idx="5">
                  <c:v>4.3890000000000005E-2</c:v>
                </c:pt>
                <c:pt idx="6">
                  <c:v>4.4220000000000002E-2</c:v>
                </c:pt>
                <c:pt idx="7">
                  <c:v>4.4901666666666659E-2</c:v>
                </c:pt>
                <c:pt idx="8">
                  <c:v>4.726166666666666E-2</c:v>
                </c:pt>
                <c:pt idx="9">
                  <c:v>4.8889999999999989E-2</c:v>
                </c:pt>
                <c:pt idx="10">
                  <c:v>5.0693333333333326E-2</c:v>
                </c:pt>
                <c:pt idx="11">
                  <c:v>5.2628333333333333E-2</c:v>
                </c:pt>
                <c:pt idx="12">
                  <c:v>5.4459999999999995E-2</c:v>
                </c:pt>
                <c:pt idx="13">
                  <c:v>5.4661666666666664E-2</c:v>
                </c:pt>
                <c:pt idx="14">
                  <c:v>5.6159999999999988E-2</c:v>
                </c:pt>
                <c:pt idx="15">
                  <c:v>5.689333333333333E-2</c:v>
                </c:pt>
                <c:pt idx="16">
                  <c:v>5.6983636363636361E-2</c:v>
                </c:pt>
                <c:pt idx="17">
                  <c:v>5.6555303030303025E-2</c:v>
                </c:pt>
                <c:pt idx="18">
                  <c:v>5.6711969696969698E-2</c:v>
                </c:pt>
                <c:pt idx="19">
                  <c:v>5.7926969696969699E-2</c:v>
                </c:pt>
                <c:pt idx="20">
                  <c:v>5.8096969696969702E-2</c:v>
                </c:pt>
                <c:pt idx="21">
                  <c:v>5.911166666666666E-2</c:v>
                </c:pt>
                <c:pt idx="22">
                  <c:v>6.2378333333333334E-2</c:v>
                </c:pt>
                <c:pt idx="23">
                  <c:v>6.2619999999999995E-2</c:v>
                </c:pt>
                <c:pt idx="24">
                  <c:v>6.3198333333333329E-2</c:v>
                </c:pt>
                <c:pt idx="25">
                  <c:v>6.4918333333333328E-2</c:v>
                </c:pt>
                <c:pt idx="26">
                  <c:v>6.6785000000000011E-2</c:v>
                </c:pt>
                <c:pt idx="27">
                  <c:v>6.6396666666666673E-2</c:v>
                </c:pt>
                <c:pt idx="28">
                  <c:v>6.6888333333333327E-2</c:v>
                </c:pt>
                <c:pt idx="29">
                  <c:v>6.7478333333333335E-2</c:v>
                </c:pt>
              </c:numCache>
            </c:numRef>
          </c:yVal>
          <c:smooth val="0"/>
          <c:extLst xmlns:c16r2="http://schemas.microsoft.com/office/drawing/2015/06/chart">
            <c:ext xmlns:c16="http://schemas.microsoft.com/office/drawing/2014/chart" uri="{C3380CC4-5D6E-409C-BE32-E72D297353CC}">
              <c16:uniqueId val="{00000001-F163-4675-B82F-1FE2BC20C240}"/>
            </c:ext>
          </c:extLst>
        </c:ser>
        <c:dLbls>
          <c:showLegendKey val="0"/>
          <c:showVal val="0"/>
          <c:showCatName val="0"/>
          <c:showSerName val="0"/>
          <c:showPercent val="0"/>
          <c:showBubbleSize val="0"/>
        </c:dLbls>
        <c:axId val="472908784"/>
        <c:axId val="477199072"/>
      </c:scatterChart>
      <c:valAx>
        <c:axId val="472908784"/>
        <c:scaling>
          <c:orientation val="minMax"/>
          <c:min val="3.0000000000000006E-2"/>
        </c:scaling>
        <c:delete val="0"/>
        <c:axPos val="b"/>
        <c:majorGridlines>
          <c:spPr>
            <a:ln>
              <a:noFill/>
              <a:prstDash val="sysDot"/>
            </a:ln>
          </c:spPr>
        </c:majorGridlines>
        <c:title>
          <c:tx>
            <c:rich>
              <a:bodyPr/>
              <a:lstStyle/>
              <a:p>
                <a:pPr>
                  <a:defRPr b="0">
                    <a:solidFill>
                      <a:schemeClr val="tx1">
                        <a:lumMod val="65000"/>
                        <a:lumOff val="35000"/>
                      </a:schemeClr>
                    </a:solidFill>
                  </a:defRPr>
                </a:pPr>
                <a:r>
                  <a:rPr lang="en-US" b="0">
                    <a:solidFill>
                      <a:schemeClr val="tx1">
                        <a:lumMod val="65000"/>
                        <a:lumOff val="35000"/>
                      </a:schemeClr>
                    </a:solidFill>
                  </a:rPr>
                  <a:t>Treasury Yield</a:t>
                </a:r>
              </a:p>
            </c:rich>
          </c:tx>
          <c:overlay val="0"/>
        </c:title>
        <c:numFmt formatCode="0.00%" sourceLinked="1"/>
        <c:majorTickMark val="out"/>
        <c:minorTickMark val="none"/>
        <c:tickLblPos val="nextTo"/>
        <c:txPr>
          <a:bodyPr rot="0" vert="horz"/>
          <a:lstStyle/>
          <a:p>
            <a:pPr>
              <a:defRPr>
                <a:solidFill>
                  <a:schemeClr val="tx1">
                    <a:lumMod val="65000"/>
                    <a:lumOff val="35000"/>
                  </a:schemeClr>
                </a:solidFill>
              </a:defRPr>
            </a:pPr>
            <a:endParaRPr lang="en-US"/>
          </a:p>
        </c:txPr>
        <c:crossAx val="477199072"/>
        <c:crosses val="autoZero"/>
        <c:crossBetween val="midCat"/>
      </c:valAx>
      <c:valAx>
        <c:axId val="477199072"/>
        <c:scaling>
          <c:orientation val="minMax"/>
        </c:scaling>
        <c:delete val="0"/>
        <c:axPos val="l"/>
        <c:majorGridlines>
          <c:spPr>
            <a:ln>
              <a:solidFill>
                <a:schemeClr val="bg1">
                  <a:lumMod val="65000"/>
                </a:schemeClr>
              </a:solidFill>
              <a:prstDash val="sysDot"/>
            </a:ln>
          </c:spPr>
        </c:majorGridlines>
        <c:title>
          <c:tx>
            <c:rich>
              <a:bodyPr rot="-5400000" vert="horz"/>
              <a:lstStyle/>
              <a:p>
                <a:pPr>
                  <a:defRPr b="0">
                    <a:solidFill>
                      <a:schemeClr val="tx1">
                        <a:lumMod val="65000"/>
                        <a:lumOff val="35000"/>
                      </a:schemeClr>
                    </a:solidFill>
                  </a:defRPr>
                </a:pPr>
                <a:r>
                  <a:rPr lang="en-US" b="0">
                    <a:solidFill>
                      <a:schemeClr val="tx1">
                        <a:lumMod val="65000"/>
                        <a:lumOff val="35000"/>
                      </a:schemeClr>
                    </a:solidFill>
                  </a:rPr>
                  <a:t>Equty Risk Premium</a:t>
                </a:r>
              </a:p>
            </c:rich>
          </c:tx>
          <c:layout>
            <c:manualLayout>
              <c:xMode val="edge"/>
              <c:yMode val="edge"/>
              <c:x val="2.0730314960629923E-2"/>
              <c:y val="0.27819991251093618"/>
            </c:manualLayout>
          </c:layout>
          <c:overlay val="0"/>
        </c:title>
        <c:numFmt formatCode="0.00%" sourceLinked="1"/>
        <c:majorTickMark val="none"/>
        <c:minorTickMark val="none"/>
        <c:tickLblPos val="nextTo"/>
        <c:txPr>
          <a:bodyPr/>
          <a:lstStyle/>
          <a:p>
            <a:pPr>
              <a:defRPr>
                <a:solidFill>
                  <a:schemeClr val="tx1">
                    <a:lumMod val="65000"/>
                    <a:lumOff val="35000"/>
                  </a:schemeClr>
                </a:solidFill>
              </a:defRPr>
            </a:pPr>
            <a:endParaRPr lang="en-US"/>
          </a:p>
        </c:txPr>
        <c:crossAx val="472908784"/>
        <c:crosses val="autoZero"/>
        <c:crossBetween val="midCat"/>
      </c:valAx>
    </c:plotArea>
    <c:plotVisOnly val="1"/>
    <c:dispBlanksAs val="gap"/>
    <c:showDLblsOverMax val="0"/>
  </c:chart>
  <c:spPr>
    <a:ln>
      <a:solidFill>
        <a:schemeClr val="bg1">
          <a:lumMod val="85000"/>
        </a:schemeClr>
      </a:solidFill>
    </a:ln>
  </c:spPr>
  <c:txPr>
    <a:bodyPr/>
    <a:lstStyle/>
    <a:p>
      <a:pPr>
        <a:defRPr sz="800">
          <a:latin typeface="+mn-lt"/>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18022747156601E-2"/>
          <c:y val="5.0925925925925923E-2"/>
          <c:w val="0.8821237970253718"/>
          <c:h val="0.79638013998250223"/>
        </c:manualLayout>
      </c:layout>
      <c:barChart>
        <c:barDir val="col"/>
        <c:grouping val="clustered"/>
        <c:varyColors val="0"/>
        <c:ser>
          <c:idx val="0"/>
          <c:order val="0"/>
          <c:spPr>
            <a:solidFill>
              <a:schemeClr val="tx1"/>
            </a:solidFill>
            <a:ln>
              <a:noFill/>
            </a:ln>
            <a:effectLst/>
          </c:spPr>
          <c:invertIfNegative val="0"/>
          <c:cat>
            <c:numRef>
              <c:f>'DEU 2.19R MRP Freq. Dist.'!$I$26:$I$67</c:f>
              <c:numCache>
                <c:formatCode>0.00%</c:formatCode>
                <c:ptCount val="42"/>
                <c:pt idx="0">
                  <c:v>-0.5</c:v>
                </c:pt>
                <c:pt idx="1">
                  <c:v>-0.47499999999999998</c:v>
                </c:pt>
                <c:pt idx="2">
                  <c:v>-0.45</c:v>
                </c:pt>
                <c:pt idx="3">
                  <c:v>-0.42499999999999999</c:v>
                </c:pt>
                <c:pt idx="4">
                  <c:v>-0.4</c:v>
                </c:pt>
                <c:pt idx="5">
                  <c:v>-0.375</c:v>
                </c:pt>
                <c:pt idx="6">
                  <c:v>-0.35</c:v>
                </c:pt>
                <c:pt idx="7">
                  <c:v>-0.32500000000000001</c:v>
                </c:pt>
                <c:pt idx="8">
                  <c:v>-0.3</c:v>
                </c:pt>
                <c:pt idx="9">
                  <c:v>-0.27500000000000002</c:v>
                </c:pt>
                <c:pt idx="10">
                  <c:v>-0.25</c:v>
                </c:pt>
                <c:pt idx="11">
                  <c:v>-0.22500000000000001</c:v>
                </c:pt>
                <c:pt idx="12">
                  <c:v>-0.2</c:v>
                </c:pt>
                <c:pt idx="13">
                  <c:v>-0.17499999999999999</c:v>
                </c:pt>
                <c:pt idx="14">
                  <c:v>-0.15</c:v>
                </c:pt>
                <c:pt idx="15">
                  <c:v>-0.125</c:v>
                </c:pt>
                <c:pt idx="16">
                  <c:v>-0.1</c:v>
                </c:pt>
                <c:pt idx="17">
                  <c:v>-7.4999999999999997E-2</c:v>
                </c:pt>
                <c:pt idx="18">
                  <c:v>-0.05</c:v>
                </c:pt>
                <c:pt idx="19">
                  <c:v>-2.5000000000000001E-2</c:v>
                </c:pt>
                <c:pt idx="20">
                  <c:v>0</c:v>
                </c:pt>
                <c:pt idx="21">
                  <c:v>2.5000000000000001E-2</c:v>
                </c:pt>
                <c:pt idx="22">
                  <c:v>0.05</c:v>
                </c:pt>
                <c:pt idx="23">
                  <c:v>7.4999999999999997E-2</c:v>
                </c:pt>
                <c:pt idx="24">
                  <c:v>0.1</c:v>
                </c:pt>
                <c:pt idx="25">
                  <c:v>0.125</c:v>
                </c:pt>
                <c:pt idx="26">
                  <c:v>0.15</c:v>
                </c:pt>
                <c:pt idx="27">
                  <c:v>0.17499999999999999</c:v>
                </c:pt>
                <c:pt idx="28">
                  <c:v>0.2</c:v>
                </c:pt>
                <c:pt idx="29">
                  <c:v>0.22500000000000001</c:v>
                </c:pt>
                <c:pt idx="30">
                  <c:v>0.25</c:v>
                </c:pt>
                <c:pt idx="31">
                  <c:v>0.27500000000000002</c:v>
                </c:pt>
                <c:pt idx="32">
                  <c:v>0.3</c:v>
                </c:pt>
                <c:pt idx="33">
                  <c:v>0.32500000000000001</c:v>
                </c:pt>
                <c:pt idx="34">
                  <c:v>0.35</c:v>
                </c:pt>
                <c:pt idx="35">
                  <c:v>0.375</c:v>
                </c:pt>
                <c:pt idx="36">
                  <c:v>0.4</c:v>
                </c:pt>
                <c:pt idx="37">
                  <c:v>0.42499999999999999</c:v>
                </c:pt>
                <c:pt idx="38">
                  <c:v>0.45</c:v>
                </c:pt>
                <c:pt idx="39">
                  <c:v>0.47499999999999998</c:v>
                </c:pt>
                <c:pt idx="40">
                  <c:v>0.5</c:v>
                </c:pt>
                <c:pt idx="41">
                  <c:v>0.51</c:v>
                </c:pt>
              </c:numCache>
            </c:numRef>
          </c:cat>
          <c:val>
            <c:numRef>
              <c:f>'DEU 2.19R MRP Freq. Dist.'!$J$26:$J$67</c:f>
              <c:numCache>
                <c:formatCode>General</c:formatCode>
                <c:ptCount val="42"/>
                <c:pt idx="0">
                  <c:v>0</c:v>
                </c:pt>
                <c:pt idx="1">
                  <c:v>0</c:v>
                </c:pt>
                <c:pt idx="2">
                  <c:v>1</c:v>
                </c:pt>
                <c:pt idx="3">
                  <c:v>0</c:v>
                </c:pt>
                <c:pt idx="4">
                  <c:v>1</c:v>
                </c:pt>
                <c:pt idx="5">
                  <c:v>1</c:v>
                </c:pt>
                <c:pt idx="6">
                  <c:v>0</c:v>
                </c:pt>
                <c:pt idx="7">
                  <c:v>1</c:v>
                </c:pt>
                <c:pt idx="8">
                  <c:v>0</c:v>
                </c:pt>
                <c:pt idx="9">
                  <c:v>2</c:v>
                </c:pt>
                <c:pt idx="10">
                  <c:v>0</c:v>
                </c:pt>
                <c:pt idx="11">
                  <c:v>0</c:v>
                </c:pt>
                <c:pt idx="12">
                  <c:v>1</c:v>
                </c:pt>
                <c:pt idx="13">
                  <c:v>0</c:v>
                </c:pt>
                <c:pt idx="14">
                  <c:v>3</c:v>
                </c:pt>
                <c:pt idx="15">
                  <c:v>6</c:v>
                </c:pt>
                <c:pt idx="16">
                  <c:v>5</c:v>
                </c:pt>
                <c:pt idx="17">
                  <c:v>0</c:v>
                </c:pt>
                <c:pt idx="18">
                  <c:v>3</c:v>
                </c:pt>
                <c:pt idx="19">
                  <c:v>6</c:v>
                </c:pt>
                <c:pt idx="20">
                  <c:v>3</c:v>
                </c:pt>
                <c:pt idx="21">
                  <c:v>3</c:v>
                </c:pt>
                <c:pt idx="22">
                  <c:v>4</c:v>
                </c:pt>
                <c:pt idx="23">
                  <c:v>2</c:v>
                </c:pt>
                <c:pt idx="24">
                  <c:v>9</c:v>
                </c:pt>
                <c:pt idx="25">
                  <c:v>5</c:v>
                </c:pt>
                <c:pt idx="26">
                  <c:v>2</c:v>
                </c:pt>
                <c:pt idx="27">
                  <c:v>6</c:v>
                </c:pt>
                <c:pt idx="28">
                  <c:v>4</c:v>
                </c:pt>
                <c:pt idx="29">
                  <c:v>3</c:v>
                </c:pt>
                <c:pt idx="30">
                  <c:v>7</c:v>
                </c:pt>
                <c:pt idx="31">
                  <c:v>1</c:v>
                </c:pt>
                <c:pt idx="32">
                  <c:v>6</c:v>
                </c:pt>
                <c:pt idx="33">
                  <c:v>1</c:v>
                </c:pt>
                <c:pt idx="34">
                  <c:v>2</c:v>
                </c:pt>
                <c:pt idx="35">
                  <c:v>0</c:v>
                </c:pt>
                <c:pt idx="36">
                  <c:v>0</c:v>
                </c:pt>
                <c:pt idx="37">
                  <c:v>2</c:v>
                </c:pt>
                <c:pt idx="38">
                  <c:v>1</c:v>
                </c:pt>
                <c:pt idx="39">
                  <c:v>0</c:v>
                </c:pt>
                <c:pt idx="40">
                  <c:v>1</c:v>
                </c:pt>
                <c:pt idx="41">
                  <c:v>1</c:v>
                </c:pt>
              </c:numCache>
            </c:numRef>
          </c:val>
          <c:extLst xmlns:c16r2="http://schemas.microsoft.com/office/drawing/2015/06/chart">
            <c:ext xmlns:c16="http://schemas.microsoft.com/office/drawing/2014/chart" uri="{C3380CC4-5D6E-409C-BE32-E72D297353CC}">
              <c16:uniqueId val="{00000000-C465-41A4-8654-A96E7217E16F}"/>
            </c:ext>
          </c:extLst>
        </c:ser>
        <c:dLbls>
          <c:showLegendKey val="0"/>
          <c:showVal val="0"/>
          <c:showCatName val="0"/>
          <c:showSerName val="0"/>
          <c:showPercent val="0"/>
          <c:showBubbleSize val="0"/>
        </c:dLbls>
        <c:gapWidth val="100"/>
        <c:axId val="477194368"/>
        <c:axId val="477192016"/>
      </c:barChart>
      <c:catAx>
        <c:axId val="477194368"/>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192016"/>
        <c:crosses val="autoZero"/>
        <c:auto val="1"/>
        <c:lblAlgn val="ctr"/>
        <c:lblOffset val="100"/>
        <c:tickLblSkip val="2"/>
        <c:noMultiLvlLbl val="0"/>
      </c:catAx>
      <c:valAx>
        <c:axId val="4771920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19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'DEU 2.20R CAPM_ECAPM Alpha'!$C$7</c:f>
              <c:strCache>
                <c:ptCount val="1"/>
                <c:pt idx="0">
                  <c:v>CAPM</c:v>
                </c:pt>
              </c:strCache>
            </c:strRef>
          </c:tx>
          <c:spPr>
            <a:ln w="19050" cap="rnd">
              <a:solidFill>
                <a:schemeClr val="tx1"/>
              </a:solidFill>
              <a:prstDash val="dash"/>
              <a:round/>
            </a:ln>
            <a:effectLst/>
          </c:spPr>
          <c:marker>
            <c:symbol val="none"/>
          </c:marker>
          <c:cat>
            <c:numRef>
              <c:f>'DEU 2.20R CAPM_ECAPM Alpha'!$B$8:$B$158</c:f>
              <c:numCache>
                <c:formatCode>0.00</c:formatCode>
                <c:ptCount val="15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numCache>
            </c:numRef>
          </c:cat>
          <c:val>
            <c:numRef>
              <c:f>'DEU 2.20R CAPM_ECAPM Alpha'!$C$8:$C$158</c:f>
              <c:numCache>
                <c:formatCode>0.00%</c:formatCode>
                <c:ptCount val="151"/>
                <c:pt idx="0">
                  <c:v>2.5000000000000001E-2</c:v>
                </c:pt>
                <c:pt idx="1">
                  <c:v>2.5850000000000001E-2</c:v>
                </c:pt>
                <c:pt idx="2">
                  <c:v>2.6700000000000002E-2</c:v>
                </c:pt>
                <c:pt idx="3">
                  <c:v>2.7550000000000002E-2</c:v>
                </c:pt>
                <c:pt idx="4">
                  <c:v>2.8400000000000002E-2</c:v>
                </c:pt>
                <c:pt idx="5">
                  <c:v>2.9250000000000002E-2</c:v>
                </c:pt>
                <c:pt idx="6">
                  <c:v>3.0100000000000002E-2</c:v>
                </c:pt>
                <c:pt idx="7">
                  <c:v>3.0950000000000002E-2</c:v>
                </c:pt>
                <c:pt idx="8">
                  <c:v>3.1800000000000002E-2</c:v>
                </c:pt>
                <c:pt idx="9">
                  <c:v>3.2649999999999998E-2</c:v>
                </c:pt>
                <c:pt idx="10">
                  <c:v>3.3500000000000002E-2</c:v>
                </c:pt>
                <c:pt idx="11">
                  <c:v>3.4349999999999999E-2</c:v>
                </c:pt>
                <c:pt idx="12">
                  <c:v>3.5200000000000002E-2</c:v>
                </c:pt>
                <c:pt idx="13">
                  <c:v>3.6049999999999999E-2</c:v>
                </c:pt>
                <c:pt idx="14">
                  <c:v>3.6900000000000002E-2</c:v>
                </c:pt>
                <c:pt idx="15">
                  <c:v>3.7750000000000006E-2</c:v>
                </c:pt>
                <c:pt idx="16">
                  <c:v>3.8600000000000002E-2</c:v>
                </c:pt>
                <c:pt idx="17">
                  <c:v>3.9450000000000006E-2</c:v>
                </c:pt>
                <c:pt idx="18">
                  <c:v>4.0300000000000002E-2</c:v>
                </c:pt>
                <c:pt idx="19">
                  <c:v>4.1150000000000006E-2</c:v>
                </c:pt>
                <c:pt idx="20">
                  <c:v>4.200000000000001E-2</c:v>
                </c:pt>
                <c:pt idx="21">
                  <c:v>4.2850000000000006E-2</c:v>
                </c:pt>
                <c:pt idx="22">
                  <c:v>4.3700000000000003E-2</c:v>
                </c:pt>
                <c:pt idx="23">
                  <c:v>4.4550000000000006E-2</c:v>
                </c:pt>
                <c:pt idx="24">
                  <c:v>4.540000000000001E-2</c:v>
                </c:pt>
                <c:pt idx="25">
                  <c:v>4.6250000000000006E-2</c:v>
                </c:pt>
                <c:pt idx="26">
                  <c:v>4.710000000000001E-2</c:v>
                </c:pt>
                <c:pt idx="27">
                  <c:v>4.7950000000000007E-2</c:v>
                </c:pt>
                <c:pt idx="28">
                  <c:v>4.880000000000001E-2</c:v>
                </c:pt>
                <c:pt idx="29">
                  <c:v>4.9650000000000014E-2</c:v>
                </c:pt>
                <c:pt idx="30">
                  <c:v>5.050000000000001E-2</c:v>
                </c:pt>
                <c:pt idx="31">
                  <c:v>5.1350000000000014E-2</c:v>
                </c:pt>
                <c:pt idx="32">
                  <c:v>5.220000000000001E-2</c:v>
                </c:pt>
                <c:pt idx="33">
                  <c:v>5.3050000000000014E-2</c:v>
                </c:pt>
                <c:pt idx="34">
                  <c:v>5.3900000000000017E-2</c:v>
                </c:pt>
                <c:pt idx="35">
                  <c:v>5.4750000000000021E-2</c:v>
                </c:pt>
                <c:pt idx="36">
                  <c:v>5.5600000000000017E-2</c:v>
                </c:pt>
                <c:pt idx="37">
                  <c:v>5.6450000000000014E-2</c:v>
                </c:pt>
                <c:pt idx="38">
                  <c:v>5.7300000000000018E-2</c:v>
                </c:pt>
                <c:pt idx="39">
                  <c:v>5.8150000000000021E-2</c:v>
                </c:pt>
                <c:pt idx="40">
                  <c:v>5.9000000000000018E-2</c:v>
                </c:pt>
                <c:pt idx="41">
                  <c:v>5.9850000000000021E-2</c:v>
                </c:pt>
                <c:pt idx="42">
                  <c:v>6.0700000000000025E-2</c:v>
                </c:pt>
                <c:pt idx="43">
                  <c:v>6.1550000000000021E-2</c:v>
                </c:pt>
                <c:pt idx="44">
                  <c:v>6.2400000000000025E-2</c:v>
                </c:pt>
                <c:pt idx="45">
                  <c:v>6.3250000000000028E-2</c:v>
                </c:pt>
                <c:pt idx="46">
                  <c:v>6.4100000000000018E-2</c:v>
                </c:pt>
                <c:pt idx="47">
                  <c:v>6.4950000000000035E-2</c:v>
                </c:pt>
                <c:pt idx="48">
                  <c:v>6.5800000000000025E-2</c:v>
                </c:pt>
                <c:pt idx="49">
                  <c:v>6.6650000000000029E-2</c:v>
                </c:pt>
                <c:pt idx="50">
                  <c:v>6.7500000000000032E-2</c:v>
                </c:pt>
                <c:pt idx="51">
                  <c:v>6.8350000000000022E-2</c:v>
                </c:pt>
                <c:pt idx="52">
                  <c:v>6.9200000000000025E-2</c:v>
                </c:pt>
                <c:pt idx="53">
                  <c:v>7.0050000000000029E-2</c:v>
                </c:pt>
                <c:pt idx="54">
                  <c:v>7.0900000000000019E-2</c:v>
                </c:pt>
                <c:pt idx="55">
                  <c:v>7.1750000000000036E-2</c:v>
                </c:pt>
                <c:pt idx="56">
                  <c:v>7.2600000000000026E-2</c:v>
                </c:pt>
                <c:pt idx="57">
                  <c:v>7.3450000000000029E-2</c:v>
                </c:pt>
                <c:pt idx="58">
                  <c:v>7.4300000000000033E-2</c:v>
                </c:pt>
                <c:pt idx="59">
                  <c:v>7.5150000000000022E-2</c:v>
                </c:pt>
                <c:pt idx="60">
                  <c:v>7.600000000000004E-2</c:v>
                </c:pt>
                <c:pt idx="61">
                  <c:v>7.6850000000000029E-2</c:v>
                </c:pt>
                <c:pt idx="62">
                  <c:v>7.7700000000000033E-2</c:v>
                </c:pt>
                <c:pt idx="63">
                  <c:v>7.8550000000000036E-2</c:v>
                </c:pt>
                <c:pt idx="64">
                  <c:v>7.9400000000000026E-2</c:v>
                </c:pt>
                <c:pt idx="65">
                  <c:v>8.0250000000000044E-2</c:v>
                </c:pt>
                <c:pt idx="66">
                  <c:v>8.1100000000000033E-2</c:v>
                </c:pt>
                <c:pt idx="67">
                  <c:v>8.1950000000000037E-2</c:v>
                </c:pt>
                <c:pt idx="68">
                  <c:v>8.280000000000004E-2</c:v>
                </c:pt>
                <c:pt idx="69">
                  <c:v>8.365000000000003E-2</c:v>
                </c:pt>
                <c:pt idx="70">
                  <c:v>8.4500000000000047E-2</c:v>
                </c:pt>
                <c:pt idx="71">
                  <c:v>8.5350000000000037E-2</c:v>
                </c:pt>
                <c:pt idx="72">
                  <c:v>8.620000000000004E-2</c:v>
                </c:pt>
                <c:pt idx="73">
                  <c:v>8.7050000000000044E-2</c:v>
                </c:pt>
                <c:pt idx="74">
                  <c:v>8.7900000000000034E-2</c:v>
                </c:pt>
                <c:pt idx="75">
                  <c:v>8.8750000000000051E-2</c:v>
                </c:pt>
                <c:pt idx="76">
                  <c:v>8.9600000000000041E-2</c:v>
                </c:pt>
                <c:pt idx="77">
                  <c:v>9.0450000000000058E-2</c:v>
                </c:pt>
                <c:pt idx="78">
                  <c:v>9.1300000000000048E-2</c:v>
                </c:pt>
                <c:pt idx="79">
                  <c:v>9.2150000000000037E-2</c:v>
                </c:pt>
                <c:pt idx="80">
                  <c:v>9.3000000000000055E-2</c:v>
                </c:pt>
                <c:pt idx="81">
                  <c:v>9.3850000000000044E-2</c:v>
                </c:pt>
                <c:pt idx="82">
                  <c:v>9.4700000000000062E-2</c:v>
                </c:pt>
                <c:pt idx="83">
                  <c:v>9.5550000000000052E-2</c:v>
                </c:pt>
                <c:pt idx="84">
                  <c:v>9.6400000000000041E-2</c:v>
                </c:pt>
                <c:pt idx="85">
                  <c:v>9.7250000000000059E-2</c:v>
                </c:pt>
                <c:pt idx="86">
                  <c:v>9.8100000000000048E-2</c:v>
                </c:pt>
                <c:pt idx="87">
                  <c:v>9.8950000000000066E-2</c:v>
                </c:pt>
                <c:pt idx="88">
                  <c:v>9.9800000000000055E-2</c:v>
                </c:pt>
                <c:pt idx="89">
                  <c:v>0.10065000000000004</c:v>
                </c:pt>
                <c:pt idx="90">
                  <c:v>0.10150000000000006</c:v>
                </c:pt>
                <c:pt idx="91">
                  <c:v>0.10235000000000005</c:v>
                </c:pt>
                <c:pt idx="92">
                  <c:v>0.10320000000000007</c:v>
                </c:pt>
                <c:pt idx="93">
                  <c:v>0.10405000000000006</c:v>
                </c:pt>
                <c:pt idx="94">
                  <c:v>0.10490000000000005</c:v>
                </c:pt>
                <c:pt idx="95">
                  <c:v>0.10575000000000007</c:v>
                </c:pt>
                <c:pt idx="96">
                  <c:v>0.10660000000000006</c:v>
                </c:pt>
                <c:pt idx="97">
                  <c:v>0.10745000000000007</c:v>
                </c:pt>
                <c:pt idx="98">
                  <c:v>0.10830000000000006</c:v>
                </c:pt>
                <c:pt idx="99">
                  <c:v>0.10915000000000005</c:v>
                </c:pt>
                <c:pt idx="100">
                  <c:v>0.11000000000000007</c:v>
                </c:pt>
                <c:pt idx="101">
                  <c:v>0.11085000000000006</c:v>
                </c:pt>
                <c:pt idx="102">
                  <c:v>0.11170000000000008</c:v>
                </c:pt>
                <c:pt idx="103">
                  <c:v>0.11255000000000007</c:v>
                </c:pt>
                <c:pt idx="104">
                  <c:v>0.11340000000000006</c:v>
                </c:pt>
                <c:pt idx="105">
                  <c:v>0.11425000000000007</c:v>
                </c:pt>
                <c:pt idx="106">
                  <c:v>0.11510000000000006</c:v>
                </c:pt>
                <c:pt idx="107">
                  <c:v>0.11595000000000008</c:v>
                </c:pt>
                <c:pt idx="108">
                  <c:v>0.11680000000000007</c:v>
                </c:pt>
                <c:pt idx="109">
                  <c:v>0.11765000000000006</c:v>
                </c:pt>
                <c:pt idx="110">
                  <c:v>0.11850000000000008</c:v>
                </c:pt>
                <c:pt idx="111">
                  <c:v>0.11935000000000007</c:v>
                </c:pt>
                <c:pt idx="112">
                  <c:v>0.12020000000000008</c:v>
                </c:pt>
                <c:pt idx="113">
                  <c:v>0.12105000000000007</c:v>
                </c:pt>
                <c:pt idx="114">
                  <c:v>0.12190000000000006</c:v>
                </c:pt>
                <c:pt idx="115">
                  <c:v>0.12275000000000008</c:v>
                </c:pt>
                <c:pt idx="116">
                  <c:v>0.12360000000000007</c:v>
                </c:pt>
                <c:pt idx="117">
                  <c:v>0.12445000000000009</c:v>
                </c:pt>
                <c:pt idx="118">
                  <c:v>0.12530000000000008</c:v>
                </c:pt>
                <c:pt idx="119">
                  <c:v>0.12615000000000007</c:v>
                </c:pt>
                <c:pt idx="120">
                  <c:v>0.12700000000000009</c:v>
                </c:pt>
                <c:pt idx="121">
                  <c:v>0.12785000000000007</c:v>
                </c:pt>
                <c:pt idx="122">
                  <c:v>0.12870000000000009</c:v>
                </c:pt>
                <c:pt idx="123">
                  <c:v>0.12955000000000008</c:v>
                </c:pt>
                <c:pt idx="124">
                  <c:v>0.13040000000000007</c:v>
                </c:pt>
                <c:pt idx="125">
                  <c:v>0.13125000000000009</c:v>
                </c:pt>
                <c:pt idx="126">
                  <c:v>0.13210000000000008</c:v>
                </c:pt>
                <c:pt idx="127">
                  <c:v>0.1329500000000001</c:v>
                </c:pt>
                <c:pt idx="128">
                  <c:v>0.13380000000000009</c:v>
                </c:pt>
                <c:pt idx="129">
                  <c:v>0.13465000000000008</c:v>
                </c:pt>
                <c:pt idx="130">
                  <c:v>0.13550000000000009</c:v>
                </c:pt>
                <c:pt idx="131">
                  <c:v>0.13635000000000008</c:v>
                </c:pt>
                <c:pt idx="132">
                  <c:v>0.1372000000000001</c:v>
                </c:pt>
                <c:pt idx="133">
                  <c:v>0.13805000000000009</c:v>
                </c:pt>
                <c:pt idx="134">
                  <c:v>0.13890000000000008</c:v>
                </c:pt>
                <c:pt idx="135">
                  <c:v>0.1397500000000001</c:v>
                </c:pt>
                <c:pt idx="136">
                  <c:v>0.14060000000000009</c:v>
                </c:pt>
                <c:pt idx="137">
                  <c:v>0.1414500000000001</c:v>
                </c:pt>
                <c:pt idx="138">
                  <c:v>0.14230000000000009</c:v>
                </c:pt>
                <c:pt idx="139">
                  <c:v>0.14315000000000008</c:v>
                </c:pt>
                <c:pt idx="140">
                  <c:v>0.1440000000000001</c:v>
                </c:pt>
                <c:pt idx="141">
                  <c:v>0.14485000000000009</c:v>
                </c:pt>
                <c:pt idx="142">
                  <c:v>0.14570000000000011</c:v>
                </c:pt>
                <c:pt idx="143">
                  <c:v>0.1465500000000001</c:v>
                </c:pt>
                <c:pt idx="144">
                  <c:v>0.14740000000000009</c:v>
                </c:pt>
                <c:pt idx="145">
                  <c:v>0.1482500000000001</c:v>
                </c:pt>
                <c:pt idx="146">
                  <c:v>0.14910000000000009</c:v>
                </c:pt>
                <c:pt idx="147">
                  <c:v>0.14995000000000011</c:v>
                </c:pt>
                <c:pt idx="148">
                  <c:v>0.1508000000000001</c:v>
                </c:pt>
                <c:pt idx="149">
                  <c:v>0.15165000000000009</c:v>
                </c:pt>
                <c:pt idx="150">
                  <c:v>0.15250000000000011</c:v>
                </c:pt>
              </c:numCache>
            </c:numRef>
          </c:val>
          <c:smooth val="0"/>
          <c:extLst xmlns:c16r2="http://schemas.microsoft.com/office/drawing/2015/06/chart">
            <c:ext xmlns:c16="http://schemas.microsoft.com/office/drawing/2014/chart" uri="{C3380CC4-5D6E-409C-BE32-E72D297353CC}">
              <c16:uniqueId val="{00000000-CD41-4E52-9476-26B309C3BA44}"/>
            </c:ext>
          </c:extLst>
        </c:ser>
        <c:ser>
          <c:idx val="1"/>
          <c:order val="1"/>
          <c:tx>
            <c:strRef>
              <c:f>'DEU 2.20R CAPM_ECAPM Alpha'!$D$7</c:f>
              <c:strCache>
                <c:ptCount val="1"/>
                <c:pt idx="0">
                  <c:v>ECAPM</c:v>
                </c:pt>
              </c:strCache>
            </c:strRef>
          </c:tx>
          <c:spPr>
            <a:ln w="19050" cap="rnd">
              <a:solidFill>
                <a:schemeClr val="tx1"/>
              </a:solidFill>
              <a:round/>
            </a:ln>
            <a:effectLst/>
          </c:spPr>
          <c:marker>
            <c:symbol val="none"/>
          </c:marker>
          <c:cat>
            <c:numRef>
              <c:f>'DEU 2.20R CAPM_ECAPM Alpha'!$B$8:$B$158</c:f>
              <c:numCache>
                <c:formatCode>0.00</c:formatCode>
                <c:ptCount val="15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numCache>
            </c:numRef>
          </c:cat>
          <c:val>
            <c:numRef>
              <c:f>'DEU 2.20R CAPM_ECAPM Alpha'!$D$8:$D$158</c:f>
              <c:numCache>
                <c:formatCode>0.00%</c:formatCode>
                <c:ptCount val="151"/>
                <c:pt idx="0">
                  <c:v>4.6249999999999999E-2</c:v>
                </c:pt>
                <c:pt idx="1">
                  <c:v>4.6887499999999999E-2</c:v>
                </c:pt>
                <c:pt idx="2">
                  <c:v>4.7524999999999998E-2</c:v>
                </c:pt>
                <c:pt idx="3">
                  <c:v>4.8162500000000004E-2</c:v>
                </c:pt>
                <c:pt idx="4">
                  <c:v>4.8800000000000003E-2</c:v>
                </c:pt>
                <c:pt idx="5">
                  <c:v>4.9437500000000002E-2</c:v>
                </c:pt>
                <c:pt idx="6">
                  <c:v>5.0075000000000008E-2</c:v>
                </c:pt>
                <c:pt idx="7">
                  <c:v>5.0712500000000008E-2</c:v>
                </c:pt>
                <c:pt idx="8">
                  <c:v>5.1350000000000007E-2</c:v>
                </c:pt>
                <c:pt idx="9">
                  <c:v>5.1987500000000006E-2</c:v>
                </c:pt>
                <c:pt idx="10">
                  <c:v>5.2625000000000005E-2</c:v>
                </c:pt>
                <c:pt idx="11">
                  <c:v>5.3262500000000004E-2</c:v>
                </c:pt>
                <c:pt idx="12">
                  <c:v>5.3900000000000003E-2</c:v>
                </c:pt>
                <c:pt idx="13">
                  <c:v>5.4537500000000003E-2</c:v>
                </c:pt>
                <c:pt idx="14">
                  <c:v>5.5175000000000002E-2</c:v>
                </c:pt>
                <c:pt idx="15">
                  <c:v>5.5812500000000001E-2</c:v>
                </c:pt>
                <c:pt idx="16">
                  <c:v>5.645E-2</c:v>
                </c:pt>
                <c:pt idx="17">
                  <c:v>5.7087499999999999E-2</c:v>
                </c:pt>
                <c:pt idx="18">
                  <c:v>5.7724999999999999E-2</c:v>
                </c:pt>
                <c:pt idx="19">
                  <c:v>5.8362500000000012E-2</c:v>
                </c:pt>
                <c:pt idx="20">
                  <c:v>5.9000000000000011E-2</c:v>
                </c:pt>
                <c:pt idx="21">
                  <c:v>5.963750000000001E-2</c:v>
                </c:pt>
                <c:pt idx="22">
                  <c:v>6.0275000000000009E-2</c:v>
                </c:pt>
                <c:pt idx="23">
                  <c:v>6.0912500000000008E-2</c:v>
                </c:pt>
                <c:pt idx="24">
                  <c:v>6.1550000000000007E-2</c:v>
                </c:pt>
                <c:pt idx="25">
                  <c:v>6.2187500000000007E-2</c:v>
                </c:pt>
                <c:pt idx="26">
                  <c:v>6.2825000000000006E-2</c:v>
                </c:pt>
                <c:pt idx="27">
                  <c:v>6.3462500000000005E-2</c:v>
                </c:pt>
                <c:pt idx="28">
                  <c:v>6.4100000000000018E-2</c:v>
                </c:pt>
                <c:pt idx="29">
                  <c:v>6.4737500000000017E-2</c:v>
                </c:pt>
                <c:pt idx="30">
                  <c:v>6.5375000000000016E-2</c:v>
                </c:pt>
                <c:pt idx="31">
                  <c:v>6.6012500000000016E-2</c:v>
                </c:pt>
                <c:pt idx="32">
                  <c:v>6.6650000000000015E-2</c:v>
                </c:pt>
                <c:pt idx="33">
                  <c:v>6.7287500000000014E-2</c:v>
                </c:pt>
                <c:pt idx="34">
                  <c:v>6.7925000000000013E-2</c:v>
                </c:pt>
                <c:pt idx="35">
                  <c:v>6.8562500000000012E-2</c:v>
                </c:pt>
                <c:pt idx="36">
                  <c:v>6.9200000000000012E-2</c:v>
                </c:pt>
                <c:pt idx="37">
                  <c:v>6.9837500000000025E-2</c:v>
                </c:pt>
                <c:pt idx="38">
                  <c:v>7.0475000000000024E-2</c:v>
                </c:pt>
                <c:pt idx="39">
                  <c:v>7.1112500000000023E-2</c:v>
                </c:pt>
                <c:pt idx="40">
                  <c:v>7.1750000000000022E-2</c:v>
                </c:pt>
                <c:pt idx="41">
                  <c:v>7.2387500000000021E-2</c:v>
                </c:pt>
                <c:pt idx="42">
                  <c:v>7.302500000000002E-2</c:v>
                </c:pt>
                <c:pt idx="43">
                  <c:v>7.366250000000002E-2</c:v>
                </c:pt>
                <c:pt idx="44">
                  <c:v>7.4300000000000019E-2</c:v>
                </c:pt>
                <c:pt idx="45">
                  <c:v>7.4937500000000018E-2</c:v>
                </c:pt>
                <c:pt idx="46">
                  <c:v>7.5575000000000017E-2</c:v>
                </c:pt>
                <c:pt idx="47">
                  <c:v>7.621250000000003E-2</c:v>
                </c:pt>
                <c:pt idx="48">
                  <c:v>7.6850000000000029E-2</c:v>
                </c:pt>
                <c:pt idx="49">
                  <c:v>7.7487500000000029E-2</c:v>
                </c:pt>
                <c:pt idx="50">
                  <c:v>7.8125000000000014E-2</c:v>
                </c:pt>
                <c:pt idx="51">
                  <c:v>7.8762500000000013E-2</c:v>
                </c:pt>
                <c:pt idx="52">
                  <c:v>7.9400000000000026E-2</c:v>
                </c:pt>
                <c:pt idx="53">
                  <c:v>8.0037500000000025E-2</c:v>
                </c:pt>
                <c:pt idx="54">
                  <c:v>8.0675000000000024E-2</c:v>
                </c:pt>
                <c:pt idx="55">
                  <c:v>8.1312500000000024E-2</c:v>
                </c:pt>
                <c:pt idx="56">
                  <c:v>8.1950000000000023E-2</c:v>
                </c:pt>
                <c:pt idx="57">
                  <c:v>8.2587500000000022E-2</c:v>
                </c:pt>
                <c:pt idx="58">
                  <c:v>8.3225000000000021E-2</c:v>
                </c:pt>
                <c:pt idx="59">
                  <c:v>8.386250000000002E-2</c:v>
                </c:pt>
                <c:pt idx="60">
                  <c:v>8.4500000000000033E-2</c:v>
                </c:pt>
                <c:pt idx="61">
                  <c:v>8.5137500000000033E-2</c:v>
                </c:pt>
                <c:pt idx="62">
                  <c:v>8.5775000000000032E-2</c:v>
                </c:pt>
                <c:pt idx="63">
                  <c:v>8.6412500000000031E-2</c:v>
                </c:pt>
                <c:pt idx="64">
                  <c:v>8.705000000000003E-2</c:v>
                </c:pt>
                <c:pt idx="65">
                  <c:v>8.7687500000000029E-2</c:v>
                </c:pt>
                <c:pt idx="66">
                  <c:v>8.8325000000000028E-2</c:v>
                </c:pt>
                <c:pt idx="67">
                  <c:v>8.8962500000000042E-2</c:v>
                </c:pt>
                <c:pt idx="68">
                  <c:v>8.9600000000000027E-2</c:v>
                </c:pt>
                <c:pt idx="69">
                  <c:v>9.023750000000004E-2</c:v>
                </c:pt>
                <c:pt idx="70">
                  <c:v>9.0875000000000039E-2</c:v>
                </c:pt>
                <c:pt idx="71">
                  <c:v>9.1512500000000038E-2</c:v>
                </c:pt>
                <c:pt idx="72">
                  <c:v>9.2150000000000024E-2</c:v>
                </c:pt>
                <c:pt idx="73">
                  <c:v>9.2787500000000037E-2</c:v>
                </c:pt>
                <c:pt idx="74">
                  <c:v>9.342500000000005E-2</c:v>
                </c:pt>
                <c:pt idx="75">
                  <c:v>9.4062500000000035E-2</c:v>
                </c:pt>
                <c:pt idx="76">
                  <c:v>9.4700000000000034E-2</c:v>
                </c:pt>
                <c:pt idx="77">
                  <c:v>9.5337500000000033E-2</c:v>
                </c:pt>
                <c:pt idx="78">
                  <c:v>9.5975000000000046E-2</c:v>
                </c:pt>
                <c:pt idx="79">
                  <c:v>9.6612500000000032E-2</c:v>
                </c:pt>
                <c:pt idx="80">
                  <c:v>9.7250000000000045E-2</c:v>
                </c:pt>
                <c:pt idx="81">
                  <c:v>9.7887500000000044E-2</c:v>
                </c:pt>
                <c:pt idx="82">
                  <c:v>9.8525000000000043E-2</c:v>
                </c:pt>
                <c:pt idx="83">
                  <c:v>9.9162500000000042E-2</c:v>
                </c:pt>
                <c:pt idx="84">
                  <c:v>9.9800000000000041E-2</c:v>
                </c:pt>
                <c:pt idx="85">
                  <c:v>0.10043750000000005</c:v>
                </c:pt>
                <c:pt idx="86">
                  <c:v>0.10107500000000004</c:v>
                </c:pt>
                <c:pt idx="87">
                  <c:v>0.10171250000000005</c:v>
                </c:pt>
                <c:pt idx="88">
                  <c:v>0.10235000000000004</c:v>
                </c:pt>
                <c:pt idx="89">
                  <c:v>0.10298750000000005</c:v>
                </c:pt>
                <c:pt idx="90">
                  <c:v>0.10362500000000005</c:v>
                </c:pt>
                <c:pt idx="91">
                  <c:v>0.10426250000000005</c:v>
                </c:pt>
                <c:pt idx="92">
                  <c:v>0.10490000000000003</c:v>
                </c:pt>
                <c:pt idx="93">
                  <c:v>0.10553750000000005</c:v>
                </c:pt>
                <c:pt idx="94">
                  <c:v>0.10617500000000006</c:v>
                </c:pt>
                <c:pt idx="95">
                  <c:v>0.10681250000000005</c:v>
                </c:pt>
                <c:pt idx="96">
                  <c:v>0.10745000000000005</c:v>
                </c:pt>
                <c:pt idx="97">
                  <c:v>0.10808750000000004</c:v>
                </c:pt>
                <c:pt idx="98">
                  <c:v>0.10872500000000006</c:v>
                </c:pt>
                <c:pt idx="99">
                  <c:v>0.10936250000000004</c:v>
                </c:pt>
                <c:pt idx="100">
                  <c:v>0.11000000000000006</c:v>
                </c:pt>
                <c:pt idx="101">
                  <c:v>0.11063750000000004</c:v>
                </c:pt>
                <c:pt idx="102">
                  <c:v>0.11127500000000005</c:v>
                </c:pt>
                <c:pt idx="103">
                  <c:v>0.11191250000000007</c:v>
                </c:pt>
                <c:pt idx="104">
                  <c:v>0.11255000000000005</c:v>
                </c:pt>
                <c:pt idx="105">
                  <c:v>0.11318750000000007</c:v>
                </c:pt>
                <c:pt idx="106">
                  <c:v>0.11382500000000005</c:v>
                </c:pt>
                <c:pt idx="107">
                  <c:v>0.11446250000000006</c:v>
                </c:pt>
                <c:pt idx="108">
                  <c:v>0.11510000000000005</c:v>
                </c:pt>
                <c:pt idx="109">
                  <c:v>0.11573750000000006</c:v>
                </c:pt>
                <c:pt idx="110">
                  <c:v>0.11637500000000008</c:v>
                </c:pt>
                <c:pt idx="111">
                  <c:v>0.11701250000000006</c:v>
                </c:pt>
                <c:pt idx="112">
                  <c:v>0.11765000000000005</c:v>
                </c:pt>
                <c:pt idx="113">
                  <c:v>0.11828750000000006</c:v>
                </c:pt>
                <c:pt idx="114">
                  <c:v>0.11892500000000007</c:v>
                </c:pt>
                <c:pt idx="115">
                  <c:v>0.11956250000000006</c:v>
                </c:pt>
                <c:pt idx="116">
                  <c:v>0.12020000000000007</c:v>
                </c:pt>
                <c:pt idx="117">
                  <c:v>0.12083750000000006</c:v>
                </c:pt>
                <c:pt idx="118">
                  <c:v>0.12147500000000007</c:v>
                </c:pt>
                <c:pt idx="119">
                  <c:v>0.12211250000000005</c:v>
                </c:pt>
                <c:pt idx="120">
                  <c:v>0.12275000000000007</c:v>
                </c:pt>
                <c:pt idx="121">
                  <c:v>0.12338750000000005</c:v>
                </c:pt>
                <c:pt idx="122">
                  <c:v>0.12402500000000007</c:v>
                </c:pt>
                <c:pt idx="123">
                  <c:v>0.12466250000000008</c:v>
                </c:pt>
                <c:pt idx="124">
                  <c:v>0.12530000000000005</c:v>
                </c:pt>
                <c:pt idx="125">
                  <c:v>0.12593750000000006</c:v>
                </c:pt>
                <c:pt idx="126">
                  <c:v>0.12657500000000005</c:v>
                </c:pt>
                <c:pt idx="127">
                  <c:v>0.12721250000000006</c:v>
                </c:pt>
                <c:pt idx="128">
                  <c:v>0.12785000000000005</c:v>
                </c:pt>
                <c:pt idx="129">
                  <c:v>0.12848750000000006</c:v>
                </c:pt>
                <c:pt idx="130">
                  <c:v>0.12912500000000007</c:v>
                </c:pt>
                <c:pt idx="131">
                  <c:v>0.12976250000000006</c:v>
                </c:pt>
                <c:pt idx="132">
                  <c:v>0.13040000000000004</c:v>
                </c:pt>
                <c:pt idx="133">
                  <c:v>0.13103750000000006</c:v>
                </c:pt>
                <c:pt idx="134">
                  <c:v>0.13167500000000007</c:v>
                </c:pt>
                <c:pt idx="135">
                  <c:v>0.13231250000000006</c:v>
                </c:pt>
                <c:pt idx="136">
                  <c:v>0.13295000000000007</c:v>
                </c:pt>
                <c:pt idx="137">
                  <c:v>0.13358750000000005</c:v>
                </c:pt>
                <c:pt idx="138">
                  <c:v>0.13422500000000007</c:v>
                </c:pt>
                <c:pt idx="139">
                  <c:v>0.13486250000000008</c:v>
                </c:pt>
                <c:pt idx="140">
                  <c:v>0.13550000000000006</c:v>
                </c:pt>
                <c:pt idx="141">
                  <c:v>0.13613750000000008</c:v>
                </c:pt>
                <c:pt idx="142">
                  <c:v>0.13677500000000006</c:v>
                </c:pt>
                <c:pt idx="143">
                  <c:v>0.13741250000000005</c:v>
                </c:pt>
                <c:pt idx="144">
                  <c:v>0.13805000000000006</c:v>
                </c:pt>
                <c:pt idx="145">
                  <c:v>0.13868750000000007</c:v>
                </c:pt>
                <c:pt idx="146">
                  <c:v>0.13932500000000006</c:v>
                </c:pt>
                <c:pt idx="147">
                  <c:v>0.13996250000000007</c:v>
                </c:pt>
                <c:pt idx="148">
                  <c:v>0.14060000000000006</c:v>
                </c:pt>
                <c:pt idx="149">
                  <c:v>0.14123750000000007</c:v>
                </c:pt>
                <c:pt idx="150">
                  <c:v>0.14187500000000008</c:v>
                </c:pt>
              </c:numCache>
            </c:numRef>
          </c:val>
          <c:smooth val="0"/>
          <c:extLst xmlns:c16r2="http://schemas.microsoft.com/office/drawing/2015/06/chart">
            <c:ext xmlns:c16="http://schemas.microsoft.com/office/drawing/2014/chart" uri="{C3380CC4-5D6E-409C-BE32-E72D297353CC}">
              <c16:uniqueId val="{00000001-CD41-4E52-9476-26B309C3BA44}"/>
            </c:ext>
          </c:extLst>
        </c:ser>
        <c:dLbls>
          <c:showLegendKey val="0"/>
          <c:showVal val="0"/>
          <c:showCatName val="0"/>
          <c:showSerName val="0"/>
          <c:showPercent val="0"/>
          <c:showBubbleSize val="0"/>
        </c:dLbls>
        <c:smooth val="0"/>
        <c:axId val="477198680"/>
        <c:axId val="477193976"/>
      </c:lineChart>
      <c:catAx>
        <c:axId val="47719868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Adjusted Beta Coefficient</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77193976"/>
        <c:crosses val="autoZero"/>
        <c:auto val="1"/>
        <c:lblAlgn val="ctr"/>
        <c:lblOffset val="100"/>
        <c:tickLblSkip val="10"/>
        <c:tickMarkSkip val="10"/>
        <c:noMultiLvlLbl val="0"/>
      </c:catAx>
      <c:valAx>
        <c:axId val="47719397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Expected Return (ROE)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7719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'DEU 2.20R CAPM_ECAPM Alpha'!$C$7</c:f>
              <c:strCache>
                <c:ptCount val="1"/>
                <c:pt idx="0">
                  <c:v>CAPM</c:v>
                </c:pt>
              </c:strCache>
            </c:strRef>
          </c:tx>
          <c:spPr>
            <a:ln w="19050" cap="rnd">
              <a:solidFill>
                <a:schemeClr val="tx1"/>
              </a:solidFill>
              <a:prstDash val="dash"/>
              <a:round/>
            </a:ln>
            <a:effectLst/>
          </c:spPr>
          <c:marker>
            <c:symbol val="none"/>
          </c:marker>
          <c:cat>
            <c:numRef>
              <c:f>'DEU 2.20R CAPM_ECAPM Alpha'!$B$8:$B$158</c:f>
              <c:numCache>
                <c:formatCode>0.00</c:formatCode>
                <c:ptCount val="15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numCache>
            </c:numRef>
          </c:cat>
          <c:val>
            <c:numRef>
              <c:f>'DEU 2.20R CAPM_ECAPM Alpha'!$C$8:$C$158</c:f>
              <c:numCache>
                <c:formatCode>0.00%</c:formatCode>
                <c:ptCount val="151"/>
                <c:pt idx="0">
                  <c:v>2.5000000000000001E-2</c:v>
                </c:pt>
                <c:pt idx="1">
                  <c:v>2.5850000000000001E-2</c:v>
                </c:pt>
                <c:pt idx="2">
                  <c:v>2.6700000000000002E-2</c:v>
                </c:pt>
                <c:pt idx="3">
                  <c:v>2.7550000000000002E-2</c:v>
                </c:pt>
                <c:pt idx="4">
                  <c:v>2.8400000000000002E-2</c:v>
                </c:pt>
                <c:pt idx="5">
                  <c:v>2.9250000000000002E-2</c:v>
                </c:pt>
                <c:pt idx="6">
                  <c:v>3.0100000000000002E-2</c:v>
                </c:pt>
                <c:pt idx="7">
                  <c:v>3.0950000000000002E-2</c:v>
                </c:pt>
                <c:pt idx="8">
                  <c:v>3.1800000000000002E-2</c:v>
                </c:pt>
                <c:pt idx="9">
                  <c:v>3.2649999999999998E-2</c:v>
                </c:pt>
                <c:pt idx="10">
                  <c:v>3.3500000000000002E-2</c:v>
                </c:pt>
                <c:pt idx="11">
                  <c:v>3.4349999999999999E-2</c:v>
                </c:pt>
                <c:pt idx="12">
                  <c:v>3.5200000000000002E-2</c:v>
                </c:pt>
                <c:pt idx="13">
                  <c:v>3.6049999999999999E-2</c:v>
                </c:pt>
                <c:pt idx="14">
                  <c:v>3.6900000000000002E-2</c:v>
                </c:pt>
                <c:pt idx="15">
                  <c:v>3.7750000000000006E-2</c:v>
                </c:pt>
                <c:pt idx="16">
                  <c:v>3.8600000000000002E-2</c:v>
                </c:pt>
                <c:pt idx="17">
                  <c:v>3.9450000000000006E-2</c:v>
                </c:pt>
                <c:pt idx="18">
                  <c:v>4.0300000000000002E-2</c:v>
                </c:pt>
                <c:pt idx="19">
                  <c:v>4.1150000000000006E-2</c:v>
                </c:pt>
                <c:pt idx="20">
                  <c:v>4.200000000000001E-2</c:v>
                </c:pt>
                <c:pt idx="21">
                  <c:v>4.2850000000000006E-2</c:v>
                </c:pt>
                <c:pt idx="22">
                  <c:v>4.3700000000000003E-2</c:v>
                </c:pt>
                <c:pt idx="23">
                  <c:v>4.4550000000000006E-2</c:v>
                </c:pt>
                <c:pt idx="24">
                  <c:v>4.540000000000001E-2</c:v>
                </c:pt>
                <c:pt idx="25">
                  <c:v>4.6250000000000006E-2</c:v>
                </c:pt>
                <c:pt idx="26">
                  <c:v>4.710000000000001E-2</c:v>
                </c:pt>
                <c:pt idx="27">
                  <c:v>4.7950000000000007E-2</c:v>
                </c:pt>
                <c:pt idx="28">
                  <c:v>4.880000000000001E-2</c:v>
                </c:pt>
                <c:pt idx="29">
                  <c:v>4.9650000000000014E-2</c:v>
                </c:pt>
                <c:pt idx="30">
                  <c:v>5.050000000000001E-2</c:v>
                </c:pt>
                <c:pt idx="31">
                  <c:v>5.1350000000000014E-2</c:v>
                </c:pt>
                <c:pt idx="32">
                  <c:v>5.220000000000001E-2</c:v>
                </c:pt>
                <c:pt idx="33">
                  <c:v>5.3050000000000014E-2</c:v>
                </c:pt>
                <c:pt idx="34">
                  <c:v>5.3900000000000017E-2</c:v>
                </c:pt>
                <c:pt idx="35">
                  <c:v>5.4750000000000021E-2</c:v>
                </c:pt>
                <c:pt idx="36">
                  <c:v>5.5600000000000017E-2</c:v>
                </c:pt>
                <c:pt idx="37">
                  <c:v>5.6450000000000014E-2</c:v>
                </c:pt>
                <c:pt idx="38">
                  <c:v>5.7300000000000018E-2</c:v>
                </c:pt>
                <c:pt idx="39">
                  <c:v>5.8150000000000021E-2</c:v>
                </c:pt>
                <c:pt idx="40">
                  <c:v>5.9000000000000018E-2</c:v>
                </c:pt>
                <c:pt idx="41">
                  <c:v>5.9850000000000021E-2</c:v>
                </c:pt>
                <c:pt idx="42">
                  <c:v>6.0700000000000025E-2</c:v>
                </c:pt>
                <c:pt idx="43">
                  <c:v>6.1550000000000021E-2</c:v>
                </c:pt>
                <c:pt idx="44">
                  <c:v>6.2400000000000025E-2</c:v>
                </c:pt>
                <c:pt idx="45">
                  <c:v>6.3250000000000028E-2</c:v>
                </c:pt>
                <c:pt idx="46">
                  <c:v>6.4100000000000018E-2</c:v>
                </c:pt>
                <c:pt idx="47">
                  <c:v>6.4950000000000035E-2</c:v>
                </c:pt>
                <c:pt idx="48">
                  <c:v>6.5800000000000025E-2</c:v>
                </c:pt>
                <c:pt idx="49">
                  <c:v>6.6650000000000029E-2</c:v>
                </c:pt>
                <c:pt idx="50">
                  <c:v>6.7500000000000032E-2</c:v>
                </c:pt>
                <c:pt idx="51">
                  <c:v>6.8350000000000022E-2</c:v>
                </c:pt>
                <c:pt idx="52">
                  <c:v>6.9200000000000025E-2</c:v>
                </c:pt>
                <c:pt idx="53">
                  <c:v>7.0050000000000029E-2</c:v>
                </c:pt>
                <c:pt idx="54">
                  <c:v>7.0900000000000019E-2</c:v>
                </c:pt>
                <c:pt idx="55">
                  <c:v>7.1750000000000036E-2</c:v>
                </c:pt>
                <c:pt idx="56">
                  <c:v>7.2600000000000026E-2</c:v>
                </c:pt>
                <c:pt idx="57">
                  <c:v>7.3450000000000029E-2</c:v>
                </c:pt>
                <c:pt idx="58">
                  <c:v>7.4300000000000033E-2</c:v>
                </c:pt>
                <c:pt idx="59">
                  <c:v>7.5150000000000022E-2</c:v>
                </c:pt>
                <c:pt idx="60">
                  <c:v>7.600000000000004E-2</c:v>
                </c:pt>
                <c:pt idx="61">
                  <c:v>7.6850000000000029E-2</c:v>
                </c:pt>
                <c:pt idx="62">
                  <c:v>7.7700000000000033E-2</c:v>
                </c:pt>
                <c:pt idx="63">
                  <c:v>7.8550000000000036E-2</c:v>
                </c:pt>
                <c:pt idx="64">
                  <c:v>7.9400000000000026E-2</c:v>
                </c:pt>
                <c:pt idx="65">
                  <c:v>8.0250000000000044E-2</c:v>
                </c:pt>
                <c:pt idx="66">
                  <c:v>8.1100000000000033E-2</c:v>
                </c:pt>
                <c:pt idx="67">
                  <c:v>8.1950000000000037E-2</c:v>
                </c:pt>
                <c:pt idx="68">
                  <c:v>8.280000000000004E-2</c:v>
                </c:pt>
                <c:pt idx="69">
                  <c:v>8.365000000000003E-2</c:v>
                </c:pt>
                <c:pt idx="70">
                  <c:v>8.4500000000000047E-2</c:v>
                </c:pt>
                <c:pt idx="71">
                  <c:v>8.5350000000000037E-2</c:v>
                </c:pt>
                <c:pt idx="72">
                  <c:v>8.620000000000004E-2</c:v>
                </c:pt>
                <c:pt idx="73">
                  <c:v>8.7050000000000044E-2</c:v>
                </c:pt>
                <c:pt idx="74">
                  <c:v>8.7900000000000034E-2</c:v>
                </c:pt>
                <c:pt idx="75">
                  <c:v>8.8750000000000051E-2</c:v>
                </c:pt>
                <c:pt idx="76">
                  <c:v>8.9600000000000041E-2</c:v>
                </c:pt>
                <c:pt idx="77">
                  <c:v>9.0450000000000058E-2</c:v>
                </c:pt>
                <c:pt idx="78">
                  <c:v>9.1300000000000048E-2</c:v>
                </c:pt>
                <c:pt idx="79">
                  <c:v>9.2150000000000037E-2</c:v>
                </c:pt>
                <c:pt idx="80">
                  <c:v>9.3000000000000055E-2</c:v>
                </c:pt>
                <c:pt idx="81">
                  <c:v>9.3850000000000044E-2</c:v>
                </c:pt>
                <c:pt idx="82">
                  <c:v>9.4700000000000062E-2</c:v>
                </c:pt>
                <c:pt idx="83">
                  <c:v>9.5550000000000052E-2</c:v>
                </c:pt>
                <c:pt idx="84">
                  <c:v>9.6400000000000041E-2</c:v>
                </c:pt>
                <c:pt idx="85">
                  <c:v>9.7250000000000059E-2</c:v>
                </c:pt>
                <c:pt idx="86">
                  <c:v>9.8100000000000048E-2</c:v>
                </c:pt>
                <c:pt idx="87">
                  <c:v>9.8950000000000066E-2</c:v>
                </c:pt>
                <c:pt idx="88">
                  <c:v>9.9800000000000055E-2</c:v>
                </c:pt>
                <c:pt idx="89">
                  <c:v>0.10065000000000004</c:v>
                </c:pt>
                <c:pt idx="90">
                  <c:v>0.10150000000000006</c:v>
                </c:pt>
                <c:pt idx="91">
                  <c:v>0.10235000000000005</c:v>
                </c:pt>
                <c:pt idx="92">
                  <c:v>0.10320000000000007</c:v>
                </c:pt>
                <c:pt idx="93">
                  <c:v>0.10405000000000006</c:v>
                </c:pt>
                <c:pt idx="94">
                  <c:v>0.10490000000000005</c:v>
                </c:pt>
                <c:pt idx="95">
                  <c:v>0.10575000000000007</c:v>
                </c:pt>
                <c:pt idx="96">
                  <c:v>0.10660000000000006</c:v>
                </c:pt>
                <c:pt idx="97">
                  <c:v>0.10745000000000007</c:v>
                </c:pt>
                <c:pt idx="98">
                  <c:v>0.10830000000000006</c:v>
                </c:pt>
                <c:pt idx="99">
                  <c:v>0.10915000000000005</c:v>
                </c:pt>
                <c:pt idx="100">
                  <c:v>0.11000000000000007</c:v>
                </c:pt>
                <c:pt idx="101">
                  <c:v>0.11085000000000006</c:v>
                </c:pt>
                <c:pt idx="102">
                  <c:v>0.11170000000000008</c:v>
                </c:pt>
                <c:pt idx="103">
                  <c:v>0.11255000000000007</c:v>
                </c:pt>
                <c:pt idx="104">
                  <c:v>0.11340000000000006</c:v>
                </c:pt>
                <c:pt idx="105">
                  <c:v>0.11425000000000007</c:v>
                </c:pt>
                <c:pt idx="106">
                  <c:v>0.11510000000000006</c:v>
                </c:pt>
                <c:pt idx="107">
                  <c:v>0.11595000000000008</c:v>
                </c:pt>
                <c:pt idx="108">
                  <c:v>0.11680000000000007</c:v>
                </c:pt>
                <c:pt idx="109">
                  <c:v>0.11765000000000006</c:v>
                </c:pt>
                <c:pt idx="110">
                  <c:v>0.11850000000000008</c:v>
                </c:pt>
                <c:pt idx="111">
                  <c:v>0.11935000000000007</c:v>
                </c:pt>
                <c:pt idx="112">
                  <c:v>0.12020000000000008</c:v>
                </c:pt>
                <c:pt idx="113">
                  <c:v>0.12105000000000007</c:v>
                </c:pt>
                <c:pt idx="114">
                  <c:v>0.12190000000000006</c:v>
                </c:pt>
                <c:pt idx="115">
                  <c:v>0.12275000000000008</c:v>
                </c:pt>
                <c:pt idx="116">
                  <c:v>0.12360000000000007</c:v>
                </c:pt>
                <c:pt idx="117">
                  <c:v>0.12445000000000009</c:v>
                </c:pt>
                <c:pt idx="118">
                  <c:v>0.12530000000000008</c:v>
                </c:pt>
                <c:pt idx="119">
                  <c:v>0.12615000000000007</c:v>
                </c:pt>
                <c:pt idx="120">
                  <c:v>0.12700000000000009</c:v>
                </c:pt>
                <c:pt idx="121">
                  <c:v>0.12785000000000007</c:v>
                </c:pt>
                <c:pt idx="122">
                  <c:v>0.12870000000000009</c:v>
                </c:pt>
                <c:pt idx="123">
                  <c:v>0.12955000000000008</c:v>
                </c:pt>
                <c:pt idx="124">
                  <c:v>0.13040000000000007</c:v>
                </c:pt>
                <c:pt idx="125">
                  <c:v>0.13125000000000009</c:v>
                </c:pt>
                <c:pt idx="126">
                  <c:v>0.13210000000000008</c:v>
                </c:pt>
                <c:pt idx="127">
                  <c:v>0.1329500000000001</c:v>
                </c:pt>
                <c:pt idx="128">
                  <c:v>0.13380000000000009</c:v>
                </c:pt>
                <c:pt idx="129">
                  <c:v>0.13465000000000008</c:v>
                </c:pt>
                <c:pt idx="130">
                  <c:v>0.13550000000000009</c:v>
                </c:pt>
                <c:pt idx="131">
                  <c:v>0.13635000000000008</c:v>
                </c:pt>
                <c:pt idx="132">
                  <c:v>0.1372000000000001</c:v>
                </c:pt>
                <c:pt idx="133">
                  <c:v>0.13805000000000009</c:v>
                </c:pt>
                <c:pt idx="134">
                  <c:v>0.13890000000000008</c:v>
                </c:pt>
                <c:pt idx="135">
                  <c:v>0.1397500000000001</c:v>
                </c:pt>
                <c:pt idx="136">
                  <c:v>0.14060000000000009</c:v>
                </c:pt>
                <c:pt idx="137">
                  <c:v>0.1414500000000001</c:v>
                </c:pt>
                <c:pt idx="138">
                  <c:v>0.14230000000000009</c:v>
                </c:pt>
                <c:pt idx="139">
                  <c:v>0.14315000000000008</c:v>
                </c:pt>
                <c:pt idx="140">
                  <c:v>0.1440000000000001</c:v>
                </c:pt>
                <c:pt idx="141">
                  <c:v>0.14485000000000009</c:v>
                </c:pt>
                <c:pt idx="142">
                  <c:v>0.14570000000000011</c:v>
                </c:pt>
                <c:pt idx="143">
                  <c:v>0.1465500000000001</c:v>
                </c:pt>
                <c:pt idx="144">
                  <c:v>0.14740000000000009</c:v>
                </c:pt>
                <c:pt idx="145">
                  <c:v>0.1482500000000001</c:v>
                </c:pt>
                <c:pt idx="146">
                  <c:v>0.14910000000000009</c:v>
                </c:pt>
                <c:pt idx="147">
                  <c:v>0.14995000000000011</c:v>
                </c:pt>
                <c:pt idx="148">
                  <c:v>0.1508000000000001</c:v>
                </c:pt>
                <c:pt idx="149">
                  <c:v>0.15165000000000009</c:v>
                </c:pt>
                <c:pt idx="150">
                  <c:v>0.15250000000000011</c:v>
                </c:pt>
              </c:numCache>
            </c:numRef>
          </c:val>
          <c:smooth val="0"/>
          <c:extLst xmlns:c16r2="http://schemas.microsoft.com/office/drawing/2015/06/chart">
            <c:ext xmlns:c16="http://schemas.microsoft.com/office/drawing/2014/chart" uri="{C3380CC4-5D6E-409C-BE32-E72D297353CC}">
              <c16:uniqueId val="{00000000-D466-4A26-BC8E-787E812F4DD4}"/>
            </c:ext>
          </c:extLst>
        </c:ser>
        <c:ser>
          <c:idx val="1"/>
          <c:order val="1"/>
          <c:tx>
            <c:strRef>
              <c:f>'DEU 2.20R CAPM_ECAPM Alpha'!$D$7</c:f>
              <c:strCache>
                <c:ptCount val="1"/>
                <c:pt idx="0">
                  <c:v>ECAPM</c:v>
                </c:pt>
              </c:strCache>
            </c:strRef>
          </c:tx>
          <c:spPr>
            <a:ln w="19050" cap="rnd">
              <a:solidFill>
                <a:schemeClr val="tx1"/>
              </a:solidFill>
              <a:round/>
            </a:ln>
            <a:effectLst/>
          </c:spPr>
          <c:marker>
            <c:symbol val="none"/>
          </c:marker>
          <c:cat>
            <c:numRef>
              <c:f>'DEU 2.20R CAPM_ECAPM Alpha'!$B$8:$B$158</c:f>
              <c:numCache>
                <c:formatCode>0.00</c:formatCode>
                <c:ptCount val="15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numCache>
            </c:numRef>
          </c:cat>
          <c:val>
            <c:numRef>
              <c:f>'DEU 2.20R CAPM_ECAPM Alpha'!$D$8:$D$158</c:f>
              <c:numCache>
                <c:formatCode>0.00%</c:formatCode>
                <c:ptCount val="151"/>
                <c:pt idx="0">
                  <c:v>4.6249999999999999E-2</c:v>
                </c:pt>
                <c:pt idx="1">
                  <c:v>4.6887499999999999E-2</c:v>
                </c:pt>
                <c:pt idx="2">
                  <c:v>4.7524999999999998E-2</c:v>
                </c:pt>
                <c:pt idx="3">
                  <c:v>4.8162500000000004E-2</c:v>
                </c:pt>
                <c:pt idx="4">
                  <c:v>4.8800000000000003E-2</c:v>
                </c:pt>
                <c:pt idx="5">
                  <c:v>4.9437500000000002E-2</c:v>
                </c:pt>
                <c:pt idx="6">
                  <c:v>5.0075000000000008E-2</c:v>
                </c:pt>
                <c:pt idx="7">
                  <c:v>5.0712500000000008E-2</c:v>
                </c:pt>
                <c:pt idx="8">
                  <c:v>5.1350000000000007E-2</c:v>
                </c:pt>
                <c:pt idx="9">
                  <c:v>5.1987500000000006E-2</c:v>
                </c:pt>
                <c:pt idx="10">
                  <c:v>5.2625000000000005E-2</c:v>
                </c:pt>
                <c:pt idx="11">
                  <c:v>5.3262500000000004E-2</c:v>
                </c:pt>
                <c:pt idx="12">
                  <c:v>5.3900000000000003E-2</c:v>
                </c:pt>
                <c:pt idx="13">
                  <c:v>5.4537500000000003E-2</c:v>
                </c:pt>
                <c:pt idx="14">
                  <c:v>5.5175000000000002E-2</c:v>
                </c:pt>
                <c:pt idx="15">
                  <c:v>5.5812500000000001E-2</c:v>
                </c:pt>
                <c:pt idx="16">
                  <c:v>5.645E-2</c:v>
                </c:pt>
                <c:pt idx="17">
                  <c:v>5.7087499999999999E-2</c:v>
                </c:pt>
                <c:pt idx="18">
                  <c:v>5.7724999999999999E-2</c:v>
                </c:pt>
                <c:pt idx="19">
                  <c:v>5.8362500000000012E-2</c:v>
                </c:pt>
                <c:pt idx="20">
                  <c:v>5.9000000000000011E-2</c:v>
                </c:pt>
                <c:pt idx="21">
                  <c:v>5.963750000000001E-2</c:v>
                </c:pt>
                <c:pt idx="22">
                  <c:v>6.0275000000000009E-2</c:v>
                </c:pt>
                <c:pt idx="23">
                  <c:v>6.0912500000000008E-2</c:v>
                </c:pt>
                <c:pt idx="24">
                  <c:v>6.1550000000000007E-2</c:v>
                </c:pt>
                <c:pt idx="25">
                  <c:v>6.2187500000000007E-2</c:v>
                </c:pt>
                <c:pt idx="26">
                  <c:v>6.2825000000000006E-2</c:v>
                </c:pt>
                <c:pt idx="27">
                  <c:v>6.3462500000000005E-2</c:v>
                </c:pt>
                <c:pt idx="28">
                  <c:v>6.4100000000000018E-2</c:v>
                </c:pt>
                <c:pt idx="29">
                  <c:v>6.4737500000000017E-2</c:v>
                </c:pt>
                <c:pt idx="30">
                  <c:v>6.5375000000000016E-2</c:v>
                </c:pt>
                <c:pt idx="31">
                  <c:v>6.6012500000000016E-2</c:v>
                </c:pt>
                <c:pt idx="32">
                  <c:v>6.6650000000000015E-2</c:v>
                </c:pt>
                <c:pt idx="33">
                  <c:v>6.7287500000000014E-2</c:v>
                </c:pt>
                <c:pt idx="34">
                  <c:v>6.7925000000000013E-2</c:v>
                </c:pt>
                <c:pt idx="35">
                  <c:v>6.8562500000000012E-2</c:v>
                </c:pt>
                <c:pt idx="36">
                  <c:v>6.9200000000000012E-2</c:v>
                </c:pt>
                <c:pt idx="37">
                  <c:v>6.9837500000000025E-2</c:v>
                </c:pt>
                <c:pt idx="38">
                  <c:v>7.0475000000000024E-2</c:v>
                </c:pt>
                <c:pt idx="39">
                  <c:v>7.1112500000000023E-2</c:v>
                </c:pt>
                <c:pt idx="40">
                  <c:v>7.1750000000000022E-2</c:v>
                </c:pt>
                <c:pt idx="41">
                  <c:v>7.2387500000000021E-2</c:v>
                </c:pt>
                <c:pt idx="42">
                  <c:v>7.302500000000002E-2</c:v>
                </c:pt>
                <c:pt idx="43">
                  <c:v>7.366250000000002E-2</c:v>
                </c:pt>
                <c:pt idx="44">
                  <c:v>7.4300000000000019E-2</c:v>
                </c:pt>
                <c:pt idx="45">
                  <c:v>7.4937500000000018E-2</c:v>
                </c:pt>
                <c:pt idx="46">
                  <c:v>7.5575000000000017E-2</c:v>
                </c:pt>
                <c:pt idx="47">
                  <c:v>7.621250000000003E-2</c:v>
                </c:pt>
                <c:pt idx="48">
                  <c:v>7.6850000000000029E-2</c:v>
                </c:pt>
                <c:pt idx="49">
                  <c:v>7.7487500000000029E-2</c:v>
                </c:pt>
                <c:pt idx="50">
                  <c:v>7.8125000000000014E-2</c:v>
                </c:pt>
                <c:pt idx="51">
                  <c:v>7.8762500000000013E-2</c:v>
                </c:pt>
                <c:pt idx="52">
                  <c:v>7.9400000000000026E-2</c:v>
                </c:pt>
                <c:pt idx="53">
                  <c:v>8.0037500000000025E-2</c:v>
                </c:pt>
                <c:pt idx="54">
                  <c:v>8.0675000000000024E-2</c:v>
                </c:pt>
                <c:pt idx="55">
                  <c:v>8.1312500000000024E-2</c:v>
                </c:pt>
                <c:pt idx="56">
                  <c:v>8.1950000000000023E-2</c:v>
                </c:pt>
                <c:pt idx="57">
                  <c:v>8.2587500000000022E-2</c:v>
                </c:pt>
                <c:pt idx="58">
                  <c:v>8.3225000000000021E-2</c:v>
                </c:pt>
                <c:pt idx="59">
                  <c:v>8.386250000000002E-2</c:v>
                </c:pt>
                <c:pt idx="60">
                  <c:v>8.4500000000000033E-2</c:v>
                </c:pt>
                <c:pt idx="61">
                  <c:v>8.5137500000000033E-2</c:v>
                </c:pt>
                <c:pt idx="62">
                  <c:v>8.5775000000000032E-2</c:v>
                </c:pt>
                <c:pt idx="63">
                  <c:v>8.6412500000000031E-2</c:v>
                </c:pt>
                <c:pt idx="64">
                  <c:v>8.705000000000003E-2</c:v>
                </c:pt>
                <c:pt idx="65">
                  <c:v>8.7687500000000029E-2</c:v>
                </c:pt>
                <c:pt idx="66">
                  <c:v>8.8325000000000028E-2</c:v>
                </c:pt>
                <c:pt idx="67">
                  <c:v>8.8962500000000042E-2</c:v>
                </c:pt>
                <c:pt idx="68">
                  <c:v>8.9600000000000027E-2</c:v>
                </c:pt>
                <c:pt idx="69">
                  <c:v>9.023750000000004E-2</c:v>
                </c:pt>
                <c:pt idx="70">
                  <c:v>9.0875000000000039E-2</c:v>
                </c:pt>
                <c:pt idx="71">
                  <c:v>9.1512500000000038E-2</c:v>
                </c:pt>
                <c:pt idx="72">
                  <c:v>9.2150000000000024E-2</c:v>
                </c:pt>
                <c:pt idx="73">
                  <c:v>9.2787500000000037E-2</c:v>
                </c:pt>
                <c:pt idx="74">
                  <c:v>9.342500000000005E-2</c:v>
                </c:pt>
                <c:pt idx="75">
                  <c:v>9.4062500000000035E-2</c:v>
                </c:pt>
                <c:pt idx="76">
                  <c:v>9.4700000000000034E-2</c:v>
                </c:pt>
                <c:pt idx="77">
                  <c:v>9.5337500000000033E-2</c:v>
                </c:pt>
                <c:pt idx="78">
                  <c:v>9.5975000000000046E-2</c:v>
                </c:pt>
                <c:pt idx="79">
                  <c:v>9.6612500000000032E-2</c:v>
                </c:pt>
                <c:pt idx="80">
                  <c:v>9.7250000000000045E-2</c:v>
                </c:pt>
                <c:pt idx="81">
                  <c:v>9.7887500000000044E-2</c:v>
                </c:pt>
                <c:pt idx="82">
                  <c:v>9.8525000000000043E-2</c:v>
                </c:pt>
                <c:pt idx="83">
                  <c:v>9.9162500000000042E-2</c:v>
                </c:pt>
                <c:pt idx="84">
                  <c:v>9.9800000000000041E-2</c:v>
                </c:pt>
                <c:pt idx="85">
                  <c:v>0.10043750000000005</c:v>
                </c:pt>
                <c:pt idx="86">
                  <c:v>0.10107500000000004</c:v>
                </c:pt>
                <c:pt idx="87">
                  <c:v>0.10171250000000005</c:v>
                </c:pt>
                <c:pt idx="88">
                  <c:v>0.10235000000000004</c:v>
                </c:pt>
                <c:pt idx="89">
                  <c:v>0.10298750000000005</c:v>
                </c:pt>
                <c:pt idx="90">
                  <c:v>0.10362500000000005</c:v>
                </c:pt>
                <c:pt idx="91">
                  <c:v>0.10426250000000005</c:v>
                </c:pt>
                <c:pt idx="92">
                  <c:v>0.10490000000000003</c:v>
                </c:pt>
                <c:pt idx="93">
                  <c:v>0.10553750000000005</c:v>
                </c:pt>
                <c:pt idx="94">
                  <c:v>0.10617500000000006</c:v>
                </c:pt>
                <c:pt idx="95">
                  <c:v>0.10681250000000005</c:v>
                </c:pt>
                <c:pt idx="96">
                  <c:v>0.10745000000000005</c:v>
                </c:pt>
                <c:pt idx="97">
                  <c:v>0.10808750000000004</c:v>
                </c:pt>
                <c:pt idx="98">
                  <c:v>0.10872500000000006</c:v>
                </c:pt>
                <c:pt idx="99">
                  <c:v>0.10936250000000004</c:v>
                </c:pt>
                <c:pt idx="100">
                  <c:v>0.11000000000000006</c:v>
                </c:pt>
                <c:pt idx="101">
                  <c:v>0.11063750000000004</c:v>
                </c:pt>
                <c:pt idx="102">
                  <c:v>0.11127500000000005</c:v>
                </c:pt>
                <c:pt idx="103">
                  <c:v>0.11191250000000007</c:v>
                </c:pt>
                <c:pt idx="104">
                  <c:v>0.11255000000000005</c:v>
                </c:pt>
                <c:pt idx="105">
                  <c:v>0.11318750000000007</c:v>
                </c:pt>
                <c:pt idx="106">
                  <c:v>0.11382500000000005</c:v>
                </c:pt>
                <c:pt idx="107">
                  <c:v>0.11446250000000006</c:v>
                </c:pt>
                <c:pt idx="108">
                  <c:v>0.11510000000000005</c:v>
                </c:pt>
                <c:pt idx="109">
                  <c:v>0.11573750000000006</c:v>
                </c:pt>
                <c:pt idx="110">
                  <c:v>0.11637500000000008</c:v>
                </c:pt>
                <c:pt idx="111">
                  <c:v>0.11701250000000006</c:v>
                </c:pt>
                <c:pt idx="112">
                  <c:v>0.11765000000000005</c:v>
                </c:pt>
                <c:pt idx="113">
                  <c:v>0.11828750000000006</c:v>
                </c:pt>
                <c:pt idx="114">
                  <c:v>0.11892500000000007</c:v>
                </c:pt>
                <c:pt idx="115">
                  <c:v>0.11956250000000006</c:v>
                </c:pt>
                <c:pt idx="116">
                  <c:v>0.12020000000000007</c:v>
                </c:pt>
                <c:pt idx="117">
                  <c:v>0.12083750000000006</c:v>
                </c:pt>
                <c:pt idx="118">
                  <c:v>0.12147500000000007</c:v>
                </c:pt>
                <c:pt idx="119">
                  <c:v>0.12211250000000005</c:v>
                </c:pt>
                <c:pt idx="120">
                  <c:v>0.12275000000000007</c:v>
                </c:pt>
                <c:pt idx="121">
                  <c:v>0.12338750000000005</c:v>
                </c:pt>
                <c:pt idx="122">
                  <c:v>0.12402500000000007</c:v>
                </c:pt>
                <c:pt idx="123">
                  <c:v>0.12466250000000008</c:v>
                </c:pt>
                <c:pt idx="124">
                  <c:v>0.12530000000000005</c:v>
                </c:pt>
                <c:pt idx="125">
                  <c:v>0.12593750000000006</c:v>
                </c:pt>
                <c:pt idx="126">
                  <c:v>0.12657500000000005</c:v>
                </c:pt>
                <c:pt idx="127">
                  <c:v>0.12721250000000006</c:v>
                </c:pt>
                <c:pt idx="128">
                  <c:v>0.12785000000000005</c:v>
                </c:pt>
                <c:pt idx="129">
                  <c:v>0.12848750000000006</c:v>
                </c:pt>
                <c:pt idx="130">
                  <c:v>0.12912500000000007</c:v>
                </c:pt>
                <c:pt idx="131">
                  <c:v>0.12976250000000006</c:v>
                </c:pt>
                <c:pt idx="132">
                  <c:v>0.13040000000000004</c:v>
                </c:pt>
                <c:pt idx="133">
                  <c:v>0.13103750000000006</c:v>
                </c:pt>
                <c:pt idx="134">
                  <c:v>0.13167500000000007</c:v>
                </c:pt>
                <c:pt idx="135">
                  <c:v>0.13231250000000006</c:v>
                </c:pt>
                <c:pt idx="136">
                  <c:v>0.13295000000000007</c:v>
                </c:pt>
                <c:pt idx="137">
                  <c:v>0.13358750000000005</c:v>
                </c:pt>
                <c:pt idx="138">
                  <c:v>0.13422500000000007</c:v>
                </c:pt>
                <c:pt idx="139">
                  <c:v>0.13486250000000008</c:v>
                </c:pt>
                <c:pt idx="140">
                  <c:v>0.13550000000000006</c:v>
                </c:pt>
                <c:pt idx="141">
                  <c:v>0.13613750000000008</c:v>
                </c:pt>
                <c:pt idx="142">
                  <c:v>0.13677500000000006</c:v>
                </c:pt>
                <c:pt idx="143">
                  <c:v>0.13741250000000005</c:v>
                </c:pt>
                <c:pt idx="144">
                  <c:v>0.13805000000000006</c:v>
                </c:pt>
                <c:pt idx="145">
                  <c:v>0.13868750000000007</c:v>
                </c:pt>
                <c:pt idx="146">
                  <c:v>0.13932500000000006</c:v>
                </c:pt>
                <c:pt idx="147">
                  <c:v>0.13996250000000007</c:v>
                </c:pt>
                <c:pt idx="148">
                  <c:v>0.14060000000000006</c:v>
                </c:pt>
                <c:pt idx="149">
                  <c:v>0.14123750000000007</c:v>
                </c:pt>
                <c:pt idx="150">
                  <c:v>0.14187500000000008</c:v>
                </c:pt>
              </c:numCache>
            </c:numRef>
          </c:val>
          <c:smooth val="0"/>
          <c:extLst xmlns:c16r2="http://schemas.microsoft.com/office/drawing/2015/06/chart">
            <c:ext xmlns:c16="http://schemas.microsoft.com/office/drawing/2014/chart" uri="{C3380CC4-5D6E-409C-BE32-E72D297353CC}">
              <c16:uniqueId val="{00000001-D466-4A26-BC8E-787E812F4DD4}"/>
            </c:ext>
          </c:extLst>
        </c:ser>
        <c:ser>
          <c:idx val="2"/>
          <c:order val="2"/>
          <c:tx>
            <c:strRef>
              <c:f>'DEU 2.20R CAPM_ECAPM Alpha'!$I$7</c:f>
              <c:strCache>
                <c:ptCount val="1"/>
                <c:pt idx="0">
                  <c:v>Raw Beta ECAPM</c:v>
                </c:pt>
              </c:strCache>
            </c:strRef>
          </c:tx>
          <c:spPr>
            <a:ln w="19050" cap="rnd">
              <a:solidFill>
                <a:schemeClr val="tx1"/>
              </a:solidFill>
              <a:prstDash val="sysDot"/>
              <a:round/>
            </a:ln>
            <a:effectLst/>
          </c:spPr>
          <c:marker>
            <c:symbol val="none"/>
          </c:marker>
          <c:cat>
            <c:numRef>
              <c:f>'DEU 2.20R CAPM_ECAPM Alpha'!$B$8:$B$158</c:f>
              <c:numCache>
                <c:formatCode>0.00</c:formatCode>
                <c:ptCount val="15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numCache>
            </c:numRef>
          </c:cat>
          <c:val>
            <c:numRef>
              <c:f>'DEU 2.20R CAPM_ECAPM Alpha'!$I$8:$I$158</c:f>
              <c:numCache>
                <c:formatCode>0.00%</c:formatCode>
                <c:ptCount val="151"/>
                <c:pt idx="0">
                  <c:v>1.485074626865672E-2</c:v>
                </c:pt>
                <c:pt idx="1">
                  <c:v>1.5802238805970144E-2</c:v>
                </c:pt>
                <c:pt idx="2">
                  <c:v>1.6753731343283583E-2</c:v>
                </c:pt>
                <c:pt idx="3">
                  <c:v>1.7705223880597011E-2</c:v>
                </c:pt>
                <c:pt idx="4">
                  <c:v>1.8656716417910446E-2</c:v>
                </c:pt>
                <c:pt idx="5">
                  <c:v>1.9608208955223878E-2</c:v>
                </c:pt>
                <c:pt idx="6">
                  <c:v>2.0559701492537309E-2</c:v>
                </c:pt>
                <c:pt idx="7">
                  <c:v>2.1511194029850744E-2</c:v>
                </c:pt>
                <c:pt idx="8">
                  <c:v>2.2462686567164179E-2</c:v>
                </c:pt>
                <c:pt idx="9">
                  <c:v>2.3414179104477611E-2</c:v>
                </c:pt>
                <c:pt idx="10">
                  <c:v>2.4365671641791039E-2</c:v>
                </c:pt>
                <c:pt idx="11">
                  <c:v>2.5317164179104474E-2</c:v>
                </c:pt>
                <c:pt idx="12">
                  <c:v>2.6268656716417909E-2</c:v>
                </c:pt>
                <c:pt idx="13">
                  <c:v>2.7220149253731341E-2</c:v>
                </c:pt>
                <c:pt idx="14">
                  <c:v>2.8171641791044772E-2</c:v>
                </c:pt>
                <c:pt idx="15">
                  <c:v>2.9123134328358207E-2</c:v>
                </c:pt>
                <c:pt idx="16">
                  <c:v>3.0074626865671639E-2</c:v>
                </c:pt>
                <c:pt idx="17">
                  <c:v>3.1026119402985074E-2</c:v>
                </c:pt>
                <c:pt idx="18">
                  <c:v>3.1977611940298509E-2</c:v>
                </c:pt>
                <c:pt idx="19">
                  <c:v>3.2929104477611937E-2</c:v>
                </c:pt>
                <c:pt idx="20">
                  <c:v>3.3880597014925379E-2</c:v>
                </c:pt>
                <c:pt idx="21">
                  <c:v>3.4832089552238807E-2</c:v>
                </c:pt>
                <c:pt idx="22">
                  <c:v>3.5783582089552242E-2</c:v>
                </c:pt>
                <c:pt idx="23">
                  <c:v>3.6735074626865677E-2</c:v>
                </c:pt>
                <c:pt idx="24">
                  <c:v>3.7686567164179105E-2</c:v>
                </c:pt>
                <c:pt idx="25">
                  <c:v>3.863805970149254E-2</c:v>
                </c:pt>
                <c:pt idx="26">
                  <c:v>3.9589552238805975E-2</c:v>
                </c:pt>
                <c:pt idx="27">
                  <c:v>4.054104477611941E-2</c:v>
                </c:pt>
                <c:pt idx="28">
                  <c:v>4.1492537313432845E-2</c:v>
                </c:pt>
                <c:pt idx="29">
                  <c:v>4.2444029850746273E-2</c:v>
                </c:pt>
                <c:pt idx="30">
                  <c:v>4.3395522388059708E-2</c:v>
                </c:pt>
                <c:pt idx="31">
                  <c:v>4.4347014925373143E-2</c:v>
                </c:pt>
                <c:pt idx="32">
                  <c:v>4.5298507462686578E-2</c:v>
                </c:pt>
                <c:pt idx="33">
                  <c:v>4.6250000000000013E-2</c:v>
                </c:pt>
                <c:pt idx="34">
                  <c:v>4.7201492537313441E-2</c:v>
                </c:pt>
                <c:pt idx="35">
                  <c:v>4.8152985074626876E-2</c:v>
                </c:pt>
                <c:pt idx="36">
                  <c:v>4.9104477611940311E-2</c:v>
                </c:pt>
                <c:pt idx="37">
                  <c:v>5.0055970149253746E-2</c:v>
                </c:pt>
                <c:pt idx="38">
                  <c:v>5.1007462686567182E-2</c:v>
                </c:pt>
                <c:pt idx="39">
                  <c:v>5.195895522388061E-2</c:v>
                </c:pt>
                <c:pt idx="40">
                  <c:v>5.2910447761194045E-2</c:v>
                </c:pt>
                <c:pt idx="41">
                  <c:v>5.386194029850748E-2</c:v>
                </c:pt>
                <c:pt idx="42">
                  <c:v>5.4813432835820915E-2</c:v>
                </c:pt>
                <c:pt idx="43">
                  <c:v>5.576492537313435E-2</c:v>
                </c:pt>
                <c:pt idx="44">
                  <c:v>5.6716417910447778E-2</c:v>
                </c:pt>
                <c:pt idx="45">
                  <c:v>5.7667910447761213E-2</c:v>
                </c:pt>
                <c:pt idx="46">
                  <c:v>5.8619402985074648E-2</c:v>
                </c:pt>
                <c:pt idx="47">
                  <c:v>5.9570895522388083E-2</c:v>
                </c:pt>
                <c:pt idx="48">
                  <c:v>6.0522388059701518E-2</c:v>
                </c:pt>
                <c:pt idx="49">
                  <c:v>6.1473880597014946E-2</c:v>
                </c:pt>
                <c:pt idx="50">
                  <c:v>6.2425373134328374E-2</c:v>
                </c:pt>
                <c:pt idx="51">
                  <c:v>6.3376865671641816E-2</c:v>
                </c:pt>
                <c:pt idx="52">
                  <c:v>6.4328358208955244E-2</c:v>
                </c:pt>
                <c:pt idx="53">
                  <c:v>6.5279850746268686E-2</c:v>
                </c:pt>
                <c:pt idx="54">
                  <c:v>6.6231343283582114E-2</c:v>
                </c:pt>
                <c:pt idx="55">
                  <c:v>6.7182835820895542E-2</c:v>
                </c:pt>
                <c:pt idx="56">
                  <c:v>6.8134328358208984E-2</c:v>
                </c:pt>
                <c:pt idx="57">
                  <c:v>6.9085820895522412E-2</c:v>
                </c:pt>
                <c:pt idx="58">
                  <c:v>7.003731343283584E-2</c:v>
                </c:pt>
                <c:pt idx="59">
                  <c:v>7.0988805970149282E-2</c:v>
                </c:pt>
                <c:pt idx="60">
                  <c:v>7.194029850746271E-2</c:v>
                </c:pt>
                <c:pt idx="61">
                  <c:v>7.2891791044776139E-2</c:v>
                </c:pt>
                <c:pt idx="62">
                  <c:v>7.3843283582089581E-2</c:v>
                </c:pt>
                <c:pt idx="63">
                  <c:v>7.4794776119403023E-2</c:v>
                </c:pt>
                <c:pt idx="64">
                  <c:v>7.5746268656716451E-2</c:v>
                </c:pt>
                <c:pt idx="65">
                  <c:v>7.6697761194029879E-2</c:v>
                </c:pt>
                <c:pt idx="66">
                  <c:v>7.7649253731343321E-2</c:v>
                </c:pt>
                <c:pt idx="67">
                  <c:v>7.8600746268656749E-2</c:v>
                </c:pt>
                <c:pt idx="68">
                  <c:v>7.9552238805970177E-2</c:v>
                </c:pt>
                <c:pt idx="69">
                  <c:v>8.0503731343283619E-2</c:v>
                </c:pt>
                <c:pt idx="70">
                  <c:v>8.1455223880597061E-2</c:v>
                </c:pt>
                <c:pt idx="71">
                  <c:v>8.2406716417910489E-2</c:v>
                </c:pt>
                <c:pt idx="72">
                  <c:v>8.3358208955223917E-2</c:v>
                </c:pt>
                <c:pt idx="73">
                  <c:v>8.4309701492537359E-2</c:v>
                </c:pt>
                <c:pt idx="74">
                  <c:v>8.5261194029850787E-2</c:v>
                </c:pt>
                <c:pt idx="75">
                  <c:v>8.6212686567164215E-2</c:v>
                </c:pt>
                <c:pt idx="76">
                  <c:v>8.7164179104477657E-2</c:v>
                </c:pt>
                <c:pt idx="77">
                  <c:v>8.8115671641791099E-2</c:v>
                </c:pt>
                <c:pt idx="78">
                  <c:v>8.9067164179104513E-2</c:v>
                </c:pt>
                <c:pt idx="79">
                  <c:v>9.0018656716417955E-2</c:v>
                </c:pt>
                <c:pt idx="80">
                  <c:v>9.0970149253731397E-2</c:v>
                </c:pt>
                <c:pt idx="81">
                  <c:v>9.1921641791044811E-2</c:v>
                </c:pt>
                <c:pt idx="82">
                  <c:v>9.2873134328358253E-2</c:v>
                </c:pt>
                <c:pt idx="83">
                  <c:v>9.3824626865671681E-2</c:v>
                </c:pt>
                <c:pt idx="84">
                  <c:v>9.4776119402985123E-2</c:v>
                </c:pt>
                <c:pt idx="85">
                  <c:v>9.5727611940298551E-2</c:v>
                </c:pt>
                <c:pt idx="86">
                  <c:v>9.667910447761198E-2</c:v>
                </c:pt>
                <c:pt idx="87">
                  <c:v>9.7630597014925422E-2</c:v>
                </c:pt>
                <c:pt idx="88">
                  <c:v>9.858208955223885E-2</c:v>
                </c:pt>
                <c:pt idx="89">
                  <c:v>9.9533582089552292E-2</c:v>
                </c:pt>
                <c:pt idx="90">
                  <c:v>0.10048507462686572</c:v>
                </c:pt>
                <c:pt idx="91">
                  <c:v>0.10143656716417915</c:v>
                </c:pt>
                <c:pt idx="92">
                  <c:v>0.10238805970149259</c:v>
                </c:pt>
                <c:pt idx="93">
                  <c:v>0.10333955223880602</c:v>
                </c:pt>
                <c:pt idx="94">
                  <c:v>0.10429104477611946</c:v>
                </c:pt>
                <c:pt idx="95">
                  <c:v>0.10524253731343289</c:v>
                </c:pt>
                <c:pt idx="96">
                  <c:v>0.10619402985074633</c:v>
                </c:pt>
                <c:pt idx="97">
                  <c:v>0.10714552238805974</c:v>
                </c:pt>
                <c:pt idx="98">
                  <c:v>0.10809701492537319</c:v>
                </c:pt>
                <c:pt idx="99">
                  <c:v>0.10904850746268663</c:v>
                </c:pt>
                <c:pt idx="100">
                  <c:v>0.11000000000000006</c:v>
                </c:pt>
                <c:pt idx="101">
                  <c:v>0.1109514925373135</c:v>
                </c:pt>
                <c:pt idx="102">
                  <c:v>0.11190298507462693</c:v>
                </c:pt>
                <c:pt idx="103">
                  <c:v>0.11285447761194035</c:v>
                </c:pt>
                <c:pt idx="104">
                  <c:v>0.1138059701492538</c:v>
                </c:pt>
                <c:pt idx="105">
                  <c:v>0.11475746268656722</c:v>
                </c:pt>
                <c:pt idx="106">
                  <c:v>0.11570895522388065</c:v>
                </c:pt>
                <c:pt idx="107">
                  <c:v>0.11666044776119409</c:v>
                </c:pt>
                <c:pt idx="108">
                  <c:v>0.11761194029850754</c:v>
                </c:pt>
                <c:pt idx="109">
                  <c:v>0.11856343283582095</c:v>
                </c:pt>
                <c:pt idx="110">
                  <c:v>0.11951492537313439</c:v>
                </c:pt>
                <c:pt idx="111">
                  <c:v>0.12046641791044783</c:v>
                </c:pt>
                <c:pt idx="112">
                  <c:v>0.12141791044776125</c:v>
                </c:pt>
                <c:pt idx="113">
                  <c:v>0.12236940298507469</c:v>
                </c:pt>
                <c:pt idx="114">
                  <c:v>0.12332089552238813</c:v>
                </c:pt>
                <c:pt idx="115">
                  <c:v>0.12427238805970157</c:v>
                </c:pt>
                <c:pt idx="116">
                  <c:v>0.125223880597015</c:v>
                </c:pt>
                <c:pt idx="117">
                  <c:v>0.12617537313432842</c:v>
                </c:pt>
                <c:pt idx="118">
                  <c:v>0.12712686567164186</c:v>
                </c:pt>
                <c:pt idx="119">
                  <c:v>0.1280783582089553</c:v>
                </c:pt>
                <c:pt idx="120">
                  <c:v>0.12902985074626871</c:v>
                </c:pt>
                <c:pt idx="121">
                  <c:v>0.12998134328358218</c:v>
                </c:pt>
                <c:pt idx="122">
                  <c:v>0.1309328358208956</c:v>
                </c:pt>
                <c:pt idx="123">
                  <c:v>0.13188432835820904</c:v>
                </c:pt>
                <c:pt idx="124">
                  <c:v>0.13283582089552246</c:v>
                </c:pt>
                <c:pt idx="125">
                  <c:v>0.1337873134328359</c:v>
                </c:pt>
                <c:pt idx="126">
                  <c:v>0.13473880597014931</c:v>
                </c:pt>
                <c:pt idx="127">
                  <c:v>0.13569029850746278</c:v>
                </c:pt>
                <c:pt idx="128">
                  <c:v>0.1366417910447762</c:v>
                </c:pt>
                <c:pt idx="129">
                  <c:v>0.13759328358208964</c:v>
                </c:pt>
                <c:pt idx="130">
                  <c:v>0.13854477611940308</c:v>
                </c:pt>
                <c:pt idx="131">
                  <c:v>0.13949626865671649</c:v>
                </c:pt>
                <c:pt idx="132">
                  <c:v>0.14044776119402991</c:v>
                </c:pt>
                <c:pt idx="133">
                  <c:v>0.14139925373134338</c:v>
                </c:pt>
                <c:pt idx="134">
                  <c:v>0.14235074626865679</c:v>
                </c:pt>
                <c:pt idx="135">
                  <c:v>0.14330223880597026</c:v>
                </c:pt>
                <c:pt idx="136">
                  <c:v>0.14425373134328368</c:v>
                </c:pt>
                <c:pt idx="137">
                  <c:v>0.14520522388059709</c:v>
                </c:pt>
                <c:pt idx="138">
                  <c:v>0.14615671641791053</c:v>
                </c:pt>
                <c:pt idx="139">
                  <c:v>0.14710820895522397</c:v>
                </c:pt>
                <c:pt idx="140">
                  <c:v>0.14805970149253739</c:v>
                </c:pt>
                <c:pt idx="141">
                  <c:v>0.14901119402985086</c:v>
                </c:pt>
                <c:pt idx="142">
                  <c:v>0.14996268656716427</c:v>
                </c:pt>
                <c:pt idx="143">
                  <c:v>0.15091417910447771</c:v>
                </c:pt>
                <c:pt idx="144">
                  <c:v>0.15186567164179116</c:v>
                </c:pt>
                <c:pt idx="145">
                  <c:v>0.15281716417910457</c:v>
                </c:pt>
                <c:pt idx="146">
                  <c:v>0.15376865671641798</c:v>
                </c:pt>
                <c:pt idx="147">
                  <c:v>0.15472014925373145</c:v>
                </c:pt>
                <c:pt idx="148">
                  <c:v>0.15567164179104487</c:v>
                </c:pt>
                <c:pt idx="149">
                  <c:v>0.15662313432835828</c:v>
                </c:pt>
                <c:pt idx="150">
                  <c:v>0.15757462686567175</c:v>
                </c:pt>
              </c:numCache>
            </c:numRef>
          </c:val>
          <c:smooth val="0"/>
          <c:extLst xmlns:c16r2="http://schemas.microsoft.com/office/drawing/2015/06/chart">
            <c:ext xmlns:c16="http://schemas.microsoft.com/office/drawing/2014/chart" uri="{C3380CC4-5D6E-409C-BE32-E72D297353CC}">
              <c16:uniqueId val="{00000002-D466-4A26-BC8E-787E812F4DD4}"/>
            </c:ext>
          </c:extLst>
        </c:ser>
        <c:dLbls>
          <c:showLegendKey val="0"/>
          <c:showVal val="0"/>
          <c:showCatName val="0"/>
          <c:showSerName val="0"/>
          <c:showPercent val="0"/>
          <c:showBubbleSize val="0"/>
        </c:dLbls>
        <c:smooth val="0"/>
        <c:axId val="477196720"/>
        <c:axId val="477196328"/>
      </c:lineChart>
      <c:catAx>
        <c:axId val="47719672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Adjusted Beta Coefficient</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77196328"/>
        <c:crosses val="autoZero"/>
        <c:auto val="1"/>
        <c:lblAlgn val="ctr"/>
        <c:lblOffset val="100"/>
        <c:tickLblSkip val="10"/>
        <c:tickMarkSkip val="10"/>
        <c:noMultiLvlLbl val="0"/>
      </c:catAx>
      <c:valAx>
        <c:axId val="477196328"/>
        <c:scaling>
          <c:orientation val="minMax"/>
          <c:max val="0.2"/>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Expected Return (ROE)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7719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75" b="0" i="0" u="none" strike="noStrike" baseline="0">
                      <a:solidFill>
                        <a:srgbClr val="000000"/>
                      </a:solidFill>
                      <a:latin typeface="Arial"/>
                      <a:ea typeface="Arial"/>
                      <a:cs typeface="Arial"/>
                    </a:defRPr>
                  </a:pPr>
                  <a:endParaRPr lang="en-US"/>
                </a:p>
              </c:txPr>
            </c:trendlineLbl>
          </c:trendline>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1-5AB6-4DE7-B0D8-9524E80FCB21}"/>
            </c:ext>
          </c:extLst>
        </c:ser>
        <c:dLbls>
          <c:showLegendKey val="0"/>
          <c:showVal val="0"/>
          <c:showCatName val="0"/>
          <c:showSerName val="0"/>
          <c:showPercent val="0"/>
          <c:showBubbleSize val="0"/>
        </c:dLbls>
        <c:axId val="477192408"/>
        <c:axId val="477194760"/>
      </c:scatterChart>
      <c:valAx>
        <c:axId val="477192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477194760"/>
        <c:crosses val="autoZero"/>
        <c:crossBetween val="midCat"/>
      </c:valAx>
      <c:valAx>
        <c:axId val="477194760"/>
        <c:scaling>
          <c:orientation val="minMax"/>
          <c:min val="0.05"/>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47719240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1399" r="0.75000000000001399"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145676</xdr:colOff>
      <xdr:row>27</xdr:row>
      <xdr:rowOff>76200</xdr:rowOff>
    </xdr:to>
    <xdr:graphicFrame macro="">
      <xdr:nvGraphicFramePr>
        <xdr:cNvPr id="2" name="Chart 1">
          <a:extLst>
            <a:ext uri="{FF2B5EF4-FFF2-40B4-BE49-F238E27FC236}">
              <a16:creationId xmlns:a16="http://schemas.microsoft.com/office/drawing/2014/main" xmlns="" id="{9EE3BD94-9A28-46C7-9521-E537734D2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11</xdr:row>
      <xdr:rowOff>0</xdr:rowOff>
    </xdr:from>
    <xdr:to>
      <xdr:col>16</xdr:col>
      <xdr:colOff>421821</xdr:colOff>
      <xdr:row>27</xdr:row>
      <xdr:rowOff>130629</xdr:rowOff>
    </xdr:to>
    <xdr:graphicFrame macro="">
      <xdr:nvGraphicFramePr>
        <xdr:cNvPr id="2" name="Chart 1">
          <a:extLst>
            <a:ext uri="{FF2B5EF4-FFF2-40B4-BE49-F238E27FC236}">
              <a16:creationId xmlns:a16="http://schemas.microsoft.com/office/drawing/2014/main" xmlns="" id="{46D1D72A-1491-4E95-A630-608CD968A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32</xdr:row>
      <xdr:rowOff>0</xdr:rowOff>
    </xdr:from>
    <xdr:to>
      <xdr:col>16</xdr:col>
      <xdr:colOff>421821</xdr:colOff>
      <xdr:row>48</xdr:row>
      <xdr:rowOff>130629</xdr:rowOff>
    </xdr:to>
    <xdr:graphicFrame macro="">
      <xdr:nvGraphicFramePr>
        <xdr:cNvPr id="3" name="Chart 2">
          <a:extLst>
            <a:ext uri="{FF2B5EF4-FFF2-40B4-BE49-F238E27FC236}">
              <a16:creationId xmlns:a16="http://schemas.microsoft.com/office/drawing/2014/main" xmlns="" id="{23C152B6-7225-4125-B22E-7C7CE5919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1364956</xdr:colOff>
      <xdr:row>3</xdr:row>
      <xdr:rowOff>54148</xdr:rowOff>
    </xdr:from>
    <xdr:to>
      <xdr:col>8</xdr:col>
      <xdr:colOff>602956</xdr:colOff>
      <xdr:row>20</xdr:row>
      <xdr:rowOff>130348</xdr:rowOff>
    </xdr:to>
    <xdr:graphicFrame macro="">
      <xdr:nvGraphicFramePr>
        <xdr:cNvPr id="2" name="Chart 1">
          <a:extLst>
            <a:ext uri="{FF2B5EF4-FFF2-40B4-BE49-F238E27FC236}">
              <a16:creationId xmlns:a16="http://schemas.microsoft.com/office/drawing/2014/main" xmlns="" id="{4CC54BC0-7E37-4C3C-8BB7-C8E429192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363243</xdr:colOff>
      <xdr:row>8</xdr:row>
      <xdr:rowOff>61172</xdr:rowOff>
    </xdr:from>
    <xdr:to>
      <xdr:col>18</xdr:col>
      <xdr:colOff>94302</xdr:colOff>
      <xdr:row>25</xdr:row>
      <xdr:rowOff>137372</xdr:rowOff>
    </xdr:to>
    <xdr:grpSp>
      <xdr:nvGrpSpPr>
        <xdr:cNvPr id="2" name="Group 1">
          <a:extLst>
            <a:ext uri="{FF2B5EF4-FFF2-40B4-BE49-F238E27FC236}">
              <a16:creationId xmlns:a16="http://schemas.microsoft.com/office/drawing/2014/main" xmlns="" id="{A7199E0A-B587-489D-A6A7-695CB01591C2}"/>
            </a:ext>
          </a:extLst>
        </xdr:cNvPr>
        <xdr:cNvGrpSpPr/>
      </xdr:nvGrpSpPr>
      <xdr:grpSpPr>
        <a:xfrm>
          <a:off x="7208543" y="1547072"/>
          <a:ext cx="4607859" cy="2870200"/>
          <a:chOff x="7781472" y="1562526"/>
          <a:chExt cx="4665360" cy="2897344"/>
        </a:xfrm>
      </xdr:grpSpPr>
      <xdr:graphicFrame macro="">
        <xdr:nvGraphicFramePr>
          <xdr:cNvPr id="3" name="Chart 2">
            <a:extLst>
              <a:ext uri="{FF2B5EF4-FFF2-40B4-BE49-F238E27FC236}">
                <a16:creationId xmlns:a16="http://schemas.microsoft.com/office/drawing/2014/main" xmlns="" id="{209B8BA2-5321-4DD4-BBA0-3811BE162526}"/>
              </a:ext>
            </a:extLst>
          </xdr:cNvPr>
          <xdr:cNvGraphicFramePr/>
        </xdr:nvGraphicFramePr>
        <xdr:xfrm>
          <a:off x="7781472" y="1562526"/>
          <a:ext cx="4665360" cy="289734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xmlns="" id="{59722881-CA69-4182-B573-5FBB62B59A21}"/>
              </a:ext>
            </a:extLst>
          </xdr:cNvPr>
          <xdr:cNvCxnSpPr/>
        </xdr:nvCxnSpPr>
        <xdr:spPr>
          <a:xfrm flipV="1">
            <a:off x="10959019" y="2478788"/>
            <a:ext cx="16038" cy="118893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xmlns="" id="{E257C4A6-EE06-4E1E-93E9-FE64D2279C61}"/>
              </a:ext>
            </a:extLst>
          </xdr:cNvPr>
          <xdr:cNvSpPr txBox="1"/>
        </xdr:nvSpPr>
        <xdr:spPr>
          <a:xfrm>
            <a:off x="9363191" y="3065458"/>
            <a:ext cx="1335886" cy="331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700"/>
              <a:t>CAPM Under-Estimates</a:t>
            </a:r>
          </a:p>
          <a:p>
            <a:pPr algn="ctr"/>
            <a:r>
              <a:rPr lang="en-US" sz="700"/>
              <a:t>Cost of Equity</a:t>
            </a:r>
          </a:p>
        </xdr:txBody>
      </xdr:sp>
      <xdr:sp macro="" textlink="">
        <xdr:nvSpPr>
          <xdr:cNvPr id="6" name="TextBox 5">
            <a:extLst>
              <a:ext uri="{FF2B5EF4-FFF2-40B4-BE49-F238E27FC236}">
                <a16:creationId xmlns:a16="http://schemas.microsoft.com/office/drawing/2014/main" xmlns="" id="{2FBCA5DB-D87E-4258-9086-4B2A47C99618}"/>
              </a:ext>
            </a:extLst>
          </xdr:cNvPr>
          <xdr:cNvSpPr txBox="1"/>
        </xdr:nvSpPr>
        <xdr:spPr>
          <a:xfrm>
            <a:off x="11085620" y="2586111"/>
            <a:ext cx="1326361" cy="361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700"/>
              <a:t>CAPM Over-Estimates</a:t>
            </a:r>
          </a:p>
          <a:p>
            <a:pPr algn="ctr"/>
            <a:r>
              <a:rPr lang="en-US" sz="700"/>
              <a:t> Cost of Equity</a:t>
            </a:r>
          </a:p>
        </xdr:txBody>
      </xdr:sp>
    </xdr:grpSp>
    <xdr:clientData/>
  </xdr:twoCellAnchor>
  <xdr:twoCellAnchor>
    <xdr:from>
      <xdr:col>10</xdr:col>
      <xdr:colOff>397922</xdr:colOff>
      <xdr:row>27</xdr:row>
      <xdr:rowOff>136376</xdr:rowOff>
    </xdr:from>
    <xdr:to>
      <xdr:col>18</xdr:col>
      <xdr:colOff>128981</xdr:colOff>
      <xdr:row>45</xdr:row>
      <xdr:rowOff>55694</xdr:rowOff>
    </xdr:to>
    <xdr:grpSp>
      <xdr:nvGrpSpPr>
        <xdr:cNvPr id="7" name="Group 6">
          <a:extLst>
            <a:ext uri="{FF2B5EF4-FFF2-40B4-BE49-F238E27FC236}">
              <a16:creationId xmlns:a16="http://schemas.microsoft.com/office/drawing/2014/main" xmlns="" id="{BB0EB3F4-FDA7-4BF3-9B15-F6D7F50764DA}"/>
            </a:ext>
          </a:extLst>
        </xdr:cNvPr>
        <xdr:cNvGrpSpPr/>
      </xdr:nvGrpSpPr>
      <xdr:grpSpPr>
        <a:xfrm>
          <a:off x="7243222" y="4746476"/>
          <a:ext cx="4607859" cy="2891118"/>
          <a:chOff x="6821576" y="1402058"/>
          <a:chExt cx="4665360" cy="2922494"/>
        </a:xfrm>
      </xdr:grpSpPr>
      <xdr:graphicFrame macro="">
        <xdr:nvGraphicFramePr>
          <xdr:cNvPr id="8" name="Chart 7">
            <a:extLst>
              <a:ext uri="{FF2B5EF4-FFF2-40B4-BE49-F238E27FC236}">
                <a16:creationId xmlns:a16="http://schemas.microsoft.com/office/drawing/2014/main" xmlns="" id="{0977F9BE-1332-444B-A4D4-8D190B52AE17}"/>
              </a:ext>
            </a:extLst>
          </xdr:cNvPr>
          <xdr:cNvGraphicFramePr/>
        </xdr:nvGraphicFramePr>
        <xdr:xfrm>
          <a:off x="6821576" y="1402058"/>
          <a:ext cx="4665360" cy="292249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Straight Connector 8">
            <a:extLst>
              <a:ext uri="{FF2B5EF4-FFF2-40B4-BE49-F238E27FC236}">
                <a16:creationId xmlns:a16="http://schemas.microsoft.com/office/drawing/2014/main" xmlns="" id="{DC7CF404-E214-46F3-855D-E3501F142F20}"/>
              </a:ext>
            </a:extLst>
          </xdr:cNvPr>
          <xdr:cNvCxnSpPr/>
        </xdr:nvCxnSpPr>
        <xdr:spPr>
          <a:xfrm flipV="1">
            <a:off x="9991108" y="2432481"/>
            <a:ext cx="13048" cy="1069062"/>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582819</xdr:colOff>
      <xdr:row>34</xdr:row>
      <xdr:rowOff>41127</xdr:rowOff>
    </xdr:from>
    <xdr:to>
      <xdr:col>17</xdr:col>
      <xdr:colOff>565013</xdr:colOff>
      <xdr:row>36</xdr:row>
      <xdr:rowOff>65781</xdr:rowOff>
    </xdr:to>
    <xdr:sp macro="" textlink="">
      <xdr:nvSpPr>
        <xdr:cNvPr id="10" name="TextBox 9">
          <a:extLst>
            <a:ext uri="{FF2B5EF4-FFF2-40B4-BE49-F238E27FC236}">
              <a16:creationId xmlns:a16="http://schemas.microsoft.com/office/drawing/2014/main" xmlns="" id="{BE925F0D-0079-441D-9F0D-B74AFE3C8F76}"/>
            </a:ext>
          </a:extLst>
        </xdr:cNvPr>
        <xdr:cNvSpPr txBox="1"/>
      </xdr:nvSpPr>
      <xdr:spPr>
        <a:xfrm>
          <a:off x="10443995" y="5543215"/>
          <a:ext cx="1192430" cy="338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700"/>
            <a:t>CAPM Over-Estimates</a:t>
          </a:r>
        </a:p>
        <a:p>
          <a:pPr algn="ctr"/>
          <a:r>
            <a:rPr lang="en-US" sz="700"/>
            <a:t> Cost of Equity</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0.38785</cdr:x>
      <cdr:y>0.5166</cdr:y>
    </cdr:from>
    <cdr:to>
      <cdr:x>0.67419</cdr:x>
      <cdr:y>0.63122</cdr:y>
    </cdr:to>
    <cdr:sp macro="" textlink="">
      <cdr:nvSpPr>
        <cdr:cNvPr id="2" name="TextBox 4">
          <a:extLst xmlns:a="http://schemas.openxmlformats.org/drawingml/2006/main">
            <a:ext uri="{FF2B5EF4-FFF2-40B4-BE49-F238E27FC236}">
              <a16:creationId xmlns:a16="http://schemas.microsoft.com/office/drawing/2014/main" xmlns="" id="{D40041AF-9919-465B-953C-1328E1467163}"/>
            </a:ext>
          </a:extLst>
        </cdr:cNvPr>
        <cdr:cNvSpPr txBox="1"/>
      </cdr:nvSpPr>
      <cdr:spPr>
        <a:xfrm xmlns:a="http://schemas.openxmlformats.org/drawingml/2006/main">
          <a:off x="1773237" y="1416050"/>
          <a:ext cx="1309153" cy="314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700"/>
            <a:t>CAPM Under-Estimates</a:t>
          </a:r>
        </a:p>
        <a:p xmlns:a="http://schemas.openxmlformats.org/drawingml/2006/main">
          <a:pPr algn="ctr"/>
          <a:r>
            <a:rPr lang="en-US" sz="700"/>
            <a:t>Cost of Equity</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41</xdr:row>
      <xdr:rowOff>0</xdr:rowOff>
    </xdr:from>
    <xdr:to>
      <xdr:col>6</xdr:col>
      <xdr:colOff>523875</xdr:colOff>
      <xdr:row>41</xdr:row>
      <xdr:rowOff>0</xdr:rowOff>
    </xdr:to>
    <xdr:graphicFrame macro="">
      <xdr:nvGraphicFramePr>
        <xdr:cNvPr id="2" name="Chart 1">
          <a:extLst>
            <a:ext uri="{FF2B5EF4-FFF2-40B4-BE49-F238E27FC236}">
              <a16:creationId xmlns:a16="http://schemas.microsoft.com/office/drawing/2014/main" xmlns="" id="{C2498CE7-4F4B-43A3-8C34-D2FEA72F2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S\ANNLRPTS\WY\98\GA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yanKucan\Box%20Sync\Projects%20-%20Sussex\16.1246%20Dominion%20NC%20ROE\Rebuttal%20Testimony\Supporting%20Analyses\forward%20interpolated%20yield%20curv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S\Annual%20Rpts\WY\2000\G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BOld\Library\Mobile%20Documents\com~apple~CloudDocs\Green%20Mountain%20Power%202017%20Rate%20Case\Baudino%20Work%20Papers%20and%20Exhibits\192.168.1.15\ceadata\FINANC\AFUDC\AFUDC%202002\AFUDC2002%20Forecast%20All%20Cos%20Act.%20thru%20M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RyanKucan\AppData\Local\Microsoft\Windows\INetCache\Content.Outlook\J3RSQ4CQ\Atmos%20Schedu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combswr\AppData\Local\Microsoft\Windows\Temporary%20Internet%20Files\Content.Outlook\PPC0MUZ5\Okla%20COS%20Model%20TYE%2012-31-2010%20(FIL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kaushansky\AppData\Local\Box\Box%20Edit\Documents\J1zumH6dmkaBzd+MNQIbug==\TEMPLATE\Testimony%20Templates\Econ.%20data%20&amp;%20graphs\Testimony%20draft%20to%20be%20updated\historical.Graphs-testimony%20ready-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LATE\Testimony%20Templates\Econ.%20data%20&amp;%20graphs\Testimony%20draft%20to%20be%20updated\historical.Graphs-testimony%20ready-revi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kaushansky\Box%20Sync\Projects%20-%20ScottMadden\TNMP%20ROE%20Testimony\Direct%20Testimony\Supporting%20Analysis\Payout%20Ratio%20Data%20via%20Bloomber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nelson\Box%20Sync\Projects%20-%20ScottMadden\357-002%20OtterTail%20Power%20ND%20ROE%20Testimony\Rebuttal%20Testimony\Supporting%20Analyses\Rothschild%20analyses%20(JDK%20Audi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tmou\Box\Projects%20-%20ScottMadden\767-068%20SPS%20TX%202017%20ROE%20Testimony\Rebuttal\Workpapers\Hevert%20SPS%20Rebuttal%20Confidential%20Workpap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as\MGE\MGE%20GR-2006-0422\Schedules\Direct\Atmos%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Profiles\kms7245\Local%20Settings\Temporary%20Internet%20Files\OLK8D\Cost%20of%20Capital%20estimated%2012-31-03%20Preliminary%20(1-2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D\MTGAS\2014%20Case\2014%20RateDesignM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PGA\2002\May%20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jperkins\Library\Containers\com.apple.mail\Data\Library\Mail%20Downloads\7FB16D56-7834-4E9D-9850-B0121F619E0E\May%20Fi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jlm8149\Local%20Settings\Temporary%20Internet%20Files\OLK5C\Cost%20of%20Capital%20estimated%2012-31-04%20(1-2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94E3\BASER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ejperkins\Library\Containers\com.apple.mail\Data\Library\Mail%20Downloads\7FB16D56-7834-4E9D-9850-B0121F619E0E\BASEREV.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 Info."/>
      <sheetName val="Gen.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_curve"/>
      <sheetName val="FRWD VS INTERP"/>
      <sheetName val="Chart X Fwd vs Spot 27 year"/>
    </sheetNames>
    <sheetDataSet>
      <sheetData sheetId="0"/>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fo."/>
      <sheetName val="Co.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Paper"/>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Dat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SCH K-1"/>
      <sheetName val="FUNCTIONS"/>
      <sheetName val="UNBUNDLED"/>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SUB &amp; CCT LOADS (S&amp;CL)"/>
      <sheetName val="1CP A&amp;E (CAP1SY)"/>
      <sheetName val="12CP-4CP (CAP3SY)"/>
      <sheetName val="12CP-4CP (SPPCAP)"/>
      <sheetName val="NCP (CAP6OS)"/>
      <sheetName val="NCP (CAP7OS)"/>
      <sheetName val="ENERGY+LOSSES (ENR)"/>
      <sheetName val="SYS PEAK ADJ (SYSA)"/>
      <sheetName val="COINCIDENT PEAKS (CP)"/>
      <sheetName val="NON-COINCIDENT PEAKS (NCP)"/>
      <sheetName val="FUEL &amp; P.PWR"/>
      <sheetName val="CUS(X)OS"/>
      <sheetName val="CUS(X)AS"/>
      <sheetName val="REVENUES"/>
      <sheetName val="BADDEBT"/>
      <sheetName val="DEPOSITS"/>
      <sheetName val="PrtPgDialog"/>
      <sheetName val="PrtSumDialog"/>
      <sheetName val="UtilitiesDialog"/>
      <sheetName val="FCDialog"/>
      <sheetName val="FCPrint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row>
        <row r="31">
          <cell r="C31">
            <v>14.22</v>
          </cell>
        </row>
        <row r="32">
          <cell r="C32">
            <v>13.53</v>
          </cell>
        </row>
        <row r="33">
          <cell r="C33">
            <v>13.37</v>
          </cell>
        </row>
        <row r="34">
          <cell r="C34">
            <v>13.24</v>
          </cell>
        </row>
        <row r="35">
          <cell r="C35">
            <v>13.92</v>
          </cell>
        </row>
        <row r="36">
          <cell r="C36">
            <v>13.55</v>
          </cell>
        </row>
        <row r="37">
          <cell r="C37">
            <v>12.77</v>
          </cell>
        </row>
        <row r="38">
          <cell r="C38">
            <v>12.07</v>
          </cell>
        </row>
        <row r="39">
          <cell r="C39">
            <v>11.17</v>
          </cell>
        </row>
        <row r="40">
          <cell r="C40">
            <v>10.54</v>
          </cell>
        </row>
        <row r="41">
          <cell r="C41">
            <v>10.54</v>
          </cell>
        </row>
        <row r="42">
          <cell r="C42">
            <v>10.63</v>
          </cell>
        </row>
        <row r="43">
          <cell r="C43">
            <v>10.88</v>
          </cell>
        </row>
        <row r="44">
          <cell r="C44">
            <v>10.63</v>
          </cell>
        </row>
        <row r="45">
          <cell r="C45">
            <v>10.48</v>
          </cell>
        </row>
        <row r="46">
          <cell r="C46">
            <v>10.53</v>
          </cell>
        </row>
        <row r="47">
          <cell r="C47">
            <v>10.93</v>
          </cell>
        </row>
        <row r="48">
          <cell r="C48">
            <v>11.4</v>
          </cell>
        </row>
        <row r="49">
          <cell r="C49">
            <v>11.82</v>
          </cell>
        </row>
        <row r="50">
          <cell r="C50">
            <v>11.63</v>
          </cell>
        </row>
        <row r="51">
          <cell r="C51">
            <v>11.58</v>
          </cell>
        </row>
        <row r="52">
          <cell r="C52">
            <v>11.75</v>
          </cell>
        </row>
        <row r="53">
          <cell r="C53">
            <v>11.88</v>
          </cell>
        </row>
        <row r="54">
          <cell r="C54">
            <v>11.75</v>
          </cell>
        </row>
        <row r="55">
          <cell r="C55">
            <v>11.95</v>
          </cell>
        </row>
        <row r="56">
          <cell r="C56">
            <v>12.38</v>
          </cell>
        </row>
        <row r="57">
          <cell r="C57">
            <v>12.65</v>
          </cell>
        </row>
        <row r="58">
          <cell r="C58">
            <v>13.43</v>
          </cell>
        </row>
        <row r="59">
          <cell r="C59">
            <v>13.44</v>
          </cell>
        </row>
        <row r="60">
          <cell r="C60">
            <v>13.21</v>
          </cell>
        </row>
        <row r="61">
          <cell r="C61">
            <v>12.54</v>
          </cell>
        </row>
        <row r="62">
          <cell r="C62">
            <v>12.29</v>
          </cell>
        </row>
        <row r="63">
          <cell r="C63">
            <v>11.98</v>
          </cell>
        </row>
        <row r="64">
          <cell r="C64">
            <v>11.56</v>
          </cell>
        </row>
        <row r="65">
          <cell r="C65">
            <v>11.52</v>
          </cell>
        </row>
        <row r="66">
          <cell r="C66">
            <v>11.45</v>
          </cell>
        </row>
        <row r="67">
          <cell r="C67">
            <v>11.47</v>
          </cell>
        </row>
        <row r="68">
          <cell r="C68">
            <v>11.81</v>
          </cell>
        </row>
        <row r="69">
          <cell r="C69">
            <v>11.47</v>
          </cell>
        </row>
        <row r="70">
          <cell r="C70">
            <v>11.05</v>
          </cell>
        </row>
        <row r="71">
          <cell r="C71">
            <v>10.44</v>
          </cell>
        </row>
        <row r="72">
          <cell r="C72">
            <v>10.5</v>
          </cell>
        </row>
        <row r="73">
          <cell r="C73">
            <v>10.56</v>
          </cell>
        </row>
        <row r="74">
          <cell r="C74">
            <v>10.61</v>
          </cell>
        </row>
        <row r="75">
          <cell r="C75">
            <v>10.5</v>
          </cell>
        </row>
        <row r="76">
          <cell r="C76">
            <v>10.06</v>
          </cell>
        </row>
        <row r="77">
          <cell r="C77">
            <v>9.5399999999999991</v>
          </cell>
        </row>
        <row r="78">
          <cell r="C78">
            <v>9.4</v>
          </cell>
        </row>
        <row r="79">
          <cell r="C79">
            <v>8.93</v>
          </cell>
        </row>
        <row r="80">
          <cell r="C80">
            <v>7.96</v>
          </cell>
        </row>
        <row r="81">
          <cell r="C81">
            <v>7.39</v>
          </cell>
        </row>
        <row r="82">
          <cell r="C82">
            <v>7.52</v>
          </cell>
        </row>
        <row r="83">
          <cell r="C83">
            <v>7.57</v>
          </cell>
        </row>
        <row r="84">
          <cell r="C84">
            <v>7.27</v>
          </cell>
        </row>
        <row r="85">
          <cell r="C85">
            <v>7.33</v>
          </cell>
        </row>
        <row r="86">
          <cell r="C86">
            <v>7.62</v>
          </cell>
        </row>
        <row r="87">
          <cell r="C87">
            <v>7.7</v>
          </cell>
        </row>
        <row r="88">
          <cell r="C88">
            <v>7.52</v>
          </cell>
        </row>
        <row r="89">
          <cell r="C89">
            <v>7.37</v>
          </cell>
        </row>
        <row r="90">
          <cell r="C90">
            <v>7.39</v>
          </cell>
        </row>
        <row r="91">
          <cell r="C91">
            <v>7.54</v>
          </cell>
        </row>
        <row r="92">
          <cell r="C92">
            <v>7.55</v>
          </cell>
        </row>
        <row r="93">
          <cell r="C93">
            <v>8.25</v>
          </cell>
        </row>
        <row r="94">
          <cell r="C94">
            <v>8.7799999999999994</v>
          </cell>
        </row>
        <row r="95">
          <cell r="C95">
            <v>8.57</v>
          </cell>
        </row>
        <row r="96">
          <cell r="C96">
            <v>8.64</v>
          </cell>
        </row>
        <row r="97">
          <cell r="C97">
            <v>8.9700000000000006</v>
          </cell>
        </row>
        <row r="98">
          <cell r="C98">
            <v>9.59</v>
          </cell>
        </row>
        <row r="99">
          <cell r="C99">
            <v>9.61</v>
          </cell>
        </row>
        <row r="100">
          <cell r="C100">
            <v>8.9499999999999993</v>
          </cell>
        </row>
        <row r="101">
          <cell r="C101">
            <v>9.1199999999999992</v>
          </cell>
        </row>
        <row r="102">
          <cell r="C102">
            <v>8.83</v>
          </cell>
        </row>
        <row r="103">
          <cell r="C103">
            <v>8.43</v>
          </cell>
        </row>
        <row r="104">
          <cell r="C104">
            <v>8.6300000000000008</v>
          </cell>
        </row>
        <row r="105">
          <cell r="C105">
            <v>8.9499999999999993</v>
          </cell>
        </row>
        <row r="106">
          <cell r="C106">
            <v>9.23</v>
          </cell>
        </row>
        <row r="107">
          <cell r="C107">
            <v>9</v>
          </cell>
        </row>
        <row r="108">
          <cell r="C108">
            <v>9.14</v>
          </cell>
        </row>
        <row r="109">
          <cell r="C109">
            <v>9.32</v>
          </cell>
        </row>
        <row r="110">
          <cell r="C110">
            <v>9.06</v>
          </cell>
        </row>
        <row r="111">
          <cell r="C111">
            <v>8.89</v>
          </cell>
        </row>
        <row r="112">
          <cell r="C112">
            <v>9.02</v>
          </cell>
        </row>
        <row r="113">
          <cell r="C113">
            <v>9.01</v>
          </cell>
        </row>
        <row r="114">
          <cell r="C114">
            <v>8.93</v>
          </cell>
        </row>
        <row r="115">
          <cell r="C115">
            <v>9.01</v>
          </cell>
        </row>
        <row r="116">
          <cell r="C116">
            <v>9.17</v>
          </cell>
        </row>
        <row r="117">
          <cell r="C117">
            <v>9.0299999999999994</v>
          </cell>
        </row>
        <row r="118">
          <cell r="C118">
            <v>8.83</v>
          </cell>
        </row>
        <row r="119">
          <cell r="C119">
            <v>8.27</v>
          </cell>
        </row>
        <row r="120">
          <cell r="C120">
            <v>8.08</v>
          </cell>
        </row>
        <row r="121">
          <cell r="C121">
            <v>8.1199999999999992</v>
          </cell>
        </row>
        <row r="122">
          <cell r="C122">
            <v>8.15</v>
          </cell>
        </row>
        <row r="123">
          <cell r="C123">
            <v>8</v>
          </cell>
        </row>
        <row r="124">
          <cell r="C124">
            <v>7.9</v>
          </cell>
        </row>
        <row r="125">
          <cell r="C125">
            <v>7.9</v>
          </cell>
        </row>
        <row r="126">
          <cell r="C126">
            <v>8.26</v>
          </cell>
        </row>
        <row r="127">
          <cell r="C127">
            <v>8.5</v>
          </cell>
        </row>
        <row r="128">
          <cell r="C128">
            <v>8.56</v>
          </cell>
        </row>
        <row r="129">
          <cell r="C129">
            <v>8.76</v>
          </cell>
        </row>
        <row r="130">
          <cell r="C130">
            <v>8.73</v>
          </cell>
        </row>
        <row r="131">
          <cell r="C131">
            <v>8.4600000000000009</v>
          </cell>
        </row>
        <row r="132">
          <cell r="C132">
            <v>8.5</v>
          </cell>
        </row>
        <row r="133">
          <cell r="C133">
            <v>8.86</v>
          </cell>
        </row>
        <row r="134">
          <cell r="C134">
            <v>9.0299999999999994</v>
          </cell>
        </row>
        <row r="135">
          <cell r="C135">
            <v>8.86</v>
          </cell>
        </row>
        <row r="136">
          <cell r="C136">
            <v>8.5399999999999991</v>
          </cell>
        </row>
        <row r="137">
          <cell r="C137">
            <v>8.24</v>
          </cell>
        </row>
        <row r="138">
          <cell r="C138">
            <v>8.27</v>
          </cell>
        </row>
        <row r="139">
          <cell r="C139">
            <v>8.0299999999999994</v>
          </cell>
        </row>
        <row r="140">
          <cell r="C140">
            <v>8.2899999999999991</v>
          </cell>
        </row>
        <row r="141">
          <cell r="C141">
            <v>8.2100000000000009</v>
          </cell>
        </row>
        <row r="142">
          <cell r="C142">
            <v>8.27</v>
          </cell>
        </row>
        <row r="143">
          <cell r="C143">
            <v>8.4700000000000006</v>
          </cell>
        </row>
        <row r="144">
          <cell r="C144">
            <v>8.4499999999999993</v>
          </cell>
        </row>
        <row r="145">
          <cell r="C145">
            <v>8.14</v>
          </cell>
        </row>
        <row r="146">
          <cell r="C146">
            <v>7.95</v>
          </cell>
        </row>
        <row r="147">
          <cell r="C147">
            <v>7.93</v>
          </cell>
        </row>
        <row r="148">
          <cell r="C148">
            <v>7.92</v>
          </cell>
        </row>
        <row r="149">
          <cell r="C149">
            <v>7.7</v>
          </cell>
        </row>
        <row r="150">
          <cell r="C150">
            <v>7.58</v>
          </cell>
        </row>
        <row r="151">
          <cell r="C151">
            <v>7.85</v>
          </cell>
        </row>
        <row r="152">
          <cell r="C152">
            <v>7.97</v>
          </cell>
        </row>
        <row r="153">
          <cell r="C153">
            <v>7.96</v>
          </cell>
        </row>
        <row r="154">
          <cell r="C154">
            <v>7.89</v>
          </cell>
        </row>
        <row r="155">
          <cell r="C155">
            <v>7.84</v>
          </cell>
        </row>
        <row r="156">
          <cell r="C156">
            <v>7.6</v>
          </cell>
        </row>
        <row r="157">
          <cell r="C157">
            <v>7.39</v>
          </cell>
        </row>
        <row r="158">
          <cell r="C158">
            <v>7.34</v>
          </cell>
        </row>
        <row r="159">
          <cell r="C159">
            <v>7.53</v>
          </cell>
        </row>
        <row r="160">
          <cell r="C160">
            <v>7.61</v>
          </cell>
        </row>
        <row r="161">
          <cell r="C161">
            <v>7.44</v>
          </cell>
        </row>
        <row r="162">
          <cell r="C162">
            <v>7.34</v>
          </cell>
        </row>
        <row r="163">
          <cell r="C163">
            <v>7.09</v>
          </cell>
        </row>
        <row r="164">
          <cell r="C164">
            <v>6.82</v>
          </cell>
        </row>
        <row r="165">
          <cell r="C165">
            <v>6.85</v>
          </cell>
        </row>
        <row r="166">
          <cell r="C166">
            <v>6.92</v>
          </cell>
        </row>
        <row r="167">
          <cell r="C167">
            <v>6.81</v>
          </cell>
        </row>
        <row r="168">
          <cell r="C168">
            <v>6.63</v>
          </cell>
        </row>
        <row r="169">
          <cell r="C169">
            <v>6.32</v>
          </cell>
        </row>
        <row r="170">
          <cell r="C170">
            <v>6</v>
          </cell>
        </row>
        <row r="171">
          <cell r="C171">
            <v>5.94</v>
          </cell>
        </row>
        <row r="172">
          <cell r="C172">
            <v>6.21</v>
          </cell>
        </row>
        <row r="173">
          <cell r="C173">
            <v>6.25</v>
          </cell>
        </row>
        <row r="174">
          <cell r="C174">
            <v>6.29</v>
          </cell>
        </row>
        <row r="175">
          <cell r="C175">
            <v>6.49</v>
          </cell>
        </row>
        <row r="176">
          <cell r="C176">
            <v>6.91</v>
          </cell>
        </row>
        <row r="177">
          <cell r="C177">
            <v>7.27</v>
          </cell>
        </row>
        <row r="178">
          <cell r="C178">
            <v>7.41</v>
          </cell>
        </row>
        <row r="179">
          <cell r="C179">
            <v>7.4</v>
          </cell>
        </row>
        <row r="180">
          <cell r="C180">
            <v>7.58</v>
          </cell>
        </row>
        <row r="181">
          <cell r="C181">
            <v>7.49</v>
          </cell>
        </row>
        <row r="182">
          <cell r="C182">
            <v>7.71</v>
          </cell>
        </row>
        <row r="183">
          <cell r="C183">
            <v>7.94</v>
          </cell>
        </row>
        <row r="184">
          <cell r="C184">
            <v>8.08</v>
          </cell>
        </row>
        <row r="185">
          <cell r="C185">
            <v>7.87</v>
          </cell>
        </row>
        <row r="186">
          <cell r="C186">
            <v>7.85</v>
          </cell>
        </row>
        <row r="187">
          <cell r="C187">
            <v>7.61</v>
          </cell>
        </row>
        <row r="188">
          <cell r="C188">
            <v>7.45</v>
          </cell>
        </row>
        <row r="189">
          <cell r="C189">
            <v>7.36</v>
          </cell>
        </row>
        <row r="190">
          <cell r="C190">
            <v>6.95</v>
          </cell>
        </row>
        <row r="191">
          <cell r="C191">
            <v>6.57</v>
          </cell>
        </row>
        <row r="192">
          <cell r="C192">
            <v>6.72</v>
          </cell>
        </row>
        <row r="193">
          <cell r="C193">
            <v>6.86</v>
          </cell>
        </row>
        <row r="194">
          <cell r="C194">
            <v>6.55</v>
          </cell>
        </row>
        <row r="195">
          <cell r="C195">
            <v>6.37</v>
          </cell>
        </row>
        <row r="196">
          <cell r="C196">
            <v>6.26</v>
          </cell>
        </row>
        <row r="197">
          <cell r="C197">
            <v>6.06</v>
          </cell>
        </row>
        <row r="198">
          <cell r="C198">
            <v>6.05</v>
          </cell>
        </row>
        <row r="199">
          <cell r="C199">
            <v>6.24</v>
          </cell>
        </row>
        <row r="200">
          <cell r="C200">
            <v>6.6</v>
          </cell>
        </row>
        <row r="201">
          <cell r="C201">
            <v>6.79</v>
          </cell>
        </row>
        <row r="202">
          <cell r="C202">
            <v>6.93</v>
          </cell>
        </row>
        <row r="203">
          <cell r="C203">
            <v>7.06</v>
          </cell>
        </row>
        <row r="204">
          <cell r="C204">
            <v>7.03</v>
          </cell>
        </row>
        <row r="205">
          <cell r="C205">
            <v>6.84</v>
          </cell>
        </row>
        <row r="206">
          <cell r="C206">
            <v>7.03</v>
          </cell>
        </row>
        <row r="207">
          <cell r="C207">
            <v>6.81</v>
          </cell>
        </row>
        <row r="208">
          <cell r="C208">
            <v>6.48</v>
          </cell>
        </row>
        <row r="209">
          <cell r="C209">
            <v>6.55</v>
          </cell>
        </row>
        <row r="210">
          <cell r="C210">
            <v>6.83</v>
          </cell>
        </row>
        <row r="211">
          <cell r="C211">
            <v>6.69</v>
          </cell>
        </row>
        <row r="212">
          <cell r="C212">
            <v>6.93</v>
          </cell>
        </row>
        <row r="213">
          <cell r="C213">
            <v>7.09</v>
          </cell>
        </row>
        <row r="214">
          <cell r="C214">
            <v>6.94</v>
          </cell>
        </row>
        <row r="215">
          <cell r="C215">
            <v>6.77</v>
          </cell>
        </row>
        <row r="216">
          <cell r="C216">
            <v>6.51</v>
          </cell>
        </row>
        <row r="217">
          <cell r="C217">
            <v>6.58</v>
          </cell>
        </row>
        <row r="218">
          <cell r="C218">
            <v>6.5</v>
          </cell>
        </row>
        <row r="219">
          <cell r="C219">
            <v>6.33</v>
          </cell>
        </row>
        <row r="220">
          <cell r="C220">
            <v>6.11</v>
          </cell>
        </row>
        <row r="221">
          <cell r="C221">
            <v>5.99</v>
          </cell>
        </row>
        <row r="222">
          <cell r="C222">
            <v>5.81</v>
          </cell>
        </row>
        <row r="223">
          <cell r="C223">
            <v>5.89</v>
          </cell>
        </row>
        <row r="224">
          <cell r="C224">
            <v>5.95</v>
          </cell>
        </row>
        <row r="225">
          <cell r="C225">
            <v>5.92</v>
          </cell>
        </row>
        <row r="226">
          <cell r="C226">
            <v>5.93</v>
          </cell>
        </row>
        <row r="227">
          <cell r="C227">
            <v>5.7</v>
          </cell>
        </row>
        <row r="228">
          <cell r="C228">
            <v>5.68</v>
          </cell>
        </row>
        <row r="229">
          <cell r="C229">
            <v>5.54</v>
          </cell>
        </row>
        <row r="230">
          <cell r="C230">
            <v>5.2</v>
          </cell>
        </row>
        <row r="231">
          <cell r="C231">
            <v>5.01</v>
          </cell>
        </row>
        <row r="232">
          <cell r="C232">
            <v>5.25</v>
          </cell>
        </row>
        <row r="233">
          <cell r="C233">
            <v>5.0599999999999996</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row>
        <row r="31">
          <cell r="C31">
            <v>14.22</v>
          </cell>
        </row>
        <row r="32">
          <cell r="C32">
            <v>13.53</v>
          </cell>
        </row>
        <row r="33">
          <cell r="C33">
            <v>13.37</v>
          </cell>
        </row>
        <row r="34">
          <cell r="C34">
            <v>13.24</v>
          </cell>
        </row>
        <row r="35">
          <cell r="C35">
            <v>13.92</v>
          </cell>
        </row>
        <row r="36">
          <cell r="C36">
            <v>13.55</v>
          </cell>
        </row>
        <row r="37">
          <cell r="C37">
            <v>12.77</v>
          </cell>
        </row>
        <row r="38">
          <cell r="C38">
            <v>12.07</v>
          </cell>
        </row>
        <row r="39">
          <cell r="C39">
            <v>11.17</v>
          </cell>
        </row>
        <row r="40">
          <cell r="C40">
            <v>10.54</v>
          </cell>
        </row>
        <row r="41">
          <cell r="C41">
            <v>10.54</v>
          </cell>
        </row>
        <row r="42">
          <cell r="C42">
            <v>10.63</v>
          </cell>
        </row>
        <row r="43">
          <cell r="C43">
            <v>10.88</v>
          </cell>
        </row>
        <row r="44">
          <cell r="C44">
            <v>10.63</v>
          </cell>
        </row>
        <row r="45">
          <cell r="C45">
            <v>10.48</v>
          </cell>
        </row>
        <row r="46">
          <cell r="C46">
            <v>10.53</v>
          </cell>
        </row>
        <row r="47">
          <cell r="C47">
            <v>10.93</v>
          </cell>
        </row>
        <row r="48">
          <cell r="C48">
            <v>11.4</v>
          </cell>
        </row>
        <row r="49">
          <cell r="C49">
            <v>11.82</v>
          </cell>
        </row>
        <row r="50">
          <cell r="C50">
            <v>11.63</v>
          </cell>
        </row>
        <row r="51">
          <cell r="C51">
            <v>11.58</v>
          </cell>
        </row>
        <row r="52">
          <cell r="C52">
            <v>11.75</v>
          </cell>
        </row>
        <row r="53">
          <cell r="C53">
            <v>11.88</v>
          </cell>
        </row>
        <row r="54">
          <cell r="C54">
            <v>11.75</v>
          </cell>
        </row>
        <row r="55">
          <cell r="C55">
            <v>11.95</v>
          </cell>
        </row>
        <row r="56">
          <cell r="C56">
            <v>12.38</v>
          </cell>
        </row>
        <row r="57">
          <cell r="C57">
            <v>12.65</v>
          </cell>
        </row>
        <row r="58">
          <cell r="C58">
            <v>13.43</v>
          </cell>
        </row>
        <row r="59">
          <cell r="C59">
            <v>13.44</v>
          </cell>
        </row>
        <row r="60">
          <cell r="C60">
            <v>13.21</v>
          </cell>
        </row>
        <row r="61">
          <cell r="C61">
            <v>12.54</v>
          </cell>
        </row>
        <row r="62">
          <cell r="C62">
            <v>12.29</v>
          </cell>
        </row>
        <row r="63">
          <cell r="C63">
            <v>11.98</v>
          </cell>
        </row>
        <row r="64">
          <cell r="C64">
            <v>11.56</v>
          </cell>
        </row>
        <row r="65">
          <cell r="C65">
            <v>11.52</v>
          </cell>
        </row>
        <row r="66">
          <cell r="C66">
            <v>11.45</v>
          </cell>
        </row>
        <row r="67">
          <cell r="C67">
            <v>11.47</v>
          </cell>
        </row>
        <row r="68">
          <cell r="C68">
            <v>11.81</v>
          </cell>
        </row>
        <row r="69">
          <cell r="C69">
            <v>11.47</v>
          </cell>
        </row>
        <row r="70">
          <cell r="C70">
            <v>11.05</v>
          </cell>
        </row>
        <row r="71">
          <cell r="C71">
            <v>10.44</v>
          </cell>
        </row>
        <row r="72">
          <cell r="C72">
            <v>10.5</v>
          </cell>
        </row>
        <row r="73">
          <cell r="C73">
            <v>10.56</v>
          </cell>
        </row>
        <row r="74">
          <cell r="C74">
            <v>10.61</v>
          </cell>
        </row>
        <row r="75">
          <cell r="C75">
            <v>10.5</v>
          </cell>
        </row>
        <row r="76">
          <cell r="C76">
            <v>10.06</v>
          </cell>
        </row>
        <row r="77">
          <cell r="C77">
            <v>9.5399999999999991</v>
          </cell>
        </row>
        <row r="78">
          <cell r="C78">
            <v>9.4</v>
          </cell>
        </row>
        <row r="79">
          <cell r="C79">
            <v>8.93</v>
          </cell>
        </row>
        <row r="80">
          <cell r="C80">
            <v>7.96</v>
          </cell>
        </row>
        <row r="81">
          <cell r="C81">
            <v>7.39</v>
          </cell>
        </row>
        <row r="82">
          <cell r="C82">
            <v>7.52</v>
          </cell>
        </row>
        <row r="83">
          <cell r="C83">
            <v>7.57</v>
          </cell>
        </row>
        <row r="84">
          <cell r="C84">
            <v>7.27</v>
          </cell>
        </row>
        <row r="85">
          <cell r="C85">
            <v>7.33</v>
          </cell>
        </row>
        <row r="86">
          <cell r="C86">
            <v>7.62</v>
          </cell>
        </row>
        <row r="87">
          <cell r="C87">
            <v>7.7</v>
          </cell>
        </row>
        <row r="88">
          <cell r="C88">
            <v>7.52</v>
          </cell>
        </row>
        <row r="89">
          <cell r="C89">
            <v>7.37</v>
          </cell>
        </row>
        <row r="90">
          <cell r="C90">
            <v>7.39</v>
          </cell>
        </row>
        <row r="91">
          <cell r="C91">
            <v>7.54</v>
          </cell>
        </row>
        <row r="92">
          <cell r="C92">
            <v>7.55</v>
          </cell>
        </row>
        <row r="93">
          <cell r="C93">
            <v>8.25</v>
          </cell>
        </row>
        <row r="94">
          <cell r="C94">
            <v>8.7799999999999994</v>
          </cell>
        </row>
        <row r="95">
          <cell r="C95">
            <v>8.57</v>
          </cell>
        </row>
        <row r="96">
          <cell r="C96">
            <v>8.64</v>
          </cell>
        </row>
        <row r="97">
          <cell r="C97">
            <v>8.9700000000000006</v>
          </cell>
        </row>
        <row r="98">
          <cell r="C98">
            <v>9.59</v>
          </cell>
        </row>
        <row r="99">
          <cell r="C99">
            <v>9.61</v>
          </cell>
        </row>
        <row r="100">
          <cell r="C100">
            <v>8.9499999999999993</v>
          </cell>
        </row>
        <row r="101">
          <cell r="C101">
            <v>9.1199999999999992</v>
          </cell>
        </row>
        <row r="102">
          <cell r="C102">
            <v>8.83</v>
          </cell>
        </row>
        <row r="103">
          <cell r="C103">
            <v>8.43</v>
          </cell>
        </row>
        <row r="104">
          <cell r="C104">
            <v>8.6300000000000008</v>
          </cell>
        </row>
        <row r="105">
          <cell r="C105">
            <v>8.9499999999999993</v>
          </cell>
        </row>
        <row r="106">
          <cell r="C106">
            <v>9.23</v>
          </cell>
        </row>
        <row r="107">
          <cell r="C107">
            <v>9</v>
          </cell>
        </row>
        <row r="108">
          <cell r="C108">
            <v>9.14</v>
          </cell>
        </row>
        <row r="109">
          <cell r="C109">
            <v>9.32</v>
          </cell>
        </row>
        <row r="110">
          <cell r="C110">
            <v>9.06</v>
          </cell>
        </row>
        <row r="111">
          <cell r="C111">
            <v>8.89</v>
          </cell>
        </row>
        <row r="112">
          <cell r="C112">
            <v>9.02</v>
          </cell>
        </row>
        <row r="113">
          <cell r="C113">
            <v>9.01</v>
          </cell>
        </row>
        <row r="114">
          <cell r="C114">
            <v>8.93</v>
          </cell>
        </row>
        <row r="115">
          <cell r="C115">
            <v>9.01</v>
          </cell>
        </row>
        <row r="116">
          <cell r="C116">
            <v>9.17</v>
          </cell>
        </row>
        <row r="117">
          <cell r="C117">
            <v>9.0299999999999994</v>
          </cell>
        </row>
        <row r="118">
          <cell r="C118">
            <v>8.83</v>
          </cell>
        </row>
        <row r="119">
          <cell r="C119">
            <v>8.27</v>
          </cell>
        </row>
        <row r="120">
          <cell r="C120">
            <v>8.08</v>
          </cell>
        </row>
        <row r="121">
          <cell r="C121">
            <v>8.1199999999999992</v>
          </cell>
        </row>
        <row r="122">
          <cell r="C122">
            <v>8.15</v>
          </cell>
        </row>
        <row r="123">
          <cell r="C123">
            <v>8</v>
          </cell>
        </row>
        <row r="124">
          <cell r="C124">
            <v>7.9</v>
          </cell>
        </row>
        <row r="125">
          <cell r="C125">
            <v>7.9</v>
          </cell>
        </row>
        <row r="126">
          <cell r="C126">
            <v>8.26</v>
          </cell>
        </row>
        <row r="127">
          <cell r="C127">
            <v>8.5</v>
          </cell>
        </row>
        <row r="128">
          <cell r="C128">
            <v>8.56</v>
          </cell>
        </row>
        <row r="129">
          <cell r="C129">
            <v>8.76</v>
          </cell>
        </row>
        <row r="130">
          <cell r="C130">
            <v>8.73</v>
          </cell>
        </row>
        <row r="131">
          <cell r="C131">
            <v>8.4600000000000009</v>
          </cell>
        </row>
        <row r="132">
          <cell r="C132">
            <v>8.5</v>
          </cell>
        </row>
        <row r="133">
          <cell r="C133">
            <v>8.86</v>
          </cell>
        </row>
        <row r="134">
          <cell r="C134">
            <v>9.0299999999999994</v>
          </cell>
        </row>
        <row r="135">
          <cell r="C135">
            <v>8.86</v>
          </cell>
        </row>
        <row r="136">
          <cell r="C136">
            <v>8.5399999999999991</v>
          </cell>
        </row>
        <row r="137">
          <cell r="C137">
            <v>8.24</v>
          </cell>
        </row>
        <row r="138">
          <cell r="C138">
            <v>8.27</v>
          </cell>
        </row>
        <row r="139">
          <cell r="C139">
            <v>8.0299999999999994</v>
          </cell>
        </row>
        <row r="140">
          <cell r="C140">
            <v>8.2899999999999991</v>
          </cell>
        </row>
        <row r="141">
          <cell r="C141">
            <v>8.2100000000000009</v>
          </cell>
        </row>
        <row r="142">
          <cell r="C142">
            <v>8.27</v>
          </cell>
        </row>
        <row r="143">
          <cell r="C143">
            <v>8.4700000000000006</v>
          </cell>
        </row>
        <row r="144">
          <cell r="C144">
            <v>8.4499999999999993</v>
          </cell>
        </row>
        <row r="145">
          <cell r="C145">
            <v>8.14</v>
          </cell>
        </row>
        <row r="146">
          <cell r="C146">
            <v>7.95</v>
          </cell>
        </row>
        <row r="147">
          <cell r="C147">
            <v>7.93</v>
          </cell>
        </row>
        <row r="148">
          <cell r="C148">
            <v>7.92</v>
          </cell>
        </row>
        <row r="149">
          <cell r="C149">
            <v>7.7</v>
          </cell>
        </row>
        <row r="150">
          <cell r="C150">
            <v>7.58</v>
          </cell>
        </row>
        <row r="151">
          <cell r="C151">
            <v>7.85</v>
          </cell>
        </row>
        <row r="152">
          <cell r="C152">
            <v>7.97</v>
          </cell>
        </row>
        <row r="153">
          <cell r="C153">
            <v>7.96</v>
          </cell>
        </row>
        <row r="154">
          <cell r="C154">
            <v>7.89</v>
          </cell>
        </row>
        <row r="155">
          <cell r="C155">
            <v>7.84</v>
          </cell>
        </row>
        <row r="156">
          <cell r="C156">
            <v>7.6</v>
          </cell>
        </row>
        <row r="157">
          <cell r="C157">
            <v>7.39</v>
          </cell>
        </row>
        <row r="158">
          <cell r="C158">
            <v>7.34</v>
          </cell>
        </row>
        <row r="159">
          <cell r="C159">
            <v>7.53</v>
          </cell>
        </row>
        <row r="160">
          <cell r="C160">
            <v>7.61</v>
          </cell>
        </row>
        <row r="161">
          <cell r="C161">
            <v>7.44</v>
          </cell>
        </row>
        <row r="162">
          <cell r="C162">
            <v>7.34</v>
          </cell>
        </row>
        <row r="163">
          <cell r="C163">
            <v>7.09</v>
          </cell>
        </row>
        <row r="164">
          <cell r="C164">
            <v>6.82</v>
          </cell>
        </row>
        <row r="165">
          <cell r="C165">
            <v>6.85</v>
          </cell>
        </row>
        <row r="166">
          <cell r="C166">
            <v>6.92</v>
          </cell>
        </row>
        <row r="167">
          <cell r="C167">
            <v>6.81</v>
          </cell>
        </row>
        <row r="168">
          <cell r="C168">
            <v>6.63</v>
          </cell>
        </row>
        <row r="169">
          <cell r="C169">
            <v>6.32</v>
          </cell>
        </row>
        <row r="170">
          <cell r="C170">
            <v>6</v>
          </cell>
        </row>
        <row r="171">
          <cell r="C171">
            <v>5.94</v>
          </cell>
        </row>
        <row r="172">
          <cell r="C172">
            <v>6.21</v>
          </cell>
        </row>
        <row r="173">
          <cell r="C173">
            <v>6.25</v>
          </cell>
        </row>
        <row r="174">
          <cell r="C174">
            <v>6.29</v>
          </cell>
        </row>
        <row r="175">
          <cell r="C175">
            <v>6.49</v>
          </cell>
        </row>
        <row r="176">
          <cell r="C176">
            <v>6.91</v>
          </cell>
        </row>
        <row r="177">
          <cell r="C177">
            <v>7.27</v>
          </cell>
        </row>
        <row r="178">
          <cell r="C178">
            <v>7.41</v>
          </cell>
        </row>
        <row r="179">
          <cell r="C179">
            <v>7.4</v>
          </cell>
        </row>
        <row r="180">
          <cell r="C180">
            <v>7.58</v>
          </cell>
        </row>
        <row r="181">
          <cell r="C181">
            <v>7.49</v>
          </cell>
        </row>
        <row r="182">
          <cell r="C182">
            <v>7.71</v>
          </cell>
        </row>
        <row r="183">
          <cell r="C183">
            <v>7.94</v>
          </cell>
        </row>
        <row r="184">
          <cell r="C184">
            <v>8.08</v>
          </cell>
        </row>
        <row r="185">
          <cell r="C185">
            <v>7.87</v>
          </cell>
        </row>
        <row r="186">
          <cell r="C186">
            <v>7.85</v>
          </cell>
        </row>
        <row r="187">
          <cell r="C187">
            <v>7.61</v>
          </cell>
        </row>
        <row r="188">
          <cell r="C188">
            <v>7.45</v>
          </cell>
        </row>
        <row r="189">
          <cell r="C189">
            <v>7.36</v>
          </cell>
        </row>
        <row r="190">
          <cell r="C190">
            <v>6.95</v>
          </cell>
        </row>
        <row r="191">
          <cell r="C191">
            <v>6.57</v>
          </cell>
        </row>
        <row r="192">
          <cell r="C192">
            <v>6.72</v>
          </cell>
        </row>
        <row r="193">
          <cell r="C193">
            <v>6.86</v>
          </cell>
        </row>
        <row r="194">
          <cell r="C194">
            <v>6.55</v>
          </cell>
        </row>
        <row r="195">
          <cell r="C195">
            <v>6.37</v>
          </cell>
        </row>
        <row r="196">
          <cell r="C196">
            <v>6.26</v>
          </cell>
        </row>
        <row r="197">
          <cell r="C197">
            <v>6.06</v>
          </cell>
        </row>
        <row r="198">
          <cell r="C198">
            <v>6.05</v>
          </cell>
        </row>
        <row r="199">
          <cell r="C199">
            <v>6.24</v>
          </cell>
        </row>
        <row r="200">
          <cell r="C200">
            <v>6.6</v>
          </cell>
        </row>
        <row r="201">
          <cell r="C201">
            <v>6.79</v>
          </cell>
        </row>
        <row r="202">
          <cell r="C202">
            <v>6.93</v>
          </cell>
        </row>
        <row r="203">
          <cell r="C203">
            <v>7.06</v>
          </cell>
        </row>
        <row r="204">
          <cell r="C204">
            <v>7.03</v>
          </cell>
        </row>
        <row r="205">
          <cell r="C205">
            <v>6.84</v>
          </cell>
        </row>
        <row r="206">
          <cell r="C206">
            <v>7.03</v>
          </cell>
        </row>
        <row r="207">
          <cell r="C207">
            <v>6.81</v>
          </cell>
        </row>
        <row r="208">
          <cell r="C208">
            <v>6.48</v>
          </cell>
        </row>
        <row r="209">
          <cell r="C209">
            <v>6.55</v>
          </cell>
        </row>
        <row r="210">
          <cell r="C210">
            <v>6.83</v>
          </cell>
        </row>
        <row r="211">
          <cell r="C211">
            <v>6.69</v>
          </cell>
        </row>
        <row r="212">
          <cell r="C212">
            <v>6.93</v>
          </cell>
        </row>
        <row r="213">
          <cell r="C213">
            <v>7.09</v>
          </cell>
        </row>
        <row r="214">
          <cell r="C214">
            <v>6.94</v>
          </cell>
        </row>
        <row r="215">
          <cell r="C215">
            <v>6.77</v>
          </cell>
        </row>
        <row r="216">
          <cell r="C216">
            <v>6.51</v>
          </cell>
        </row>
        <row r="217">
          <cell r="C217">
            <v>6.58</v>
          </cell>
        </row>
        <row r="218">
          <cell r="C218">
            <v>6.5</v>
          </cell>
        </row>
        <row r="219">
          <cell r="C219">
            <v>6.33</v>
          </cell>
        </row>
        <row r="220">
          <cell r="C220">
            <v>6.11</v>
          </cell>
        </row>
        <row r="221">
          <cell r="C221">
            <v>5.99</v>
          </cell>
        </row>
        <row r="222">
          <cell r="C222">
            <v>5.81</v>
          </cell>
        </row>
        <row r="223">
          <cell r="C223">
            <v>5.89</v>
          </cell>
        </row>
        <row r="224">
          <cell r="C224">
            <v>5.95</v>
          </cell>
        </row>
        <row r="225">
          <cell r="C225">
            <v>5.92</v>
          </cell>
        </row>
        <row r="226">
          <cell r="C226">
            <v>5.93</v>
          </cell>
        </row>
        <row r="227">
          <cell r="C227">
            <v>5.7</v>
          </cell>
        </row>
        <row r="228">
          <cell r="C228">
            <v>5.68</v>
          </cell>
        </row>
        <row r="229">
          <cell r="C229">
            <v>5.54</v>
          </cell>
        </row>
        <row r="230">
          <cell r="C230">
            <v>5.2</v>
          </cell>
        </row>
        <row r="231">
          <cell r="C231">
            <v>5.01</v>
          </cell>
        </row>
        <row r="232">
          <cell r="C232">
            <v>5.25</v>
          </cell>
        </row>
        <row r="233">
          <cell r="C233">
            <v>5.0599999999999996</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C7" t="str">
            <v>Start Date</v>
          </cell>
          <cell r="D7">
            <v>33238</v>
          </cell>
        </row>
        <row r="8">
          <cell r="C8" t="str">
            <v>End Date</v>
          </cell>
          <cell r="D8">
            <v>43100</v>
          </cell>
        </row>
        <row r="10">
          <cell r="C10" t="str">
            <v>ALE US Equity</v>
          </cell>
          <cell r="D10" t="e">
            <v>#NAME?</v>
          </cell>
          <cell r="E10" t="e">
            <v>#NAME?</v>
          </cell>
          <cell r="G10" t="str">
            <v>LNT US Equity</v>
          </cell>
          <cell r="H10" t="e">
            <v>#NAME?</v>
          </cell>
          <cell r="I10" t="e">
            <v>#NAME?</v>
          </cell>
          <cell r="K10" t="str">
            <v>AEE US Equity</v>
          </cell>
          <cell r="L10" t="e">
            <v>#NAME?</v>
          </cell>
          <cell r="M10" t="e">
            <v>#NAME?</v>
          </cell>
          <cell r="O10" t="str">
            <v>AEP US Equity</v>
          </cell>
          <cell r="P10" t="e">
            <v>#NAME?</v>
          </cell>
          <cell r="Q10" t="e">
            <v>#NAME?</v>
          </cell>
          <cell r="S10" t="str">
            <v>AGR US Equity</v>
          </cell>
          <cell r="T10" t="e">
            <v>#NAME?</v>
          </cell>
          <cell r="U10" t="e">
            <v>#NAME?</v>
          </cell>
          <cell r="W10" t="str">
            <v>AVA US Equity</v>
          </cell>
          <cell r="X10" t="e">
            <v>#NAME?</v>
          </cell>
          <cell r="Y10" t="e">
            <v>#NAME?</v>
          </cell>
          <cell r="AA10" t="str">
            <v>BKH US Equity</v>
          </cell>
          <cell r="AB10" t="e">
            <v>#NAME?</v>
          </cell>
          <cell r="AC10" t="e">
            <v>#NAME?</v>
          </cell>
          <cell r="AE10" t="str">
            <v>CNP US Equity</v>
          </cell>
          <cell r="AF10" t="e">
            <v>#NAME?</v>
          </cell>
          <cell r="AG10" t="e">
            <v>#NAME?</v>
          </cell>
          <cell r="AI10" t="str">
            <v>CMS US Equity</v>
          </cell>
          <cell r="AJ10" t="e">
            <v>#NAME?</v>
          </cell>
          <cell r="AK10" t="e">
            <v>#NAME?</v>
          </cell>
          <cell r="AM10" t="str">
            <v>ED US Equity</v>
          </cell>
          <cell r="AN10" t="e">
            <v>#NAME?</v>
          </cell>
          <cell r="AO10" t="e">
            <v>#NAME?</v>
          </cell>
          <cell r="AQ10" t="str">
            <v>D US Equity</v>
          </cell>
          <cell r="AR10" t="e">
            <v>#NAME?</v>
          </cell>
          <cell r="AS10" t="e">
            <v>#NAME?</v>
          </cell>
          <cell r="AU10" t="str">
            <v>DTE US Equity</v>
          </cell>
          <cell r="AV10" t="e">
            <v>#NAME?</v>
          </cell>
          <cell r="AW10" t="e">
            <v>#NAME?</v>
          </cell>
          <cell r="AY10" t="str">
            <v>DUK US Equity</v>
          </cell>
          <cell r="AZ10" t="e">
            <v>#NAME?</v>
          </cell>
          <cell r="BA10" t="e">
            <v>#NAME?</v>
          </cell>
          <cell r="BC10" t="str">
            <v>EIX US Equity</v>
          </cell>
          <cell r="BD10" t="e">
            <v>#NAME?</v>
          </cell>
          <cell r="BE10" t="e">
            <v>#NAME?</v>
          </cell>
          <cell r="BG10" t="str">
            <v>EE US Equity</v>
          </cell>
          <cell r="BH10" t="e">
            <v>#NAME?</v>
          </cell>
          <cell r="BI10" t="e">
            <v>#NAME?</v>
          </cell>
          <cell r="BK10" t="str">
            <v>ETR US Equity</v>
          </cell>
          <cell r="BL10" t="e">
            <v>#NAME?</v>
          </cell>
          <cell r="BM10" t="e">
            <v>#NAME?</v>
          </cell>
          <cell r="BO10" t="str">
            <v>EXC US Equity</v>
          </cell>
          <cell r="BP10" t="e">
            <v>#NAME?</v>
          </cell>
          <cell r="BQ10" t="e">
            <v>#NAME?</v>
          </cell>
          <cell r="BS10" t="str">
            <v>FE US Equity</v>
          </cell>
          <cell r="BT10" t="e">
            <v>#NAME?</v>
          </cell>
          <cell r="BU10" t="e">
            <v>#NAME?</v>
          </cell>
          <cell r="BW10" t="str">
            <v>GXP US Equity</v>
          </cell>
          <cell r="BX10" t="e">
            <v>#NAME?</v>
          </cell>
          <cell r="BY10" t="e">
            <v>#NAME?</v>
          </cell>
          <cell r="CA10" t="str">
            <v>HE US Equity</v>
          </cell>
          <cell r="CB10" t="e">
            <v>#NAME?</v>
          </cell>
          <cell r="CC10" t="e">
            <v>#NAME?</v>
          </cell>
          <cell r="CE10" t="str">
            <v>IDA US Equity</v>
          </cell>
          <cell r="CF10" t="e">
            <v>#NAME?</v>
          </cell>
          <cell r="CG10" t="e">
            <v>#NAME?</v>
          </cell>
          <cell r="CI10" t="str">
            <v>MGEE US Equity</v>
          </cell>
          <cell r="CJ10" t="e">
            <v>#NAME?</v>
          </cell>
          <cell r="CK10" t="e">
            <v>#NAME?</v>
          </cell>
          <cell r="CM10" t="str">
            <v>NEE US Equity</v>
          </cell>
          <cell r="CN10" t="e">
            <v>#NAME?</v>
          </cell>
          <cell r="CO10" t="e">
            <v>#NAME?</v>
          </cell>
          <cell r="CQ10" t="str">
            <v>ES US Equity</v>
          </cell>
          <cell r="CR10" t="e">
            <v>#NAME?</v>
          </cell>
          <cell r="CS10" t="e">
            <v>#NAME?</v>
          </cell>
          <cell r="CU10" t="str">
            <v>NWE US Equity</v>
          </cell>
          <cell r="CV10" t="e">
            <v>#NAME?</v>
          </cell>
          <cell r="CW10" t="e">
            <v>#NAME?</v>
          </cell>
          <cell r="CY10" t="str">
            <v>OGE US Equity</v>
          </cell>
          <cell r="CZ10" t="e">
            <v>#NAME?</v>
          </cell>
          <cell r="DA10" t="e">
            <v>#NAME?</v>
          </cell>
          <cell r="DC10" t="str">
            <v>OTTR US Equity</v>
          </cell>
          <cell r="DD10" t="e">
            <v>#NAME?</v>
          </cell>
          <cell r="DE10" t="e">
            <v>#NAME?</v>
          </cell>
          <cell r="DG10" t="str">
            <v>PCG US Equity</v>
          </cell>
          <cell r="DH10" t="e">
            <v>#NAME?</v>
          </cell>
          <cell r="DI10" t="e">
            <v>#NAME?</v>
          </cell>
          <cell r="DK10" t="str">
            <v>PNW US Equity</v>
          </cell>
          <cell r="DL10" t="e">
            <v>#NAME?</v>
          </cell>
          <cell r="DM10" t="e">
            <v>#NAME?</v>
          </cell>
          <cell r="DO10" t="str">
            <v>PNM US Equity</v>
          </cell>
          <cell r="DP10" t="e">
            <v>#NAME?</v>
          </cell>
          <cell r="DQ10" t="e">
            <v>#NAME?</v>
          </cell>
          <cell r="DS10" t="str">
            <v>POR US Equity</v>
          </cell>
          <cell r="DT10" t="e">
            <v>#NAME?</v>
          </cell>
          <cell r="DU10" t="e">
            <v>#NAME?</v>
          </cell>
          <cell r="DW10" t="str">
            <v>PPL US Equity</v>
          </cell>
          <cell r="DX10" t="e">
            <v>#NAME?</v>
          </cell>
          <cell r="DY10" t="e">
            <v>#NAME?</v>
          </cell>
          <cell r="EA10" t="str">
            <v>PEG US Equity</v>
          </cell>
          <cell r="EB10" t="e">
            <v>#NAME?</v>
          </cell>
          <cell r="EC10" t="e">
            <v>#NAME?</v>
          </cell>
          <cell r="EE10" t="str">
            <v>SCG US Equity</v>
          </cell>
          <cell r="EF10" t="e">
            <v>#NAME?</v>
          </cell>
          <cell r="EG10" t="e">
            <v>#NAME?</v>
          </cell>
          <cell r="EI10" t="str">
            <v>SRE US Equity</v>
          </cell>
          <cell r="EJ10" t="e">
            <v>#NAME?</v>
          </cell>
          <cell r="EK10" t="e">
            <v>#NAME?</v>
          </cell>
          <cell r="EM10" t="str">
            <v>SO US Equity</v>
          </cell>
          <cell r="EN10" t="e">
            <v>#NAME?</v>
          </cell>
          <cell r="EO10" t="e">
            <v>#NAME?</v>
          </cell>
          <cell r="EQ10" t="str">
            <v>VVC US Equity</v>
          </cell>
          <cell r="ER10" t="e">
            <v>#NAME?</v>
          </cell>
          <cell r="ES10" t="e">
            <v>#NAME?</v>
          </cell>
          <cell r="EU10" t="str">
            <v>WR US Equity</v>
          </cell>
          <cell r="EV10" t="e">
            <v>#NAME?</v>
          </cell>
          <cell r="EW10" t="e">
            <v>#NAME?</v>
          </cell>
          <cell r="EY10" t="str">
            <v>WEC US Equity</v>
          </cell>
          <cell r="EZ10" t="e">
            <v>#NAME?</v>
          </cell>
          <cell r="FA10" t="e">
            <v>#NAME?</v>
          </cell>
          <cell r="FC10" t="str">
            <v>XEL US Equity</v>
          </cell>
          <cell r="FD10" t="e">
            <v>#NAME?</v>
          </cell>
          <cell r="FE10" t="e">
            <v>#NAME?</v>
          </cell>
        </row>
        <row r="11">
          <cell r="C11" t="str">
            <v>Dates</v>
          </cell>
          <cell r="D11" t="str">
            <v>TRAIL_12M_DILUTED_EPS</v>
          </cell>
          <cell r="E11" t="str">
            <v>EQY_DPS</v>
          </cell>
          <cell r="G11" t="str">
            <v>Dates</v>
          </cell>
          <cell r="H11" t="str">
            <v>TRAIL_12M_DILUTED_EPS</v>
          </cell>
          <cell r="I11" t="str">
            <v>EQY_DPS</v>
          </cell>
          <cell r="K11" t="str">
            <v>Dates</v>
          </cell>
          <cell r="L11" t="str">
            <v>TRAIL_12M_DILUTED_EPS</v>
          </cell>
          <cell r="M11" t="str">
            <v>EQY_DPS</v>
          </cell>
          <cell r="O11" t="str">
            <v>Dates</v>
          </cell>
          <cell r="P11" t="str">
            <v>TRAIL_12M_DILUTED_EPS</v>
          </cell>
          <cell r="Q11" t="str">
            <v>EQY_DPS</v>
          </cell>
          <cell r="S11" t="str">
            <v>Dates</v>
          </cell>
          <cell r="T11" t="str">
            <v>TRAIL_12M_DILUTED_EPS</v>
          </cell>
          <cell r="U11" t="str">
            <v>EQY_DPS</v>
          </cell>
          <cell r="W11" t="str">
            <v>Dates</v>
          </cell>
          <cell r="X11" t="str">
            <v>TRAIL_12M_DILUTED_EPS</v>
          </cell>
          <cell r="Y11" t="str">
            <v>EQY_DPS</v>
          </cell>
          <cell r="AA11" t="str">
            <v>Dates</v>
          </cell>
          <cell r="AB11" t="str">
            <v>TRAIL_12M_DILUTED_EPS</v>
          </cell>
          <cell r="AC11" t="str">
            <v>EQY_DPS</v>
          </cell>
          <cell r="AE11" t="str">
            <v>Dates</v>
          </cell>
          <cell r="AF11" t="str">
            <v>TRAIL_12M_DILUTED_EPS</v>
          </cell>
          <cell r="AG11" t="str">
            <v>EQY_DPS</v>
          </cell>
          <cell r="AI11" t="str">
            <v>Dates</v>
          </cell>
          <cell r="AJ11" t="str">
            <v>TRAIL_12M_DILUTED_EPS</v>
          </cell>
          <cell r="AK11" t="str">
            <v>EQY_DPS</v>
          </cell>
          <cell r="AM11" t="str">
            <v>Dates</v>
          </cell>
          <cell r="AN11" t="str">
            <v>TRAIL_12M_DILUTED_EPS</v>
          </cell>
          <cell r="AO11" t="str">
            <v>EQY_DPS</v>
          </cell>
          <cell r="AQ11" t="str">
            <v>Dates</v>
          </cell>
          <cell r="AR11" t="str">
            <v>TRAIL_12M_DILUTED_EPS</v>
          </cell>
          <cell r="AS11" t="str">
            <v>EQY_DPS</v>
          </cell>
          <cell r="AU11" t="str">
            <v>Dates</v>
          </cell>
          <cell r="AV11" t="str">
            <v>TRAIL_12M_DILUTED_EPS</v>
          </cell>
          <cell r="AW11" t="str">
            <v>EQY_DPS</v>
          </cell>
          <cell r="AY11" t="str">
            <v>Dates</v>
          </cell>
          <cell r="AZ11" t="str">
            <v>TRAIL_12M_DILUTED_EPS</v>
          </cell>
          <cell r="BA11" t="str">
            <v>EQY_DPS</v>
          </cell>
          <cell r="BC11" t="str">
            <v>Dates</v>
          </cell>
          <cell r="BD11" t="str">
            <v>TRAIL_12M_DILUTED_EPS</v>
          </cell>
          <cell r="BE11" t="str">
            <v>EQY_DPS</v>
          </cell>
          <cell r="BG11" t="str">
            <v>Dates</v>
          </cell>
          <cell r="BH11" t="str">
            <v>TRAIL_12M_DILUTED_EPS</v>
          </cell>
          <cell r="BI11" t="str">
            <v>EQY_DPS</v>
          </cell>
          <cell r="BK11" t="str">
            <v>Dates</v>
          </cell>
          <cell r="BL11" t="str">
            <v>TRAIL_12M_DILUTED_EPS</v>
          </cell>
          <cell r="BM11" t="str">
            <v>EQY_DPS</v>
          </cell>
          <cell r="BO11" t="str">
            <v>Dates</v>
          </cell>
          <cell r="BP11" t="str">
            <v>TRAIL_12M_DILUTED_EPS</v>
          </cell>
          <cell r="BQ11" t="str">
            <v>EQY_DPS</v>
          </cell>
          <cell r="BS11" t="str">
            <v>Dates</v>
          </cell>
          <cell r="BT11" t="str">
            <v>TRAIL_12M_DILUTED_EPS</v>
          </cell>
          <cell r="BU11" t="str">
            <v>EQY_DPS</v>
          </cell>
          <cell r="BW11" t="str">
            <v>Dates</v>
          </cell>
          <cell r="BX11" t="str">
            <v>TRAIL_12M_DILUTED_EPS</v>
          </cell>
          <cell r="BY11" t="str">
            <v>EQY_DPS</v>
          </cell>
          <cell r="CA11" t="str">
            <v>Dates</v>
          </cell>
          <cell r="CB11" t="str">
            <v>TRAIL_12M_DILUTED_EPS</v>
          </cell>
          <cell r="CC11" t="str">
            <v>EQY_DPS</v>
          </cell>
          <cell r="CE11" t="str">
            <v>Dates</v>
          </cell>
          <cell r="CF11" t="str">
            <v>TRAIL_12M_DILUTED_EPS</v>
          </cell>
          <cell r="CG11" t="str">
            <v>EQY_DPS</v>
          </cell>
          <cell r="CI11" t="str">
            <v>Dates</v>
          </cell>
          <cell r="CJ11" t="str">
            <v>TRAIL_12M_DILUTED_EPS</v>
          </cell>
          <cell r="CK11" t="str">
            <v>EQY_DPS</v>
          </cell>
          <cell r="CM11" t="str">
            <v>Dates</v>
          </cell>
          <cell r="CN11" t="str">
            <v>TRAIL_12M_DILUTED_EPS</v>
          </cell>
          <cell r="CO11" t="str">
            <v>EQY_DPS</v>
          </cell>
          <cell r="CQ11" t="str">
            <v>Dates</v>
          </cell>
          <cell r="CR11" t="str">
            <v>TRAIL_12M_DILUTED_EPS</v>
          </cell>
          <cell r="CS11" t="str">
            <v>EQY_DPS</v>
          </cell>
          <cell r="CU11" t="str">
            <v>Dates</v>
          </cell>
          <cell r="CV11" t="str">
            <v>TRAIL_12M_DILUTED_EPS</v>
          </cell>
          <cell r="CW11" t="str">
            <v>EQY_DPS</v>
          </cell>
          <cell r="CY11" t="str">
            <v>Dates</v>
          </cell>
          <cell r="CZ11" t="str">
            <v>TRAIL_12M_DILUTED_EPS</v>
          </cell>
          <cell r="DA11" t="str">
            <v>EQY_DPS</v>
          </cell>
          <cell r="DC11" t="str">
            <v>Dates</v>
          </cell>
          <cell r="DD11" t="str">
            <v>TRAIL_12M_DILUTED_EPS</v>
          </cell>
          <cell r="DE11" t="str">
            <v>EQY_DPS</v>
          </cell>
          <cell r="DG11" t="str">
            <v>Dates</v>
          </cell>
          <cell r="DH11" t="str">
            <v>TRAIL_12M_DILUTED_EPS</v>
          </cell>
          <cell r="DI11" t="str">
            <v>EQY_DPS</v>
          </cell>
          <cell r="DK11" t="str">
            <v>Dates</v>
          </cell>
          <cell r="DL11" t="str">
            <v>TRAIL_12M_DILUTED_EPS</v>
          </cell>
          <cell r="DM11" t="str">
            <v>EQY_DPS</v>
          </cell>
          <cell r="DO11" t="str">
            <v>Dates</v>
          </cell>
          <cell r="DP11" t="str">
            <v>TRAIL_12M_DILUTED_EPS</v>
          </cell>
          <cell r="DQ11" t="str">
            <v>EQY_DPS</v>
          </cell>
          <cell r="DS11" t="str">
            <v>Dates</v>
          </cell>
          <cell r="DT11" t="str">
            <v>TRAIL_12M_DILUTED_EPS</v>
          </cell>
          <cell r="DU11" t="str">
            <v>EQY_DPS</v>
          </cell>
          <cell r="DW11" t="str">
            <v>Dates</v>
          </cell>
          <cell r="DX11" t="str">
            <v>TRAIL_12M_DILUTED_EPS</v>
          </cell>
          <cell r="DY11" t="str">
            <v>EQY_DPS</v>
          </cell>
          <cell r="EA11" t="str">
            <v>Dates</v>
          </cell>
          <cell r="EB11" t="str">
            <v>TRAIL_12M_DILUTED_EPS</v>
          </cell>
          <cell r="EC11" t="str">
            <v>EQY_DPS</v>
          </cell>
          <cell r="EE11" t="str">
            <v>Dates</v>
          </cell>
          <cell r="EF11" t="str">
            <v>TRAIL_12M_DILUTED_EPS</v>
          </cell>
          <cell r="EG11" t="str">
            <v>EQY_DPS</v>
          </cell>
          <cell r="EI11" t="str">
            <v>Dates</v>
          </cell>
          <cell r="EJ11" t="str">
            <v>TRAIL_12M_DILUTED_EPS</v>
          </cell>
          <cell r="EK11" t="str">
            <v>EQY_DPS</v>
          </cell>
          <cell r="EM11" t="str">
            <v>Dates</v>
          </cell>
          <cell r="EN11" t="str">
            <v>TRAIL_12M_DILUTED_EPS</v>
          </cell>
          <cell r="EO11" t="str">
            <v>EQY_DPS</v>
          </cell>
          <cell r="EQ11" t="str">
            <v>Dates</v>
          </cell>
          <cell r="ER11" t="str">
            <v>TRAIL_12M_DILUTED_EPS</v>
          </cell>
          <cell r="ES11" t="str">
            <v>EQY_DPS</v>
          </cell>
          <cell r="EU11" t="str">
            <v>Dates</v>
          </cell>
          <cell r="EV11" t="str">
            <v>TRAIL_12M_DILUTED_EPS</v>
          </cell>
          <cell r="EW11" t="str">
            <v>EQY_DPS</v>
          </cell>
          <cell r="EY11" t="str">
            <v>Dates</v>
          </cell>
          <cell r="EZ11" t="str">
            <v>TRAIL_12M_DILUTED_EPS</v>
          </cell>
          <cell r="FA11" t="str">
            <v>EQY_DPS</v>
          </cell>
          <cell r="FC11" t="str">
            <v>Dates</v>
          </cell>
          <cell r="FD11" t="str">
            <v>TRAIL_12M_DILUTED_EPS</v>
          </cell>
          <cell r="FE11" t="str">
            <v>EQY_DPS</v>
          </cell>
        </row>
        <row r="12">
          <cell r="C12">
            <v>33238</v>
          </cell>
          <cell r="D12">
            <v>3.5550000000000002</v>
          </cell>
          <cell r="E12">
            <v>2.79</v>
          </cell>
          <cell r="G12">
            <v>33238</v>
          </cell>
          <cell r="H12">
            <v>1.115</v>
          </cell>
          <cell r="I12">
            <v>0.87</v>
          </cell>
          <cell r="K12">
            <v>35062</v>
          </cell>
          <cell r="L12">
            <v>2.7199999999999998</v>
          </cell>
          <cell r="M12" t="str">
            <v>#N/A N/A</v>
          </cell>
          <cell r="O12">
            <v>33238</v>
          </cell>
          <cell r="P12">
            <v>2.65</v>
          </cell>
          <cell r="Q12">
            <v>2.4</v>
          </cell>
          <cell r="S12">
            <v>33238</v>
          </cell>
          <cell r="T12">
            <v>2.48</v>
          </cell>
          <cell r="U12">
            <v>2.06</v>
          </cell>
          <cell r="W12">
            <v>33238</v>
          </cell>
          <cell r="X12">
            <v>1.73</v>
          </cell>
          <cell r="Y12">
            <v>1.24</v>
          </cell>
          <cell r="AA12">
            <v>33238</v>
          </cell>
          <cell r="AB12">
            <v>1.1155999999999999</v>
          </cell>
          <cell r="AC12">
            <v>0.72889999999999999</v>
          </cell>
          <cell r="AE12">
            <v>33238</v>
          </cell>
          <cell r="AF12">
            <v>1.335</v>
          </cell>
          <cell r="AG12">
            <v>1.48</v>
          </cell>
          <cell r="AI12">
            <v>33238</v>
          </cell>
          <cell r="AJ12">
            <v>-6.07</v>
          </cell>
          <cell r="AK12">
            <v>0.42</v>
          </cell>
          <cell r="AM12">
            <v>33238</v>
          </cell>
          <cell r="AN12">
            <v>2.3199999999999998</v>
          </cell>
          <cell r="AO12">
            <v>1.8199999999999998</v>
          </cell>
          <cell r="AQ12">
            <v>33238</v>
          </cell>
          <cell r="AR12">
            <v>1.46</v>
          </cell>
          <cell r="AS12">
            <v>1.1167</v>
          </cell>
          <cell r="AU12">
            <v>33238</v>
          </cell>
          <cell r="AV12">
            <v>3.26</v>
          </cell>
          <cell r="AW12">
            <v>1.78</v>
          </cell>
          <cell r="AY12">
            <v>33238</v>
          </cell>
          <cell r="AZ12">
            <v>3.6</v>
          </cell>
          <cell r="BA12">
            <v>2.4</v>
          </cell>
          <cell r="BC12">
            <v>33238</v>
          </cell>
          <cell r="BD12">
            <v>1.8</v>
          </cell>
          <cell r="BE12">
            <v>1.31</v>
          </cell>
          <cell r="BG12">
            <v>35430</v>
          </cell>
          <cell r="BH12">
            <v>0.52300000000000002</v>
          </cell>
          <cell r="BI12">
            <v>0</v>
          </cell>
          <cell r="BK12">
            <v>33238</v>
          </cell>
          <cell r="BL12">
            <v>2.44</v>
          </cell>
          <cell r="BM12">
            <v>1.05</v>
          </cell>
          <cell r="BO12">
            <v>35795</v>
          </cell>
          <cell r="BP12">
            <v>-3.4</v>
          </cell>
          <cell r="BQ12">
            <v>0.9</v>
          </cell>
          <cell r="BS12">
            <v>35062</v>
          </cell>
          <cell r="BT12">
            <v>2.0499999999999998</v>
          </cell>
          <cell r="BU12" t="str">
            <v>#N/A N/A</v>
          </cell>
          <cell r="BW12">
            <v>33238</v>
          </cell>
          <cell r="BX12">
            <v>1.5550000000000002</v>
          </cell>
          <cell r="BY12">
            <v>1.31</v>
          </cell>
          <cell r="CA12">
            <v>33238</v>
          </cell>
          <cell r="CB12">
            <v>1.085</v>
          </cell>
          <cell r="CC12">
            <v>1.085</v>
          </cell>
          <cell r="CE12">
            <v>33238</v>
          </cell>
          <cell r="CF12">
            <v>1.9100000000000001</v>
          </cell>
          <cell r="CG12">
            <v>1.8599999999999999</v>
          </cell>
          <cell r="CI12">
            <v>33238</v>
          </cell>
          <cell r="CJ12">
            <v>0.90669999999999995</v>
          </cell>
          <cell r="CK12">
            <v>0.76439999999999997</v>
          </cell>
          <cell r="CM12">
            <v>33238</v>
          </cell>
          <cell r="CN12">
            <v>-1.43</v>
          </cell>
          <cell r="CO12">
            <v>1.17</v>
          </cell>
          <cell r="CQ12">
            <v>33238</v>
          </cell>
          <cell r="CR12">
            <v>1.94</v>
          </cell>
          <cell r="CS12">
            <v>1.76</v>
          </cell>
          <cell r="CU12">
            <v>37621</v>
          </cell>
          <cell r="CV12">
            <v>-30.04</v>
          </cell>
          <cell r="CW12">
            <v>1.27</v>
          </cell>
          <cell r="CY12">
            <v>33238</v>
          </cell>
          <cell r="CZ12">
            <v>0.84499999999999997</v>
          </cell>
          <cell r="DA12">
            <v>0.62</v>
          </cell>
          <cell r="DC12">
            <v>33238</v>
          </cell>
          <cell r="DD12">
            <v>0.995</v>
          </cell>
          <cell r="DE12">
            <v>0.78</v>
          </cell>
          <cell r="DG12">
            <v>33238</v>
          </cell>
          <cell r="DH12">
            <v>2.1</v>
          </cell>
          <cell r="DI12">
            <v>1.52</v>
          </cell>
          <cell r="DK12">
            <v>33238</v>
          </cell>
          <cell r="DL12">
            <v>1.1200000000000001</v>
          </cell>
          <cell r="DM12" t="str">
            <v>#N/A N/A</v>
          </cell>
          <cell r="DO12">
            <v>33238</v>
          </cell>
          <cell r="DP12">
            <v>-0.15329999999999999</v>
          </cell>
          <cell r="DQ12" t="str">
            <v>#N/A N/A</v>
          </cell>
          <cell r="DS12">
            <v>33969</v>
          </cell>
          <cell r="DT12">
            <v>2.2999999999999998</v>
          </cell>
          <cell r="DU12">
            <v>0</v>
          </cell>
          <cell r="DW12">
            <v>33238</v>
          </cell>
          <cell r="DX12">
            <v>0.98750000000000004</v>
          </cell>
          <cell r="DY12">
            <v>0.745</v>
          </cell>
          <cell r="EA12">
            <v>33238</v>
          </cell>
          <cell r="EB12">
            <v>1.28</v>
          </cell>
          <cell r="EC12">
            <v>1.0449999999999999</v>
          </cell>
          <cell r="EE12">
            <v>33238</v>
          </cell>
          <cell r="EF12">
            <v>2.2200000000000002</v>
          </cell>
          <cell r="EG12">
            <v>1.26</v>
          </cell>
          <cell r="EI12">
            <v>35430</v>
          </cell>
          <cell r="EJ12">
            <v>1.77</v>
          </cell>
          <cell r="EK12" t="str">
            <v>#N/A N/A</v>
          </cell>
          <cell r="EM12">
            <v>33238</v>
          </cell>
          <cell r="EN12">
            <v>0.95499999999999996</v>
          </cell>
          <cell r="EO12">
            <v>1.07</v>
          </cell>
          <cell r="EQ12">
            <v>36525</v>
          </cell>
          <cell r="ER12">
            <v>1.48</v>
          </cell>
          <cell r="ES12">
            <v>0.94</v>
          </cell>
          <cell r="EU12">
            <v>33238</v>
          </cell>
          <cell r="EV12">
            <v>2.25</v>
          </cell>
          <cell r="EW12">
            <v>1.8</v>
          </cell>
          <cell r="EY12">
            <v>33238</v>
          </cell>
          <cell r="EZ12">
            <v>0.92330000000000001</v>
          </cell>
          <cell r="FA12">
            <v>0.57830000000000004</v>
          </cell>
          <cell r="FC12">
            <v>33238</v>
          </cell>
          <cell r="FD12">
            <v>1.415</v>
          </cell>
          <cell r="FE12">
            <v>1.1475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H-X Rothschild DCF"/>
      <sheetName val="RBH-X Risk Premium inclVIX"/>
      <sheetName val="RBH-X Retention Growth Reg"/>
      <sheetName val="RBH-X Retention Ratio Data"/>
      <sheetName val="RBH-X DuPont Analysis"/>
      <sheetName val="RBH-X SGR for 2018"/>
      <sheetName val="RBH-X SGR for 2022"/>
      <sheetName val="RBH-X Growth Rate Regress"/>
      <sheetName val="RBH-X Alt. RP"/>
      <sheetName val="RBH-X CapStr HoldCo v OpCo"/>
      <sheetName val="Chart X Forecast Error"/>
      <sheetName val="Earnings Call Issue SummaryTabl"/>
      <sheetName val="Liquidity risk"/>
      <sheetName val="Earnings Surprise"/>
      <sheetName val="VVIX"/>
      <sheetName val="Capacity Util_credit spread"/>
      <sheetName val="Capacity Util_V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vg Prices"/>
      <sheetName val="Dividends"/>
      <sheetName val="Proxy PE Calculation"/>
      <sheetName val="Payout Ratios"/>
      <sheetName val="Past Rate Cases"/>
      <sheetName val="BYRP Treasury Yields"/>
      <sheetName val="MOODUBAA"/>
      <sheetName val="VIX"/>
      <sheetName val="Cap Str WP"/>
      <sheetName val="HECO Balance Sheet "/>
      <sheetName val="Split Past Rate Cases"/>
      <sheetName val="Split Treasury Yields"/>
      <sheetName val="JRW Proxy HoldCo Cap Str"/>
      <sheetName val="JRW Proxy OpCo Cap Str"/>
      <sheetName val="Chart R2 Opposing Witness ROE"/>
      <sheetName val="Chart R3, Table 2"/>
      <sheetName val="Chart R6 Rolling Average PE"/>
      <sheetName val="Chart R10 Cash Flow to CapEx"/>
      <sheetName val="Chart R12 Term Spread"/>
      <sheetName val="Chart R16-17 Forecast Error"/>
      <sheetName val="Chart R20 Cap Appreciation Freq"/>
      <sheetName val="Chart R22 JRW Market to Book"/>
      <sheetName val="Chart R23 SPX Market to Book"/>
      <sheetName val="Chart R24 JRW-6 Regression "/>
      <sheetName val="Table R8 Recalculated Betas"/>
      <sheetName val="Table R8 3.16.2018 Betas"/>
      <sheetName val="Table R8 2.16.2018 Betas"/>
      <sheetName val="Table R8 1.26.2018 Betas"/>
      <sheetName val="BAA-Treas Spread"/>
      <sheetName val="SO enterprise value"/>
      <sheetName val="MRP Inverse Relationship"/>
      <sheetName val="Rolling average market return"/>
      <sheetName val="SNL Electric SPX Index"/>
      <sheetName val="MPG Price to Book"/>
      <sheetName val="SNL MB Data"/>
      <sheetName val="Woolridge Proxy 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Data"/>
      <sheetName val="Moody's Bond Yield Data"/>
      <sheetName val="Cover"/>
      <sheetName val="List"/>
      <sheetName val="Discount Rate"/>
      <sheetName val="Prime Rate"/>
      <sheetName val="Inflation"/>
      <sheetName val="Moody's"/>
      <sheetName val="30 Yr. Bonds"/>
      <sheetName val="Discount Chart"/>
      <sheetName val="Inflation Chart"/>
      <sheetName val="Moody's T-Bond Chart"/>
      <sheetName val="Moody's Spread Chart"/>
      <sheetName val="Moody's Baa Bond Yields Chart"/>
      <sheetName val="Econ Est &amp; Proj"/>
      <sheetName val="Hist. Cap Stru Atmos"/>
      <sheetName val="Ratios"/>
      <sheetName val="Cap. Struct."/>
      <sheetName val="LTD Rate"/>
      <sheetName val="STD Rate"/>
      <sheetName val="Comp. Co Criteria"/>
      <sheetName val="Ticker - Distr."/>
      <sheetName val="10-yr. Historical Growth"/>
      <sheetName val="5-yr. historical growth"/>
      <sheetName val="Avg 5-year and 10-year"/>
      <sheetName val="Comparable Projected Growth"/>
      <sheetName val="Comparable Stock Prices"/>
      <sheetName val="Comp DCF"/>
      <sheetName val="Comp CAPM"/>
      <sheetName val="Comp. Ratios"/>
      <sheetName val="RR"/>
      <sheetName val="WACC"/>
    </sheetNames>
    <sheetDataSet>
      <sheetData sheetId="0">
        <row r="30">
          <cell r="B30" t="str">
            <v>82</v>
          </cell>
          <cell r="C30">
            <v>14.22</v>
          </cell>
          <cell r="E30">
            <v>16.73</v>
          </cell>
          <cell r="I30">
            <v>8.4</v>
          </cell>
          <cell r="K30">
            <v>12</v>
          </cell>
          <cell r="O30">
            <v>2.5099999999999998</v>
          </cell>
          <cell r="P30">
            <v>1.5240553745928338</v>
          </cell>
        </row>
        <row r="31">
          <cell r="C31">
            <v>14.22</v>
          </cell>
          <cell r="E31">
            <v>16.72</v>
          </cell>
          <cell r="I31">
            <v>7.6</v>
          </cell>
          <cell r="K31">
            <v>12</v>
          </cell>
          <cell r="O31">
            <v>2.4999999999999982</v>
          </cell>
          <cell r="P31">
            <v>1.5240553745928338</v>
          </cell>
        </row>
        <row r="32">
          <cell r="C32">
            <v>13.53</v>
          </cell>
          <cell r="E32">
            <v>16.07</v>
          </cell>
          <cell r="I32">
            <v>6.8</v>
          </cell>
          <cell r="K32">
            <v>12</v>
          </cell>
          <cell r="O32">
            <v>2.5400000000000009</v>
          </cell>
          <cell r="P32">
            <v>1.5240553745928338</v>
          </cell>
        </row>
        <row r="33">
          <cell r="C33">
            <v>13.37</v>
          </cell>
          <cell r="E33">
            <v>15.82</v>
          </cell>
          <cell r="I33">
            <v>6.5</v>
          </cell>
          <cell r="K33">
            <v>12</v>
          </cell>
          <cell r="O33">
            <v>2.4500000000000011</v>
          </cell>
          <cell r="P33">
            <v>1.5240553745928338</v>
          </cell>
        </row>
        <row r="34">
          <cell r="C34">
            <v>13.24</v>
          </cell>
          <cell r="E34">
            <v>15.6</v>
          </cell>
          <cell r="I34">
            <v>6.7</v>
          </cell>
          <cell r="K34">
            <v>12</v>
          </cell>
          <cell r="O34">
            <v>2.3599999999999994</v>
          </cell>
          <cell r="P34">
            <v>1.5240553745928338</v>
          </cell>
        </row>
        <row r="35">
          <cell r="C35">
            <v>13.92</v>
          </cell>
          <cell r="E35">
            <v>16.18</v>
          </cell>
          <cell r="I35">
            <v>7.1</v>
          </cell>
          <cell r="K35">
            <v>12</v>
          </cell>
          <cell r="O35">
            <v>2.2599999999999998</v>
          </cell>
          <cell r="P35">
            <v>1.5240553745928338</v>
          </cell>
        </row>
        <row r="36">
          <cell r="C36">
            <v>13.55</v>
          </cell>
          <cell r="E36">
            <v>16.04</v>
          </cell>
          <cell r="I36">
            <v>6.4</v>
          </cell>
          <cell r="K36">
            <v>11</v>
          </cell>
          <cell r="O36">
            <v>2.4899999999999984</v>
          </cell>
          <cell r="P36">
            <v>1.5240553745928338</v>
          </cell>
        </row>
        <row r="37">
          <cell r="C37">
            <v>12.77</v>
          </cell>
          <cell r="E37">
            <v>15.22</v>
          </cell>
          <cell r="I37">
            <v>5.9</v>
          </cell>
          <cell r="K37">
            <v>10</v>
          </cell>
          <cell r="O37">
            <v>2.4500000000000011</v>
          </cell>
          <cell r="P37">
            <v>1.5240553745928338</v>
          </cell>
        </row>
        <row r="38">
          <cell r="C38">
            <v>12.07</v>
          </cell>
          <cell r="E38">
            <v>14.56</v>
          </cell>
          <cell r="I38">
            <v>5</v>
          </cell>
          <cell r="K38">
            <v>9.5</v>
          </cell>
          <cell r="O38">
            <v>2.4900000000000002</v>
          </cell>
          <cell r="P38">
            <v>1.5240553745928338</v>
          </cell>
        </row>
        <row r="39">
          <cell r="C39">
            <v>11.17</v>
          </cell>
          <cell r="E39">
            <v>13.88</v>
          </cell>
          <cell r="I39">
            <v>5.0999999999999996</v>
          </cell>
          <cell r="K39">
            <v>9</v>
          </cell>
          <cell r="O39">
            <v>2.7100000000000009</v>
          </cell>
          <cell r="P39">
            <v>1.5240553745928338</v>
          </cell>
        </row>
        <row r="40">
          <cell r="C40">
            <v>10.54</v>
          </cell>
          <cell r="E40">
            <v>13.58</v>
          </cell>
          <cell r="I40">
            <v>4.5999999999999996</v>
          </cell>
          <cell r="K40">
            <v>9</v>
          </cell>
          <cell r="O40">
            <v>3.0400000000000009</v>
          </cell>
          <cell r="P40">
            <v>1.5240553745928338</v>
          </cell>
        </row>
        <row r="41">
          <cell r="C41">
            <v>10.54</v>
          </cell>
          <cell r="E41">
            <v>13.55</v>
          </cell>
          <cell r="I41">
            <v>3.8</v>
          </cell>
          <cell r="K41">
            <v>8.5</v>
          </cell>
          <cell r="O41">
            <v>3.0100000000000016</v>
          </cell>
          <cell r="P41">
            <v>1.5240553745928338</v>
          </cell>
        </row>
        <row r="42">
          <cell r="B42" t="str">
            <v>83</v>
          </cell>
          <cell r="C42">
            <v>10.63</v>
          </cell>
          <cell r="E42">
            <v>13.46</v>
          </cell>
          <cell r="I42">
            <v>3.7</v>
          </cell>
          <cell r="K42">
            <v>8.5</v>
          </cell>
          <cell r="O42">
            <v>2.83</v>
          </cell>
          <cell r="P42">
            <v>1.5240553745928338</v>
          </cell>
        </row>
        <row r="43">
          <cell r="C43">
            <v>10.88</v>
          </cell>
          <cell r="E43">
            <v>13.6</v>
          </cell>
          <cell r="I43">
            <v>3.5</v>
          </cell>
          <cell r="K43">
            <v>8.5</v>
          </cell>
          <cell r="O43">
            <v>2.7199999999999989</v>
          </cell>
          <cell r="P43">
            <v>1.5240553745928338</v>
          </cell>
        </row>
        <row r="44">
          <cell r="C44">
            <v>10.63</v>
          </cell>
          <cell r="E44">
            <v>13.28</v>
          </cell>
          <cell r="I44">
            <v>3.6</v>
          </cell>
          <cell r="K44">
            <v>8.5</v>
          </cell>
          <cell r="O44">
            <v>2.6499999999999986</v>
          </cell>
          <cell r="P44">
            <v>1.5240553745928338</v>
          </cell>
        </row>
        <row r="45">
          <cell r="C45">
            <v>10.48</v>
          </cell>
          <cell r="E45">
            <v>13.03</v>
          </cell>
          <cell r="I45">
            <v>3.9</v>
          </cell>
          <cell r="K45">
            <v>8.5</v>
          </cell>
          <cell r="O45">
            <v>2.5499999999999989</v>
          </cell>
          <cell r="P45">
            <v>1.5240553745928338</v>
          </cell>
        </row>
        <row r="46">
          <cell r="C46">
            <v>10.53</v>
          </cell>
          <cell r="E46">
            <v>13</v>
          </cell>
          <cell r="I46">
            <v>3.5</v>
          </cell>
          <cell r="K46">
            <v>8.5</v>
          </cell>
          <cell r="O46">
            <v>2.4700000000000006</v>
          </cell>
          <cell r="P46">
            <v>1.5240553745928338</v>
          </cell>
        </row>
        <row r="47">
          <cell r="C47">
            <v>10.93</v>
          </cell>
          <cell r="E47">
            <v>13.17</v>
          </cell>
          <cell r="I47">
            <v>2.6</v>
          </cell>
          <cell r="K47">
            <v>8.5</v>
          </cell>
          <cell r="O47">
            <v>2.2400000000000002</v>
          </cell>
          <cell r="P47">
            <v>1.5240553745928338</v>
          </cell>
        </row>
        <row r="48">
          <cell r="C48">
            <v>11.4</v>
          </cell>
          <cell r="E48">
            <v>13.28</v>
          </cell>
          <cell r="I48">
            <v>2.5</v>
          </cell>
          <cell r="K48">
            <v>8.5</v>
          </cell>
          <cell r="O48">
            <v>1.879999999999999</v>
          </cell>
          <cell r="P48">
            <v>1.5240553745928338</v>
          </cell>
        </row>
        <row r="49">
          <cell r="C49">
            <v>11.82</v>
          </cell>
          <cell r="E49">
            <v>13.5</v>
          </cell>
          <cell r="I49">
            <v>2.6</v>
          </cell>
          <cell r="K49">
            <v>8.5</v>
          </cell>
          <cell r="O49">
            <v>1.6799999999999997</v>
          </cell>
          <cell r="P49">
            <v>1.5240553745928338</v>
          </cell>
        </row>
        <row r="50">
          <cell r="C50">
            <v>11.63</v>
          </cell>
          <cell r="E50">
            <v>13.35</v>
          </cell>
          <cell r="I50">
            <v>2.9</v>
          </cell>
          <cell r="K50">
            <v>8.5</v>
          </cell>
          <cell r="O50">
            <v>1.7199999999999989</v>
          </cell>
          <cell r="P50">
            <v>1.5240553745928338</v>
          </cell>
        </row>
        <row r="51">
          <cell r="C51">
            <v>11.58</v>
          </cell>
          <cell r="E51">
            <v>13.19</v>
          </cell>
          <cell r="I51">
            <v>2.9</v>
          </cell>
          <cell r="K51">
            <v>8.5</v>
          </cell>
          <cell r="O51">
            <v>1.6099999999999994</v>
          </cell>
          <cell r="P51">
            <v>1.5240553745928338</v>
          </cell>
        </row>
        <row r="52">
          <cell r="C52">
            <v>11.75</v>
          </cell>
          <cell r="E52">
            <v>13.33</v>
          </cell>
          <cell r="I52">
            <v>3.3</v>
          </cell>
          <cell r="K52">
            <v>8.5</v>
          </cell>
          <cell r="O52">
            <v>1.58</v>
          </cell>
          <cell r="P52">
            <v>1.5240553745928338</v>
          </cell>
        </row>
        <row r="53">
          <cell r="C53">
            <v>11.88</v>
          </cell>
          <cell r="E53">
            <v>13.48</v>
          </cell>
          <cell r="I53">
            <v>3.8</v>
          </cell>
          <cell r="K53">
            <v>8.5</v>
          </cell>
          <cell r="O53">
            <v>1.5999999999999996</v>
          </cell>
          <cell r="P53">
            <v>1.5240553745928338</v>
          </cell>
        </row>
        <row r="54">
          <cell r="B54" t="str">
            <v>84</v>
          </cell>
          <cell r="C54">
            <v>11.75</v>
          </cell>
          <cell r="E54">
            <v>13.4</v>
          </cell>
          <cell r="I54">
            <v>4.2</v>
          </cell>
          <cell r="K54">
            <v>8.5</v>
          </cell>
          <cell r="O54">
            <v>1.6500000000000004</v>
          </cell>
          <cell r="P54">
            <v>1.5240553745928338</v>
          </cell>
        </row>
        <row r="55">
          <cell r="C55">
            <v>11.95</v>
          </cell>
          <cell r="E55">
            <v>13.5</v>
          </cell>
          <cell r="I55">
            <v>4.5999999999999996</v>
          </cell>
          <cell r="K55">
            <v>8.5</v>
          </cell>
          <cell r="O55">
            <v>1.5500000000000007</v>
          </cell>
          <cell r="P55">
            <v>1.5240553745928338</v>
          </cell>
        </row>
        <row r="56">
          <cell r="C56">
            <v>12.38</v>
          </cell>
          <cell r="E56">
            <v>14.03</v>
          </cell>
          <cell r="I56">
            <v>4.8</v>
          </cell>
          <cell r="K56">
            <v>8.5</v>
          </cell>
          <cell r="O56">
            <v>1.6499999999999986</v>
          </cell>
          <cell r="P56">
            <v>1.5240553745928338</v>
          </cell>
        </row>
        <row r="57">
          <cell r="C57">
            <v>12.65</v>
          </cell>
          <cell r="E57">
            <v>14.3</v>
          </cell>
          <cell r="I57">
            <v>4.5999999999999996</v>
          </cell>
          <cell r="K57">
            <v>9</v>
          </cell>
          <cell r="O57">
            <v>1.6500000000000004</v>
          </cell>
          <cell r="P57">
            <v>1.5240553745928338</v>
          </cell>
        </row>
        <row r="58">
          <cell r="C58">
            <v>13.43</v>
          </cell>
          <cell r="E58">
            <v>14.95</v>
          </cell>
          <cell r="I58">
            <v>4.2</v>
          </cell>
          <cell r="K58">
            <v>9</v>
          </cell>
          <cell r="O58">
            <v>1.5199999999999996</v>
          </cell>
          <cell r="P58">
            <v>1.5240553745928338</v>
          </cell>
        </row>
        <row r="59">
          <cell r="C59">
            <v>13.44</v>
          </cell>
          <cell r="E59">
            <v>15.16</v>
          </cell>
          <cell r="I59">
            <v>4.2</v>
          </cell>
          <cell r="K59">
            <v>9</v>
          </cell>
          <cell r="O59">
            <v>1.7200000000000006</v>
          </cell>
          <cell r="P59">
            <v>1.5240553745928338</v>
          </cell>
        </row>
        <row r="60">
          <cell r="C60">
            <v>13.21</v>
          </cell>
          <cell r="E60">
            <v>14.92</v>
          </cell>
          <cell r="I60">
            <v>4.2</v>
          </cell>
          <cell r="K60">
            <v>9</v>
          </cell>
          <cell r="O60">
            <v>1.7099999999999991</v>
          </cell>
          <cell r="P60">
            <v>1.5240553745928338</v>
          </cell>
        </row>
        <row r="61">
          <cell r="C61">
            <v>12.54</v>
          </cell>
          <cell r="E61">
            <v>14.29</v>
          </cell>
          <cell r="I61">
            <v>4.3</v>
          </cell>
          <cell r="K61">
            <v>9</v>
          </cell>
          <cell r="O61">
            <v>1.75</v>
          </cell>
          <cell r="P61">
            <v>1.5240553745928338</v>
          </cell>
        </row>
        <row r="62">
          <cell r="C62">
            <v>12.29</v>
          </cell>
          <cell r="E62">
            <v>14.04</v>
          </cell>
          <cell r="I62">
            <v>4.3</v>
          </cell>
          <cell r="K62">
            <v>9</v>
          </cell>
          <cell r="O62">
            <v>1.75</v>
          </cell>
          <cell r="P62">
            <v>1.5240553745928338</v>
          </cell>
        </row>
        <row r="63">
          <cell r="C63">
            <v>11.98</v>
          </cell>
          <cell r="E63">
            <v>13.68</v>
          </cell>
          <cell r="I63">
            <v>4.3</v>
          </cell>
          <cell r="K63">
            <v>9</v>
          </cell>
          <cell r="O63">
            <v>1.6999999999999993</v>
          </cell>
          <cell r="P63">
            <v>1.5240553745928338</v>
          </cell>
        </row>
        <row r="64">
          <cell r="C64">
            <v>11.56</v>
          </cell>
          <cell r="E64">
            <v>13.15</v>
          </cell>
          <cell r="I64">
            <v>4.0999999999999996</v>
          </cell>
          <cell r="K64">
            <v>8.5</v>
          </cell>
          <cell r="O64">
            <v>1.5899999999999999</v>
          </cell>
          <cell r="P64">
            <v>1.5240553745928338</v>
          </cell>
        </row>
        <row r="65">
          <cell r="C65">
            <v>11.52</v>
          </cell>
          <cell r="E65">
            <v>12.96</v>
          </cell>
          <cell r="I65">
            <v>3.9</v>
          </cell>
          <cell r="K65">
            <v>8</v>
          </cell>
          <cell r="O65">
            <v>1.4400000000000013</v>
          </cell>
          <cell r="P65">
            <v>1.5240553745928338</v>
          </cell>
        </row>
        <row r="66">
          <cell r="B66" t="str">
            <v>85</v>
          </cell>
          <cell r="C66">
            <v>11.45</v>
          </cell>
          <cell r="E66">
            <v>12.88</v>
          </cell>
          <cell r="I66">
            <v>3.5</v>
          </cell>
          <cell r="K66">
            <v>8</v>
          </cell>
          <cell r="O66">
            <v>1.4300000000000015</v>
          </cell>
          <cell r="P66">
            <v>1.5240553745928338</v>
          </cell>
        </row>
        <row r="67">
          <cell r="C67">
            <v>11.47</v>
          </cell>
          <cell r="E67">
            <v>13</v>
          </cell>
          <cell r="I67">
            <v>3.5</v>
          </cell>
          <cell r="K67">
            <v>8</v>
          </cell>
          <cell r="O67">
            <v>1.5299999999999994</v>
          </cell>
          <cell r="P67">
            <v>1.5240553745928338</v>
          </cell>
        </row>
        <row r="68">
          <cell r="C68">
            <v>11.81</v>
          </cell>
          <cell r="E68">
            <v>13.66</v>
          </cell>
          <cell r="I68">
            <v>3.7</v>
          </cell>
          <cell r="K68">
            <v>8</v>
          </cell>
          <cell r="O68">
            <v>1.8499999999999996</v>
          </cell>
          <cell r="P68">
            <v>1.5240553745928338</v>
          </cell>
        </row>
        <row r="69">
          <cell r="C69">
            <v>11.47</v>
          </cell>
          <cell r="E69">
            <v>13.42</v>
          </cell>
          <cell r="I69">
            <v>3.7</v>
          </cell>
          <cell r="K69">
            <v>8</v>
          </cell>
          <cell r="O69">
            <v>1.9499999999999993</v>
          </cell>
          <cell r="P69">
            <v>1.5240553745928338</v>
          </cell>
        </row>
        <row r="70">
          <cell r="C70">
            <v>11.05</v>
          </cell>
          <cell r="E70">
            <v>12.89</v>
          </cell>
          <cell r="I70">
            <v>3.8</v>
          </cell>
          <cell r="K70">
            <v>7.5</v>
          </cell>
          <cell r="O70">
            <v>1.8399999999999999</v>
          </cell>
          <cell r="P70">
            <v>1.5240553745928338</v>
          </cell>
        </row>
        <row r="71">
          <cell r="C71">
            <v>10.44</v>
          </cell>
          <cell r="E71">
            <v>11.91</v>
          </cell>
          <cell r="I71">
            <v>3.8</v>
          </cell>
          <cell r="K71">
            <v>7.5</v>
          </cell>
          <cell r="O71">
            <v>1.4700000000000006</v>
          </cell>
          <cell r="P71">
            <v>1.5240553745928338</v>
          </cell>
        </row>
        <row r="72">
          <cell r="C72">
            <v>10.5</v>
          </cell>
          <cell r="E72">
            <v>11.88</v>
          </cell>
          <cell r="I72">
            <v>3.6</v>
          </cell>
          <cell r="K72">
            <v>7.5</v>
          </cell>
          <cell r="O72">
            <v>1.3800000000000008</v>
          </cell>
          <cell r="P72">
            <v>1.5240553745928338</v>
          </cell>
        </row>
        <row r="73">
          <cell r="C73">
            <v>10.56</v>
          </cell>
          <cell r="E73">
            <v>11.93</v>
          </cell>
          <cell r="I73">
            <v>3.3</v>
          </cell>
          <cell r="K73">
            <v>7.5</v>
          </cell>
          <cell r="O73">
            <v>1.3699999999999992</v>
          </cell>
          <cell r="P73">
            <v>1.5240553745928338</v>
          </cell>
        </row>
        <row r="74">
          <cell r="C74">
            <v>10.61</v>
          </cell>
          <cell r="E74">
            <v>11.95</v>
          </cell>
          <cell r="I74">
            <v>3.1</v>
          </cell>
          <cell r="K74">
            <v>7.5</v>
          </cell>
          <cell r="O74">
            <v>1.3399999999999999</v>
          </cell>
          <cell r="P74">
            <v>1.5240553745928338</v>
          </cell>
        </row>
        <row r="75">
          <cell r="C75">
            <v>10.5</v>
          </cell>
          <cell r="E75">
            <v>11.84</v>
          </cell>
          <cell r="I75">
            <v>3.2</v>
          </cell>
          <cell r="K75">
            <v>7.5</v>
          </cell>
          <cell r="O75">
            <v>1.3399999999999999</v>
          </cell>
          <cell r="P75">
            <v>1.5240553745928338</v>
          </cell>
        </row>
        <row r="76">
          <cell r="C76">
            <v>10.06</v>
          </cell>
          <cell r="E76">
            <v>11.33</v>
          </cell>
          <cell r="I76">
            <v>3.5</v>
          </cell>
          <cell r="K76">
            <v>7.5</v>
          </cell>
          <cell r="O76">
            <v>1.2699999999999996</v>
          </cell>
          <cell r="P76">
            <v>1.5240553745928338</v>
          </cell>
        </row>
        <row r="77">
          <cell r="C77">
            <v>9.5399999999999991</v>
          </cell>
          <cell r="E77">
            <v>10.82</v>
          </cell>
          <cell r="I77">
            <v>3.8</v>
          </cell>
          <cell r="K77">
            <v>7.5</v>
          </cell>
          <cell r="O77">
            <v>1.2800000000000011</v>
          </cell>
          <cell r="P77">
            <v>1.5240553745928338</v>
          </cell>
        </row>
        <row r="78">
          <cell r="B78" t="str">
            <v>86</v>
          </cell>
          <cell r="C78">
            <v>9.4</v>
          </cell>
          <cell r="E78">
            <v>10.66</v>
          </cell>
          <cell r="I78">
            <v>3.9</v>
          </cell>
          <cell r="K78">
            <v>7.5</v>
          </cell>
          <cell r="O78">
            <v>1.2599999999999998</v>
          </cell>
          <cell r="P78">
            <v>1.5240553745928338</v>
          </cell>
        </row>
        <row r="79">
          <cell r="C79">
            <v>8.93</v>
          </cell>
          <cell r="E79">
            <v>10.16</v>
          </cell>
          <cell r="I79">
            <v>3.1</v>
          </cell>
          <cell r="K79">
            <v>7.5</v>
          </cell>
          <cell r="O79">
            <v>1.2300000000000004</v>
          </cell>
          <cell r="P79">
            <v>1.5240553745928338</v>
          </cell>
        </row>
        <row r="80">
          <cell r="C80">
            <v>7.96</v>
          </cell>
          <cell r="E80">
            <v>9.33</v>
          </cell>
          <cell r="I80">
            <v>2.2999999999999998</v>
          </cell>
          <cell r="K80">
            <v>7</v>
          </cell>
          <cell r="O80">
            <v>1.37</v>
          </cell>
          <cell r="P80">
            <v>1.5240553745928338</v>
          </cell>
        </row>
        <row r="81">
          <cell r="C81">
            <v>7.39</v>
          </cell>
          <cell r="E81">
            <v>9.02</v>
          </cell>
          <cell r="I81">
            <v>1.6</v>
          </cell>
          <cell r="K81">
            <v>6.5</v>
          </cell>
          <cell r="O81">
            <v>1.63</v>
          </cell>
          <cell r="P81">
            <v>1.5240553745928338</v>
          </cell>
        </row>
        <row r="82">
          <cell r="C82">
            <v>7.52</v>
          </cell>
          <cell r="E82">
            <v>9.52</v>
          </cell>
          <cell r="I82">
            <v>1.5</v>
          </cell>
          <cell r="K82">
            <v>6.5</v>
          </cell>
          <cell r="O82">
            <v>2</v>
          </cell>
          <cell r="P82">
            <v>1.5240553745928338</v>
          </cell>
        </row>
        <row r="83">
          <cell r="C83">
            <v>7.57</v>
          </cell>
          <cell r="E83">
            <v>9.51</v>
          </cell>
          <cell r="I83">
            <v>1.8</v>
          </cell>
          <cell r="K83">
            <v>6.5</v>
          </cell>
          <cell r="O83">
            <v>1.9399999999999995</v>
          </cell>
          <cell r="P83">
            <v>1.5240553745928338</v>
          </cell>
        </row>
        <row r="84">
          <cell r="C84">
            <v>7.27</v>
          </cell>
          <cell r="E84">
            <v>9.19</v>
          </cell>
          <cell r="I84">
            <v>1.6</v>
          </cell>
          <cell r="K84">
            <v>6</v>
          </cell>
          <cell r="O84">
            <v>1.92</v>
          </cell>
          <cell r="P84">
            <v>1.5240553745928338</v>
          </cell>
        </row>
        <row r="85">
          <cell r="C85">
            <v>7.33</v>
          </cell>
          <cell r="E85">
            <v>9.15</v>
          </cell>
          <cell r="I85">
            <v>1.6</v>
          </cell>
          <cell r="K85">
            <v>5.5</v>
          </cell>
          <cell r="O85">
            <v>1.8200000000000003</v>
          </cell>
          <cell r="P85">
            <v>1.5240553745928338</v>
          </cell>
        </row>
        <row r="86">
          <cell r="C86">
            <v>7.62</v>
          </cell>
          <cell r="E86">
            <v>9.42</v>
          </cell>
          <cell r="I86">
            <v>1.8</v>
          </cell>
          <cell r="K86">
            <v>5.5</v>
          </cell>
          <cell r="O86">
            <v>1.7999999999999998</v>
          </cell>
          <cell r="P86">
            <v>1.5240553745928338</v>
          </cell>
        </row>
        <row r="87">
          <cell r="C87">
            <v>7.7</v>
          </cell>
          <cell r="E87">
            <v>9.39</v>
          </cell>
          <cell r="I87">
            <v>1.5</v>
          </cell>
          <cell r="K87">
            <v>5.5</v>
          </cell>
          <cell r="O87">
            <v>1.6900000000000004</v>
          </cell>
          <cell r="P87">
            <v>1.5240553745928338</v>
          </cell>
        </row>
        <row r="88">
          <cell r="C88">
            <v>7.52</v>
          </cell>
          <cell r="E88">
            <v>9.15</v>
          </cell>
          <cell r="I88">
            <v>1.3</v>
          </cell>
          <cell r="K88">
            <v>5.5</v>
          </cell>
          <cell r="O88">
            <v>1.6300000000000008</v>
          </cell>
          <cell r="P88">
            <v>1.5240553745928338</v>
          </cell>
        </row>
        <row r="89">
          <cell r="C89">
            <v>7.37</v>
          </cell>
          <cell r="E89">
            <v>8.9600000000000009</v>
          </cell>
          <cell r="I89">
            <v>1.1000000000000001</v>
          </cell>
          <cell r="K89">
            <v>5.5</v>
          </cell>
          <cell r="O89">
            <v>1.5900000000000007</v>
          </cell>
          <cell r="P89">
            <v>1.5240553745928338</v>
          </cell>
        </row>
        <row r="90">
          <cell r="B90">
            <v>87</v>
          </cell>
          <cell r="C90">
            <v>7.39</v>
          </cell>
          <cell r="E90">
            <v>8.77</v>
          </cell>
          <cell r="I90">
            <v>1.5</v>
          </cell>
          <cell r="K90">
            <v>5.5</v>
          </cell>
          <cell r="O90">
            <v>1.38</v>
          </cell>
          <cell r="P90">
            <v>1.5240553745928338</v>
          </cell>
        </row>
        <row r="91">
          <cell r="C91">
            <v>7.54</v>
          </cell>
          <cell r="E91">
            <v>8.81</v>
          </cell>
          <cell r="I91">
            <v>2.1</v>
          </cell>
          <cell r="K91">
            <v>5.5</v>
          </cell>
          <cell r="O91">
            <v>1.2700000000000005</v>
          </cell>
          <cell r="P91">
            <v>1.5240553745928338</v>
          </cell>
        </row>
        <row r="92">
          <cell r="C92">
            <v>7.55</v>
          </cell>
          <cell r="E92">
            <v>8.75</v>
          </cell>
          <cell r="I92">
            <v>3</v>
          </cell>
          <cell r="K92">
            <v>5.5</v>
          </cell>
          <cell r="O92">
            <v>1.2000000000000002</v>
          </cell>
          <cell r="P92">
            <v>1.5240553745928338</v>
          </cell>
        </row>
        <row r="93">
          <cell r="C93">
            <v>8.25</v>
          </cell>
          <cell r="E93">
            <v>9.3000000000000007</v>
          </cell>
          <cell r="I93">
            <v>3.8</v>
          </cell>
          <cell r="K93">
            <v>5.5</v>
          </cell>
          <cell r="O93">
            <v>1.0500000000000007</v>
          </cell>
          <cell r="P93">
            <v>1.5240553745928338</v>
          </cell>
        </row>
        <row r="94">
          <cell r="C94">
            <v>8.7799999999999994</v>
          </cell>
          <cell r="E94">
            <v>9.82</v>
          </cell>
          <cell r="I94">
            <v>3.9</v>
          </cell>
          <cell r="K94">
            <v>5.5</v>
          </cell>
          <cell r="O94">
            <v>1.0400000000000009</v>
          </cell>
          <cell r="P94">
            <v>1.5240553745928338</v>
          </cell>
        </row>
        <row r="95">
          <cell r="C95">
            <v>8.57</v>
          </cell>
          <cell r="E95">
            <v>9.8699999999999992</v>
          </cell>
          <cell r="I95">
            <v>3.7</v>
          </cell>
          <cell r="K95">
            <v>5.5</v>
          </cell>
          <cell r="O95">
            <v>1.2999999999999989</v>
          </cell>
          <cell r="P95">
            <v>1.5240553745928338</v>
          </cell>
        </row>
        <row r="96">
          <cell r="C96">
            <v>8.64</v>
          </cell>
          <cell r="E96">
            <v>10.01</v>
          </cell>
          <cell r="I96">
            <v>3.9</v>
          </cell>
          <cell r="K96">
            <v>5.5</v>
          </cell>
          <cell r="O96">
            <v>1.3699999999999992</v>
          </cell>
          <cell r="P96">
            <v>1.5240553745928338</v>
          </cell>
        </row>
        <row r="97">
          <cell r="C97">
            <v>8.9700000000000006</v>
          </cell>
          <cell r="E97">
            <v>10.33</v>
          </cell>
          <cell r="I97">
            <v>4.3</v>
          </cell>
          <cell r="K97">
            <v>5.5</v>
          </cell>
          <cell r="O97">
            <v>1.3599999999999994</v>
          </cell>
          <cell r="P97">
            <v>1.5240553745928338</v>
          </cell>
        </row>
        <row r="98">
          <cell r="C98">
            <v>9.59</v>
          </cell>
          <cell r="E98">
            <v>11</v>
          </cell>
          <cell r="I98">
            <v>4.4000000000000004</v>
          </cell>
          <cell r="K98">
            <v>6</v>
          </cell>
          <cell r="O98">
            <v>1.4100000000000001</v>
          </cell>
          <cell r="P98">
            <v>1.5240553745928338</v>
          </cell>
        </row>
        <row r="99">
          <cell r="C99">
            <v>9.61</v>
          </cell>
          <cell r="E99">
            <v>11.32</v>
          </cell>
          <cell r="I99">
            <v>4.5</v>
          </cell>
          <cell r="K99">
            <v>6</v>
          </cell>
          <cell r="O99">
            <v>1.7100000000000009</v>
          </cell>
          <cell r="P99">
            <v>1.5240553745928338</v>
          </cell>
        </row>
        <row r="100">
          <cell r="C100">
            <v>8.9499999999999993</v>
          </cell>
          <cell r="E100">
            <v>10.82</v>
          </cell>
          <cell r="I100">
            <v>4.5</v>
          </cell>
          <cell r="K100">
            <v>6</v>
          </cell>
          <cell r="O100">
            <v>1.870000000000001</v>
          </cell>
          <cell r="P100">
            <v>1.5240553745928338</v>
          </cell>
        </row>
        <row r="101">
          <cell r="C101">
            <v>9.1199999999999992</v>
          </cell>
          <cell r="E101">
            <v>10.99</v>
          </cell>
          <cell r="I101">
            <v>4.4000000000000004</v>
          </cell>
          <cell r="K101">
            <v>6</v>
          </cell>
          <cell r="O101">
            <v>1.870000000000001</v>
          </cell>
          <cell r="P101">
            <v>1.5240553745928338</v>
          </cell>
        </row>
        <row r="102">
          <cell r="B102" t="str">
            <v>88</v>
          </cell>
          <cell r="C102">
            <v>8.83</v>
          </cell>
          <cell r="E102">
            <v>10.75</v>
          </cell>
          <cell r="I102">
            <v>4</v>
          </cell>
          <cell r="K102">
            <v>6</v>
          </cell>
          <cell r="O102">
            <v>1.92</v>
          </cell>
          <cell r="P102">
            <v>1.5240553745928338</v>
          </cell>
        </row>
        <row r="103">
          <cell r="C103">
            <v>8.43</v>
          </cell>
          <cell r="E103">
            <v>10.11</v>
          </cell>
          <cell r="I103">
            <v>3.9</v>
          </cell>
          <cell r="K103">
            <v>6</v>
          </cell>
          <cell r="O103">
            <v>1.6799999999999997</v>
          </cell>
          <cell r="P103">
            <v>1.5240553745928338</v>
          </cell>
        </row>
        <row r="104">
          <cell r="C104">
            <v>8.6300000000000008</v>
          </cell>
          <cell r="E104">
            <v>10.11</v>
          </cell>
          <cell r="I104">
            <v>3.9</v>
          </cell>
          <cell r="K104">
            <v>6</v>
          </cell>
          <cell r="O104">
            <v>1.4799999999999986</v>
          </cell>
          <cell r="P104">
            <v>1.5240553745928338</v>
          </cell>
        </row>
        <row r="105">
          <cell r="C105">
            <v>8.9499999999999993</v>
          </cell>
          <cell r="E105">
            <v>10.53</v>
          </cell>
          <cell r="I105">
            <v>3.9</v>
          </cell>
          <cell r="K105">
            <v>6</v>
          </cell>
          <cell r="O105">
            <v>1.58</v>
          </cell>
          <cell r="P105">
            <v>1.5240553745928338</v>
          </cell>
        </row>
        <row r="106">
          <cell r="C106">
            <v>9.23</v>
          </cell>
          <cell r="E106">
            <v>10.75</v>
          </cell>
          <cell r="I106">
            <v>3.9</v>
          </cell>
          <cell r="K106">
            <v>6</v>
          </cell>
          <cell r="O106">
            <v>1.5199999999999996</v>
          </cell>
          <cell r="P106">
            <v>1.5240553745928338</v>
          </cell>
        </row>
        <row r="107">
          <cell r="C107">
            <v>9</v>
          </cell>
          <cell r="E107">
            <v>10.71</v>
          </cell>
          <cell r="I107">
            <v>4</v>
          </cell>
          <cell r="K107">
            <v>6</v>
          </cell>
          <cell r="O107">
            <v>1.7100000000000009</v>
          </cell>
          <cell r="P107">
            <v>1.5240553745928338</v>
          </cell>
        </row>
        <row r="108">
          <cell r="C108">
            <v>9.14</v>
          </cell>
          <cell r="E108">
            <v>10.96</v>
          </cell>
          <cell r="I108">
            <v>4.0999999999999996</v>
          </cell>
          <cell r="K108">
            <v>6</v>
          </cell>
          <cell r="O108">
            <v>1.8200000000000003</v>
          </cell>
          <cell r="P108">
            <v>1.5240553745928338</v>
          </cell>
        </row>
        <row r="109">
          <cell r="C109">
            <v>9.32</v>
          </cell>
          <cell r="E109">
            <v>11.09</v>
          </cell>
          <cell r="I109">
            <v>4</v>
          </cell>
          <cell r="K109">
            <v>6.5</v>
          </cell>
          <cell r="O109">
            <v>1.7699999999999996</v>
          </cell>
          <cell r="P109">
            <v>1.5240553745928338</v>
          </cell>
        </row>
        <row r="110">
          <cell r="C110">
            <v>9.06</v>
          </cell>
          <cell r="E110">
            <v>10.56</v>
          </cell>
          <cell r="I110">
            <v>4.2</v>
          </cell>
          <cell r="K110">
            <v>6.5</v>
          </cell>
          <cell r="O110">
            <v>1.5</v>
          </cell>
          <cell r="P110">
            <v>1.5240553745928338</v>
          </cell>
        </row>
        <row r="111">
          <cell r="C111">
            <v>8.89</v>
          </cell>
          <cell r="E111">
            <v>9.92</v>
          </cell>
          <cell r="I111">
            <v>4.2</v>
          </cell>
          <cell r="K111">
            <v>6.5</v>
          </cell>
          <cell r="O111">
            <v>1.0299999999999994</v>
          </cell>
          <cell r="P111">
            <v>1.5240553745928338</v>
          </cell>
        </row>
        <row r="112">
          <cell r="C112">
            <v>9.02</v>
          </cell>
          <cell r="E112">
            <v>9.89</v>
          </cell>
          <cell r="I112">
            <v>4.2</v>
          </cell>
          <cell r="K112">
            <v>6.5</v>
          </cell>
          <cell r="O112">
            <v>0.87000000000000099</v>
          </cell>
          <cell r="P112">
            <v>1.5240553745928338</v>
          </cell>
        </row>
        <row r="113">
          <cell r="C113">
            <v>9.01</v>
          </cell>
          <cell r="E113">
            <v>10.02</v>
          </cell>
          <cell r="I113">
            <v>4.4000000000000004</v>
          </cell>
          <cell r="K113">
            <v>6.5</v>
          </cell>
          <cell r="O113">
            <v>1.0099999999999998</v>
          </cell>
          <cell r="P113">
            <v>1.5240553745928338</v>
          </cell>
        </row>
        <row r="114">
          <cell r="B114" t="str">
            <v>89</v>
          </cell>
          <cell r="C114">
            <v>8.93</v>
          </cell>
          <cell r="E114">
            <v>10.02</v>
          </cell>
          <cell r="I114">
            <v>4.7</v>
          </cell>
          <cell r="K114">
            <v>6.5</v>
          </cell>
          <cell r="O114">
            <v>1.0899999999999999</v>
          </cell>
          <cell r="P114">
            <v>1.5240553745928338</v>
          </cell>
        </row>
        <row r="115">
          <cell r="C115">
            <v>9.01</v>
          </cell>
          <cell r="E115">
            <v>10.02</v>
          </cell>
          <cell r="I115">
            <v>4.8</v>
          </cell>
          <cell r="K115">
            <v>7</v>
          </cell>
          <cell r="O115">
            <v>1.0099999999999998</v>
          </cell>
          <cell r="P115">
            <v>1.5240553745928338</v>
          </cell>
        </row>
        <row r="116">
          <cell r="C116">
            <v>9.17</v>
          </cell>
          <cell r="E116">
            <v>10.16</v>
          </cell>
          <cell r="I116">
            <v>5</v>
          </cell>
          <cell r="K116">
            <v>7</v>
          </cell>
          <cell r="O116">
            <v>0.99000000000000021</v>
          </cell>
          <cell r="P116">
            <v>1.5240553745928338</v>
          </cell>
        </row>
        <row r="117">
          <cell r="C117">
            <v>9.0299999999999994</v>
          </cell>
          <cell r="E117">
            <v>10.14</v>
          </cell>
          <cell r="I117">
            <v>5.0999999999999996</v>
          </cell>
          <cell r="K117">
            <v>7</v>
          </cell>
          <cell r="O117">
            <v>1.1100000000000012</v>
          </cell>
          <cell r="P117">
            <v>1.5240553745928338</v>
          </cell>
        </row>
        <row r="118">
          <cell r="C118">
            <v>8.83</v>
          </cell>
          <cell r="E118">
            <v>9.92</v>
          </cell>
          <cell r="I118">
            <v>5.4</v>
          </cell>
          <cell r="K118">
            <v>7</v>
          </cell>
          <cell r="O118">
            <v>1.0899999999999999</v>
          </cell>
          <cell r="P118">
            <v>1.5240553745928338</v>
          </cell>
        </row>
        <row r="119">
          <cell r="C119">
            <v>8.27</v>
          </cell>
          <cell r="E119">
            <v>9.49</v>
          </cell>
          <cell r="I119">
            <v>5.2</v>
          </cell>
          <cell r="K119">
            <v>7</v>
          </cell>
          <cell r="O119">
            <v>1.2200000000000006</v>
          </cell>
          <cell r="P119">
            <v>1.5240553745928338</v>
          </cell>
        </row>
        <row r="120">
          <cell r="C120">
            <v>8.08</v>
          </cell>
          <cell r="E120">
            <v>9.34</v>
          </cell>
          <cell r="I120">
            <v>5</v>
          </cell>
          <cell r="K120">
            <v>7</v>
          </cell>
          <cell r="O120">
            <v>1.2599999999999998</v>
          </cell>
          <cell r="P120">
            <v>1.5240553745928338</v>
          </cell>
        </row>
        <row r="121">
          <cell r="C121">
            <v>8.1199999999999992</v>
          </cell>
          <cell r="E121">
            <v>9.3699999999999992</v>
          </cell>
          <cell r="I121">
            <v>4.7</v>
          </cell>
          <cell r="K121">
            <v>7</v>
          </cell>
          <cell r="O121">
            <v>1.25</v>
          </cell>
          <cell r="P121">
            <v>1.5240553745928338</v>
          </cell>
        </row>
        <row r="122">
          <cell r="C122">
            <v>8.15</v>
          </cell>
          <cell r="E122">
            <v>9.43</v>
          </cell>
          <cell r="I122">
            <v>4.3</v>
          </cell>
          <cell r="K122">
            <v>7</v>
          </cell>
          <cell r="O122">
            <v>1.2799999999999994</v>
          </cell>
          <cell r="P122">
            <v>1.5240553745928338</v>
          </cell>
        </row>
        <row r="123">
          <cell r="C123">
            <v>8</v>
          </cell>
          <cell r="E123">
            <v>9.3699999999999992</v>
          </cell>
          <cell r="I123">
            <v>4.5</v>
          </cell>
          <cell r="K123">
            <v>7</v>
          </cell>
          <cell r="O123">
            <v>1.3699999999999992</v>
          </cell>
          <cell r="P123">
            <v>1.5240553745928338</v>
          </cell>
        </row>
        <row r="124">
          <cell r="C124">
            <v>7.9</v>
          </cell>
          <cell r="E124">
            <v>9.33</v>
          </cell>
          <cell r="I124">
            <v>4.7</v>
          </cell>
          <cell r="K124">
            <v>7</v>
          </cell>
          <cell r="O124">
            <v>1.4299999999999997</v>
          </cell>
          <cell r="P124">
            <v>1.5240553745928338</v>
          </cell>
        </row>
        <row r="125">
          <cell r="C125">
            <v>7.9</v>
          </cell>
          <cell r="E125">
            <v>9.31</v>
          </cell>
          <cell r="I125">
            <v>4.5999999999999996</v>
          </cell>
          <cell r="K125">
            <v>7</v>
          </cell>
          <cell r="O125">
            <v>1.4100000000000001</v>
          </cell>
          <cell r="P125">
            <v>1.5240553745928338</v>
          </cell>
        </row>
        <row r="126">
          <cell r="B126" t="str">
            <v>90</v>
          </cell>
          <cell r="C126">
            <v>8.26</v>
          </cell>
          <cell r="E126">
            <v>9.44</v>
          </cell>
          <cell r="I126">
            <v>5.2</v>
          </cell>
          <cell r="K126">
            <v>7</v>
          </cell>
          <cell r="O126">
            <v>1.1799999999999997</v>
          </cell>
          <cell r="P126">
            <v>1.5240553745928338</v>
          </cell>
        </row>
        <row r="127">
          <cell r="C127">
            <v>8.5</v>
          </cell>
          <cell r="E127">
            <v>9.66</v>
          </cell>
          <cell r="I127">
            <v>5.3</v>
          </cell>
          <cell r="K127">
            <v>7</v>
          </cell>
          <cell r="O127">
            <v>1.1600000000000001</v>
          </cell>
          <cell r="P127">
            <v>1.5240553745928338</v>
          </cell>
        </row>
        <row r="128">
          <cell r="C128">
            <v>8.56</v>
          </cell>
          <cell r="E128">
            <v>9.75</v>
          </cell>
          <cell r="I128">
            <v>5.2</v>
          </cell>
          <cell r="K128">
            <v>7</v>
          </cell>
          <cell r="O128">
            <v>1.1899999999999995</v>
          </cell>
          <cell r="P128">
            <v>1.5240553745928338</v>
          </cell>
        </row>
        <row r="129">
          <cell r="C129">
            <v>8.76</v>
          </cell>
          <cell r="E129">
            <v>9.8699999999999992</v>
          </cell>
          <cell r="I129">
            <v>4.7</v>
          </cell>
          <cell r="K129">
            <v>7</v>
          </cell>
          <cell r="O129">
            <v>1.1099999999999994</v>
          </cell>
          <cell r="P129">
            <v>1.5240553745928338</v>
          </cell>
        </row>
        <row r="130">
          <cell r="C130">
            <v>8.73</v>
          </cell>
          <cell r="E130">
            <v>9.89</v>
          </cell>
          <cell r="I130">
            <v>4.4000000000000004</v>
          </cell>
          <cell r="K130">
            <v>7</v>
          </cell>
          <cell r="O130">
            <v>1.1600000000000001</v>
          </cell>
          <cell r="P130">
            <v>1.5240553745928338</v>
          </cell>
        </row>
        <row r="131">
          <cell r="C131">
            <v>8.4600000000000009</v>
          </cell>
          <cell r="E131">
            <v>9.69</v>
          </cell>
          <cell r="I131">
            <v>4.7</v>
          </cell>
          <cell r="K131">
            <v>7</v>
          </cell>
          <cell r="O131">
            <v>1.2299999999999986</v>
          </cell>
          <cell r="P131">
            <v>1.5240553745928338</v>
          </cell>
        </row>
        <row r="132">
          <cell r="C132">
            <v>8.5</v>
          </cell>
          <cell r="E132">
            <v>9.66</v>
          </cell>
          <cell r="I132">
            <v>4.8</v>
          </cell>
          <cell r="K132">
            <v>7</v>
          </cell>
          <cell r="O132">
            <v>1.1600000000000001</v>
          </cell>
          <cell r="P132">
            <v>1.5240553745928338</v>
          </cell>
        </row>
        <row r="133">
          <cell r="C133">
            <v>8.86</v>
          </cell>
          <cell r="E133">
            <v>9.84</v>
          </cell>
          <cell r="I133">
            <v>5.6</v>
          </cell>
          <cell r="K133">
            <v>7</v>
          </cell>
          <cell r="O133">
            <v>0.98000000000000043</v>
          </cell>
          <cell r="P133">
            <v>1.5240553745928338</v>
          </cell>
        </row>
        <row r="134">
          <cell r="C134">
            <v>9.0299999999999994</v>
          </cell>
          <cell r="E134">
            <v>10.01</v>
          </cell>
          <cell r="I134">
            <v>6.2</v>
          </cell>
          <cell r="K134">
            <v>7</v>
          </cell>
          <cell r="O134">
            <v>0.98000000000000043</v>
          </cell>
          <cell r="P134">
            <v>1.5240553745928338</v>
          </cell>
        </row>
        <row r="135">
          <cell r="C135">
            <v>8.86</v>
          </cell>
          <cell r="E135">
            <v>9.94</v>
          </cell>
          <cell r="I135">
            <v>6.3</v>
          </cell>
          <cell r="K135">
            <v>7</v>
          </cell>
          <cell r="O135">
            <v>1.08</v>
          </cell>
          <cell r="P135">
            <v>1.5240553745928338</v>
          </cell>
        </row>
        <row r="136">
          <cell r="C136">
            <v>8.5399999999999991</v>
          </cell>
          <cell r="E136">
            <v>9.76</v>
          </cell>
          <cell r="I136">
            <v>6.3</v>
          </cell>
          <cell r="K136">
            <v>7</v>
          </cell>
          <cell r="O136">
            <v>1.2200000000000006</v>
          </cell>
          <cell r="P136">
            <v>1.5240553745928338</v>
          </cell>
        </row>
        <row r="137">
          <cell r="C137">
            <v>8.24</v>
          </cell>
          <cell r="E137">
            <v>9.57</v>
          </cell>
          <cell r="I137">
            <v>6.1</v>
          </cell>
          <cell r="K137">
            <v>6.5</v>
          </cell>
          <cell r="O137">
            <v>1.33</v>
          </cell>
          <cell r="P137">
            <v>1.5240553745928338</v>
          </cell>
        </row>
        <row r="138">
          <cell r="B138" t="str">
            <v>91</v>
          </cell>
          <cell r="C138">
            <v>8.27</v>
          </cell>
          <cell r="E138">
            <v>9.56</v>
          </cell>
          <cell r="I138">
            <v>5.7</v>
          </cell>
          <cell r="K138">
            <v>6.5</v>
          </cell>
          <cell r="O138">
            <v>1.2900000000000009</v>
          </cell>
          <cell r="P138">
            <v>1.5240553745928338</v>
          </cell>
        </row>
        <row r="139">
          <cell r="C139">
            <v>8.0299999999999994</v>
          </cell>
          <cell r="E139">
            <v>9.31</v>
          </cell>
          <cell r="I139">
            <v>5.3</v>
          </cell>
          <cell r="K139">
            <v>6</v>
          </cell>
          <cell r="O139">
            <v>1.2800000000000011</v>
          </cell>
          <cell r="P139">
            <v>1.5240553745928338</v>
          </cell>
        </row>
        <row r="140">
          <cell r="C140">
            <v>8.2899999999999991</v>
          </cell>
          <cell r="E140">
            <v>9.39</v>
          </cell>
          <cell r="I140">
            <v>4.9000000000000004</v>
          </cell>
          <cell r="K140">
            <v>6</v>
          </cell>
          <cell r="O140">
            <v>1.1000000000000014</v>
          </cell>
          <cell r="P140">
            <v>1.5240553745928338</v>
          </cell>
        </row>
        <row r="141">
          <cell r="C141">
            <v>8.2100000000000009</v>
          </cell>
          <cell r="E141">
            <v>9.3000000000000007</v>
          </cell>
          <cell r="I141">
            <v>4.9000000000000004</v>
          </cell>
          <cell r="K141">
            <v>5.5</v>
          </cell>
          <cell r="O141">
            <v>1.0899999999999999</v>
          </cell>
          <cell r="P141">
            <v>1.5240553745928338</v>
          </cell>
        </row>
        <row r="142">
          <cell r="C142">
            <v>8.27</v>
          </cell>
          <cell r="E142">
            <v>9.2899999999999991</v>
          </cell>
          <cell r="I142">
            <v>5</v>
          </cell>
          <cell r="K142">
            <v>5.5</v>
          </cell>
          <cell r="O142">
            <v>1.0199999999999996</v>
          </cell>
          <cell r="P142">
            <v>1.5240553745928338</v>
          </cell>
        </row>
        <row r="143">
          <cell r="C143">
            <v>8.4700000000000006</v>
          </cell>
          <cell r="E143">
            <v>9.44</v>
          </cell>
          <cell r="I143">
            <v>4.7</v>
          </cell>
          <cell r="K143">
            <v>5.5</v>
          </cell>
          <cell r="O143">
            <v>0.96999999999999886</v>
          </cell>
          <cell r="P143">
            <v>1.5240553745928338</v>
          </cell>
        </row>
        <row r="144">
          <cell r="C144">
            <v>8.4499999999999993</v>
          </cell>
          <cell r="E144">
            <v>9.4</v>
          </cell>
          <cell r="I144">
            <v>4.4000000000000004</v>
          </cell>
          <cell r="K144">
            <v>5.5</v>
          </cell>
          <cell r="O144">
            <v>0.95000000000000107</v>
          </cell>
          <cell r="P144">
            <v>1.5240553745928338</v>
          </cell>
        </row>
        <row r="145">
          <cell r="C145">
            <v>8.14</v>
          </cell>
          <cell r="E145">
            <v>9.16</v>
          </cell>
          <cell r="I145">
            <v>3.8</v>
          </cell>
          <cell r="K145">
            <v>5.5</v>
          </cell>
          <cell r="O145">
            <v>1.0199999999999996</v>
          </cell>
          <cell r="P145">
            <v>1.5240553745928338</v>
          </cell>
        </row>
        <row r="146">
          <cell r="C146">
            <v>7.95</v>
          </cell>
          <cell r="E146">
            <v>9.0299999999999994</v>
          </cell>
          <cell r="I146">
            <v>3.4</v>
          </cell>
          <cell r="K146">
            <v>5</v>
          </cell>
          <cell r="O146">
            <v>1.0799999999999992</v>
          </cell>
          <cell r="P146">
            <v>1.5240553745928338</v>
          </cell>
        </row>
        <row r="147">
          <cell r="C147">
            <v>7.93</v>
          </cell>
          <cell r="E147">
            <v>8.99</v>
          </cell>
          <cell r="I147">
            <v>2.9</v>
          </cell>
          <cell r="K147">
            <v>5</v>
          </cell>
          <cell r="O147">
            <v>1.0600000000000005</v>
          </cell>
          <cell r="P147">
            <v>1.5240553745928338</v>
          </cell>
        </row>
        <row r="148">
          <cell r="C148">
            <v>7.92</v>
          </cell>
          <cell r="E148">
            <v>8.93</v>
          </cell>
          <cell r="I148">
            <v>3</v>
          </cell>
          <cell r="K148">
            <v>5</v>
          </cell>
          <cell r="O148">
            <v>1.0099999999999998</v>
          </cell>
          <cell r="P148">
            <v>1.5240553745928338</v>
          </cell>
        </row>
        <row r="149">
          <cell r="C149">
            <v>7.7</v>
          </cell>
          <cell r="E149">
            <v>8.76</v>
          </cell>
          <cell r="I149">
            <v>3.1</v>
          </cell>
          <cell r="K149">
            <v>4.5</v>
          </cell>
          <cell r="O149">
            <v>1.0599999999999996</v>
          </cell>
          <cell r="P149">
            <v>1.5240553745928338</v>
          </cell>
        </row>
        <row r="150">
          <cell r="B150" t="str">
            <v>92</v>
          </cell>
          <cell r="C150">
            <v>7.58</v>
          </cell>
          <cell r="E150">
            <v>8.67</v>
          </cell>
          <cell r="I150">
            <v>2.6</v>
          </cell>
          <cell r="K150">
            <v>3.5</v>
          </cell>
          <cell r="O150">
            <v>1.0899999999999999</v>
          </cell>
          <cell r="P150">
            <v>1.5240553745928338</v>
          </cell>
        </row>
        <row r="151">
          <cell r="C151">
            <v>7.85</v>
          </cell>
          <cell r="E151">
            <v>8.77</v>
          </cell>
          <cell r="I151">
            <v>2.8</v>
          </cell>
          <cell r="K151">
            <v>3.5</v>
          </cell>
          <cell r="O151">
            <v>0.91999999999999993</v>
          </cell>
          <cell r="P151">
            <v>1.5240553745928338</v>
          </cell>
        </row>
        <row r="152">
          <cell r="C152">
            <v>7.97</v>
          </cell>
          <cell r="E152">
            <v>8.84</v>
          </cell>
          <cell r="I152">
            <v>3.2</v>
          </cell>
          <cell r="K152">
            <v>3.5</v>
          </cell>
          <cell r="O152">
            <v>0.87000000000000011</v>
          </cell>
          <cell r="P152">
            <v>1.5240553745928338</v>
          </cell>
        </row>
        <row r="153">
          <cell r="C153">
            <v>7.96</v>
          </cell>
          <cell r="E153">
            <v>8.7899999999999991</v>
          </cell>
          <cell r="I153">
            <v>3.2</v>
          </cell>
          <cell r="K153">
            <v>3.5</v>
          </cell>
          <cell r="O153">
            <v>0.82999999999999918</v>
          </cell>
          <cell r="P153">
            <v>1.5240553745928338</v>
          </cell>
        </row>
        <row r="154">
          <cell r="C154">
            <v>7.89</v>
          </cell>
          <cell r="E154">
            <v>8.7200000000000006</v>
          </cell>
          <cell r="I154">
            <v>3</v>
          </cell>
          <cell r="K154">
            <v>3.5</v>
          </cell>
          <cell r="O154">
            <v>0.83000000000000096</v>
          </cell>
          <cell r="P154">
            <v>1.5240553745928338</v>
          </cell>
        </row>
        <row r="155">
          <cell r="C155">
            <v>7.84</v>
          </cell>
          <cell r="E155">
            <v>8.64</v>
          </cell>
          <cell r="I155">
            <v>3.1</v>
          </cell>
          <cell r="K155">
            <v>3.5</v>
          </cell>
          <cell r="O155">
            <v>0.80000000000000071</v>
          </cell>
          <cell r="P155">
            <v>1.5240553745928338</v>
          </cell>
        </row>
        <row r="156">
          <cell r="C156">
            <v>7.6</v>
          </cell>
          <cell r="E156">
            <v>8.4600000000000009</v>
          </cell>
          <cell r="I156">
            <v>3.2</v>
          </cell>
          <cell r="K156">
            <v>3</v>
          </cell>
          <cell r="O156">
            <v>0.86000000000000121</v>
          </cell>
          <cell r="P156">
            <v>1.5240553745928338</v>
          </cell>
        </row>
        <row r="157">
          <cell r="C157">
            <v>7.39</v>
          </cell>
          <cell r="E157">
            <v>8.34</v>
          </cell>
          <cell r="I157">
            <v>3.1</v>
          </cell>
          <cell r="K157">
            <v>3</v>
          </cell>
          <cell r="O157">
            <v>0.95000000000000018</v>
          </cell>
          <cell r="P157">
            <v>1.5240553745928338</v>
          </cell>
        </row>
        <row r="158">
          <cell r="C158">
            <v>7.34</v>
          </cell>
          <cell r="E158">
            <v>8.32</v>
          </cell>
          <cell r="I158">
            <v>3</v>
          </cell>
          <cell r="K158">
            <v>3</v>
          </cell>
          <cell r="O158">
            <v>0.98000000000000043</v>
          </cell>
          <cell r="P158">
            <v>1.5240553745928338</v>
          </cell>
        </row>
        <row r="159">
          <cell r="C159">
            <v>7.53</v>
          </cell>
          <cell r="E159">
            <v>8.44</v>
          </cell>
          <cell r="I159">
            <v>3.2</v>
          </cell>
          <cell r="K159">
            <v>3</v>
          </cell>
          <cell r="O159">
            <v>0.90999999999999925</v>
          </cell>
          <cell r="P159">
            <v>1.5240553745928338</v>
          </cell>
        </row>
        <row r="160">
          <cell r="C160">
            <v>7.61</v>
          </cell>
          <cell r="E160">
            <v>8.5299999999999994</v>
          </cell>
          <cell r="I160">
            <v>3</v>
          </cell>
          <cell r="K160">
            <v>3</v>
          </cell>
          <cell r="O160">
            <v>0.91999999999999904</v>
          </cell>
          <cell r="P160">
            <v>1.5240553745928338</v>
          </cell>
        </row>
        <row r="161">
          <cell r="C161">
            <v>7.44</v>
          </cell>
          <cell r="E161">
            <v>8.36</v>
          </cell>
          <cell r="I161">
            <v>2.9</v>
          </cell>
          <cell r="K161">
            <v>3</v>
          </cell>
          <cell r="O161">
            <v>0.91999999999999904</v>
          </cell>
          <cell r="P161">
            <v>1.5240553745928338</v>
          </cell>
        </row>
        <row r="162">
          <cell r="B162" t="str">
            <v>93</v>
          </cell>
          <cell r="C162">
            <v>7.34</v>
          </cell>
          <cell r="E162">
            <v>8.23</v>
          </cell>
          <cell r="I162">
            <v>3.3</v>
          </cell>
          <cell r="K162">
            <v>3</v>
          </cell>
          <cell r="O162">
            <v>0.89000000000000057</v>
          </cell>
          <cell r="P162">
            <v>1.5240553745928338</v>
          </cell>
        </row>
        <row r="163">
          <cell r="C163">
            <v>7.09</v>
          </cell>
          <cell r="E163">
            <v>8</v>
          </cell>
          <cell r="I163">
            <v>3.2</v>
          </cell>
          <cell r="K163">
            <v>3</v>
          </cell>
          <cell r="O163">
            <v>0.91000000000000014</v>
          </cell>
          <cell r="P163">
            <v>1.5240553745928338</v>
          </cell>
        </row>
        <row r="164">
          <cell r="C164">
            <v>6.82</v>
          </cell>
          <cell r="E164">
            <v>7.85</v>
          </cell>
          <cell r="I164">
            <v>3.1</v>
          </cell>
          <cell r="K164">
            <v>3</v>
          </cell>
          <cell r="O164">
            <v>1.0299999999999994</v>
          </cell>
          <cell r="P164">
            <v>1.5240553745928338</v>
          </cell>
        </row>
        <row r="165">
          <cell r="C165">
            <v>6.85</v>
          </cell>
          <cell r="E165">
            <v>7.76</v>
          </cell>
          <cell r="I165">
            <v>3.2</v>
          </cell>
          <cell r="K165">
            <v>3</v>
          </cell>
          <cell r="O165">
            <v>0.91000000000000014</v>
          </cell>
          <cell r="P165">
            <v>1.5240553745928338</v>
          </cell>
        </row>
        <row r="166">
          <cell r="C166">
            <v>6.92</v>
          </cell>
          <cell r="E166">
            <v>7.78</v>
          </cell>
          <cell r="I166">
            <v>3.2</v>
          </cell>
          <cell r="K166">
            <v>3</v>
          </cell>
          <cell r="O166">
            <v>0.86000000000000032</v>
          </cell>
          <cell r="P166">
            <v>1.5240553745928338</v>
          </cell>
        </row>
        <row r="167">
          <cell r="C167">
            <v>6.81</v>
          </cell>
          <cell r="E167">
            <v>7.68</v>
          </cell>
          <cell r="I167">
            <v>3</v>
          </cell>
          <cell r="K167">
            <v>3</v>
          </cell>
          <cell r="O167">
            <v>0.87000000000000011</v>
          </cell>
          <cell r="P167">
            <v>1.5240553745928338</v>
          </cell>
        </row>
        <row r="168">
          <cell r="C168">
            <v>6.63</v>
          </cell>
          <cell r="E168">
            <v>7.53</v>
          </cell>
          <cell r="I168">
            <v>2.8</v>
          </cell>
          <cell r="K168">
            <v>3</v>
          </cell>
          <cell r="O168">
            <v>0.90000000000000036</v>
          </cell>
          <cell r="P168">
            <v>1.5240553745928338</v>
          </cell>
        </row>
        <row r="169">
          <cell r="C169">
            <v>6.32</v>
          </cell>
          <cell r="E169">
            <v>7.21</v>
          </cell>
          <cell r="I169">
            <v>2.8</v>
          </cell>
          <cell r="K169">
            <v>3</v>
          </cell>
          <cell r="O169">
            <v>0.88999999999999968</v>
          </cell>
          <cell r="P169">
            <v>1.5240553745928338</v>
          </cell>
        </row>
        <row r="170">
          <cell r="C170">
            <v>6</v>
          </cell>
          <cell r="E170">
            <v>7.01</v>
          </cell>
          <cell r="I170">
            <v>2.7</v>
          </cell>
          <cell r="K170">
            <v>3</v>
          </cell>
          <cell r="O170">
            <v>1.0099999999999998</v>
          </cell>
          <cell r="P170">
            <v>1.5240553745928338</v>
          </cell>
        </row>
        <row r="171">
          <cell r="C171">
            <v>5.94</v>
          </cell>
          <cell r="E171">
            <v>6.99</v>
          </cell>
          <cell r="I171">
            <v>2.8</v>
          </cell>
          <cell r="K171">
            <v>3</v>
          </cell>
          <cell r="O171">
            <v>1.0499999999999998</v>
          </cell>
          <cell r="P171">
            <v>1.5240553745928338</v>
          </cell>
        </row>
        <row r="172">
          <cell r="C172">
            <v>6.21</v>
          </cell>
          <cell r="E172">
            <v>7.3</v>
          </cell>
          <cell r="I172">
            <v>2.7</v>
          </cell>
          <cell r="K172">
            <v>3</v>
          </cell>
          <cell r="O172">
            <v>1.0899999999999999</v>
          </cell>
          <cell r="P172">
            <v>1.5240553745928338</v>
          </cell>
        </row>
        <row r="173">
          <cell r="C173">
            <v>6.25</v>
          </cell>
          <cell r="E173">
            <v>7.33</v>
          </cell>
          <cell r="I173">
            <v>2.7</v>
          </cell>
          <cell r="K173">
            <v>3</v>
          </cell>
          <cell r="O173">
            <v>1.08</v>
          </cell>
          <cell r="P173">
            <v>1.5240553745928338</v>
          </cell>
        </row>
        <row r="174">
          <cell r="B174" t="str">
            <v>94</v>
          </cell>
          <cell r="C174">
            <v>6.29</v>
          </cell>
          <cell r="E174">
            <v>7.31</v>
          </cell>
          <cell r="I174">
            <v>2.5</v>
          </cell>
          <cell r="K174">
            <v>3</v>
          </cell>
          <cell r="O174">
            <v>1.0199999999999996</v>
          </cell>
          <cell r="P174">
            <v>1.5240553745928338</v>
          </cell>
        </row>
        <row r="175">
          <cell r="C175">
            <v>6.49</v>
          </cell>
          <cell r="E175">
            <v>7.44</v>
          </cell>
          <cell r="I175">
            <v>2.5</v>
          </cell>
          <cell r="K175">
            <v>3</v>
          </cell>
          <cell r="O175">
            <v>0.95000000000000018</v>
          </cell>
          <cell r="P175">
            <v>1.5240553745928338</v>
          </cell>
        </row>
        <row r="176">
          <cell r="C176">
            <v>6.91</v>
          </cell>
          <cell r="E176">
            <v>7.83</v>
          </cell>
          <cell r="I176">
            <v>2.5</v>
          </cell>
          <cell r="K176">
            <v>3</v>
          </cell>
          <cell r="O176">
            <v>0.91999999999999993</v>
          </cell>
          <cell r="P176">
            <v>1.5240553745928338</v>
          </cell>
        </row>
        <row r="177">
          <cell r="C177">
            <v>7.27</v>
          </cell>
          <cell r="E177">
            <v>8.1999999999999993</v>
          </cell>
          <cell r="I177">
            <v>2.4</v>
          </cell>
          <cell r="K177">
            <v>3</v>
          </cell>
          <cell r="O177">
            <v>0.92999999999999972</v>
          </cell>
          <cell r="P177">
            <v>1.5240553745928338</v>
          </cell>
        </row>
        <row r="178">
          <cell r="C178">
            <v>7.41</v>
          </cell>
          <cell r="E178">
            <v>8.32</v>
          </cell>
          <cell r="I178">
            <v>2.2999999999999998</v>
          </cell>
          <cell r="K178">
            <v>3</v>
          </cell>
          <cell r="O178">
            <v>0.91000000000000014</v>
          </cell>
          <cell r="P178">
            <v>1.5240553745928338</v>
          </cell>
        </row>
        <row r="179">
          <cell r="C179">
            <v>7.4</v>
          </cell>
          <cell r="E179">
            <v>8.31</v>
          </cell>
          <cell r="I179">
            <v>2.5</v>
          </cell>
          <cell r="K179">
            <v>3.5</v>
          </cell>
          <cell r="O179">
            <v>0.91000000000000014</v>
          </cell>
          <cell r="P179">
            <v>1.5240553745928338</v>
          </cell>
        </row>
        <row r="180">
          <cell r="C180">
            <v>7.58</v>
          </cell>
          <cell r="E180">
            <v>8.4700000000000006</v>
          </cell>
          <cell r="I180">
            <v>2.9</v>
          </cell>
          <cell r="K180">
            <v>3.5</v>
          </cell>
          <cell r="O180">
            <v>0.89000000000000057</v>
          </cell>
          <cell r="P180">
            <v>1.5240553745928338</v>
          </cell>
        </row>
        <row r="181">
          <cell r="C181">
            <v>7.49</v>
          </cell>
          <cell r="E181">
            <v>8.41</v>
          </cell>
          <cell r="I181">
            <v>3</v>
          </cell>
          <cell r="K181">
            <v>3.5</v>
          </cell>
          <cell r="O181">
            <v>0.91999999999999993</v>
          </cell>
          <cell r="P181">
            <v>1.5240553745928338</v>
          </cell>
        </row>
        <row r="182">
          <cell r="C182">
            <v>7.71</v>
          </cell>
          <cell r="E182">
            <v>8.65</v>
          </cell>
          <cell r="I182">
            <v>2.6</v>
          </cell>
          <cell r="K182">
            <v>4</v>
          </cell>
          <cell r="O182">
            <v>0.94000000000000039</v>
          </cell>
          <cell r="P182">
            <v>1.5240553745928338</v>
          </cell>
        </row>
        <row r="183">
          <cell r="C183">
            <v>7.94</v>
          </cell>
          <cell r="E183">
            <v>8.8800000000000008</v>
          </cell>
          <cell r="I183">
            <v>2.7</v>
          </cell>
          <cell r="K183">
            <v>4</v>
          </cell>
          <cell r="O183">
            <v>0.94000000000000039</v>
          </cell>
          <cell r="P183">
            <v>1.5240553745928338</v>
          </cell>
        </row>
        <row r="184">
          <cell r="C184">
            <v>8.08</v>
          </cell>
          <cell r="E184">
            <v>9</v>
          </cell>
          <cell r="I184">
            <v>2.7</v>
          </cell>
          <cell r="K184">
            <v>4.75</v>
          </cell>
          <cell r="O184">
            <v>0.91999999999999993</v>
          </cell>
          <cell r="P184">
            <v>1.5240553745928338</v>
          </cell>
        </row>
        <row r="185">
          <cell r="C185">
            <v>7.87</v>
          </cell>
          <cell r="E185">
            <v>8.7899999999999991</v>
          </cell>
          <cell r="I185">
            <v>2.8</v>
          </cell>
          <cell r="K185">
            <v>4.75</v>
          </cell>
          <cell r="O185">
            <v>0.91999999999999904</v>
          </cell>
          <cell r="P185">
            <v>1.5240553745928338</v>
          </cell>
        </row>
        <row r="186">
          <cell r="B186" t="str">
            <v>95</v>
          </cell>
          <cell r="C186">
            <v>7.85</v>
          </cell>
          <cell r="E186">
            <v>8.77</v>
          </cell>
          <cell r="I186">
            <v>2.9</v>
          </cell>
          <cell r="K186">
            <v>4.75</v>
          </cell>
          <cell r="O186">
            <v>0.91999999999999993</v>
          </cell>
          <cell r="P186">
            <v>1.5240553745928338</v>
          </cell>
        </row>
        <row r="187">
          <cell r="C187">
            <v>7.61</v>
          </cell>
          <cell r="E187">
            <v>8.56</v>
          </cell>
          <cell r="I187">
            <v>2.9</v>
          </cell>
          <cell r="K187">
            <v>5.25</v>
          </cell>
          <cell r="O187">
            <v>0.95000000000000018</v>
          </cell>
          <cell r="P187">
            <v>1.5240553745928338</v>
          </cell>
        </row>
        <row r="188">
          <cell r="C188">
            <v>7.45</v>
          </cell>
          <cell r="E188">
            <v>8.41</v>
          </cell>
          <cell r="I188">
            <v>3.1</v>
          </cell>
          <cell r="K188">
            <v>5.25</v>
          </cell>
          <cell r="O188">
            <v>0.96</v>
          </cell>
          <cell r="P188">
            <v>1.5240553745928338</v>
          </cell>
        </row>
        <row r="189">
          <cell r="C189">
            <v>7.36</v>
          </cell>
          <cell r="E189">
            <v>8.3000000000000007</v>
          </cell>
          <cell r="I189">
            <v>2.4</v>
          </cell>
          <cell r="K189">
            <v>5.25</v>
          </cell>
          <cell r="O189">
            <v>0.94000000000000039</v>
          </cell>
          <cell r="P189">
            <v>1.5240553745928338</v>
          </cell>
        </row>
        <row r="190">
          <cell r="C190">
            <v>6.95</v>
          </cell>
          <cell r="E190">
            <v>7.93</v>
          </cell>
          <cell r="I190">
            <v>3.2</v>
          </cell>
          <cell r="K190">
            <v>5.25</v>
          </cell>
          <cell r="O190">
            <v>0.97999999999999954</v>
          </cell>
          <cell r="P190">
            <v>1.5240553745928338</v>
          </cell>
        </row>
        <row r="191">
          <cell r="C191">
            <v>6.57</v>
          </cell>
          <cell r="E191">
            <v>7.62</v>
          </cell>
          <cell r="I191">
            <v>3</v>
          </cell>
          <cell r="K191">
            <v>5.25</v>
          </cell>
          <cell r="O191">
            <v>1.0499999999999998</v>
          </cell>
          <cell r="P191">
            <v>1.5240553745928338</v>
          </cell>
        </row>
        <row r="192">
          <cell r="C192">
            <v>6.72</v>
          </cell>
          <cell r="E192">
            <v>7.73</v>
          </cell>
          <cell r="I192">
            <v>2.8</v>
          </cell>
          <cell r="K192">
            <v>5.25</v>
          </cell>
          <cell r="O192">
            <v>1.0100000000000007</v>
          </cell>
          <cell r="P192">
            <v>1.5240553745928338</v>
          </cell>
        </row>
        <row r="193">
          <cell r="C193">
            <v>6.86</v>
          </cell>
          <cell r="E193">
            <v>7.86</v>
          </cell>
          <cell r="I193">
            <v>2.6</v>
          </cell>
          <cell r="K193">
            <v>5.25</v>
          </cell>
          <cell r="O193">
            <v>1</v>
          </cell>
          <cell r="P193">
            <v>1.5240553745928338</v>
          </cell>
        </row>
        <row r="194">
          <cell r="C194">
            <v>6.55</v>
          </cell>
          <cell r="E194">
            <v>7.62</v>
          </cell>
          <cell r="I194">
            <v>2.5</v>
          </cell>
          <cell r="K194">
            <v>5.25</v>
          </cell>
          <cell r="O194">
            <v>1.0700000000000003</v>
          </cell>
          <cell r="P194">
            <v>1.5240553745928338</v>
          </cell>
        </row>
        <row r="195">
          <cell r="C195">
            <v>6.37</v>
          </cell>
          <cell r="E195">
            <v>7.46</v>
          </cell>
          <cell r="I195">
            <v>2.8</v>
          </cell>
          <cell r="K195">
            <v>5.25</v>
          </cell>
          <cell r="O195">
            <v>1.0899999999999999</v>
          </cell>
          <cell r="P195">
            <v>1.5240553745928338</v>
          </cell>
        </row>
        <row r="196">
          <cell r="C196">
            <v>6.26</v>
          </cell>
          <cell r="E196">
            <v>7.4</v>
          </cell>
          <cell r="I196">
            <v>2.6</v>
          </cell>
          <cell r="K196">
            <v>5.25</v>
          </cell>
          <cell r="O196">
            <v>1.1400000000000006</v>
          </cell>
          <cell r="P196">
            <v>1.5240553745928338</v>
          </cell>
        </row>
        <row r="197">
          <cell r="C197">
            <v>6.06</v>
          </cell>
          <cell r="E197">
            <v>7.21</v>
          </cell>
          <cell r="I197">
            <v>2.5</v>
          </cell>
          <cell r="K197">
            <v>5.25</v>
          </cell>
          <cell r="O197">
            <v>1.1500000000000004</v>
          </cell>
          <cell r="P197">
            <v>1.5240553745928338</v>
          </cell>
        </row>
        <row r="198">
          <cell r="B198" t="str">
            <v>96</v>
          </cell>
          <cell r="C198">
            <v>6.05</v>
          </cell>
          <cell r="E198">
            <v>7.2</v>
          </cell>
          <cell r="I198">
            <v>2.7</v>
          </cell>
          <cell r="K198">
            <v>5.25</v>
          </cell>
          <cell r="O198">
            <v>1.1500000000000004</v>
          </cell>
          <cell r="P198">
            <v>1.5240553745928338</v>
          </cell>
        </row>
        <row r="199">
          <cell r="C199">
            <v>6.24</v>
          </cell>
          <cell r="E199">
            <v>7.37</v>
          </cell>
          <cell r="I199">
            <v>2.7</v>
          </cell>
          <cell r="K199">
            <v>5</v>
          </cell>
          <cell r="O199">
            <v>1.1299999999999999</v>
          </cell>
          <cell r="P199">
            <v>1.5240553745928338</v>
          </cell>
        </row>
        <row r="200">
          <cell r="C200">
            <v>6.6</v>
          </cell>
          <cell r="E200">
            <v>7.72</v>
          </cell>
          <cell r="I200">
            <v>2.8</v>
          </cell>
          <cell r="K200">
            <v>5</v>
          </cell>
          <cell r="O200">
            <v>1.1200000000000001</v>
          </cell>
          <cell r="P200">
            <v>1.5240553745928338</v>
          </cell>
        </row>
        <row r="201">
          <cell r="C201">
            <v>6.79</v>
          </cell>
          <cell r="E201">
            <v>7.88</v>
          </cell>
          <cell r="I201">
            <v>2.9</v>
          </cell>
          <cell r="K201">
            <v>5</v>
          </cell>
          <cell r="O201">
            <v>1.0899999999999999</v>
          </cell>
          <cell r="P201">
            <v>1.5240553745928338</v>
          </cell>
        </row>
        <row r="202">
          <cell r="C202">
            <v>6.93</v>
          </cell>
          <cell r="E202">
            <v>7.99</v>
          </cell>
          <cell r="I202">
            <v>2.9</v>
          </cell>
          <cell r="K202">
            <v>5</v>
          </cell>
          <cell r="O202">
            <v>1.0600000000000005</v>
          </cell>
          <cell r="P202">
            <v>1.5240553745928338</v>
          </cell>
        </row>
        <row r="203">
          <cell r="C203">
            <v>7.06</v>
          </cell>
          <cell r="E203">
            <v>8.07</v>
          </cell>
          <cell r="I203">
            <v>2.8</v>
          </cell>
          <cell r="K203">
            <v>5</v>
          </cell>
          <cell r="O203">
            <v>1.0100000000000007</v>
          </cell>
          <cell r="P203">
            <v>1.5240553745928338</v>
          </cell>
        </row>
        <row r="204">
          <cell r="C204">
            <v>7.03</v>
          </cell>
          <cell r="E204">
            <v>8.02</v>
          </cell>
          <cell r="I204">
            <v>3</v>
          </cell>
          <cell r="K204">
            <v>5</v>
          </cell>
          <cell r="O204">
            <v>0.98999999999999932</v>
          </cell>
          <cell r="P204">
            <v>1.5240553745928338</v>
          </cell>
        </row>
        <row r="205">
          <cell r="C205">
            <v>6.84</v>
          </cell>
          <cell r="E205">
            <v>7.84</v>
          </cell>
          <cell r="I205">
            <v>2.9</v>
          </cell>
          <cell r="K205">
            <v>5</v>
          </cell>
          <cell r="O205">
            <v>1</v>
          </cell>
          <cell r="P205">
            <v>1.5240553745928338</v>
          </cell>
        </row>
        <row r="206">
          <cell r="C206">
            <v>7.03</v>
          </cell>
          <cell r="E206">
            <v>8.01</v>
          </cell>
          <cell r="I206">
            <v>3</v>
          </cell>
          <cell r="K206">
            <v>5</v>
          </cell>
          <cell r="O206">
            <v>0.97999999999999954</v>
          </cell>
          <cell r="P206">
            <v>1.5240553745928338</v>
          </cell>
        </row>
        <row r="207">
          <cell r="C207">
            <v>6.81</v>
          </cell>
          <cell r="E207">
            <v>7.76</v>
          </cell>
          <cell r="I207">
            <v>3</v>
          </cell>
          <cell r="K207">
            <v>5</v>
          </cell>
          <cell r="O207">
            <v>0.95000000000000018</v>
          </cell>
          <cell r="P207">
            <v>1.5240553745928338</v>
          </cell>
        </row>
        <row r="208">
          <cell r="C208">
            <v>6.48</v>
          </cell>
          <cell r="E208">
            <v>7.48</v>
          </cell>
          <cell r="I208">
            <v>3.3</v>
          </cell>
          <cell r="K208">
            <v>5</v>
          </cell>
          <cell r="O208">
            <v>1</v>
          </cell>
          <cell r="P208">
            <v>1.5240553745928338</v>
          </cell>
        </row>
        <row r="209">
          <cell r="C209">
            <v>6.55</v>
          </cell>
          <cell r="E209">
            <v>7.58</v>
          </cell>
          <cell r="I209">
            <v>3.3</v>
          </cell>
          <cell r="K209">
            <v>5</v>
          </cell>
          <cell r="O209">
            <v>1.0300000000000002</v>
          </cell>
          <cell r="P209">
            <v>1.5240553745928338</v>
          </cell>
        </row>
        <row r="210">
          <cell r="B210" t="str">
            <v>97</v>
          </cell>
          <cell r="C210">
            <v>6.83</v>
          </cell>
          <cell r="E210">
            <v>7.79</v>
          </cell>
          <cell r="I210">
            <v>3</v>
          </cell>
          <cell r="K210">
            <v>5</v>
          </cell>
          <cell r="O210">
            <v>0.96</v>
          </cell>
          <cell r="P210">
            <v>1.5240553745928338</v>
          </cell>
        </row>
        <row r="211">
          <cell r="C211">
            <v>6.69</v>
          </cell>
          <cell r="E211">
            <v>7.68</v>
          </cell>
          <cell r="I211">
            <v>3</v>
          </cell>
          <cell r="K211">
            <v>5</v>
          </cell>
          <cell r="O211">
            <v>0.98999999999999932</v>
          </cell>
          <cell r="P211">
            <v>1.5240553745928338</v>
          </cell>
        </row>
        <row r="212">
          <cell r="C212">
            <v>6.93</v>
          </cell>
          <cell r="E212">
            <v>7.92</v>
          </cell>
          <cell r="I212">
            <v>2.8</v>
          </cell>
          <cell r="K212">
            <v>5</v>
          </cell>
          <cell r="O212">
            <v>0.99000000000000021</v>
          </cell>
          <cell r="P212">
            <v>1.5240553745928338</v>
          </cell>
        </row>
        <row r="213">
          <cell r="C213">
            <v>7.09</v>
          </cell>
          <cell r="E213">
            <v>8.08</v>
          </cell>
          <cell r="I213">
            <v>2.5</v>
          </cell>
          <cell r="K213">
            <v>5</v>
          </cell>
          <cell r="O213">
            <v>0.99000000000000021</v>
          </cell>
          <cell r="P213">
            <v>1.5240553745928338</v>
          </cell>
        </row>
        <row r="214">
          <cell r="C214">
            <v>6.94</v>
          </cell>
          <cell r="E214">
            <v>7.94</v>
          </cell>
          <cell r="I214">
            <v>2.2000000000000002</v>
          </cell>
          <cell r="K214">
            <v>5</v>
          </cell>
          <cell r="O214">
            <v>1</v>
          </cell>
          <cell r="P214">
            <v>1.5240553745928338</v>
          </cell>
        </row>
        <row r="215">
          <cell r="C215">
            <v>6.77</v>
          </cell>
          <cell r="E215">
            <v>7.77</v>
          </cell>
          <cell r="I215">
            <v>2.2999999999999998</v>
          </cell>
          <cell r="K215">
            <v>5</v>
          </cell>
          <cell r="O215">
            <v>1</v>
          </cell>
          <cell r="P215">
            <v>1.5240553745928338</v>
          </cell>
        </row>
        <row r="216">
          <cell r="C216">
            <v>6.51</v>
          </cell>
          <cell r="E216">
            <v>7.52</v>
          </cell>
          <cell r="I216">
            <v>2.2000000000000002</v>
          </cell>
          <cell r="K216">
            <v>5</v>
          </cell>
          <cell r="O216">
            <v>1.0099999999999998</v>
          </cell>
          <cell r="P216">
            <v>1.5240553745928338</v>
          </cell>
        </row>
        <row r="217">
          <cell r="C217">
            <v>6.58</v>
          </cell>
          <cell r="E217">
            <v>7.57</v>
          </cell>
          <cell r="I217">
            <v>2.2000000000000002</v>
          </cell>
          <cell r="K217">
            <v>5</v>
          </cell>
          <cell r="O217">
            <v>0.99000000000000021</v>
          </cell>
          <cell r="P217">
            <v>1.5240553745928338</v>
          </cell>
        </row>
        <row r="218">
          <cell r="C218">
            <v>6.5</v>
          </cell>
          <cell r="E218">
            <v>7.5</v>
          </cell>
          <cell r="I218">
            <v>2.2000000000000002</v>
          </cell>
          <cell r="K218">
            <v>5</v>
          </cell>
          <cell r="O218">
            <v>1</v>
          </cell>
          <cell r="P218">
            <v>1.5240553745928338</v>
          </cell>
        </row>
        <row r="219">
          <cell r="C219">
            <v>6.33</v>
          </cell>
          <cell r="E219">
            <v>7.37</v>
          </cell>
          <cell r="I219">
            <v>2.1</v>
          </cell>
          <cell r="K219">
            <v>5</v>
          </cell>
          <cell r="O219">
            <v>1.04</v>
          </cell>
          <cell r="P219">
            <v>1.5240553745928338</v>
          </cell>
        </row>
        <row r="220">
          <cell r="C220">
            <v>6.11</v>
          </cell>
          <cell r="E220">
            <v>7.24</v>
          </cell>
          <cell r="I220">
            <v>1.8</v>
          </cell>
          <cell r="K220">
            <v>5</v>
          </cell>
          <cell r="O220">
            <v>1.1299999999999999</v>
          </cell>
          <cell r="P220">
            <v>1.5240553745928338</v>
          </cell>
        </row>
        <row r="221">
          <cell r="C221">
            <v>5.99</v>
          </cell>
          <cell r="E221">
            <v>7.16</v>
          </cell>
          <cell r="I221">
            <v>1.7</v>
          </cell>
          <cell r="K221">
            <v>5</v>
          </cell>
          <cell r="O221">
            <v>1.17</v>
          </cell>
          <cell r="P221">
            <v>1.5240553745928338</v>
          </cell>
        </row>
        <row r="222">
          <cell r="B222" t="str">
            <v>98</v>
          </cell>
          <cell r="C222">
            <v>5.81</v>
          </cell>
          <cell r="E222">
            <v>7.03</v>
          </cell>
          <cell r="I222">
            <v>1.6</v>
          </cell>
          <cell r="K222">
            <v>5</v>
          </cell>
          <cell r="O222">
            <v>1.2200000000000006</v>
          </cell>
          <cell r="P222">
            <v>1.5240553745928338</v>
          </cell>
        </row>
        <row r="223">
          <cell r="C223">
            <v>5.89</v>
          </cell>
          <cell r="E223">
            <v>7.09</v>
          </cell>
          <cell r="I223">
            <v>1.4</v>
          </cell>
          <cell r="K223">
            <v>5</v>
          </cell>
          <cell r="O223">
            <v>1.2000000000000002</v>
          </cell>
          <cell r="P223">
            <v>1.5240553745928338</v>
          </cell>
        </row>
        <row r="224">
          <cell r="C224">
            <v>5.95</v>
          </cell>
          <cell r="E224">
            <v>7.13</v>
          </cell>
          <cell r="I224">
            <v>1.4</v>
          </cell>
          <cell r="K224">
            <v>5</v>
          </cell>
          <cell r="O224">
            <v>1.1799999999999997</v>
          </cell>
          <cell r="P224">
            <v>1.5240553745928338</v>
          </cell>
        </row>
        <row r="225">
          <cell r="C225">
            <v>5.92</v>
          </cell>
          <cell r="E225">
            <v>7.12</v>
          </cell>
          <cell r="I225">
            <v>1.4</v>
          </cell>
          <cell r="K225">
            <v>5</v>
          </cell>
          <cell r="O225">
            <v>1.2000000000000002</v>
          </cell>
          <cell r="P225">
            <v>1.5240553745928338</v>
          </cell>
        </row>
        <row r="226">
          <cell r="C226">
            <v>5.93</v>
          </cell>
          <cell r="E226">
            <v>7.11</v>
          </cell>
          <cell r="I226">
            <v>1.7</v>
          </cell>
          <cell r="K226">
            <v>5</v>
          </cell>
          <cell r="O226">
            <v>1.1800000000000006</v>
          </cell>
          <cell r="P226">
            <v>1.5240553745928338</v>
          </cell>
        </row>
        <row r="227">
          <cell r="C227">
            <v>5.7</v>
          </cell>
          <cell r="E227">
            <v>6.99</v>
          </cell>
          <cell r="I227">
            <v>1.7</v>
          </cell>
          <cell r="K227">
            <v>5</v>
          </cell>
          <cell r="P227">
            <v>1.5240553745928338</v>
          </cell>
        </row>
        <row r="228">
          <cell r="C228">
            <v>5.68</v>
          </cell>
          <cell r="E228">
            <v>6.99</v>
          </cell>
          <cell r="I228">
            <v>1.7</v>
          </cell>
          <cell r="K228">
            <v>5</v>
          </cell>
          <cell r="P228">
            <v>1.5240553745928338</v>
          </cell>
        </row>
        <row r="229">
          <cell r="C229">
            <v>5.54</v>
          </cell>
          <cell r="E229">
            <v>6.96</v>
          </cell>
          <cell r="P229">
            <v>1.5240553745928338</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TOPrs"/>
      <sheetName val="Int Rate Hedging-1"/>
      <sheetName val="Int Rate Hedg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H - pg 9"/>
      <sheetName val="Summary"/>
      <sheetName val="MT Rate Sum"/>
      <sheetName val="Rate 60"/>
      <sheetName val="Rate70"/>
      <sheetName val="Rate 71"/>
      <sheetName val="Rate 85"/>
      <sheetName val="Bill Comp - 60"/>
      <sheetName val="Bill Comp - 70"/>
      <sheetName val="Bill Comp - 70 _71"/>
      <sheetName val="Electric Compare"/>
      <sheetName val="Comp to NWE"/>
      <sheetName val="Comp to Energy West"/>
      <sheetName val="ROR Graph"/>
      <sheetName val="Margin Graph"/>
      <sheetName val="Margins"/>
    </sheetNames>
    <sheetDataSet>
      <sheetData sheetId="0"/>
      <sheetData sheetId="1">
        <row r="4">
          <cell r="A4" t="str">
            <v>Pro Forma 2014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
      <sheetName val="Gas Cost Summary"/>
      <sheetName val="MT"/>
      <sheetName val="MT Exh 3"/>
      <sheetName val="ND"/>
      <sheetName val="Margin Sharing"/>
      <sheetName val="ND Exh B"/>
      <sheetName val="SD"/>
      <sheetName val="SD Exh B"/>
      <sheetName val="ER"/>
      <sheetName val="ER Exh D"/>
      <sheetName val="WY"/>
      <sheetName val="WY Non-Core Rev Cr"/>
      <sheetName val="WY Exh 3"/>
      <sheetName val="WY Rate Sum"/>
      <sheetName val="Prepaid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Sheet1"/>
      <sheetName val="TOPrs"/>
      <sheetName val="Annual Exp 2003"/>
      <sheetName val="Int Rate Hedg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sheetName val="Per Books"/>
      <sheetName val="Current Rates"/>
      <sheetName val="Projected"/>
      <sheetName val="Fuel Cost"/>
      <sheetName val="Rate 10"/>
      <sheetName val="Rate 11"/>
      <sheetName val="Rate 13"/>
      <sheetName val="Rate 16"/>
      <sheetName val="Rate 20"/>
      <sheetName val="Rate 22"/>
      <sheetName val="Rate 25"/>
      <sheetName val="Rate 26"/>
      <sheetName val="Rate 27"/>
      <sheetName val="Rate 29"/>
      <sheetName val="Rate 30"/>
      <sheetName val="Rate 31"/>
      <sheetName val="Rate 34"/>
      <sheetName val="Rate 39"/>
      <sheetName val="Rate 40"/>
      <sheetName val="Rate 41"/>
      <sheetName val="Rate 48"/>
      <sheetName val="Rate 50"/>
      <sheetName val="Rate 52"/>
      <sheetName val="Rate 56"/>
      <sheetName val="Rate 95"/>
      <sheetName val="Adj Factors"/>
      <sheetName val="ST-9 Demand"/>
      <sheetName val="Primary Service Accts"/>
      <sheetName val="Primary_Secondary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Notes"/>
      <sheetName val="Variables"/>
      <sheetName val="Report"/>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sheetDataSet>
  </externalBook>
</externalLink>
</file>

<file path=xl/theme/theme1.xml><?xml version="1.0" encoding="utf-8"?>
<a:theme xmlns:a="http://schemas.openxmlformats.org/drawingml/2006/main" name="ScottMadden">
  <a:themeElements>
    <a:clrScheme name="ScottMadden 2016 Testimony">
      <a:dk1>
        <a:srgbClr val="000000"/>
      </a:dk1>
      <a:lt1>
        <a:sysClr val="window" lastClr="FFFFFF"/>
      </a:lt1>
      <a:dk2>
        <a:srgbClr val="5F6062"/>
      </a:dk2>
      <a:lt2>
        <a:srgbClr val="5F6062"/>
      </a:lt2>
      <a:accent1>
        <a:srgbClr val="5F6062"/>
      </a:accent1>
      <a:accent2>
        <a:srgbClr val="26BCD7"/>
      </a:accent2>
      <a:accent3>
        <a:srgbClr val="EE8434"/>
      </a:accent3>
      <a:accent4>
        <a:srgbClr val="62BB46"/>
      </a:accent4>
      <a:accent5>
        <a:srgbClr val="C33A32"/>
      </a:accent5>
      <a:accent6>
        <a:srgbClr val="FDBA12"/>
      </a:accent6>
      <a:hlink>
        <a:srgbClr val="5F6062"/>
      </a:hlink>
      <a:folHlink>
        <a:srgbClr val="5F606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row r="1" spans="1:1">
      <c r="A1" t="s">
        <v>1175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31"/>
  <sheetViews>
    <sheetView view="pageLayout" zoomScaleNormal="100" zoomScaleSheetLayoutView="85" workbookViewId="0">
      <selection activeCell="J3" sqref="J3"/>
    </sheetView>
  </sheetViews>
  <sheetFormatPr defaultColWidth="9" defaultRowHeight="12.75"/>
  <cols>
    <col min="1" max="1" width="30.875" style="248" bestFit="1" customWidth="1"/>
    <col min="2" max="2" width="7.625" style="248" customWidth="1"/>
    <col min="3" max="3" width="8.125" style="248" customWidth="1"/>
    <col min="4" max="11" width="9.625" style="248" customWidth="1"/>
    <col min="12" max="12" width="4.375" style="248" customWidth="1"/>
    <col min="13" max="13" width="29.625" style="248" bestFit="1" customWidth="1"/>
    <col min="14" max="19" width="9.625" style="248" customWidth="1"/>
    <col min="20" max="16384" width="9" style="248"/>
  </cols>
  <sheetData>
    <row r="2" spans="1:27">
      <c r="A2" s="831" t="s">
        <v>1897</v>
      </c>
      <c r="B2" s="831"/>
      <c r="C2" s="831"/>
      <c r="D2" s="831"/>
      <c r="E2" s="831"/>
      <c r="F2" s="831"/>
      <c r="G2" s="831"/>
      <c r="H2" s="831"/>
      <c r="I2" s="831"/>
      <c r="J2" s="831"/>
      <c r="K2" s="831"/>
    </row>
    <row r="3" spans="1:27">
      <c r="A3" s="256"/>
      <c r="B3" s="256"/>
      <c r="C3" s="256"/>
      <c r="D3" s="256"/>
      <c r="E3" s="256"/>
      <c r="F3" s="256"/>
      <c r="G3" s="256"/>
      <c r="H3" s="256"/>
      <c r="I3" s="256"/>
      <c r="J3" s="256"/>
      <c r="K3" s="256"/>
    </row>
    <row r="4" spans="1:27">
      <c r="C4" s="262" t="s">
        <v>1173</v>
      </c>
      <c r="D4" s="262"/>
      <c r="E4" s="262"/>
      <c r="F4" s="262"/>
      <c r="G4" s="262"/>
      <c r="H4" s="262"/>
      <c r="I4" s="262"/>
      <c r="J4" s="262"/>
      <c r="K4" s="262"/>
    </row>
    <row r="6" spans="1:27">
      <c r="A6" s="310" t="s">
        <v>1</v>
      </c>
      <c r="B6" s="311" t="s">
        <v>0</v>
      </c>
      <c r="C6" s="312" t="s">
        <v>1221</v>
      </c>
      <c r="D6" s="312" t="s">
        <v>1222</v>
      </c>
      <c r="E6" s="312" t="s">
        <v>1223</v>
      </c>
      <c r="F6" s="312" t="s">
        <v>1224</v>
      </c>
      <c r="G6" s="312" t="s">
        <v>1225</v>
      </c>
      <c r="H6" s="312" t="s">
        <v>1226</v>
      </c>
      <c r="I6" s="312" t="s">
        <v>1227</v>
      </c>
      <c r="J6" s="312" t="s">
        <v>1228</v>
      </c>
      <c r="K6" s="311" t="s">
        <v>20</v>
      </c>
      <c r="L6" s="256"/>
    </row>
    <row r="7" spans="1:27">
      <c r="C7" s="256"/>
      <c r="D7" s="256"/>
      <c r="E7" s="256"/>
      <c r="F7" s="256"/>
      <c r="G7" s="256"/>
      <c r="H7" s="256"/>
      <c r="I7" s="256"/>
      <c r="J7" s="256"/>
      <c r="K7" s="256"/>
      <c r="L7" s="256"/>
    </row>
    <row r="8" spans="1:27">
      <c r="A8" s="248" t="s">
        <v>33</v>
      </c>
      <c r="B8" s="256" t="s">
        <v>34</v>
      </c>
      <c r="C8" s="314">
        <v>0.60691872780192102</v>
      </c>
      <c r="D8" s="314">
        <v>0.60120201086815339</v>
      </c>
      <c r="E8" s="314">
        <v>0.59371785486947448</v>
      </c>
      <c r="F8" s="314">
        <v>0.60851953967384043</v>
      </c>
      <c r="G8" s="314">
        <v>0.60802668210893207</v>
      </c>
      <c r="H8" s="314">
        <v>0.60613708298552438</v>
      </c>
      <c r="I8" s="314">
        <v>0.59802997973159533</v>
      </c>
      <c r="J8" s="314">
        <v>0.55969390633633809</v>
      </c>
      <c r="K8" s="235">
        <f>AVERAGE(C8:J8)</f>
        <v>0.59778072304697238</v>
      </c>
      <c r="L8" s="235"/>
    </row>
    <row r="9" spans="1:27">
      <c r="A9" s="248" t="s">
        <v>36</v>
      </c>
      <c r="B9" s="256" t="s">
        <v>37</v>
      </c>
      <c r="C9" s="314">
        <v>0.54053393385133741</v>
      </c>
      <c r="D9" s="314">
        <v>0.54607905949071989</v>
      </c>
      <c r="E9" s="314">
        <v>0.53339257344235513</v>
      </c>
      <c r="F9" s="314">
        <v>0.52108116286260509</v>
      </c>
      <c r="G9" s="314">
        <v>0.53491204155453198</v>
      </c>
      <c r="H9" s="314">
        <v>0.55768157847130062</v>
      </c>
      <c r="I9" s="314">
        <v>0.53586707592480676</v>
      </c>
      <c r="J9" s="314">
        <v>0.51546164433466246</v>
      </c>
      <c r="K9" s="235">
        <f t="shared" ref="K9:K10" si="0">AVERAGE(C9:J9)</f>
        <v>0.53562613374153989</v>
      </c>
      <c r="L9" s="235"/>
    </row>
    <row r="10" spans="1:27">
      <c r="A10" s="248" t="s">
        <v>1172</v>
      </c>
      <c r="B10" s="256" t="s">
        <v>39</v>
      </c>
      <c r="C10" s="314">
        <v>0.489218725151844</v>
      </c>
      <c r="D10" s="314">
        <v>0.51673172762878816</v>
      </c>
      <c r="E10" s="314">
        <v>0.50880596716192861</v>
      </c>
      <c r="F10" s="314">
        <v>0.47672758414529709</v>
      </c>
      <c r="G10" s="314">
        <v>0.50027861831661846</v>
      </c>
      <c r="H10" s="314">
        <v>0.5045485521928641</v>
      </c>
      <c r="I10" s="314">
        <v>0.48781282303538664</v>
      </c>
      <c r="J10" s="314">
        <v>0.52068069363251845</v>
      </c>
      <c r="K10" s="235">
        <f t="shared" si="0"/>
        <v>0.50060058640815563</v>
      </c>
      <c r="L10" s="235"/>
    </row>
    <row r="11" spans="1:27">
      <c r="A11" s="248" t="s">
        <v>40</v>
      </c>
      <c r="B11" s="256" t="s">
        <v>46</v>
      </c>
      <c r="C11" s="314">
        <v>0.61444819340027057</v>
      </c>
      <c r="D11" s="314">
        <v>0.61384124843570775</v>
      </c>
      <c r="E11" s="314">
        <v>0.61375321162968255</v>
      </c>
      <c r="F11" s="314">
        <v>0.6281315877342929</v>
      </c>
      <c r="G11" s="314">
        <v>0.62883381120097714</v>
      </c>
      <c r="H11" s="314">
        <v>0.62871330713264206</v>
      </c>
      <c r="I11" s="314">
        <v>0.6216030320846152</v>
      </c>
      <c r="J11" s="314">
        <v>0.61822873533940648</v>
      </c>
      <c r="K11" s="235">
        <f>AVERAGE(C11:J11)</f>
        <v>0.6209441408696994</v>
      </c>
      <c r="L11" s="235"/>
      <c r="AA11" s="286"/>
    </row>
    <row r="12" spans="1:27">
      <c r="A12" s="248" t="s">
        <v>48</v>
      </c>
      <c r="B12" s="256" t="s">
        <v>41</v>
      </c>
      <c r="C12" s="314">
        <v>0.39307326023514028</v>
      </c>
      <c r="D12" s="314">
        <v>0.38158711906580123</v>
      </c>
      <c r="E12" s="314">
        <v>0.3084434126930416</v>
      </c>
      <c r="F12" s="314">
        <v>0.30881871150807566</v>
      </c>
      <c r="G12" s="314">
        <v>0.31982632408383233</v>
      </c>
      <c r="H12" s="314">
        <v>0.50851945691661493</v>
      </c>
      <c r="I12" s="314">
        <v>0.50117706791772254</v>
      </c>
      <c r="J12" s="314">
        <v>0.50624269971789515</v>
      </c>
      <c r="K12" s="235">
        <f>AVERAGE(C12:J12)</f>
        <v>0.40346100651726541</v>
      </c>
      <c r="L12" s="235"/>
      <c r="AA12" s="286"/>
    </row>
    <row r="13" spans="1:27">
      <c r="A13" s="248" t="s">
        <v>44</v>
      </c>
      <c r="B13" s="256" t="s">
        <v>45</v>
      </c>
      <c r="C13" s="314">
        <v>0.49423896576351017</v>
      </c>
      <c r="D13" s="314">
        <v>0.51576670467708319</v>
      </c>
      <c r="E13" s="314">
        <v>0.51271799215000591</v>
      </c>
      <c r="F13" s="314">
        <v>0.4743088677584863</v>
      </c>
      <c r="G13" s="314">
        <v>0.48292997958872658</v>
      </c>
      <c r="H13" s="314">
        <v>0.48162013790021452</v>
      </c>
      <c r="I13" s="314">
        <v>0.49874212972251003</v>
      </c>
      <c r="J13" s="314">
        <v>0.49356424179222552</v>
      </c>
      <c r="K13" s="235">
        <f>AVERAGE(C13:J13)</f>
        <v>0.49423612741909528</v>
      </c>
      <c r="L13" s="235"/>
    </row>
    <row r="14" spans="1:27">
      <c r="A14" s="261" t="s">
        <v>42</v>
      </c>
      <c r="B14" s="260" t="s">
        <v>43</v>
      </c>
      <c r="C14" s="314">
        <v>0.51783568885296749</v>
      </c>
      <c r="D14" s="314">
        <v>0.51598790452293641</v>
      </c>
      <c r="E14" s="314">
        <v>0.5132087339383592</v>
      </c>
      <c r="F14" s="314">
        <v>0.52075733087046872</v>
      </c>
      <c r="G14" s="314">
        <v>0.51422777814916332</v>
      </c>
      <c r="H14" s="314">
        <v>0.49701123958549703</v>
      </c>
      <c r="I14" s="314">
        <v>0.49332099556314801</v>
      </c>
      <c r="J14" s="314">
        <v>0.48731125957467636</v>
      </c>
      <c r="K14" s="259">
        <f>AVERAGE(C14:J14)</f>
        <v>0.50745761638215203</v>
      </c>
      <c r="L14" s="235"/>
    </row>
    <row r="15" spans="1:27">
      <c r="A15" s="248" t="s">
        <v>20</v>
      </c>
      <c r="B15" s="256"/>
      <c r="C15" s="315">
        <f t="shared" ref="C15:J15" si="1">AVERAGE(C8:C14)</f>
        <v>0.52232392786528437</v>
      </c>
      <c r="D15" s="315">
        <f t="shared" si="1"/>
        <v>0.52731368209845575</v>
      </c>
      <c r="E15" s="315">
        <f t="shared" si="1"/>
        <v>0.51200567798354968</v>
      </c>
      <c r="F15" s="315">
        <f t="shared" si="1"/>
        <v>0.5054778263647236</v>
      </c>
      <c r="G15" s="315">
        <f t="shared" si="1"/>
        <v>0.5127193192861117</v>
      </c>
      <c r="H15" s="315">
        <f t="shared" si="1"/>
        <v>0.54060447931209399</v>
      </c>
      <c r="I15" s="315">
        <f t="shared" si="1"/>
        <v>0.53379330056854069</v>
      </c>
      <c r="J15" s="315">
        <f t="shared" si="1"/>
        <v>0.52874045438967465</v>
      </c>
      <c r="K15" s="235">
        <f>AVERAGE(C15:J15)</f>
        <v>0.52287233348355433</v>
      </c>
      <c r="L15" s="235"/>
    </row>
    <row r="18" spans="1:19">
      <c r="C18" s="262" t="s">
        <v>1174</v>
      </c>
      <c r="D18" s="262"/>
      <c r="E18" s="262"/>
      <c r="F18" s="262"/>
      <c r="G18" s="262"/>
      <c r="H18" s="262"/>
      <c r="I18" s="262"/>
      <c r="J18" s="262"/>
      <c r="K18" s="262"/>
    </row>
    <row r="20" spans="1:19" s="250" customFormat="1">
      <c r="A20" s="313" t="str">
        <f>A6</f>
        <v>Company</v>
      </c>
      <c r="B20" s="311" t="str">
        <f>B6</f>
        <v>Ticker</v>
      </c>
      <c r="C20" s="312" t="s">
        <v>1221</v>
      </c>
      <c r="D20" s="312" t="s">
        <v>1222</v>
      </c>
      <c r="E20" s="312" t="s">
        <v>1223</v>
      </c>
      <c r="F20" s="312" t="s">
        <v>1224</v>
      </c>
      <c r="G20" s="312" t="s">
        <v>1225</v>
      </c>
      <c r="H20" s="312" t="s">
        <v>1226</v>
      </c>
      <c r="I20" s="312" t="s">
        <v>1227</v>
      </c>
      <c r="J20" s="312" t="s">
        <v>1228</v>
      </c>
      <c r="K20" s="311" t="s">
        <v>20</v>
      </c>
      <c r="L20" s="249"/>
      <c r="M20" s="249"/>
      <c r="N20" s="249"/>
      <c r="O20" s="249"/>
      <c r="P20" s="249"/>
      <c r="Q20" s="249"/>
      <c r="R20" s="249"/>
      <c r="S20" s="249"/>
    </row>
    <row r="21" spans="1:19">
      <c r="A21" s="256"/>
      <c r="L21" s="251"/>
      <c r="M21" s="251"/>
      <c r="N21" s="251"/>
      <c r="O21" s="251"/>
      <c r="P21" s="251"/>
      <c r="Q21" s="251"/>
      <c r="R21" s="251"/>
      <c r="S21" s="251"/>
    </row>
    <row r="22" spans="1:19">
      <c r="A22" s="257" t="str">
        <f t="shared" ref="A22:B28" si="2">A8</f>
        <v>Atmos Energy Corporation</v>
      </c>
      <c r="B22" s="235" t="str">
        <f t="shared" si="2"/>
        <v>ATO</v>
      </c>
      <c r="C22" s="314">
        <v>0.39308127219807898</v>
      </c>
      <c r="D22" s="314">
        <v>0.39879798913184661</v>
      </c>
      <c r="E22" s="314">
        <v>0.40628214513052546</v>
      </c>
      <c r="F22" s="314">
        <v>0.39148046032615963</v>
      </c>
      <c r="G22" s="314">
        <v>0.39197331789106787</v>
      </c>
      <c r="H22" s="314">
        <v>0.39386291701447562</v>
      </c>
      <c r="I22" s="314">
        <v>0.40197002026840467</v>
      </c>
      <c r="J22" s="314">
        <v>0.44030609366366191</v>
      </c>
      <c r="K22" s="235">
        <f>AVERAGE(C22:J22)</f>
        <v>0.40221927695302762</v>
      </c>
      <c r="L22" s="252"/>
      <c r="M22" s="252"/>
      <c r="N22" s="252"/>
      <c r="O22" s="252"/>
      <c r="P22" s="252"/>
      <c r="Q22" s="252"/>
      <c r="R22" s="252"/>
      <c r="S22" s="252"/>
    </row>
    <row r="23" spans="1:19">
      <c r="A23" s="257" t="str">
        <f t="shared" si="2"/>
        <v>New Jersey Resources Corporation</v>
      </c>
      <c r="B23" s="235" t="str">
        <f t="shared" si="2"/>
        <v>NJR</v>
      </c>
      <c r="C23" s="314">
        <v>0.45946606614866259</v>
      </c>
      <c r="D23" s="314">
        <v>0.45392094050928011</v>
      </c>
      <c r="E23" s="314">
        <v>0.46660742655764492</v>
      </c>
      <c r="F23" s="314">
        <v>0.47891883713739497</v>
      </c>
      <c r="G23" s="314">
        <v>0.46508795844546796</v>
      </c>
      <c r="H23" s="314">
        <v>0.44231842152869943</v>
      </c>
      <c r="I23" s="314">
        <v>0.46413292407519324</v>
      </c>
      <c r="J23" s="314">
        <v>0.48453835566533754</v>
      </c>
      <c r="K23" s="235">
        <f t="shared" ref="K23:K29" si="3">AVERAGE(C23:J23)</f>
        <v>0.46437386625846011</v>
      </c>
      <c r="L23" s="252"/>
      <c r="M23" s="252"/>
      <c r="N23" s="252"/>
      <c r="O23" s="252"/>
      <c r="P23" s="252"/>
      <c r="Q23" s="252"/>
      <c r="R23" s="252"/>
      <c r="S23" s="252"/>
    </row>
    <row r="24" spans="1:19">
      <c r="A24" s="257" t="str">
        <f t="shared" si="2"/>
        <v>Northwest Natural Holding Company</v>
      </c>
      <c r="B24" s="235" t="str">
        <f t="shared" si="2"/>
        <v>NWN</v>
      </c>
      <c r="C24" s="314">
        <v>0.51078127484815594</v>
      </c>
      <c r="D24" s="314">
        <v>0.48326827237121184</v>
      </c>
      <c r="E24" s="314">
        <v>0.49119403283807134</v>
      </c>
      <c r="F24" s="314">
        <v>0.52327241585470297</v>
      </c>
      <c r="G24" s="314">
        <v>0.49972138168338159</v>
      </c>
      <c r="H24" s="314">
        <v>0.4954514478071359</v>
      </c>
      <c r="I24" s="314">
        <v>0.51218717696461336</v>
      </c>
      <c r="J24" s="314">
        <v>0.4793193063674816</v>
      </c>
      <c r="K24" s="235">
        <f t="shared" si="3"/>
        <v>0.49939941359184431</v>
      </c>
      <c r="L24" s="255"/>
      <c r="M24" s="255"/>
      <c r="N24" s="255"/>
      <c r="O24" s="255"/>
      <c r="P24" s="255"/>
      <c r="Q24" s="255"/>
      <c r="R24" s="255"/>
      <c r="S24" s="255"/>
    </row>
    <row r="25" spans="1:19">
      <c r="A25" s="257" t="str">
        <f t="shared" si="2"/>
        <v>ONE Gas, Inc.</v>
      </c>
      <c r="B25" s="235" t="str">
        <f t="shared" si="2"/>
        <v>OGS</v>
      </c>
      <c r="C25" s="314">
        <v>0.38555180659972943</v>
      </c>
      <c r="D25" s="314">
        <v>0.38615875156429225</v>
      </c>
      <c r="E25" s="314">
        <v>0.38624678837031745</v>
      </c>
      <c r="F25" s="314">
        <v>0.37186841226570716</v>
      </c>
      <c r="G25" s="314">
        <v>0.37116618879902291</v>
      </c>
      <c r="H25" s="314">
        <v>0.37128669286735799</v>
      </c>
      <c r="I25" s="314">
        <v>0.37839696791538474</v>
      </c>
      <c r="J25" s="314">
        <v>0.38177126466059358</v>
      </c>
      <c r="K25" s="235">
        <f t="shared" si="3"/>
        <v>0.37905585913030071</v>
      </c>
      <c r="L25" s="255"/>
      <c r="M25" s="255"/>
      <c r="N25" s="255"/>
      <c r="O25" s="255"/>
      <c r="P25" s="255"/>
      <c r="Q25" s="255"/>
      <c r="R25" s="255"/>
      <c r="S25" s="255"/>
    </row>
    <row r="26" spans="1:19">
      <c r="A26" s="257" t="str">
        <f t="shared" si="2"/>
        <v>South Jersey Industries, Inc.</v>
      </c>
      <c r="B26" s="235" t="str">
        <f t="shared" si="2"/>
        <v>SJI</v>
      </c>
      <c r="C26" s="314">
        <v>0.60692673976485978</v>
      </c>
      <c r="D26" s="314">
        <v>0.61841288093419877</v>
      </c>
      <c r="E26" s="314">
        <v>0.69155658730695846</v>
      </c>
      <c r="F26" s="314">
        <v>0.69118128849192439</v>
      </c>
      <c r="G26" s="314">
        <v>0.68017367591616773</v>
      </c>
      <c r="H26" s="314">
        <v>0.49148054308338507</v>
      </c>
      <c r="I26" s="314">
        <v>0.49882293208227751</v>
      </c>
      <c r="J26" s="314">
        <v>0.49375730028210485</v>
      </c>
      <c r="K26" s="235">
        <f t="shared" si="3"/>
        <v>0.59653899348273454</v>
      </c>
      <c r="L26" s="255"/>
      <c r="M26" s="255"/>
      <c r="N26" s="255"/>
      <c r="O26" s="255"/>
      <c r="P26" s="255"/>
      <c r="Q26" s="255"/>
      <c r="R26" s="255"/>
      <c r="S26" s="255"/>
    </row>
    <row r="27" spans="1:19">
      <c r="A27" s="257" t="str">
        <f t="shared" si="2"/>
        <v>Spire Inc.</v>
      </c>
      <c r="B27" s="235" t="str">
        <f t="shared" si="2"/>
        <v>SR</v>
      </c>
      <c r="C27" s="314">
        <v>0.50576103423648988</v>
      </c>
      <c r="D27" s="314">
        <v>0.48423329532291676</v>
      </c>
      <c r="E27" s="314">
        <v>0.48728200784999409</v>
      </c>
      <c r="F27" s="314">
        <v>0.52569113224151376</v>
      </c>
      <c r="G27" s="314">
        <v>0.51707002041127337</v>
      </c>
      <c r="H27" s="314">
        <v>0.51837986209978548</v>
      </c>
      <c r="I27" s="314">
        <v>0.50125787027749003</v>
      </c>
      <c r="J27" s="314">
        <v>0.50643575820777442</v>
      </c>
      <c r="K27" s="235">
        <f t="shared" si="3"/>
        <v>0.50576387258090472</v>
      </c>
      <c r="L27" s="255"/>
      <c r="M27" s="255"/>
      <c r="N27" s="255"/>
      <c r="O27" s="255"/>
      <c r="P27" s="255"/>
      <c r="Q27" s="255"/>
      <c r="R27" s="255"/>
      <c r="S27" s="255"/>
    </row>
    <row r="28" spans="1:19">
      <c r="A28" s="258" t="str">
        <f t="shared" si="2"/>
        <v>Southwest Gas Corporation</v>
      </c>
      <c r="B28" s="259" t="str">
        <f t="shared" si="2"/>
        <v>SWX</v>
      </c>
      <c r="C28" s="314">
        <v>0.48216431114703251</v>
      </c>
      <c r="D28" s="314">
        <v>0.48401209547706364</v>
      </c>
      <c r="E28" s="314">
        <v>0.48679126606164075</v>
      </c>
      <c r="F28" s="314">
        <v>0.47924266912953128</v>
      </c>
      <c r="G28" s="314">
        <v>0.48577222185083674</v>
      </c>
      <c r="H28" s="314">
        <v>0.50298876041450302</v>
      </c>
      <c r="I28" s="314">
        <v>0.50667900443685199</v>
      </c>
      <c r="J28" s="314">
        <v>0.51268874042532364</v>
      </c>
      <c r="K28" s="235">
        <f t="shared" si="3"/>
        <v>0.49254238361784791</v>
      </c>
      <c r="L28" s="255"/>
      <c r="M28" s="255"/>
      <c r="N28" s="255"/>
      <c r="O28" s="255"/>
      <c r="P28" s="255"/>
      <c r="Q28" s="255"/>
      <c r="R28" s="255"/>
      <c r="S28" s="255"/>
    </row>
    <row r="29" spans="1:19">
      <c r="A29" s="257" t="s">
        <v>20</v>
      </c>
      <c r="C29" s="315">
        <f t="shared" ref="C29:J29" si="4">AVERAGE(C22:C28)</f>
        <v>0.47767607213471563</v>
      </c>
      <c r="D29" s="315">
        <f t="shared" si="4"/>
        <v>0.47268631790154425</v>
      </c>
      <c r="E29" s="315">
        <f t="shared" si="4"/>
        <v>0.48799432201645038</v>
      </c>
      <c r="F29" s="315">
        <f t="shared" si="4"/>
        <v>0.49452217363527634</v>
      </c>
      <c r="G29" s="315">
        <f t="shared" si="4"/>
        <v>0.48728068071388836</v>
      </c>
      <c r="H29" s="315">
        <f t="shared" si="4"/>
        <v>0.45939552068790618</v>
      </c>
      <c r="I29" s="315">
        <f t="shared" si="4"/>
        <v>0.46620669943145937</v>
      </c>
      <c r="J29" s="315">
        <f t="shared" si="4"/>
        <v>0.47125954561032535</v>
      </c>
      <c r="K29" s="315">
        <f t="shared" si="3"/>
        <v>0.47712766651644578</v>
      </c>
      <c r="L29" s="255"/>
      <c r="M29" s="255"/>
      <c r="N29" s="255"/>
      <c r="O29" s="255"/>
      <c r="P29" s="255"/>
      <c r="Q29" s="255"/>
      <c r="R29" s="255"/>
      <c r="S29" s="255"/>
    </row>
    <row r="30" spans="1:19">
      <c r="A30" s="253"/>
      <c r="B30" s="251"/>
      <c r="C30" s="254"/>
      <c r="D30" s="255"/>
      <c r="E30" s="255"/>
      <c r="F30" s="255"/>
      <c r="G30" s="255"/>
      <c r="H30" s="255"/>
      <c r="I30" s="255"/>
      <c r="J30" s="255"/>
      <c r="K30" s="255"/>
      <c r="L30" s="255"/>
      <c r="M30" s="255"/>
      <c r="N30" s="255"/>
      <c r="O30" s="255"/>
      <c r="P30" s="255"/>
      <c r="Q30" s="255"/>
      <c r="R30" s="255"/>
      <c r="S30" s="255"/>
    </row>
    <row r="31" spans="1:19">
      <c r="A31" s="253"/>
      <c r="B31" s="251"/>
      <c r="C31" s="254"/>
      <c r="D31" s="255"/>
      <c r="E31" s="255"/>
      <c r="F31" s="255"/>
      <c r="G31" s="255"/>
      <c r="H31" s="255"/>
      <c r="I31" s="255"/>
      <c r="J31" s="255"/>
      <c r="K31" s="255"/>
      <c r="L31" s="255"/>
      <c r="M31" s="255"/>
      <c r="N31" s="255"/>
      <c r="O31" s="255"/>
      <c r="P31" s="255"/>
      <c r="Q31" s="255"/>
      <c r="R31" s="255"/>
      <c r="S31" s="255"/>
    </row>
  </sheetData>
  <mergeCells count="1">
    <mergeCell ref="A2:K2"/>
  </mergeCells>
  <pageMargins left="0.7" right="0.7" top="0.75" bottom="0.75" header="0.3" footer="0.3"/>
  <pageSetup scale="91" fitToHeight="0" orientation="landscape" useFirstPageNumber="1" r:id="rId1"/>
  <headerFooter scaleWithDoc="0">
    <oddHeader>&amp;R&amp;10DEU Exhibit 2.08R
Page &amp;P of 1</oddHeader>
  </headerFooter>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6"/>
  <sheetViews>
    <sheetView view="pageLayout" topLeftCell="A68" zoomScaleNormal="100" zoomScaleSheetLayoutView="85" workbookViewId="0">
      <selection activeCell="F118" sqref="F118"/>
    </sheetView>
  </sheetViews>
  <sheetFormatPr defaultColWidth="8" defaultRowHeight="12.75"/>
  <cols>
    <col min="1" max="1" width="4.375" style="320" customWidth="1"/>
    <col min="2" max="2" width="17.375" style="320" customWidth="1"/>
    <col min="3" max="3" width="25.25" style="320" customWidth="1"/>
    <col min="4" max="4" width="9.375" style="332" customWidth="1"/>
    <col min="5" max="5" width="25" style="320" customWidth="1"/>
    <col min="6" max="6" width="10" style="320" customWidth="1"/>
    <col min="7" max="7" width="12.375" style="332" bestFit="1" customWidth="1"/>
    <col min="8" max="8" width="12.75" style="332" customWidth="1"/>
    <col min="9" max="9" width="6.125" style="320" customWidth="1"/>
    <col min="10" max="16384" width="8" style="320"/>
  </cols>
  <sheetData>
    <row r="1" spans="1:8" ht="27.75" customHeight="1">
      <c r="A1" s="318"/>
      <c r="B1" s="319" t="s">
        <v>1289</v>
      </c>
      <c r="C1" s="318"/>
      <c r="D1" s="318"/>
      <c r="E1" s="318"/>
      <c r="F1" s="318"/>
      <c r="G1" s="318"/>
      <c r="H1" s="318"/>
    </row>
    <row r="2" spans="1:8" ht="43.5" customHeight="1">
      <c r="A2" s="289"/>
      <c r="B2" s="321" t="s">
        <v>1233</v>
      </c>
      <c r="C2" s="321" t="s">
        <v>1190</v>
      </c>
      <c r="D2" s="322" t="s">
        <v>1234</v>
      </c>
      <c r="E2" s="321" t="s">
        <v>1235</v>
      </c>
      <c r="F2" s="321" t="s">
        <v>1236</v>
      </c>
      <c r="G2" s="321" t="s">
        <v>1237</v>
      </c>
      <c r="H2" s="322" t="s">
        <v>1238</v>
      </c>
    </row>
    <row r="3" spans="1:8">
      <c r="A3" s="317"/>
      <c r="B3" s="323" t="s">
        <v>1245</v>
      </c>
      <c r="C3" s="324" t="s">
        <v>1250</v>
      </c>
      <c r="D3" s="325" t="s">
        <v>5</v>
      </c>
      <c r="E3" s="323" t="s">
        <v>1290</v>
      </c>
      <c r="F3" s="326" t="s">
        <v>1484</v>
      </c>
      <c r="G3" s="327">
        <v>42017</v>
      </c>
      <c r="H3" s="328">
        <v>10.3</v>
      </c>
    </row>
    <row r="4" spans="1:8">
      <c r="A4" s="317"/>
      <c r="B4" s="326" t="s">
        <v>1291</v>
      </c>
      <c r="C4" s="324" t="s">
        <v>1292</v>
      </c>
      <c r="D4" s="329" t="s">
        <v>18</v>
      </c>
      <c r="E4" s="326" t="s">
        <v>1293</v>
      </c>
      <c r="F4" s="326" t="s">
        <v>1484</v>
      </c>
      <c r="G4" s="330">
        <v>42025</v>
      </c>
      <c r="H4" s="331">
        <v>9.0500000000000007</v>
      </c>
    </row>
    <row r="5" spans="1:8">
      <c r="A5" s="317"/>
      <c r="B5" s="326" t="s">
        <v>1291</v>
      </c>
      <c r="C5" s="324" t="s">
        <v>1294</v>
      </c>
      <c r="D5" s="329" t="s">
        <v>18</v>
      </c>
      <c r="E5" s="326" t="s">
        <v>1295</v>
      </c>
      <c r="F5" s="326" t="s">
        <v>1484</v>
      </c>
      <c r="G5" s="330">
        <v>42025</v>
      </c>
      <c r="H5" s="331">
        <v>9.0500000000000007</v>
      </c>
    </row>
    <row r="6" spans="1:8">
      <c r="A6" s="317"/>
      <c r="B6" s="326" t="s">
        <v>1252</v>
      </c>
      <c r="C6" s="324" t="s">
        <v>1255</v>
      </c>
      <c r="D6" s="329" t="s">
        <v>1256</v>
      </c>
      <c r="E6" s="326" t="s">
        <v>1296</v>
      </c>
      <c r="F6" s="326" t="s">
        <v>1484</v>
      </c>
      <c r="G6" s="330">
        <v>42103</v>
      </c>
      <c r="H6" s="331">
        <v>9.5</v>
      </c>
    </row>
    <row r="7" spans="1:8">
      <c r="A7" s="317"/>
      <c r="B7" s="326" t="s">
        <v>1260</v>
      </c>
      <c r="C7" s="324" t="s">
        <v>1297</v>
      </c>
      <c r="D7" s="329" t="s">
        <v>34</v>
      </c>
      <c r="E7" s="326" t="s">
        <v>1298</v>
      </c>
      <c r="F7" s="326" t="s">
        <v>1484</v>
      </c>
      <c r="G7" s="330">
        <v>42135</v>
      </c>
      <c r="H7" s="331">
        <v>9.8000000000000007</v>
      </c>
    </row>
    <row r="8" spans="1:8">
      <c r="A8" s="317"/>
      <c r="B8" s="323" t="s">
        <v>1299</v>
      </c>
      <c r="C8" s="324" t="s">
        <v>1300</v>
      </c>
      <c r="D8" s="325" t="s">
        <v>1262</v>
      </c>
      <c r="E8" s="323" t="s">
        <v>1301</v>
      </c>
      <c r="F8" s="326" t="s">
        <v>1484</v>
      </c>
      <c r="G8" s="327">
        <v>42172</v>
      </c>
      <c r="H8" s="328">
        <v>9</v>
      </c>
    </row>
    <row r="9" spans="1:8">
      <c r="A9" s="317"/>
      <c r="B9" s="326" t="s">
        <v>1302</v>
      </c>
      <c r="C9" s="324" t="s">
        <v>1303</v>
      </c>
      <c r="D9" s="329" t="s">
        <v>13</v>
      </c>
      <c r="E9" s="326" t="s">
        <v>1304</v>
      </c>
      <c r="F9" s="326" t="s">
        <v>1484</v>
      </c>
      <c r="G9" s="330">
        <v>42237</v>
      </c>
      <c r="H9" s="331">
        <v>9.75</v>
      </c>
    </row>
    <row r="10" spans="1:8">
      <c r="A10" s="317"/>
      <c r="B10" s="326" t="s">
        <v>1305</v>
      </c>
      <c r="C10" s="324" t="s">
        <v>1306</v>
      </c>
      <c r="D10" s="329" t="s">
        <v>13</v>
      </c>
      <c r="E10" s="326" t="s">
        <v>1307</v>
      </c>
      <c r="F10" s="326" t="s">
        <v>1484</v>
      </c>
      <c r="G10" s="330">
        <v>42284</v>
      </c>
      <c r="H10" s="331">
        <v>9.5500000000000007</v>
      </c>
    </row>
    <row r="11" spans="1:8">
      <c r="A11" s="317"/>
      <c r="B11" s="323" t="s">
        <v>1248</v>
      </c>
      <c r="C11" s="324" t="s">
        <v>1308</v>
      </c>
      <c r="D11" s="325" t="s">
        <v>29</v>
      </c>
      <c r="E11" s="323" t="s">
        <v>1309</v>
      </c>
      <c r="F11" s="326" t="s">
        <v>1484</v>
      </c>
      <c r="G11" s="327">
        <v>42290</v>
      </c>
      <c r="H11" s="328">
        <v>9.75</v>
      </c>
    </row>
    <row r="12" spans="1:8">
      <c r="A12" s="317"/>
      <c r="B12" s="323" t="s">
        <v>1299</v>
      </c>
      <c r="C12" s="324" t="s">
        <v>1310</v>
      </c>
      <c r="D12" s="325" t="s">
        <v>10</v>
      </c>
      <c r="E12" s="323" t="s">
        <v>1311</v>
      </c>
      <c r="F12" s="326" t="s">
        <v>1484</v>
      </c>
      <c r="G12" s="327">
        <v>42292</v>
      </c>
      <c r="H12" s="328">
        <v>9</v>
      </c>
    </row>
    <row r="13" spans="1:8">
      <c r="A13" s="317"/>
      <c r="B13" s="326" t="s">
        <v>1305</v>
      </c>
      <c r="C13" s="324" t="s">
        <v>1312</v>
      </c>
      <c r="D13" s="329" t="s">
        <v>21</v>
      </c>
      <c r="E13" s="326" t="s">
        <v>1313</v>
      </c>
      <c r="F13" s="326" t="s">
        <v>1484</v>
      </c>
      <c r="G13" s="330">
        <v>42307</v>
      </c>
      <c r="H13" s="331">
        <v>9.8000000000000007</v>
      </c>
    </row>
    <row r="14" spans="1:8">
      <c r="A14" s="317"/>
      <c r="B14" s="323" t="s">
        <v>1249</v>
      </c>
      <c r="C14" s="324" t="s">
        <v>1246</v>
      </c>
      <c r="D14" s="325" t="s">
        <v>18</v>
      </c>
      <c r="E14" s="323" t="s">
        <v>1314</v>
      </c>
      <c r="F14" s="326" t="s">
        <v>1484</v>
      </c>
      <c r="G14" s="327">
        <v>42327</v>
      </c>
      <c r="H14" s="328">
        <v>10</v>
      </c>
    </row>
    <row r="15" spans="1:8">
      <c r="A15" s="317"/>
      <c r="B15" s="326" t="s">
        <v>1249</v>
      </c>
      <c r="C15" s="324" t="s">
        <v>1251</v>
      </c>
      <c r="D15" s="329" t="s">
        <v>19</v>
      </c>
      <c r="E15" s="326" t="s">
        <v>1315</v>
      </c>
      <c r="F15" s="326" t="s">
        <v>1484</v>
      </c>
      <c r="G15" s="330">
        <v>42341</v>
      </c>
      <c r="H15" s="331">
        <v>10</v>
      </c>
    </row>
    <row r="16" spans="1:8">
      <c r="A16" s="317"/>
      <c r="B16" s="326" t="s">
        <v>1291</v>
      </c>
      <c r="C16" s="324" t="s">
        <v>1316</v>
      </c>
      <c r="D16" s="329" t="s">
        <v>2</v>
      </c>
      <c r="E16" s="326" t="s">
        <v>1317</v>
      </c>
      <c r="F16" s="326" t="s">
        <v>1484</v>
      </c>
      <c r="G16" s="330">
        <v>42347</v>
      </c>
      <c r="H16" s="331">
        <v>9.6</v>
      </c>
    </row>
    <row r="17" spans="1:8">
      <c r="A17" s="317"/>
      <c r="B17" s="326" t="s">
        <v>1245</v>
      </c>
      <c r="C17" s="324" t="s">
        <v>1318</v>
      </c>
      <c r="D17" s="329" t="s">
        <v>18</v>
      </c>
      <c r="E17" s="326" t="s">
        <v>1319</v>
      </c>
      <c r="F17" s="326" t="s">
        <v>1484</v>
      </c>
      <c r="G17" s="330">
        <v>42349</v>
      </c>
      <c r="H17" s="331">
        <v>9.9</v>
      </c>
    </row>
    <row r="18" spans="1:8">
      <c r="A18" s="317"/>
      <c r="B18" s="326" t="s">
        <v>1254</v>
      </c>
      <c r="C18" s="324" t="s">
        <v>1255</v>
      </c>
      <c r="D18" s="329" t="s">
        <v>1256</v>
      </c>
      <c r="E18" s="326" t="s">
        <v>1320</v>
      </c>
      <c r="F18" s="326" t="s">
        <v>1484</v>
      </c>
      <c r="G18" s="330">
        <v>42356</v>
      </c>
      <c r="H18" s="331">
        <v>9.5</v>
      </c>
    </row>
    <row r="19" spans="1:8">
      <c r="A19" s="317"/>
      <c r="B19" s="326" t="s">
        <v>1243</v>
      </c>
      <c r="C19" s="324" t="s">
        <v>1255</v>
      </c>
      <c r="D19" s="329" t="s">
        <v>1256</v>
      </c>
      <c r="E19" s="326" t="s">
        <v>1321</v>
      </c>
      <c r="F19" s="326" t="s">
        <v>1484</v>
      </c>
      <c r="G19" s="330">
        <v>42375</v>
      </c>
      <c r="H19" s="331">
        <v>9.5</v>
      </c>
    </row>
    <row r="20" spans="1:8">
      <c r="A20" s="317"/>
      <c r="B20" s="323" t="s">
        <v>1265</v>
      </c>
      <c r="C20" s="324" t="s">
        <v>1322</v>
      </c>
      <c r="D20" s="325" t="s">
        <v>46</v>
      </c>
      <c r="E20" s="323" t="s">
        <v>1323</v>
      </c>
      <c r="F20" s="326" t="s">
        <v>1484</v>
      </c>
      <c r="G20" s="327">
        <v>42375</v>
      </c>
      <c r="H20" s="328">
        <v>9.5</v>
      </c>
    </row>
    <row r="21" spans="1:8">
      <c r="A21" s="317"/>
      <c r="B21" s="323" t="s">
        <v>1257</v>
      </c>
      <c r="C21" s="324" t="s">
        <v>1324</v>
      </c>
      <c r="D21" s="325" t="s">
        <v>1271</v>
      </c>
      <c r="E21" s="323" t="s">
        <v>1325</v>
      </c>
      <c r="F21" s="326" t="s">
        <v>1484</v>
      </c>
      <c r="G21" s="327">
        <v>42397</v>
      </c>
      <c r="H21" s="328">
        <v>9.4</v>
      </c>
    </row>
    <row r="22" spans="1:8">
      <c r="A22" s="317"/>
      <c r="B22" s="326" t="s">
        <v>1305</v>
      </c>
      <c r="C22" s="324" t="s">
        <v>1326</v>
      </c>
      <c r="D22" s="329" t="s">
        <v>1269</v>
      </c>
      <c r="E22" s="326" t="s">
        <v>1327</v>
      </c>
      <c r="F22" s="326" t="s">
        <v>1484</v>
      </c>
      <c r="G22" s="330">
        <v>42410</v>
      </c>
      <c r="H22" s="331">
        <v>9.6</v>
      </c>
    </row>
    <row r="23" spans="1:8">
      <c r="A23" s="317"/>
      <c r="B23" s="323" t="s">
        <v>1241</v>
      </c>
      <c r="C23" s="324" t="s">
        <v>1242</v>
      </c>
      <c r="D23" s="325" t="s">
        <v>19</v>
      </c>
      <c r="E23" s="323" t="s">
        <v>1328</v>
      </c>
      <c r="F23" s="326" t="s">
        <v>1484</v>
      </c>
      <c r="G23" s="327">
        <v>42416</v>
      </c>
      <c r="H23" s="328">
        <v>9.5</v>
      </c>
    </row>
    <row r="24" spans="1:8">
      <c r="A24" s="317"/>
      <c r="B24" s="326" t="s">
        <v>1252</v>
      </c>
      <c r="C24" s="324" t="s">
        <v>1255</v>
      </c>
      <c r="D24" s="329" t="s">
        <v>1256</v>
      </c>
      <c r="E24" s="326" t="s">
        <v>1329</v>
      </c>
      <c r="F24" s="326" t="s">
        <v>1484</v>
      </c>
      <c r="G24" s="330">
        <v>42429</v>
      </c>
      <c r="H24" s="331">
        <v>9.4</v>
      </c>
    </row>
    <row r="25" spans="1:8">
      <c r="A25" s="317"/>
      <c r="B25" s="326" t="s">
        <v>1305</v>
      </c>
      <c r="C25" s="324" t="s">
        <v>1330</v>
      </c>
      <c r="D25" s="329" t="s">
        <v>1331</v>
      </c>
      <c r="E25" s="326" t="s">
        <v>1332</v>
      </c>
      <c r="F25" s="326" t="s">
        <v>1484</v>
      </c>
      <c r="G25" s="330">
        <v>42489</v>
      </c>
      <c r="H25" s="331">
        <v>9.8000000000000007</v>
      </c>
    </row>
    <row r="26" spans="1:8">
      <c r="A26" s="317"/>
      <c r="B26" s="323" t="s">
        <v>1244</v>
      </c>
      <c r="C26" s="324" t="s">
        <v>1333</v>
      </c>
      <c r="D26" s="325" t="s">
        <v>6</v>
      </c>
      <c r="E26" s="323" t="s">
        <v>1334</v>
      </c>
      <c r="F26" s="326" t="s">
        <v>1484</v>
      </c>
      <c r="G26" s="327">
        <v>42495</v>
      </c>
      <c r="H26" s="328">
        <v>9.49</v>
      </c>
    </row>
    <row r="27" spans="1:8">
      <c r="A27" s="317"/>
      <c r="B27" s="323" t="s">
        <v>1335</v>
      </c>
      <c r="C27" s="324" t="s">
        <v>1336</v>
      </c>
      <c r="D27" s="325" t="s">
        <v>1337</v>
      </c>
      <c r="E27" s="323" t="s">
        <v>1338</v>
      </c>
      <c r="F27" s="326" t="s">
        <v>1484</v>
      </c>
      <c r="G27" s="327">
        <v>42522</v>
      </c>
      <c r="H27" s="328">
        <v>9.5500000000000007</v>
      </c>
    </row>
    <row r="28" spans="1:8">
      <c r="A28" s="317"/>
      <c r="B28" s="326" t="s">
        <v>1339</v>
      </c>
      <c r="C28" s="324" t="s">
        <v>1340</v>
      </c>
      <c r="D28" s="329" t="s">
        <v>12</v>
      </c>
      <c r="E28" s="326" t="s">
        <v>1341</v>
      </c>
      <c r="F28" s="326" t="s">
        <v>1484</v>
      </c>
      <c r="G28" s="330">
        <v>42524</v>
      </c>
      <c r="H28" s="331">
        <v>9.65</v>
      </c>
    </row>
    <row r="29" spans="1:8">
      <c r="A29" s="317"/>
      <c r="B29" s="323" t="s">
        <v>1299</v>
      </c>
      <c r="C29" s="324" t="s">
        <v>1342</v>
      </c>
      <c r="D29" s="325" t="s">
        <v>1337</v>
      </c>
      <c r="E29" s="323" t="s">
        <v>1343</v>
      </c>
      <c r="F29" s="326" t="s">
        <v>1484</v>
      </c>
      <c r="G29" s="327">
        <v>42536</v>
      </c>
      <c r="H29" s="328">
        <v>9</v>
      </c>
    </row>
    <row r="30" spans="1:8">
      <c r="A30" s="317"/>
      <c r="B30" s="326" t="s">
        <v>1299</v>
      </c>
      <c r="C30" s="324" t="s">
        <v>1344</v>
      </c>
      <c r="D30" s="329" t="s">
        <v>1337</v>
      </c>
      <c r="E30" s="326" t="s">
        <v>1345</v>
      </c>
      <c r="F30" s="326" t="s">
        <v>1484</v>
      </c>
      <c r="G30" s="330">
        <v>42536</v>
      </c>
      <c r="H30" s="331">
        <v>9</v>
      </c>
    </row>
    <row r="31" spans="1:8">
      <c r="A31" s="317"/>
      <c r="B31" s="326" t="s">
        <v>1257</v>
      </c>
      <c r="C31" s="324" t="s">
        <v>1333</v>
      </c>
      <c r="D31" s="329" t="s">
        <v>6</v>
      </c>
      <c r="E31" s="326" t="s">
        <v>1346</v>
      </c>
      <c r="F31" s="326" t="s">
        <v>1484</v>
      </c>
      <c r="G31" s="330">
        <v>42615</v>
      </c>
      <c r="H31" s="331">
        <v>9.5</v>
      </c>
    </row>
    <row r="32" spans="1:8">
      <c r="A32" s="317"/>
      <c r="B32" s="323" t="s">
        <v>1347</v>
      </c>
      <c r="C32" s="324" t="s">
        <v>1348</v>
      </c>
      <c r="D32" s="325" t="s">
        <v>37</v>
      </c>
      <c r="E32" s="323" t="s">
        <v>1349</v>
      </c>
      <c r="F32" s="326" t="s">
        <v>1484</v>
      </c>
      <c r="G32" s="327">
        <v>42636</v>
      </c>
      <c r="H32" s="328">
        <v>9.75</v>
      </c>
    </row>
    <row r="33" spans="1:8">
      <c r="A33" s="317"/>
      <c r="B33" s="326" t="s">
        <v>1253</v>
      </c>
      <c r="C33" s="324" t="s">
        <v>1350</v>
      </c>
      <c r="D33" s="329" t="s">
        <v>46</v>
      </c>
      <c r="E33" s="326" t="s">
        <v>1351</v>
      </c>
      <c r="F33" s="326" t="s">
        <v>1484</v>
      </c>
      <c r="G33" s="330">
        <v>42640</v>
      </c>
      <c r="H33" s="331">
        <v>9.5</v>
      </c>
    </row>
    <row r="34" spans="1:8">
      <c r="A34" s="317"/>
      <c r="B34" s="323" t="s">
        <v>1244</v>
      </c>
      <c r="C34" s="324" t="s">
        <v>1352</v>
      </c>
      <c r="D34" s="325" t="s">
        <v>18</v>
      </c>
      <c r="E34" s="323" t="s">
        <v>1353</v>
      </c>
      <c r="F34" s="326" t="s">
        <v>1484</v>
      </c>
      <c r="G34" s="327">
        <v>42642</v>
      </c>
      <c r="H34" s="328">
        <v>9.11</v>
      </c>
    </row>
    <row r="35" spans="1:8">
      <c r="A35" s="317"/>
      <c r="B35" s="323" t="s">
        <v>1270</v>
      </c>
      <c r="C35" s="324" t="s">
        <v>1354</v>
      </c>
      <c r="D35" s="325" t="s">
        <v>9</v>
      </c>
      <c r="E35" s="323" t="s">
        <v>1355</v>
      </c>
      <c r="F35" s="326" t="s">
        <v>1484</v>
      </c>
      <c r="G35" s="327">
        <v>42656</v>
      </c>
      <c r="H35" s="328">
        <v>10.199999999999999</v>
      </c>
    </row>
    <row r="36" spans="1:8">
      <c r="A36" s="317"/>
      <c r="B36" s="323" t="s">
        <v>1274</v>
      </c>
      <c r="C36" s="324" t="s">
        <v>1356</v>
      </c>
      <c r="D36" s="325" t="s">
        <v>7</v>
      </c>
      <c r="E36" s="323" t="s">
        <v>1357</v>
      </c>
      <c r="F36" s="326" t="s">
        <v>1484</v>
      </c>
      <c r="G36" s="327">
        <v>42671</v>
      </c>
      <c r="H36" s="328">
        <v>9.6999999999999993</v>
      </c>
    </row>
    <row r="37" spans="1:8">
      <c r="A37" s="317"/>
      <c r="B37" s="323" t="s">
        <v>1249</v>
      </c>
      <c r="C37" s="324" t="s">
        <v>1263</v>
      </c>
      <c r="D37" s="325" t="s">
        <v>1264</v>
      </c>
      <c r="E37" s="323" t="s">
        <v>1358</v>
      </c>
      <c r="F37" s="326" t="s">
        <v>1484</v>
      </c>
      <c r="G37" s="327">
        <v>42683</v>
      </c>
      <c r="H37" s="328">
        <v>9.8000000000000007</v>
      </c>
    </row>
    <row r="38" spans="1:8">
      <c r="A38" s="317"/>
      <c r="B38" s="323" t="s">
        <v>1249</v>
      </c>
      <c r="C38" s="324" t="s">
        <v>1266</v>
      </c>
      <c r="D38" s="325" t="s">
        <v>4</v>
      </c>
      <c r="E38" s="323" t="s">
        <v>1359</v>
      </c>
      <c r="F38" s="326" t="s">
        <v>1484</v>
      </c>
      <c r="G38" s="327">
        <v>42692</v>
      </c>
      <c r="H38" s="328">
        <v>10</v>
      </c>
    </row>
    <row r="39" spans="1:8">
      <c r="A39" s="317"/>
      <c r="B39" s="323" t="s">
        <v>1245</v>
      </c>
      <c r="C39" s="324" t="s">
        <v>1360</v>
      </c>
      <c r="D39" s="325" t="s">
        <v>8</v>
      </c>
      <c r="E39" s="323" t="s">
        <v>1361</v>
      </c>
      <c r="F39" s="326" t="s">
        <v>1484</v>
      </c>
      <c r="G39" s="327">
        <v>42713</v>
      </c>
      <c r="H39" s="328">
        <v>10.1</v>
      </c>
    </row>
    <row r="40" spans="1:8">
      <c r="A40" s="317"/>
      <c r="B40" s="326" t="s">
        <v>1299</v>
      </c>
      <c r="C40" s="324" t="s">
        <v>1362</v>
      </c>
      <c r="D40" s="329" t="s">
        <v>1363</v>
      </c>
      <c r="E40" s="326" t="s">
        <v>1364</v>
      </c>
      <c r="F40" s="326" t="s">
        <v>1484</v>
      </c>
      <c r="G40" s="330">
        <v>42719</v>
      </c>
      <c r="H40" s="331">
        <v>9</v>
      </c>
    </row>
    <row r="41" spans="1:8">
      <c r="A41" s="317"/>
      <c r="B41" s="326" t="s">
        <v>1299</v>
      </c>
      <c r="C41" s="324" t="s">
        <v>1365</v>
      </c>
      <c r="D41" s="329" t="s">
        <v>1363</v>
      </c>
      <c r="E41" s="326" t="s">
        <v>1366</v>
      </c>
      <c r="F41" s="326" t="s">
        <v>1484</v>
      </c>
      <c r="G41" s="330">
        <v>42719</v>
      </c>
      <c r="H41" s="331">
        <v>9</v>
      </c>
    </row>
    <row r="42" spans="1:8">
      <c r="A42" s="317"/>
      <c r="B42" s="326" t="s">
        <v>1367</v>
      </c>
      <c r="C42" s="324" t="s">
        <v>1368</v>
      </c>
      <c r="D42" s="329" t="s">
        <v>32</v>
      </c>
      <c r="E42" s="326" t="s">
        <v>1369</v>
      </c>
      <c r="F42" s="326" t="s">
        <v>1484</v>
      </c>
      <c r="G42" s="330">
        <v>42724</v>
      </c>
      <c r="H42" s="331">
        <v>9.75</v>
      </c>
    </row>
    <row r="43" spans="1:8">
      <c r="A43" s="317"/>
      <c r="B43" s="326" t="s">
        <v>1272</v>
      </c>
      <c r="C43" s="324" t="s">
        <v>1273</v>
      </c>
      <c r="D43" s="329" t="s">
        <v>1240</v>
      </c>
      <c r="E43" s="326" t="s">
        <v>1370</v>
      </c>
      <c r="F43" s="326" t="s">
        <v>1484</v>
      </c>
      <c r="G43" s="330">
        <v>42726</v>
      </c>
      <c r="H43" s="331">
        <v>9.5</v>
      </c>
    </row>
    <row r="44" spans="1:8">
      <c r="A44" s="317"/>
      <c r="B44" s="326" t="s">
        <v>1299</v>
      </c>
      <c r="C44" s="324" t="s">
        <v>1371</v>
      </c>
      <c r="D44" s="329" t="s">
        <v>10</v>
      </c>
      <c r="E44" s="326" t="s">
        <v>1372</v>
      </c>
      <c r="F44" s="326" t="s">
        <v>1484</v>
      </c>
      <c r="G44" s="330">
        <v>42759</v>
      </c>
      <c r="H44" s="331">
        <v>9</v>
      </c>
    </row>
    <row r="45" spans="1:8">
      <c r="A45" s="317"/>
      <c r="B45" s="323" t="s">
        <v>1373</v>
      </c>
      <c r="C45" s="324" t="s">
        <v>1374</v>
      </c>
      <c r="D45" s="325" t="s">
        <v>22</v>
      </c>
      <c r="E45" s="323" t="s">
        <v>1375</v>
      </c>
      <c r="F45" s="326" t="s">
        <v>1484</v>
      </c>
      <c r="G45" s="327">
        <v>42787</v>
      </c>
      <c r="H45" s="328">
        <v>10.55</v>
      </c>
    </row>
    <row r="46" spans="1:8">
      <c r="A46" s="317"/>
      <c r="B46" s="326" t="s">
        <v>1376</v>
      </c>
      <c r="C46" s="324" t="s">
        <v>1377</v>
      </c>
      <c r="D46" s="329" t="s">
        <v>1378</v>
      </c>
      <c r="E46" s="326" t="s">
        <v>1379</v>
      </c>
      <c r="F46" s="326" t="s">
        <v>1484</v>
      </c>
      <c r="G46" s="330">
        <v>42795</v>
      </c>
      <c r="H46" s="331">
        <v>9.25</v>
      </c>
    </row>
    <row r="47" spans="1:8">
      <c r="A47" s="317"/>
      <c r="B47" s="326" t="s">
        <v>1261</v>
      </c>
      <c r="C47" s="324" t="s">
        <v>1380</v>
      </c>
      <c r="D47" s="329" t="s">
        <v>43</v>
      </c>
      <c r="E47" s="326" t="s">
        <v>1381</v>
      </c>
      <c r="F47" s="326" t="s">
        <v>1484</v>
      </c>
      <c r="G47" s="330">
        <v>42836</v>
      </c>
      <c r="H47" s="331">
        <v>9.5</v>
      </c>
    </row>
    <row r="48" spans="1:8">
      <c r="A48" s="317"/>
      <c r="B48" s="326" t="s">
        <v>1299</v>
      </c>
      <c r="C48" s="324" t="s">
        <v>1382</v>
      </c>
      <c r="D48" s="329" t="s">
        <v>1383</v>
      </c>
      <c r="E48" s="326" t="s">
        <v>1384</v>
      </c>
      <c r="F48" s="326" t="s">
        <v>1484</v>
      </c>
      <c r="G48" s="330">
        <v>42845</v>
      </c>
      <c r="H48" s="331">
        <v>8.6999999999999993</v>
      </c>
    </row>
    <row r="49" spans="1:10">
      <c r="A49" s="317"/>
      <c r="B49" s="326" t="s">
        <v>1254</v>
      </c>
      <c r="C49" s="324" t="s">
        <v>1385</v>
      </c>
      <c r="D49" s="329" t="s">
        <v>1276</v>
      </c>
      <c r="E49" s="326" t="s">
        <v>1386</v>
      </c>
      <c r="F49" s="326" t="s">
        <v>1484</v>
      </c>
      <c r="G49" s="330">
        <v>42853</v>
      </c>
      <c r="H49" s="331">
        <v>9.5</v>
      </c>
    </row>
    <row r="50" spans="1:10">
      <c r="A50" s="317"/>
      <c r="B50" s="326" t="s">
        <v>1253</v>
      </c>
      <c r="C50" s="324" t="s">
        <v>1333</v>
      </c>
      <c r="D50" s="329" t="s">
        <v>6</v>
      </c>
      <c r="E50" s="326" t="s">
        <v>1387</v>
      </c>
      <c r="F50" s="326" t="s">
        <v>1484</v>
      </c>
      <c r="G50" s="330">
        <v>42878</v>
      </c>
      <c r="H50" s="331">
        <v>9.6</v>
      </c>
    </row>
    <row r="51" spans="1:10">
      <c r="A51" s="317"/>
      <c r="B51" s="323" t="s">
        <v>1367</v>
      </c>
      <c r="C51" s="324" t="s">
        <v>1388</v>
      </c>
      <c r="D51" s="325" t="s">
        <v>12</v>
      </c>
      <c r="E51" s="323" t="s">
        <v>1389</v>
      </c>
      <c r="F51" s="326" t="s">
        <v>1484</v>
      </c>
      <c r="G51" s="327">
        <v>42892</v>
      </c>
      <c r="H51" s="331">
        <v>9.6999999999999993</v>
      </c>
    </row>
    <row r="52" spans="1:10">
      <c r="A52" s="317"/>
      <c r="B52" s="320" t="s">
        <v>1278</v>
      </c>
      <c r="C52" s="320" t="s">
        <v>1279</v>
      </c>
      <c r="D52" s="332" t="s">
        <v>16</v>
      </c>
      <c r="E52" s="320" t="s">
        <v>1390</v>
      </c>
      <c r="F52" s="326" t="s">
        <v>1484</v>
      </c>
      <c r="G52" s="333">
        <v>42908</v>
      </c>
      <c r="H52" s="331">
        <v>9.6999999999999993</v>
      </c>
    </row>
    <row r="53" spans="1:10">
      <c r="A53" s="317"/>
      <c r="B53" s="320" t="s">
        <v>1347</v>
      </c>
      <c r="C53" s="320" t="s">
        <v>1391</v>
      </c>
      <c r="D53" s="332" t="s">
        <v>41</v>
      </c>
      <c r="E53" s="320" t="s">
        <v>1392</v>
      </c>
      <c r="F53" s="326" t="s">
        <v>1484</v>
      </c>
      <c r="G53" s="333">
        <v>42916</v>
      </c>
      <c r="H53" s="331">
        <v>9.6</v>
      </c>
      <c r="J53" s="334"/>
    </row>
    <row r="54" spans="1:10">
      <c r="A54" s="317"/>
      <c r="B54" s="320" t="s">
        <v>1393</v>
      </c>
      <c r="C54" s="320" t="s">
        <v>1394</v>
      </c>
      <c r="D54" s="332" t="s">
        <v>1395</v>
      </c>
      <c r="E54" s="320" t="s">
        <v>1396</v>
      </c>
      <c r="F54" s="326" t="s">
        <v>1484</v>
      </c>
      <c r="G54" s="333">
        <v>42936</v>
      </c>
      <c r="H54" s="331">
        <v>9.5500000000000007</v>
      </c>
      <c r="J54" s="334"/>
    </row>
    <row r="55" spans="1:10">
      <c r="A55" s="317"/>
      <c r="B55" s="320" t="s">
        <v>1245</v>
      </c>
      <c r="C55" s="320" t="s">
        <v>1250</v>
      </c>
      <c r="D55" s="332" t="s">
        <v>5</v>
      </c>
      <c r="E55" s="320" t="s">
        <v>1397</v>
      </c>
      <c r="F55" s="326" t="s">
        <v>1484</v>
      </c>
      <c r="G55" s="333">
        <v>42947</v>
      </c>
      <c r="H55" s="331">
        <v>10.1</v>
      </c>
      <c r="J55" s="334"/>
    </row>
    <row r="56" spans="1:10">
      <c r="A56" s="317"/>
      <c r="B56" s="320" t="s">
        <v>1252</v>
      </c>
      <c r="C56" s="320" t="s">
        <v>1255</v>
      </c>
      <c r="D56" s="332" t="s">
        <v>1256</v>
      </c>
      <c r="E56" s="320" t="s">
        <v>1398</v>
      </c>
      <c r="F56" s="326" t="s">
        <v>1484</v>
      </c>
      <c r="G56" s="333">
        <v>42991</v>
      </c>
      <c r="H56" s="331">
        <v>9.4</v>
      </c>
      <c r="J56" s="334"/>
    </row>
    <row r="57" spans="1:10">
      <c r="A57" s="317"/>
      <c r="B57" s="320" t="s">
        <v>1339</v>
      </c>
      <c r="C57" s="320" t="s">
        <v>1399</v>
      </c>
      <c r="D57" s="332" t="s">
        <v>13</v>
      </c>
      <c r="E57" s="320" t="s">
        <v>1400</v>
      </c>
      <c r="F57" s="326" t="s">
        <v>1484</v>
      </c>
      <c r="G57" s="333">
        <v>42997</v>
      </c>
      <c r="H57" s="331">
        <v>9.6999999999999993</v>
      </c>
      <c r="J57" s="334"/>
    </row>
    <row r="58" spans="1:10">
      <c r="A58" s="317"/>
      <c r="B58" s="320" t="s">
        <v>1281</v>
      </c>
      <c r="C58" s="320" t="s">
        <v>1401</v>
      </c>
      <c r="D58" s="332" t="s">
        <v>1378</v>
      </c>
      <c r="E58" s="320" t="s">
        <v>1402</v>
      </c>
      <c r="F58" s="326" t="s">
        <v>1484</v>
      </c>
      <c r="G58" s="333">
        <v>43000</v>
      </c>
      <c r="H58" s="331">
        <v>11.88</v>
      </c>
      <c r="J58" s="334"/>
    </row>
    <row r="59" spans="1:10">
      <c r="A59" s="317"/>
      <c r="B59" s="320" t="s">
        <v>1270</v>
      </c>
      <c r="C59" s="320" t="s">
        <v>1354</v>
      </c>
      <c r="D59" s="332" t="s">
        <v>9</v>
      </c>
      <c r="E59" s="320" t="s">
        <v>1403</v>
      </c>
      <c r="F59" s="326" t="s">
        <v>1484</v>
      </c>
      <c r="G59" s="333">
        <v>43005</v>
      </c>
      <c r="H59" s="331">
        <v>10.199999999999999</v>
      </c>
      <c r="J59" s="334"/>
    </row>
    <row r="60" spans="1:10">
      <c r="A60" s="317"/>
      <c r="B60" s="320" t="s">
        <v>1347</v>
      </c>
      <c r="C60" s="320" t="s">
        <v>1404</v>
      </c>
      <c r="D60" s="332" t="s">
        <v>41</v>
      </c>
      <c r="E60" s="320" t="s">
        <v>1405</v>
      </c>
      <c r="F60" s="326" t="s">
        <v>1484</v>
      </c>
      <c r="G60" s="333">
        <v>43028</v>
      </c>
      <c r="H60" s="331">
        <v>9.6</v>
      </c>
      <c r="J60" s="334"/>
    </row>
    <row r="61" spans="1:10">
      <c r="A61" s="317"/>
      <c r="B61" s="320" t="s">
        <v>1268</v>
      </c>
      <c r="C61" s="320" t="s">
        <v>1280</v>
      </c>
      <c r="D61" s="332" t="s">
        <v>17</v>
      </c>
      <c r="E61" s="320" t="s">
        <v>1406</v>
      </c>
      <c r="F61" s="326" t="s">
        <v>1484</v>
      </c>
      <c r="G61" s="333">
        <v>43034</v>
      </c>
      <c r="H61" s="331">
        <v>10.199999999999999</v>
      </c>
      <c r="J61" s="334"/>
    </row>
    <row r="62" spans="1:10">
      <c r="A62" s="317"/>
      <c r="B62" s="320" t="s">
        <v>1268</v>
      </c>
      <c r="C62" s="320" t="s">
        <v>1407</v>
      </c>
      <c r="D62" s="332" t="s">
        <v>17</v>
      </c>
      <c r="E62" s="320" t="s">
        <v>1408</v>
      </c>
      <c r="F62" s="326" t="s">
        <v>1484</v>
      </c>
      <c r="G62" s="333">
        <v>43038</v>
      </c>
      <c r="H62" s="331">
        <v>10.050000000000001</v>
      </c>
      <c r="J62" s="334"/>
    </row>
    <row r="63" spans="1:10">
      <c r="A63" s="317"/>
      <c r="B63" s="320" t="s">
        <v>1243</v>
      </c>
      <c r="C63" s="320" t="s">
        <v>1282</v>
      </c>
      <c r="D63" s="332" t="s">
        <v>29</v>
      </c>
      <c r="E63" s="320" t="s">
        <v>1409</v>
      </c>
      <c r="F63" s="326" t="s">
        <v>1484</v>
      </c>
      <c r="G63" s="333">
        <v>43074</v>
      </c>
      <c r="H63" s="331">
        <v>9.5</v>
      </c>
      <c r="J63" s="334"/>
    </row>
    <row r="64" spans="1:10">
      <c r="A64" s="317"/>
      <c r="B64" s="320" t="s">
        <v>1249</v>
      </c>
      <c r="C64" s="320" t="s">
        <v>1251</v>
      </c>
      <c r="D64" s="332" t="s">
        <v>19</v>
      </c>
      <c r="E64" s="320" t="s">
        <v>1410</v>
      </c>
      <c r="F64" s="326" t="s">
        <v>1484</v>
      </c>
      <c r="G64" s="333">
        <v>43076</v>
      </c>
      <c r="H64" s="331">
        <v>9.8000000000000007</v>
      </c>
      <c r="J64" s="334"/>
    </row>
    <row r="65" spans="1:10">
      <c r="A65" s="317"/>
      <c r="B65" s="320" t="s">
        <v>1411</v>
      </c>
      <c r="C65" s="320" t="s">
        <v>1412</v>
      </c>
      <c r="D65" s="332" t="s">
        <v>1337</v>
      </c>
      <c r="E65" s="320" t="s">
        <v>1413</v>
      </c>
      <c r="F65" s="326" t="s">
        <v>1484</v>
      </c>
      <c r="G65" s="333">
        <v>43082</v>
      </c>
      <c r="H65" s="331">
        <v>9.25</v>
      </c>
      <c r="J65" s="334"/>
    </row>
    <row r="66" spans="1:10">
      <c r="A66" s="317"/>
      <c r="B66" s="320" t="s">
        <v>1254</v>
      </c>
      <c r="C66" s="320" t="s">
        <v>1255</v>
      </c>
      <c r="D66" s="332" t="s">
        <v>1256</v>
      </c>
      <c r="E66" s="320" t="s">
        <v>1414</v>
      </c>
      <c r="F66" s="326" t="s">
        <v>1484</v>
      </c>
      <c r="G66" s="333">
        <v>43097</v>
      </c>
      <c r="H66" s="331">
        <v>9.5</v>
      </c>
      <c r="J66" s="334"/>
    </row>
    <row r="67" spans="1:10">
      <c r="A67" s="317"/>
      <c r="B67" s="320" t="s">
        <v>1291</v>
      </c>
      <c r="C67" s="320" t="s">
        <v>1415</v>
      </c>
      <c r="D67" s="332" t="s">
        <v>22</v>
      </c>
      <c r="E67" s="320" t="s">
        <v>1416</v>
      </c>
      <c r="F67" s="326" t="s">
        <v>1484</v>
      </c>
      <c r="G67" s="333">
        <v>43131</v>
      </c>
      <c r="H67" s="331">
        <v>9.8000000000000007</v>
      </c>
      <c r="J67" s="334"/>
    </row>
    <row r="68" spans="1:10">
      <c r="A68" s="317"/>
      <c r="B68" s="320" t="s">
        <v>1247</v>
      </c>
      <c r="C68" s="320" t="s">
        <v>1417</v>
      </c>
      <c r="D68" s="332" t="s">
        <v>45</v>
      </c>
      <c r="E68" s="320" t="s">
        <v>1418</v>
      </c>
      <c r="F68" s="326" t="s">
        <v>1484</v>
      </c>
      <c r="G68" s="333">
        <v>43152</v>
      </c>
      <c r="H68" s="331">
        <v>9.8000000000000007</v>
      </c>
      <c r="J68" s="334"/>
    </row>
    <row r="69" spans="1:10">
      <c r="A69" s="317"/>
      <c r="B69" s="320" t="s">
        <v>1247</v>
      </c>
      <c r="C69" s="320" t="s">
        <v>1419</v>
      </c>
      <c r="D69" s="332" t="s">
        <v>45</v>
      </c>
      <c r="E69" s="320" t="s">
        <v>1420</v>
      </c>
      <c r="F69" s="326" t="s">
        <v>1484</v>
      </c>
      <c r="G69" s="333">
        <v>43152</v>
      </c>
      <c r="H69" s="331">
        <v>9.8000000000000007</v>
      </c>
      <c r="J69" s="334"/>
    </row>
    <row r="70" spans="1:10">
      <c r="A70" s="317"/>
      <c r="B70" s="320" t="s">
        <v>1335</v>
      </c>
      <c r="C70" s="320" t="s">
        <v>1421</v>
      </c>
      <c r="D70" s="332" t="s">
        <v>1331</v>
      </c>
      <c r="E70" s="320" t="s">
        <v>1422</v>
      </c>
      <c r="F70" s="326" t="s">
        <v>1484</v>
      </c>
      <c r="G70" s="333">
        <v>43159</v>
      </c>
      <c r="H70" s="331">
        <v>9.5</v>
      </c>
      <c r="J70" s="334"/>
    </row>
    <row r="71" spans="1:10">
      <c r="A71" s="317"/>
      <c r="B71" s="320" t="s">
        <v>1299</v>
      </c>
      <c r="C71" s="320" t="s">
        <v>1423</v>
      </c>
      <c r="D71" s="332" t="s">
        <v>1363</v>
      </c>
      <c r="E71" s="320" t="s">
        <v>1424</v>
      </c>
      <c r="F71" s="326" t="s">
        <v>1484</v>
      </c>
      <c r="G71" s="333">
        <v>43174</v>
      </c>
      <c r="H71" s="331">
        <v>9</v>
      </c>
      <c r="J71" s="334"/>
    </row>
    <row r="72" spans="1:10">
      <c r="A72" s="317"/>
      <c r="B72" s="320" t="s">
        <v>1267</v>
      </c>
      <c r="C72" s="320" t="s">
        <v>1425</v>
      </c>
      <c r="D72" s="332" t="s">
        <v>421</v>
      </c>
      <c r="E72" s="320" t="s">
        <v>1426</v>
      </c>
      <c r="F72" s="326" t="s">
        <v>1484</v>
      </c>
      <c r="G72" s="333">
        <v>43185</v>
      </c>
      <c r="H72" s="331">
        <v>10.19</v>
      </c>
      <c r="J72" s="334"/>
    </row>
    <row r="73" spans="1:10">
      <c r="A73" s="317"/>
      <c r="B73" s="320" t="s">
        <v>1243</v>
      </c>
      <c r="C73" s="320" t="s">
        <v>1255</v>
      </c>
      <c r="D73" s="332" t="s">
        <v>1256</v>
      </c>
      <c r="E73" s="320" t="s">
        <v>1427</v>
      </c>
      <c r="F73" s="326" t="s">
        <v>1484</v>
      </c>
      <c r="G73" s="333">
        <v>43216</v>
      </c>
      <c r="H73" s="331">
        <v>9.5</v>
      </c>
      <c r="J73" s="334"/>
    </row>
    <row r="74" spans="1:10">
      <c r="A74" s="317"/>
      <c r="B74" s="320" t="s">
        <v>1428</v>
      </c>
      <c r="C74" s="320" t="s">
        <v>1429</v>
      </c>
      <c r="D74" s="332" t="s">
        <v>1269</v>
      </c>
      <c r="E74" s="320" t="s">
        <v>1430</v>
      </c>
      <c r="F74" s="326" t="s">
        <v>1484</v>
      </c>
      <c r="G74" s="333">
        <v>43217</v>
      </c>
      <c r="H74" s="331">
        <v>9.3000000000000007</v>
      </c>
      <c r="J74" s="334"/>
    </row>
    <row r="75" spans="1:10">
      <c r="A75" s="317"/>
      <c r="B75" s="320" t="s">
        <v>1428</v>
      </c>
      <c r="C75" s="320" t="s">
        <v>1421</v>
      </c>
      <c r="D75" s="332" t="s">
        <v>1331</v>
      </c>
      <c r="E75" s="320" t="s">
        <v>1431</v>
      </c>
      <c r="F75" s="326" t="s">
        <v>1484</v>
      </c>
      <c r="G75" s="333">
        <v>43222</v>
      </c>
      <c r="H75" s="331">
        <v>9.5</v>
      </c>
      <c r="J75" s="334"/>
    </row>
    <row r="76" spans="1:10">
      <c r="A76" s="317"/>
      <c r="B76" s="320" t="s">
        <v>1278</v>
      </c>
      <c r="C76" s="320" t="s">
        <v>1297</v>
      </c>
      <c r="D76" s="332" t="s">
        <v>34</v>
      </c>
      <c r="E76" s="320" t="s">
        <v>1432</v>
      </c>
      <c r="F76" s="326" t="s">
        <v>1484</v>
      </c>
      <c r="G76" s="333">
        <v>43223</v>
      </c>
      <c r="H76" s="331">
        <v>9.6999999999999993</v>
      </c>
      <c r="J76" s="334"/>
    </row>
    <row r="77" spans="1:10">
      <c r="A77" s="317"/>
      <c r="B77" s="320" t="s">
        <v>1393</v>
      </c>
      <c r="C77" s="320" t="s">
        <v>1275</v>
      </c>
      <c r="D77" s="332" t="s">
        <v>1276</v>
      </c>
      <c r="E77" s="320" t="s">
        <v>1433</v>
      </c>
      <c r="F77" s="326" t="s">
        <v>1484</v>
      </c>
      <c r="G77" s="333">
        <v>43249</v>
      </c>
      <c r="H77" s="331">
        <v>9.4</v>
      </c>
      <c r="J77" s="334"/>
    </row>
    <row r="78" spans="1:10">
      <c r="A78" s="317"/>
      <c r="B78" s="320" t="s">
        <v>1247</v>
      </c>
      <c r="C78" s="320" t="s">
        <v>1434</v>
      </c>
      <c r="D78" s="332" t="s">
        <v>1269</v>
      </c>
      <c r="E78" s="320" t="s">
        <v>1435</v>
      </c>
      <c r="F78" s="326" t="s">
        <v>1484</v>
      </c>
      <c r="G78" s="333">
        <v>43257</v>
      </c>
      <c r="H78" s="331">
        <v>9.8000000000000007</v>
      </c>
      <c r="J78" s="334"/>
    </row>
    <row r="79" spans="1:10">
      <c r="A79" s="317"/>
      <c r="B79" s="320" t="s">
        <v>1299</v>
      </c>
      <c r="C79" s="320" t="s">
        <v>1300</v>
      </c>
      <c r="D79" s="332" t="s">
        <v>1262</v>
      </c>
      <c r="E79" s="320" t="s">
        <v>1436</v>
      </c>
      <c r="F79" s="326" t="s">
        <v>1484</v>
      </c>
      <c r="G79" s="333">
        <v>43265</v>
      </c>
      <c r="H79" s="331">
        <v>8.8000000000000007</v>
      </c>
      <c r="J79" s="334"/>
    </row>
    <row r="80" spans="1:10">
      <c r="A80" s="317"/>
      <c r="B80" s="320" t="s">
        <v>1239</v>
      </c>
      <c r="C80" s="320" t="s">
        <v>1437</v>
      </c>
      <c r="D80" s="332" t="s">
        <v>1271</v>
      </c>
      <c r="E80" s="320" t="s">
        <v>1438</v>
      </c>
      <c r="F80" s="326" t="s">
        <v>1484</v>
      </c>
      <c r="G80" s="333">
        <v>43297</v>
      </c>
      <c r="H80" s="331">
        <v>9.6</v>
      </c>
      <c r="J80" s="334"/>
    </row>
    <row r="81" spans="1:10">
      <c r="A81" s="317"/>
      <c r="B81" s="320" t="s">
        <v>1243</v>
      </c>
      <c r="C81" s="320" t="s">
        <v>1439</v>
      </c>
      <c r="D81" s="332" t="s">
        <v>1276</v>
      </c>
      <c r="E81" s="320" t="s">
        <v>1440</v>
      </c>
      <c r="F81" s="326" t="s">
        <v>1484</v>
      </c>
      <c r="G81" s="333">
        <v>43301</v>
      </c>
      <c r="H81" s="331">
        <v>9.4</v>
      </c>
      <c r="J81" s="334"/>
    </row>
    <row r="82" spans="1:10">
      <c r="A82" s="317"/>
      <c r="B82" s="320" t="s">
        <v>1441</v>
      </c>
      <c r="C82" s="320" t="s">
        <v>1442</v>
      </c>
      <c r="D82" s="332" t="s">
        <v>1363</v>
      </c>
      <c r="E82" s="320" t="s">
        <v>1443</v>
      </c>
      <c r="F82" s="326" t="s">
        <v>1484</v>
      </c>
      <c r="G82" s="333">
        <v>43336</v>
      </c>
      <c r="H82" s="331">
        <v>9.2799999999999994</v>
      </c>
      <c r="J82" s="334"/>
    </row>
    <row r="83" spans="1:10">
      <c r="A83" s="317"/>
      <c r="B83" s="320" t="s">
        <v>1245</v>
      </c>
      <c r="C83" s="320" t="s">
        <v>1250</v>
      </c>
      <c r="D83" s="332" t="s">
        <v>5</v>
      </c>
      <c r="E83" s="320" t="s">
        <v>1444</v>
      </c>
      <c r="F83" s="326" t="s">
        <v>1484</v>
      </c>
      <c r="G83" s="333">
        <v>43340</v>
      </c>
      <c r="H83" s="331">
        <v>10</v>
      </c>
      <c r="J83" s="334"/>
    </row>
    <row r="84" spans="1:10">
      <c r="A84" s="317"/>
      <c r="B84" s="320" t="s">
        <v>1245</v>
      </c>
      <c r="C84" s="320" t="s">
        <v>1360</v>
      </c>
      <c r="D84" s="332" t="s">
        <v>8</v>
      </c>
      <c r="E84" s="320" t="s">
        <v>1445</v>
      </c>
      <c r="F84" s="326" t="s">
        <v>1484</v>
      </c>
      <c r="G84" s="333">
        <v>43356</v>
      </c>
      <c r="H84" s="331">
        <v>10</v>
      </c>
      <c r="J84" s="334"/>
    </row>
    <row r="85" spans="1:10">
      <c r="A85" s="317"/>
      <c r="B85" s="320" t="s">
        <v>1249</v>
      </c>
      <c r="C85" s="320" t="s">
        <v>1266</v>
      </c>
      <c r="D85" s="332" t="s">
        <v>4</v>
      </c>
      <c r="E85" s="320" t="s">
        <v>1446</v>
      </c>
      <c r="F85" s="326" t="s">
        <v>1484</v>
      </c>
      <c r="G85" s="333">
        <v>43357</v>
      </c>
      <c r="H85" s="331">
        <v>10</v>
      </c>
      <c r="J85" s="334"/>
    </row>
    <row r="86" spans="1:10">
      <c r="A86" s="317"/>
      <c r="B86" s="320" t="s">
        <v>1258</v>
      </c>
      <c r="C86" s="320" t="s">
        <v>1259</v>
      </c>
      <c r="D86" s="332" t="s">
        <v>13</v>
      </c>
      <c r="E86" s="320" t="s">
        <v>1447</v>
      </c>
      <c r="F86" s="326" t="s">
        <v>1484</v>
      </c>
      <c r="G86" s="333">
        <v>43362</v>
      </c>
      <c r="H86" s="331">
        <v>9.85</v>
      </c>
      <c r="J86" s="334"/>
    </row>
    <row r="87" spans="1:10">
      <c r="A87" s="317"/>
      <c r="B87" s="320" t="s">
        <v>1249</v>
      </c>
      <c r="C87" s="320" t="s">
        <v>1263</v>
      </c>
      <c r="D87" s="332" t="s">
        <v>1264</v>
      </c>
      <c r="E87" s="320" t="s">
        <v>1448</v>
      </c>
      <c r="F87" s="326" t="s">
        <v>1484</v>
      </c>
      <c r="G87" s="333">
        <v>43363</v>
      </c>
      <c r="H87" s="331">
        <v>9.8000000000000007</v>
      </c>
      <c r="J87" s="334"/>
    </row>
    <row r="88" spans="1:10">
      <c r="A88" s="317"/>
      <c r="B88" s="320" t="s">
        <v>1277</v>
      </c>
      <c r="C88" s="320" t="s">
        <v>1275</v>
      </c>
      <c r="D88" s="332" t="s">
        <v>1276</v>
      </c>
      <c r="E88" s="320" t="s">
        <v>1449</v>
      </c>
      <c r="F88" s="326" t="s">
        <v>1484</v>
      </c>
      <c r="G88" s="333">
        <v>43369</v>
      </c>
      <c r="H88" s="331">
        <v>9.4</v>
      </c>
      <c r="J88" s="334"/>
    </row>
    <row r="89" spans="1:10">
      <c r="A89" s="317"/>
      <c r="B89" s="320" t="s">
        <v>1270</v>
      </c>
      <c r="C89" s="320" t="s">
        <v>1354</v>
      </c>
      <c r="D89" s="332" t="s">
        <v>9</v>
      </c>
      <c r="E89" s="320" t="s">
        <v>1450</v>
      </c>
      <c r="F89" s="326" t="s">
        <v>1484</v>
      </c>
      <c r="G89" s="333">
        <v>43369</v>
      </c>
      <c r="H89" s="331">
        <v>10.199999999999999</v>
      </c>
      <c r="J89" s="334"/>
    </row>
    <row r="90" spans="1:10">
      <c r="A90" s="317"/>
      <c r="B90" s="320" t="s">
        <v>1305</v>
      </c>
      <c r="C90" s="320" t="s">
        <v>1451</v>
      </c>
      <c r="D90" s="332" t="s">
        <v>1363</v>
      </c>
      <c r="E90" s="320" t="s">
        <v>1452</v>
      </c>
      <c r="F90" s="326" t="s">
        <v>1484</v>
      </c>
      <c r="G90" s="333">
        <v>43371</v>
      </c>
      <c r="H90" s="331">
        <v>9.5</v>
      </c>
      <c r="J90" s="334"/>
    </row>
    <row r="91" spans="1:10">
      <c r="A91" s="317"/>
      <c r="B91" s="320" t="s">
        <v>1305</v>
      </c>
      <c r="C91" s="320" t="s">
        <v>1453</v>
      </c>
      <c r="D91" s="332" t="s">
        <v>1363</v>
      </c>
      <c r="E91" s="320" t="s">
        <v>1454</v>
      </c>
      <c r="F91" s="326" t="s">
        <v>1484</v>
      </c>
      <c r="G91" s="333">
        <v>43371</v>
      </c>
      <c r="H91" s="331">
        <v>9.5</v>
      </c>
      <c r="J91" s="334"/>
    </row>
    <row r="92" spans="1:10">
      <c r="A92" s="317"/>
      <c r="B92" s="320" t="s">
        <v>1257</v>
      </c>
      <c r="C92" s="320" t="s">
        <v>1324</v>
      </c>
      <c r="D92" s="332" t="s">
        <v>1271</v>
      </c>
      <c r="E92" s="320" t="s">
        <v>1455</v>
      </c>
      <c r="F92" s="326" t="s">
        <v>1484</v>
      </c>
      <c r="G92" s="333">
        <v>43378</v>
      </c>
      <c r="H92" s="331">
        <v>9.61</v>
      </c>
      <c r="J92" s="334"/>
    </row>
    <row r="93" spans="1:10">
      <c r="A93" s="317"/>
      <c r="B93" s="320" t="s">
        <v>1260</v>
      </c>
      <c r="C93" s="320" t="s">
        <v>1456</v>
      </c>
      <c r="D93" s="332" t="s">
        <v>22</v>
      </c>
      <c r="E93" s="320" t="s">
        <v>1457</v>
      </c>
      <c r="F93" s="326" t="s">
        <v>1484</v>
      </c>
      <c r="G93" s="333">
        <v>43388</v>
      </c>
      <c r="H93" s="331">
        <v>9.8000000000000007</v>
      </c>
      <c r="J93" s="334"/>
    </row>
    <row r="94" spans="1:10">
      <c r="A94" s="317"/>
      <c r="B94" s="320" t="s">
        <v>1252</v>
      </c>
      <c r="C94" s="320" t="s">
        <v>1458</v>
      </c>
      <c r="D94" s="332" t="s">
        <v>39</v>
      </c>
      <c r="E94" s="320" t="s">
        <v>1459</v>
      </c>
      <c r="F94" s="326" t="s">
        <v>1484</v>
      </c>
      <c r="G94" s="333">
        <v>43399</v>
      </c>
      <c r="H94" s="331">
        <v>9.4</v>
      </c>
      <c r="J94" s="334"/>
    </row>
    <row r="95" spans="1:10">
      <c r="A95" s="317"/>
      <c r="B95" s="320" t="s">
        <v>1347</v>
      </c>
      <c r="C95" s="320" t="s">
        <v>1460</v>
      </c>
      <c r="D95" s="332" t="s">
        <v>14</v>
      </c>
      <c r="E95" s="320" t="s">
        <v>1461</v>
      </c>
      <c r="F95" s="326" t="s">
        <v>1484</v>
      </c>
      <c r="G95" s="333">
        <v>43402</v>
      </c>
      <c r="H95" s="331">
        <v>9.6</v>
      </c>
      <c r="J95" s="334"/>
    </row>
    <row r="96" spans="1:10">
      <c r="A96" s="317"/>
      <c r="B96" s="320" t="s">
        <v>1291</v>
      </c>
      <c r="C96" s="320" t="s">
        <v>1316</v>
      </c>
      <c r="D96" s="332" t="s">
        <v>2</v>
      </c>
      <c r="E96" s="320" t="s">
        <v>1462</v>
      </c>
      <c r="F96" s="326" t="s">
        <v>1484</v>
      </c>
      <c r="G96" s="333">
        <v>43405</v>
      </c>
      <c r="H96" s="331">
        <v>9.8699999999999992</v>
      </c>
      <c r="J96" s="334"/>
    </row>
    <row r="97" spans="1:8">
      <c r="A97" s="332"/>
      <c r="B97" s="320" t="s">
        <v>1244</v>
      </c>
      <c r="C97" s="320" t="s">
        <v>1352</v>
      </c>
      <c r="D97" s="332" t="s">
        <v>18</v>
      </c>
      <c r="E97" s="320" t="s">
        <v>1463</v>
      </c>
      <c r="F97" s="326" t="s">
        <v>1484</v>
      </c>
      <c r="G97" s="333">
        <v>43412</v>
      </c>
      <c r="H97" s="331">
        <v>9.6999999999999993</v>
      </c>
    </row>
    <row r="98" spans="1:8">
      <c r="A98" s="332"/>
      <c r="B98" s="320" t="s">
        <v>1367</v>
      </c>
      <c r="C98" s="320" t="s">
        <v>1388</v>
      </c>
      <c r="D98" s="332" t="s">
        <v>12</v>
      </c>
      <c r="E98" s="320" t="s">
        <v>1464</v>
      </c>
      <c r="F98" s="326" t="s">
        <v>1484</v>
      </c>
      <c r="G98" s="333">
        <v>43412</v>
      </c>
      <c r="H98" s="331">
        <v>9.6999999999999993</v>
      </c>
    </row>
    <row r="99" spans="1:8">
      <c r="A99" s="332"/>
      <c r="B99" s="320" t="s">
        <v>1339</v>
      </c>
      <c r="C99" s="320" t="s">
        <v>1377</v>
      </c>
      <c r="D99" s="332" t="s">
        <v>1378</v>
      </c>
      <c r="E99" s="320" t="s">
        <v>1465</v>
      </c>
      <c r="F99" s="326" t="s">
        <v>1484</v>
      </c>
      <c r="G99" s="333">
        <v>43445</v>
      </c>
      <c r="H99" s="331">
        <v>9.6999999999999993</v>
      </c>
    </row>
    <row r="100" spans="1:8">
      <c r="A100" s="332"/>
      <c r="B100" s="320" t="s">
        <v>1411</v>
      </c>
      <c r="C100" s="320" t="s">
        <v>1466</v>
      </c>
      <c r="D100" s="332" t="s">
        <v>21</v>
      </c>
      <c r="E100" s="320" t="s">
        <v>1467</v>
      </c>
      <c r="F100" s="326" t="s">
        <v>1484</v>
      </c>
      <c r="G100" s="333">
        <v>43446</v>
      </c>
      <c r="H100" s="331">
        <v>9.3000000000000007</v>
      </c>
    </row>
    <row r="101" spans="1:8">
      <c r="A101" s="332"/>
      <c r="B101" s="320" t="s">
        <v>1283</v>
      </c>
      <c r="C101" s="320" t="s">
        <v>1284</v>
      </c>
      <c r="D101" s="332" t="s">
        <v>4</v>
      </c>
      <c r="E101" s="320" t="s">
        <v>1468</v>
      </c>
      <c r="F101" s="326" t="s">
        <v>1484</v>
      </c>
      <c r="G101" s="333">
        <v>43447</v>
      </c>
      <c r="H101" s="331">
        <v>9.6</v>
      </c>
    </row>
    <row r="102" spans="1:8">
      <c r="A102" s="332"/>
      <c r="B102" s="320" t="s">
        <v>1411</v>
      </c>
      <c r="C102" s="320" t="s">
        <v>1469</v>
      </c>
      <c r="D102" s="332" t="s">
        <v>1337</v>
      </c>
      <c r="E102" s="320" t="s">
        <v>1470</v>
      </c>
      <c r="F102" s="326" t="s">
        <v>1484</v>
      </c>
      <c r="G102" s="333">
        <v>43453</v>
      </c>
      <c r="H102" s="331">
        <v>9.3000000000000007</v>
      </c>
    </row>
    <row r="103" spans="1:8">
      <c r="A103" s="332"/>
      <c r="B103" s="320" t="s">
        <v>1241</v>
      </c>
      <c r="C103" s="320" t="s">
        <v>1242</v>
      </c>
      <c r="D103" s="332" t="s">
        <v>19</v>
      </c>
      <c r="E103" s="320" t="s">
        <v>1471</v>
      </c>
      <c r="F103" s="326" t="s">
        <v>1484</v>
      </c>
      <c r="G103" s="333">
        <v>43455</v>
      </c>
      <c r="H103" s="331">
        <v>9.35</v>
      </c>
    </row>
    <row r="104" spans="1:8">
      <c r="A104" s="332"/>
      <c r="B104" s="320" t="s">
        <v>1272</v>
      </c>
      <c r="C104" s="320" t="s">
        <v>1380</v>
      </c>
      <c r="D104" s="332" t="s">
        <v>43</v>
      </c>
      <c r="E104" s="320" t="s">
        <v>1472</v>
      </c>
      <c r="F104" s="326" t="s">
        <v>1484</v>
      </c>
      <c r="G104" s="333">
        <v>43458</v>
      </c>
      <c r="H104" s="331">
        <v>9.25</v>
      </c>
    </row>
    <row r="105" spans="1:8">
      <c r="A105" s="332"/>
      <c r="B105" s="320" t="s">
        <v>1272</v>
      </c>
      <c r="C105" s="320" t="s">
        <v>1380</v>
      </c>
      <c r="D105" s="332" t="s">
        <v>43</v>
      </c>
      <c r="E105" s="320" t="s">
        <v>1473</v>
      </c>
      <c r="F105" s="326" t="s">
        <v>1484</v>
      </c>
      <c r="G105" s="333">
        <v>43458</v>
      </c>
      <c r="H105" s="331">
        <v>9.25</v>
      </c>
    </row>
    <row r="106" spans="1:8">
      <c r="A106" s="332"/>
      <c r="B106" s="320" t="s">
        <v>1339</v>
      </c>
      <c r="C106" s="320" t="s">
        <v>1340</v>
      </c>
      <c r="D106" s="332" t="s">
        <v>12</v>
      </c>
      <c r="E106" s="320" t="s">
        <v>1474</v>
      </c>
      <c r="F106" s="326" t="s">
        <v>1484</v>
      </c>
      <c r="G106" s="333">
        <v>43469</v>
      </c>
      <c r="H106" s="331">
        <v>9.8000000000000007</v>
      </c>
    </row>
    <row r="107" spans="1:8">
      <c r="A107" s="332"/>
      <c r="B107" s="320" t="s">
        <v>1305</v>
      </c>
      <c r="C107" s="320" t="s">
        <v>1475</v>
      </c>
      <c r="D107" s="332" t="s">
        <v>1337</v>
      </c>
      <c r="E107" s="320" t="s">
        <v>1476</v>
      </c>
      <c r="F107" s="326" t="s">
        <v>1484</v>
      </c>
      <c r="G107" s="333">
        <v>43483</v>
      </c>
      <c r="H107" s="331">
        <v>9.6999999999999993</v>
      </c>
    </row>
    <row r="108" spans="1:8">
      <c r="A108" s="332"/>
      <c r="B108" s="320" t="s">
        <v>1299</v>
      </c>
      <c r="C108" s="320" t="s">
        <v>1310</v>
      </c>
      <c r="D108" s="332" t="s">
        <v>10</v>
      </c>
      <c r="E108" s="320" t="s">
        <v>1477</v>
      </c>
      <c r="F108" s="326" t="s">
        <v>1484</v>
      </c>
      <c r="G108" s="333">
        <v>43538</v>
      </c>
      <c r="H108" s="331">
        <v>9</v>
      </c>
    </row>
    <row r="109" spans="1:8">
      <c r="A109" s="332"/>
      <c r="B109" s="320" t="s">
        <v>1278</v>
      </c>
      <c r="C109" s="320" t="s">
        <v>1285</v>
      </c>
      <c r="D109" s="332" t="s">
        <v>9</v>
      </c>
      <c r="E109" s="320" t="s">
        <v>1478</v>
      </c>
      <c r="F109" s="326" t="s">
        <v>1484</v>
      </c>
      <c r="G109" s="333">
        <v>43551</v>
      </c>
      <c r="H109" s="331">
        <v>9.6999999999999993</v>
      </c>
    </row>
    <row r="110" spans="1:8">
      <c r="A110" s="332"/>
      <c r="B110" s="320" t="s">
        <v>1278</v>
      </c>
      <c r="C110" s="320" t="s">
        <v>1279</v>
      </c>
      <c r="D110" s="332" t="s">
        <v>16</v>
      </c>
      <c r="E110" s="320" t="s">
        <v>1479</v>
      </c>
      <c r="F110" s="326" t="s">
        <v>1484</v>
      </c>
      <c r="G110" s="333">
        <v>43585</v>
      </c>
      <c r="H110" s="331">
        <v>9.73</v>
      </c>
    </row>
    <row r="111" spans="1:8">
      <c r="A111" s="332"/>
      <c r="B111" s="320" t="s">
        <v>1278</v>
      </c>
      <c r="C111" s="320" t="s">
        <v>1297</v>
      </c>
      <c r="D111" s="332" t="s">
        <v>34</v>
      </c>
      <c r="E111" s="320" t="s">
        <v>1480</v>
      </c>
      <c r="F111" s="326" t="s">
        <v>1484</v>
      </c>
      <c r="G111" s="333">
        <v>43592</v>
      </c>
      <c r="H111" s="331">
        <v>9.65</v>
      </c>
    </row>
    <row r="112" spans="1:8">
      <c r="A112" s="332"/>
      <c r="B112" s="320" t="s">
        <v>1253</v>
      </c>
      <c r="C112" s="320" t="s">
        <v>1297</v>
      </c>
      <c r="D112" s="332" t="s">
        <v>34</v>
      </c>
      <c r="E112" s="320" t="s">
        <v>1481</v>
      </c>
      <c r="F112" s="326" t="s">
        <v>1484</v>
      </c>
      <c r="G112" s="333">
        <v>43606</v>
      </c>
      <c r="H112" s="331">
        <v>9.8000000000000007</v>
      </c>
    </row>
    <row r="113" spans="1:11">
      <c r="A113" s="332"/>
      <c r="B113" s="320" t="s">
        <v>1249</v>
      </c>
      <c r="C113" s="320" t="s">
        <v>1251</v>
      </c>
      <c r="D113" s="332" t="s">
        <v>19</v>
      </c>
      <c r="E113" s="320" t="s">
        <v>1482</v>
      </c>
      <c r="F113" s="326" t="s">
        <v>1484</v>
      </c>
      <c r="G113" s="333">
        <v>43712</v>
      </c>
      <c r="H113" s="331">
        <v>10</v>
      </c>
    </row>
    <row r="114" spans="1:11">
      <c r="A114" s="416"/>
      <c r="B114" s="417" t="s">
        <v>1245</v>
      </c>
      <c r="C114" s="417" t="s">
        <v>1250</v>
      </c>
      <c r="D114" s="416" t="s">
        <v>5</v>
      </c>
      <c r="E114" s="417" t="s">
        <v>1483</v>
      </c>
      <c r="F114" s="418" t="s">
        <v>1484</v>
      </c>
      <c r="G114" s="419">
        <v>43734</v>
      </c>
      <c r="H114" s="420">
        <v>9.9</v>
      </c>
    </row>
    <row r="115" spans="1:11">
      <c r="I115" s="334"/>
      <c r="J115" s="334"/>
    </row>
    <row r="116" spans="1:11">
      <c r="B116" s="320" t="s">
        <v>1286</v>
      </c>
      <c r="C116" s="335"/>
      <c r="G116" s="332" t="s">
        <v>20</v>
      </c>
      <c r="H116" s="336">
        <f>AVERAGE(H3:H114)</f>
        <v>9.6161607142857157</v>
      </c>
      <c r="J116" s="337"/>
      <c r="K116" s="338"/>
    </row>
    <row r="117" spans="1:11">
      <c r="C117" s="335"/>
      <c r="D117" s="336"/>
      <c r="E117" s="320" t="s">
        <v>1485</v>
      </c>
      <c r="F117" s="339">
        <f>AVERAGE(H106:H114)</f>
        <v>9.6977777777777803</v>
      </c>
      <c r="G117" s="332" t="s">
        <v>1133</v>
      </c>
      <c r="H117" s="336">
        <f>MEDIAN(H3:H114)</f>
        <v>9.6</v>
      </c>
      <c r="I117" s="334"/>
      <c r="J117" s="334"/>
      <c r="K117" s="338"/>
    </row>
    <row r="118" spans="1:11">
      <c r="C118" s="332" t="s">
        <v>1133</v>
      </c>
      <c r="D118" s="339"/>
      <c r="E118" s="320" t="s">
        <v>1486</v>
      </c>
      <c r="F118" s="339">
        <f>MEDIAN(H106:H114)</f>
        <v>9.73</v>
      </c>
      <c r="G118" s="332" t="s">
        <v>1287</v>
      </c>
      <c r="H118" s="336">
        <f>MIN(H3:H114)</f>
        <v>8.6999999999999993</v>
      </c>
      <c r="J118" s="334"/>
      <c r="K118" s="338"/>
    </row>
    <row r="119" spans="1:11">
      <c r="B119" s="320">
        <v>2015</v>
      </c>
      <c r="C119" s="339">
        <f>MEDIAN(H3:H18)</f>
        <v>9.6750000000000007</v>
      </c>
      <c r="D119" s="339"/>
      <c r="E119" s="320" t="s">
        <v>1487</v>
      </c>
      <c r="F119" s="332">
        <f>COUNTIF(H106:H114,"&gt;9.50")</f>
        <v>8</v>
      </c>
      <c r="G119" s="332" t="s">
        <v>1288</v>
      </c>
      <c r="H119" s="336">
        <f>MAX(H3:H114)</f>
        <v>11.88</v>
      </c>
    </row>
    <row r="120" spans="1:11">
      <c r="B120" s="320">
        <v>2016</v>
      </c>
      <c r="C120" s="339">
        <f>MEDIAN(H19:H43)</f>
        <v>9.5</v>
      </c>
      <c r="D120" s="339"/>
      <c r="E120" s="320" t="s">
        <v>1488</v>
      </c>
      <c r="F120" s="332">
        <f>COUNT(H106:H114)</f>
        <v>9</v>
      </c>
    </row>
    <row r="121" spans="1:11">
      <c r="B121" s="320">
        <v>2017</v>
      </c>
      <c r="C121" s="339">
        <f>MEDIAN(H44:H66)</f>
        <v>9.6</v>
      </c>
      <c r="D121" s="336"/>
      <c r="E121" s="320" t="s">
        <v>1489</v>
      </c>
      <c r="F121" s="343">
        <f>F119/F120</f>
        <v>0.88888888888888884</v>
      </c>
    </row>
    <row r="122" spans="1:11">
      <c r="B122" s="320">
        <v>2018</v>
      </c>
      <c r="C122" s="339">
        <f>MEDIAN(H67:H105)</f>
        <v>9.6</v>
      </c>
      <c r="D122" s="320"/>
      <c r="E122" s="341" t="s">
        <v>1893</v>
      </c>
      <c r="F122" s="332">
        <f>COUNTIF(H106:H114,"&gt;=9.70")</f>
        <v>7</v>
      </c>
    </row>
    <row r="123" spans="1:11">
      <c r="C123" s="335"/>
      <c r="G123" s="335">
        <v>9.25</v>
      </c>
      <c r="H123" s="343">
        <f>PERCENTRANK($H$3:$H$114,$G123)</f>
        <v>0.126</v>
      </c>
    </row>
    <row r="124" spans="1:11">
      <c r="C124" s="332"/>
      <c r="F124" s="444"/>
      <c r="G124" s="440">
        <v>9.1</v>
      </c>
      <c r="H124" s="343">
        <f>PERCENTRANK($H$3:$H$114,$G124)</f>
        <v>0.115</v>
      </c>
    </row>
    <row r="125" spans="1:11">
      <c r="C125" s="332"/>
      <c r="D125" s="340"/>
      <c r="G125" s="440">
        <v>9</v>
      </c>
      <c r="H125" s="343">
        <f>PERCENTRANK($H$3:$H$114,$G125)</f>
        <v>1.7999999999999999E-2</v>
      </c>
    </row>
    <row r="126" spans="1:11">
      <c r="G126" s="440">
        <v>9.5</v>
      </c>
      <c r="H126" s="343">
        <f>PERCENTRANK($H$3:$H$114,$G126)</f>
        <v>0.27900000000000003</v>
      </c>
    </row>
  </sheetData>
  <pageMargins left="0.7" right="0.7" top="1" bottom="0.5" header="0.3" footer="3"/>
  <pageSetup scale="71" fitToHeight="0" orientation="portrait" useFirstPageNumber="1" r:id="rId1"/>
  <headerFooter scaleWithDoc="0">
    <oddHeader>&amp;R&amp;"Arial,Regular"&amp;10DEU Exhibit 2.09R
Page &amp;P of 2</oddHeader>
  </headerFooter>
  <rowBreaks count="1" manualBreakCount="1">
    <brk id="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5"/>
  <sheetViews>
    <sheetView view="pageBreakPreview" zoomScale="90" zoomScaleNormal="100" zoomScaleSheetLayoutView="90" zoomScalePageLayoutView="86" workbookViewId="0">
      <selection activeCell="AI12" sqref="AI12"/>
    </sheetView>
  </sheetViews>
  <sheetFormatPr defaultColWidth="8.375" defaultRowHeight="12.75"/>
  <cols>
    <col min="1" max="1" width="2.25" style="740" customWidth="1"/>
    <col min="2" max="2" width="33" style="740" customWidth="1"/>
    <col min="3" max="3" width="1.125" style="740" customWidth="1"/>
    <col min="4" max="4" width="8.375" style="740" customWidth="1"/>
    <col min="5" max="5" width="9.875" style="740" customWidth="1"/>
    <col min="6" max="7" width="8.375" style="740" customWidth="1"/>
    <col min="8" max="8" width="8.625" style="740" customWidth="1"/>
    <col min="9" max="10" width="9.5" style="740" customWidth="1"/>
    <col min="11" max="11" width="9.375" style="740" customWidth="1"/>
    <col min="12" max="12" width="9.625" style="740" customWidth="1"/>
    <col min="13" max="13" width="8.375" style="740"/>
    <col min="14" max="14" width="9.75" style="740" customWidth="1"/>
    <col min="15" max="15" width="8.375" style="740"/>
    <col min="16" max="16" width="33.625" style="740" customWidth="1"/>
    <col min="17" max="17" width="2.5" style="740" customWidth="1"/>
    <col min="18" max="18" width="8.375" style="740"/>
    <col min="19" max="19" width="10.375" style="740" customWidth="1"/>
    <col min="20" max="20" width="8.375" style="740"/>
    <col min="21" max="22" width="9.5" style="740" customWidth="1"/>
    <col min="23" max="23" width="8.875" style="740" customWidth="1"/>
    <col min="24" max="24" width="9.875" style="740" customWidth="1"/>
    <col min="25" max="25" width="9.5" style="740" customWidth="1"/>
    <col min="26" max="26" width="9" style="740" customWidth="1"/>
    <col min="27" max="27" width="10" style="740" customWidth="1"/>
    <col min="28" max="29" width="8.375" style="740"/>
    <col min="30" max="30" width="32.625" style="740" customWidth="1"/>
    <col min="31" max="31" width="2.375" style="740" customWidth="1"/>
    <col min="32" max="32" width="8.375" style="740"/>
    <col min="33" max="33" width="10" style="740" customWidth="1"/>
    <col min="34" max="34" width="8.375" style="740"/>
    <col min="35" max="36" width="9.625" style="740" customWidth="1"/>
    <col min="37" max="38" width="9.25" style="740" customWidth="1"/>
    <col min="39" max="39" width="8.375" style="740"/>
    <col min="40" max="40" width="9.125" style="740" customWidth="1"/>
    <col min="41" max="16384" width="8.375" style="740"/>
  </cols>
  <sheetData>
    <row r="1" spans="1:40">
      <c r="A1" s="790"/>
      <c r="B1" s="832" t="s">
        <v>1580</v>
      </c>
      <c r="C1" s="832"/>
      <c r="D1" s="832"/>
      <c r="E1" s="832"/>
      <c r="F1" s="832"/>
      <c r="G1" s="832"/>
      <c r="H1" s="832"/>
      <c r="I1" s="832"/>
      <c r="J1" s="832"/>
      <c r="K1" s="832"/>
      <c r="L1" s="832"/>
      <c r="O1" s="790"/>
      <c r="P1" s="832" t="s">
        <v>1887</v>
      </c>
      <c r="Q1" s="832"/>
      <c r="R1" s="832"/>
      <c r="S1" s="832"/>
      <c r="T1" s="832"/>
      <c r="U1" s="832"/>
      <c r="V1" s="832"/>
      <c r="W1" s="832"/>
      <c r="X1" s="832"/>
      <c r="Y1" s="832"/>
      <c r="Z1" s="832"/>
      <c r="AD1" s="832" t="s">
        <v>1581</v>
      </c>
      <c r="AE1" s="832"/>
      <c r="AF1" s="832"/>
      <c r="AG1" s="832"/>
      <c r="AH1" s="832"/>
      <c r="AI1" s="832"/>
      <c r="AJ1" s="832"/>
      <c r="AK1" s="832"/>
      <c r="AL1" s="832"/>
      <c r="AM1" s="832"/>
      <c r="AN1" s="832"/>
    </row>
    <row r="2" spans="1:40">
      <c r="A2" s="790"/>
      <c r="B2" s="790"/>
      <c r="C2" s="790"/>
      <c r="D2" s="790"/>
      <c r="E2" s="790"/>
      <c r="F2" s="790"/>
      <c r="G2" s="790"/>
      <c r="H2" s="790"/>
      <c r="I2" s="790"/>
      <c r="J2" s="790"/>
      <c r="K2" s="790"/>
      <c r="L2" s="790"/>
      <c r="O2" s="790"/>
      <c r="P2" s="790"/>
      <c r="Q2" s="790"/>
      <c r="R2" s="790"/>
      <c r="S2" s="790"/>
      <c r="T2" s="790"/>
      <c r="U2" s="790"/>
      <c r="V2" s="790"/>
      <c r="W2" s="790"/>
      <c r="X2" s="790"/>
      <c r="Y2" s="790"/>
      <c r="Z2" s="790"/>
      <c r="AD2" s="790"/>
      <c r="AE2" s="790"/>
      <c r="AF2" s="790"/>
      <c r="AG2" s="790"/>
      <c r="AH2" s="790"/>
      <c r="AI2" s="790"/>
      <c r="AJ2" s="790"/>
      <c r="AK2" s="790"/>
      <c r="AL2" s="790"/>
      <c r="AM2" s="790"/>
      <c r="AN2" s="790"/>
    </row>
    <row r="3" spans="1:40">
      <c r="A3" s="790"/>
      <c r="B3" s="806" t="s">
        <v>1582</v>
      </c>
      <c r="C3" s="790"/>
      <c r="D3" s="790"/>
      <c r="E3" s="790"/>
      <c r="F3" s="790"/>
      <c r="G3" s="790"/>
      <c r="H3" s="790"/>
      <c r="I3" s="790"/>
      <c r="J3" s="790"/>
      <c r="K3" s="790"/>
      <c r="L3" s="790"/>
      <c r="O3" s="790"/>
      <c r="P3" s="806" t="s">
        <v>1582</v>
      </c>
      <c r="Q3" s="790"/>
      <c r="R3" s="790"/>
      <c r="S3" s="790"/>
      <c r="T3" s="790"/>
      <c r="U3" s="790"/>
      <c r="V3" s="790"/>
      <c r="W3" s="790"/>
      <c r="X3" s="790"/>
      <c r="Y3" s="790"/>
      <c r="Z3" s="790"/>
      <c r="AD3" s="806" t="s">
        <v>1582</v>
      </c>
      <c r="AE3" s="790"/>
      <c r="AF3" s="790"/>
      <c r="AG3" s="790"/>
      <c r="AH3" s="790"/>
      <c r="AI3" s="790"/>
      <c r="AJ3" s="790"/>
      <c r="AK3" s="790"/>
      <c r="AL3" s="790"/>
      <c r="AM3" s="790"/>
      <c r="AN3" s="790"/>
    </row>
    <row r="4" spans="1:40">
      <c r="A4" s="790"/>
      <c r="B4" s="790"/>
      <c r="C4" s="790"/>
      <c r="D4" s="790"/>
      <c r="E4" s="790"/>
      <c r="F4" s="790"/>
      <c r="G4" s="790"/>
      <c r="H4" s="790"/>
      <c r="I4" s="790"/>
      <c r="J4" s="790"/>
      <c r="K4" s="790"/>
      <c r="L4" s="790"/>
      <c r="O4" s="790"/>
      <c r="P4" s="790"/>
      <c r="Q4" s="790"/>
      <c r="R4" s="790"/>
      <c r="S4" s="790"/>
      <c r="T4" s="790"/>
      <c r="U4" s="790"/>
      <c r="V4" s="790"/>
      <c r="W4" s="790"/>
      <c r="X4" s="790"/>
      <c r="Y4" s="790"/>
      <c r="Z4" s="790"/>
      <c r="AD4" s="790"/>
      <c r="AE4" s="790"/>
      <c r="AF4" s="790"/>
      <c r="AG4" s="790"/>
      <c r="AH4" s="790"/>
      <c r="AI4" s="790"/>
      <c r="AJ4" s="790"/>
      <c r="AK4" s="790"/>
      <c r="AL4" s="790"/>
      <c r="AM4" s="790"/>
      <c r="AN4" s="790"/>
    </row>
    <row r="5" spans="1:40" ht="63.75">
      <c r="A5" s="790"/>
      <c r="B5" s="427" t="s">
        <v>1</v>
      </c>
      <c r="C5" s="795"/>
      <c r="D5" s="796" t="s">
        <v>63</v>
      </c>
      <c r="E5" s="796" t="s">
        <v>62</v>
      </c>
      <c r="F5" s="796" t="s">
        <v>64</v>
      </c>
      <c r="G5" s="796" t="s">
        <v>1583</v>
      </c>
      <c r="H5" s="796" t="s">
        <v>1584</v>
      </c>
      <c r="I5" s="796" t="s">
        <v>1585</v>
      </c>
      <c r="J5" s="796" t="s">
        <v>1586</v>
      </c>
      <c r="K5" s="796" t="s">
        <v>1587</v>
      </c>
      <c r="L5" s="796" t="s">
        <v>1588</v>
      </c>
      <c r="O5" s="790"/>
      <c r="P5" s="427" t="s">
        <v>1</v>
      </c>
      <c r="Q5" s="795"/>
      <c r="R5" s="796" t="s">
        <v>63</v>
      </c>
      <c r="S5" s="796" t="s">
        <v>62</v>
      </c>
      <c r="T5" s="796" t="s">
        <v>64</v>
      </c>
      <c r="U5" s="796" t="s">
        <v>1583</v>
      </c>
      <c r="V5" s="796" t="s">
        <v>1584</v>
      </c>
      <c r="W5" s="796" t="s">
        <v>1585</v>
      </c>
      <c r="X5" s="796" t="s">
        <v>1586</v>
      </c>
      <c r="Y5" s="796" t="s">
        <v>1587</v>
      </c>
      <c r="Z5" s="796" t="s">
        <v>1588</v>
      </c>
      <c r="AD5" s="427" t="s">
        <v>1</v>
      </c>
      <c r="AE5" s="795"/>
      <c r="AF5" s="796" t="s">
        <v>63</v>
      </c>
      <c r="AG5" s="796" t="s">
        <v>62</v>
      </c>
      <c r="AH5" s="796" t="s">
        <v>64</v>
      </c>
      <c r="AI5" s="796" t="s">
        <v>1583</v>
      </c>
      <c r="AJ5" s="796" t="s">
        <v>1584</v>
      </c>
      <c r="AK5" s="796" t="s">
        <v>1585</v>
      </c>
      <c r="AL5" s="796" t="s">
        <v>1586</v>
      </c>
      <c r="AM5" s="796" t="s">
        <v>1587</v>
      </c>
      <c r="AN5" s="796" t="s">
        <v>1588</v>
      </c>
    </row>
    <row r="6" spans="1:40">
      <c r="A6" s="790"/>
      <c r="B6" s="807" t="s">
        <v>33</v>
      </c>
      <c r="C6" s="785"/>
      <c r="D6" s="797">
        <v>110.9036747333333</v>
      </c>
      <c r="E6" s="797">
        <v>2.1</v>
      </c>
      <c r="F6" s="785">
        <f>E6/D6</f>
        <v>1.8935350925471384E-2</v>
      </c>
      <c r="G6" s="343">
        <v>7.4999999999999997E-2</v>
      </c>
      <c r="H6" s="343">
        <v>7.0000000000000007E-2</v>
      </c>
      <c r="I6" s="343">
        <f t="shared" ref="I6:I12" si="0">F6*(1+G6)+G6</f>
        <v>9.5355502244881735E-2</v>
      </c>
      <c r="J6" s="343">
        <f t="shared" ref="J6:J12" si="1">F6*(1+H6)+H6</f>
        <v>9.0260825490254382E-2</v>
      </c>
      <c r="K6" s="808">
        <f>G6*0.75+H6*0.25</f>
        <v>7.3749999999999996E-2</v>
      </c>
      <c r="L6" s="808">
        <f>F6*(1+H6)+K6</f>
        <v>9.4010825490254385E-2</v>
      </c>
      <c r="O6" s="790"/>
      <c r="P6" s="807" t="s">
        <v>33</v>
      </c>
      <c r="Q6" s="785"/>
      <c r="R6" s="797">
        <v>110.9036747333333</v>
      </c>
      <c r="S6" s="797">
        <v>2.1</v>
      </c>
      <c r="T6" s="785">
        <f>S6/R6</f>
        <v>1.8935350925471384E-2</v>
      </c>
      <c r="U6" s="343">
        <v>7.4999999999999997E-2</v>
      </c>
      <c r="V6" s="343">
        <v>7.0000000000000007E-2</v>
      </c>
      <c r="W6" s="343">
        <f t="shared" ref="W6:W12" si="2">T6*(1+U6)+U6</f>
        <v>9.5355502244881735E-2</v>
      </c>
      <c r="X6" s="343">
        <f t="shared" ref="X6:X12" si="3">T6*(1+V6)+V6</f>
        <v>9.0260825490254382E-2</v>
      </c>
      <c r="Y6" s="808">
        <f>U6*0.75+V6*0.25</f>
        <v>7.3749999999999996E-2</v>
      </c>
      <c r="Z6" s="808">
        <f>T6*(1+Y6)+Y6</f>
        <v>9.4081833056224889E-2</v>
      </c>
      <c r="AD6" s="807" t="s">
        <v>33</v>
      </c>
      <c r="AE6" s="785"/>
      <c r="AF6" s="797">
        <v>110.9036747333333</v>
      </c>
      <c r="AG6" s="797">
        <v>2.1</v>
      </c>
      <c r="AH6" s="785">
        <f>AG6/AF6</f>
        <v>1.8935350925471384E-2</v>
      </c>
      <c r="AI6" s="343">
        <v>7.4999999999999997E-2</v>
      </c>
      <c r="AJ6" s="343">
        <v>7.0000000000000007E-2</v>
      </c>
      <c r="AK6" s="343">
        <f t="shared" ref="AK6:AK12" si="4">AH6*(1+AI6)+AI6</f>
        <v>9.5355502244881735E-2</v>
      </c>
      <c r="AL6" s="343">
        <f t="shared" ref="AL6:AL12" si="5">AH6*(1+AJ6)+AJ6</f>
        <v>9.0260825490254382E-2</v>
      </c>
      <c r="AM6" s="808">
        <f>AI6*0.75+AJ6*0.25</f>
        <v>7.3749999999999996E-2</v>
      </c>
      <c r="AN6" s="808">
        <f>AH6*(1+AM6)+AM6</f>
        <v>9.4081833056224889E-2</v>
      </c>
    </row>
    <row r="7" spans="1:40">
      <c r="A7" s="790"/>
      <c r="B7" s="809" t="s">
        <v>35</v>
      </c>
      <c r="C7" s="785"/>
      <c r="D7" s="797">
        <v>94.213999433333342</v>
      </c>
      <c r="E7" s="797">
        <v>1.55</v>
      </c>
      <c r="F7" s="785">
        <f t="shared" ref="F7:F12" si="6">E7/D7</f>
        <v>1.6451907458793252E-2</v>
      </c>
      <c r="G7" s="343">
        <v>0.09</v>
      </c>
      <c r="H7" s="343">
        <v>0.09</v>
      </c>
      <c r="I7" s="343">
        <f t="shared" si="0"/>
        <v>0.10793257913008464</v>
      </c>
      <c r="J7" s="343">
        <f t="shared" si="1"/>
        <v>0.10793257913008464</v>
      </c>
      <c r="K7" s="808">
        <f t="shared" ref="K7:K12" si="7">G7*0.75+H7*0.25</f>
        <v>0.09</v>
      </c>
      <c r="L7" s="808">
        <f t="shared" ref="L7:L12" si="8">F7*(1+H7)+K7</f>
        <v>0.10793257913008464</v>
      </c>
      <c r="O7" s="790"/>
      <c r="P7" s="809" t="s">
        <v>35</v>
      </c>
      <c r="Q7" s="785"/>
      <c r="R7" s="797">
        <v>94.213999433333342</v>
      </c>
      <c r="S7" s="797">
        <v>1.55</v>
      </c>
      <c r="T7" s="785">
        <f t="shared" ref="T7:T12" si="9">S7/R7</f>
        <v>1.6451907458793252E-2</v>
      </c>
      <c r="U7" s="343">
        <v>0.09</v>
      </c>
      <c r="V7" s="343">
        <v>0.09</v>
      </c>
      <c r="W7" s="343">
        <f t="shared" si="2"/>
        <v>0.10793257913008464</v>
      </c>
      <c r="X7" s="343">
        <f t="shared" si="3"/>
        <v>0.10793257913008464</v>
      </c>
      <c r="Y7" s="808">
        <f t="shared" ref="Y7" si="10">U7*0.75+V7*0.25</f>
        <v>0.09</v>
      </c>
      <c r="Z7" s="808">
        <f t="shared" ref="Z7:Z12" si="11">T7*(1+Y7)+Y7</f>
        <v>0.10793257913008464</v>
      </c>
      <c r="AD7" s="809" t="s">
        <v>35</v>
      </c>
      <c r="AE7" s="785"/>
      <c r="AF7" s="797">
        <v>94.213999433333342</v>
      </c>
      <c r="AG7" s="797">
        <v>1.55</v>
      </c>
      <c r="AH7" s="785">
        <f t="shared" ref="AH7:AH12" si="12">AG7/AF7</f>
        <v>1.6451907458793252E-2</v>
      </c>
      <c r="AI7" s="343">
        <v>0.09</v>
      </c>
      <c r="AJ7" s="343">
        <v>0.09</v>
      </c>
      <c r="AK7" s="343">
        <f t="shared" si="4"/>
        <v>0.10793257913008464</v>
      </c>
      <c r="AL7" s="343">
        <f t="shared" si="5"/>
        <v>0.10793257913008464</v>
      </c>
      <c r="AM7" s="808">
        <f t="shared" ref="AM7" si="13">AI7*0.75+AJ7*0.25</f>
        <v>0.09</v>
      </c>
      <c r="AN7" s="808">
        <f t="shared" ref="AN7" si="14">AH7*(1+AM7)+AM7</f>
        <v>0.10793257913008464</v>
      </c>
    </row>
    <row r="8" spans="1:40">
      <c r="A8" s="790"/>
      <c r="B8" s="807" t="s">
        <v>1172</v>
      </c>
      <c r="C8" s="785"/>
      <c r="D8" s="797">
        <v>71.12866616666669</v>
      </c>
      <c r="E8" s="797">
        <v>1.93</v>
      </c>
      <c r="F8" s="785">
        <f t="shared" si="6"/>
        <v>2.7133926502680063E-2</v>
      </c>
      <c r="G8" s="343"/>
      <c r="H8" s="343">
        <v>2.5000000000000001E-2</v>
      </c>
      <c r="I8" s="343"/>
      <c r="J8" s="343">
        <f t="shared" si="1"/>
        <v>5.2812274665247065E-2</v>
      </c>
      <c r="K8" s="808"/>
      <c r="L8" s="808"/>
      <c r="O8" s="790"/>
      <c r="P8" s="807" t="s">
        <v>1172</v>
      </c>
      <c r="Q8" s="785"/>
      <c r="R8" s="797">
        <v>71.12866616666669</v>
      </c>
      <c r="S8" s="797">
        <v>1.93</v>
      </c>
      <c r="T8" s="785">
        <f t="shared" si="9"/>
        <v>2.7133926502680063E-2</v>
      </c>
      <c r="U8" s="343"/>
      <c r="V8" s="343">
        <v>2.5000000000000001E-2</v>
      </c>
      <c r="W8" s="343">
        <f t="shared" si="2"/>
        <v>2.7133926502680063E-2</v>
      </c>
      <c r="X8" s="343">
        <f t="shared" si="3"/>
        <v>5.2812274665247065E-2</v>
      </c>
      <c r="Y8" s="808"/>
      <c r="Z8" s="808"/>
      <c r="AD8" s="807" t="s">
        <v>1172</v>
      </c>
      <c r="AE8" s="785"/>
      <c r="AF8" s="797">
        <v>71.12866616666669</v>
      </c>
      <c r="AG8" s="797">
        <v>1.93</v>
      </c>
      <c r="AH8" s="785">
        <f t="shared" si="12"/>
        <v>2.7133926502680063E-2</v>
      </c>
      <c r="AI8" s="343"/>
      <c r="AJ8" s="343">
        <v>2.5000000000000001E-2</v>
      </c>
      <c r="AK8" s="343"/>
      <c r="AL8" s="343">
        <f t="shared" si="5"/>
        <v>5.2812274665247065E-2</v>
      </c>
      <c r="AM8" s="808"/>
      <c r="AN8" s="808"/>
    </row>
    <row r="9" spans="1:40">
      <c r="A9" s="790"/>
      <c r="B9" s="807" t="s">
        <v>40</v>
      </c>
      <c r="C9" s="785"/>
      <c r="D9" s="797">
        <v>92.188334233333336</v>
      </c>
      <c r="E9" s="797">
        <v>2</v>
      </c>
      <c r="F9" s="785">
        <f t="shared" si="6"/>
        <v>2.1694718931984377E-2</v>
      </c>
      <c r="G9" s="343">
        <v>0.08</v>
      </c>
      <c r="H9" s="343">
        <v>8.5000000000000006E-2</v>
      </c>
      <c r="I9" s="343">
        <f t="shared" si="0"/>
        <v>0.10343029644654313</v>
      </c>
      <c r="J9" s="343">
        <f t="shared" si="1"/>
        <v>0.10853877004120305</v>
      </c>
      <c r="K9" s="808">
        <f t="shared" si="7"/>
        <v>8.1250000000000003E-2</v>
      </c>
      <c r="L9" s="808">
        <f t="shared" si="8"/>
        <v>0.10478877004120304</v>
      </c>
      <c r="O9" s="790"/>
      <c r="P9" s="807" t="s">
        <v>40</v>
      </c>
      <c r="Q9" s="785"/>
      <c r="R9" s="797">
        <v>92.188334233333336</v>
      </c>
      <c r="S9" s="797">
        <v>2</v>
      </c>
      <c r="T9" s="785">
        <f t="shared" si="9"/>
        <v>2.1694718931984377E-2</v>
      </c>
      <c r="U9" s="343">
        <v>0.08</v>
      </c>
      <c r="V9" s="343">
        <v>8.5000000000000006E-2</v>
      </c>
      <c r="W9" s="343">
        <f t="shared" si="2"/>
        <v>0.10343029644654313</v>
      </c>
      <c r="X9" s="343">
        <f t="shared" si="3"/>
        <v>0.10853877004120305</v>
      </c>
      <c r="Y9" s="808">
        <f t="shared" ref="Y9:Y12" si="15">U9*0.75+V9*0.25</f>
        <v>8.1250000000000003E-2</v>
      </c>
      <c r="Z9" s="808">
        <f t="shared" si="11"/>
        <v>0.10470741484520811</v>
      </c>
      <c r="AD9" s="807" t="s">
        <v>40</v>
      </c>
      <c r="AE9" s="785"/>
      <c r="AF9" s="797">
        <v>92.188334233333336</v>
      </c>
      <c r="AG9" s="797">
        <v>2</v>
      </c>
      <c r="AH9" s="785">
        <f t="shared" si="12"/>
        <v>2.1694718931984377E-2</v>
      </c>
      <c r="AI9" s="343">
        <v>0.08</v>
      </c>
      <c r="AJ9" s="343">
        <v>8.5000000000000006E-2</v>
      </c>
      <c r="AK9" s="343">
        <f t="shared" si="4"/>
        <v>0.10343029644654313</v>
      </c>
      <c r="AL9" s="343">
        <f t="shared" si="5"/>
        <v>0.10853877004120305</v>
      </c>
      <c r="AM9" s="808">
        <f t="shared" ref="AM9:AM12" si="16">AI9*0.75+AJ9*0.25</f>
        <v>8.1250000000000003E-2</v>
      </c>
      <c r="AN9" s="808">
        <f t="shared" ref="AN9:AN12" si="17">AH9*(1+AM9)+AM9</f>
        <v>0.10470741484520811</v>
      </c>
    </row>
    <row r="10" spans="1:40">
      <c r="A10" s="790"/>
      <c r="B10" s="807" t="s">
        <v>48</v>
      </c>
      <c r="C10" s="785"/>
      <c r="D10" s="797">
        <v>32.318999733333321</v>
      </c>
      <c r="E10" s="797">
        <v>1.2</v>
      </c>
      <c r="F10" s="785">
        <f t="shared" si="6"/>
        <v>3.712986199762669E-2</v>
      </c>
      <c r="G10" s="343">
        <v>0.105</v>
      </c>
      <c r="H10" s="343">
        <v>0.04</v>
      </c>
      <c r="I10" s="343">
        <f t="shared" si="0"/>
        <v>0.14602849750737748</v>
      </c>
      <c r="J10" s="343">
        <f t="shared" si="1"/>
        <v>7.8615056477531753E-2</v>
      </c>
      <c r="K10" s="808">
        <f t="shared" si="7"/>
        <v>8.8749999999999996E-2</v>
      </c>
      <c r="L10" s="808">
        <f t="shared" si="8"/>
        <v>0.12736505647753177</v>
      </c>
      <c r="O10" s="790"/>
      <c r="P10" s="807" t="s">
        <v>48</v>
      </c>
      <c r="Q10" s="785"/>
      <c r="R10" s="810">
        <v>32.318999733333321</v>
      </c>
      <c r="S10" s="810">
        <v>1.2</v>
      </c>
      <c r="T10" s="811">
        <f t="shared" si="9"/>
        <v>3.712986199762669E-2</v>
      </c>
      <c r="U10" s="812">
        <v>0.105</v>
      </c>
      <c r="V10" s="812">
        <v>0.04</v>
      </c>
      <c r="W10" s="812">
        <f t="shared" si="2"/>
        <v>0.14602849750737748</v>
      </c>
      <c r="X10" s="812">
        <f t="shared" si="3"/>
        <v>7.8615056477531753E-2</v>
      </c>
      <c r="Y10" s="813">
        <f t="shared" si="15"/>
        <v>8.8749999999999996E-2</v>
      </c>
      <c r="Z10" s="813">
        <f t="shared" si="11"/>
        <v>0.12917513724991606</v>
      </c>
      <c r="AA10" s="791"/>
      <c r="AB10" s="791"/>
      <c r="AC10" s="791"/>
      <c r="AD10" s="814" t="s">
        <v>48</v>
      </c>
      <c r="AE10" s="811"/>
      <c r="AF10" s="810">
        <v>32.318999733333321</v>
      </c>
      <c r="AG10" s="810">
        <v>1.2</v>
      </c>
      <c r="AH10" s="811">
        <f t="shared" si="12"/>
        <v>3.712986199762669E-2</v>
      </c>
      <c r="AI10" s="343">
        <v>0.105</v>
      </c>
      <c r="AJ10" s="343">
        <v>0.04</v>
      </c>
      <c r="AK10" s="343">
        <f t="shared" si="4"/>
        <v>0.14602849750737748</v>
      </c>
      <c r="AL10" s="343">
        <f t="shared" si="5"/>
        <v>7.8615056477531753E-2</v>
      </c>
      <c r="AM10" s="808">
        <f t="shared" si="16"/>
        <v>8.8749999999999996E-2</v>
      </c>
      <c r="AN10" s="808">
        <f t="shared" si="17"/>
        <v>0.12917513724991606</v>
      </c>
    </row>
    <row r="11" spans="1:40">
      <c r="A11" s="790"/>
      <c r="B11" s="807" t="s">
        <v>44</v>
      </c>
      <c r="C11" s="785"/>
      <c r="D11" s="797">
        <v>90.28133366666664</v>
      </c>
      <c r="E11" s="797">
        <v>2.1800000000000002</v>
      </c>
      <c r="F11" s="785">
        <f t="shared" si="6"/>
        <v>2.4146741208419833E-2</v>
      </c>
      <c r="G11" s="343">
        <v>0.09</v>
      </c>
      <c r="H11" s="343">
        <v>0.05</v>
      </c>
      <c r="I11" s="343">
        <f t="shared" si="0"/>
        <v>0.11631994791717762</v>
      </c>
      <c r="J11" s="343">
        <f t="shared" si="1"/>
        <v>7.5354078268840829E-2</v>
      </c>
      <c r="K11" s="808">
        <f t="shared" si="7"/>
        <v>0.08</v>
      </c>
      <c r="L11" s="808">
        <f t="shared" si="8"/>
        <v>0.10535407826884083</v>
      </c>
      <c r="O11" s="790"/>
      <c r="P11" s="807" t="s">
        <v>44</v>
      </c>
      <c r="Q11" s="785"/>
      <c r="R11" s="810">
        <v>85.113666633333338</v>
      </c>
      <c r="S11" s="810">
        <v>2.37</v>
      </c>
      <c r="T11" s="811">
        <f t="shared" si="9"/>
        <v>2.7845116932981823E-2</v>
      </c>
      <c r="U11" s="812">
        <v>5.5E-2</v>
      </c>
      <c r="V11" s="812">
        <v>0.04</v>
      </c>
      <c r="W11" s="812">
        <f t="shared" si="2"/>
        <v>8.4376598364295827E-2</v>
      </c>
      <c r="X11" s="812">
        <f t="shared" si="3"/>
        <v>6.8958921610301094E-2</v>
      </c>
      <c r="Y11" s="813">
        <f t="shared" si="15"/>
        <v>5.1250000000000004E-2</v>
      </c>
      <c r="Z11" s="813">
        <f t="shared" si="11"/>
        <v>8.0522179175797154E-2</v>
      </c>
      <c r="AA11" s="791"/>
      <c r="AB11" s="791"/>
      <c r="AC11" s="791"/>
      <c r="AD11" s="814" t="s">
        <v>44</v>
      </c>
      <c r="AE11" s="811"/>
      <c r="AF11" s="810">
        <v>85.113666633333338</v>
      </c>
      <c r="AG11" s="810">
        <v>2.37</v>
      </c>
      <c r="AH11" s="811">
        <f t="shared" si="12"/>
        <v>2.7845116932981823E-2</v>
      </c>
      <c r="AI11" s="343">
        <v>5.5E-2</v>
      </c>
      <c r="AJ11" s="343">
        <v>0.04</v>
      </c>
      <c r="AK11" s="343">
        <f t="shared" si="4"/>
        <v>8.4376598364295827E-2</v>
      </c>
      <c r="AL11" s="343">
        <f t="shared" si="5"/>
        <v>6.8958921610301094E-2</v>
      </c>
      <c r="AM11" s="808">
        <f t="shared" si="16"/>
        <v>5.1250000000000004E-2</v>
      </c>
      <c r="AN11" s="808">
        <f t="shared" si="17"/>
        <v>8.0522179175797154E-2</v>
      </c>
    </row>
    <row r="12" spans="1:40">
      <c r="A12" s="790"/>
      <c r="B12" s="807" t="s">
        <v>42</v>
      </c>
      <c r="C12" s="785"/>
      <c r="D12" s="797">
        <v>85.113666633333338</v>
      </c>
      <c r="E12" s="797">
        <v>2.37</v>
      </c>
      <c r="F12" s="785">
        <f t="shared" si="6"/>
        <v>2.7845116932981823E-2</v>
      </c>
      <c r="G12" s="343">
        <v>5.5E-2</v>
      </c>
      <c r="H12" s="343">
        <v>0.04</v>
      </c>
      <c r="I12" s="343">
        <f t="shared" si="0"/>
        <v>8.4376598364295827E-2</v>
      </c>
      <c r="J12" s="343">
        <f t="shared" si="1"/>
        <v>6.8958921610301094E-2</v>
      </c>
      <c r="K12" s="808">
        <f t="shared" si="7"/>
        <v>5.1250000000000004E-2</v>
      </c>
      <c r="L12" s="808">
        <f t="shared" si="8"/>
        <v>8.0208921610301104E-2</v>
      </c>
      <c r="O12" s="790"/>
      <c r="P12" s="807" t="s">
        <v>42</v>
      </c>
      <c r="Q12" s="785"/>
      <c r="R12" s="810">
        <v>90.28133366666664</v>
      </c>
      <c r="S12" s="810">
        <v>2.1800000000000002</v>
      </c>
      <c r="T12" s="811">
        <f t="shared" si="9"/>
        <v>2.4146741208419833E-2</v>
      </c>
      <c r="U12" s="812">
        <v>0.09</v>
      </c>
      <c r="V12" s="812">
        <v>0.05</v>
      </c>
      <c r="W12" s="812">
        <f t="shared" si="2"/>
        <v>0.11631994791717762</v>
      </c>
      <c r="X12" s="812">
        <f t="shared" si="3"/>
        <v>7.5354078268840829E-2</v>
      </c>
      <c r="Y12" s="813">
        <f t="shared" si="15"/>
        <v>0.08</v>
      </c>
      <c r="Z12" s="813">
        <f t="shared" si="11"/>
        <v>0.10607848050509341</v>
      </c>
      <c r="AA12" s="791"/>
      <c r="AB12" s="791"/>
      <c r="AC12" s="791"/>
      <c r="AD12" s="814" t="s">
        <v>42</v>
      </c>
      <c r="AE12" s="811"/>
      <c r="AF12" s="810">
        <v>90.28133366666664</v>
      </c>
      <c r="AG12" s="810">
        <v>2.1800000000000002</v>
      </c>
      <c r="AH12" s="811">
        <f t="shared" si="12"/>
        <v>2.4146741208419833E-2</v>
      </c>
      <c r="AI12" s="343">
        <v>0.09</v>
      </c>
      <c r="AJ12" s="343">
        <v>0.05</v>
      </c>
      <c r="AK12" s="343">
        <f t="shared" si="4"/>
        <v>0.11631994791717762</v>
      </c>
      <c r="AL12" s="343">
        <f t="shared" si="5"/>
        <v>7.5354078268840829E-2</v>
      </c>
      <c r="AM12" s="808">
        <f t="shared" si="16"/>
        <v>0.08</v>
      </c>
      <c r="AN12" s="808">
        <f t="shared" si="17"/>
        <v>0.10607848050509341</v>
      </c>
    </row>
    <row r="13" spans="1:40">
      <c r="A13" s="790"/>
      <c r="B13" s="815"/>
      <c r="C13" s="790"/>
      <c r="D13" s="790"/>
      <c r="E13" s="790"/>
      <c r="F13" s="790"/>
      <c r="G13" s="790"/>
      <c r="H13" s="790"/>
      <c r="I13" s="790"/>
      <c r="J13" s="790"/>
      <c r="K13" s="790"/>
      <c r="L13" s="790"/>
      <c r="O13" s="790"/>
      <c r="P13" s="815"/>
      <c r="Q13" s="790"/>
      <c r="R13" s="816"/>
      <c r="S13" s="816"/>
      <c r="T13" s="816"/>
      <c r="U13" s="816"/>
      <c r="V13" s="816"/>
      <c r="W13" s="816"/>
      <c r="X13" s="816"/>
      <c r="Y13" s="816"/>
      <c r="Z13" s="816"/>
      <c r="AA13" s="791"/>
      <c r="AB13" s="791"/>
      <c r="AC13" s="791"/>
      <c r="AD13" s="817"/>
      <c r="AE13" s="816"/>
      <c r="AF13" s="816"/>
      <c r="AG13" s="816"/>
      <c r="AH13" s="816"/>
      <c r="AI13" s="790"/>
      <c r="AJ13" s="790"/>
      <c r="AK13" s="790"/>
      <c r="AL13" s="790"/>
      <c r="AM13" s="790"/>
      <c r="AN13" s="790"/>
    </row>
    <row r="14" spans="1:40">
      <c r="A14" s="790"/>
      <c r="B14" s="807" t="s">
        <v>20</v>
      </c>
      <c r="C14" s="790"/>
      <c r="D14" s="790"/>
      <c r="E14" s="790"/>
      <c r="F14" s="785">
        <f t="shared" ref="F14:L14" si="18">AVERAGE(F6:F12)</f>
        <v>2.4762517708279634E-2</v>
      </c>
      <c r="G14" s="785">
        <f t="shared" si="18"/>
        <v>8.249999999999999E-2</v>
      </c>
      <c r="H14" s="785">
        <f t="shared" si="18"/>
        <v>5.7142857142857141E-2</v>
      </c>
      <c r="I14" s="785">
        <f t="shared" si="18"/>
        <v>0.10890723693506006</v>
      </c>
      <c r="J14" s="785">
        <f t="shared" si="18"/>
        <v>8.3210357954780392E-2</v>
      </c>
      <c r="K14" s="785">
        <f t="shared" si="18"/>
        <v>7.7499999999999999E-2</v>
      </c>
      <c r="L14" s="785">
        <f t="shared" si="18"/>
        <v>0.10327670516970262</v>
      </c>
      <c r="O14" s="790"/>
      <c r="P14" s="807" t="s">
        <v>20</v>
      </c>
      <c r="Q14" s="790"/>
      <c r="R14" s="816"/>
      <c r="S14" s="816"/>
      <c r="T14" s="811">
        <f t="shared" ref="T14:Z14" si="19">AVERAGE(T6:T12)</f>
        <v>2.4762517708279634E-2</v>
      </c>
      <c r="U14" s="811">
        <f t="shared" si="19"/>
        <v>8.2500000000000004E-2</v>
      </c>
      <c r="V14" s="811">
        <f t="shared" si="19"/>
        <v>5.7142857142857141E-2</v>
      </c>
      <c r="W14" s="811">
        <f t="shared" si="19"/>
        <v>9.7225335444720049E-2</v>
      </c>
      <c r="X14" s="811">
        <f t="shared" si="19"/>
        <v>8.3210357954780392E-2</v>
      </c>
      <c r="Y14" s="811">
        <f t="shared" si="19"/>
        <v>7.7499999999999999E-2</v>
      </c>
      <c r="Z14" s="811">
        <f t="shared" si="19"/>
        <v>0.1037496039937207</v>
      </c>
      <c r="AA14" s="791"/>
      <c r="AB14" s="791"/>
      <c r="AC14" s="791"/>
      <c r="AD14" s="814" t="s">
        <v>20</v>
      </c>
      <c r="AE14" s="816"/>
      <c r="AF14" s="816"/>
      <c r="AG14" s="816"/>
      <c r="AH14" s="811">
        <f t="shared" ref="AH14:AN14" si="20">AVERAGE(AH6:AH12)</f>
        <v>2.4762517708279634E-2</v>
      </c>
      <c r="AI14" s="785">
        <f t="shared" si="20"/>
        <v>8.2500000000000004E-2</v>
      </c>
      <c r="AJ14" s="785">
        <f t="shared" si="20"/>
        <v>5.7142857142857141E-2</v>
      </c>
      <c r="AK14" s="785">
        <f t="shared" si="20"/>
        <v>0.10890723693506006</v>
      </c>
      <c r="AL14" s="785">
        <f t="shared" si="20"/>
        <v>8.3210357954780392E-2</v>
      </c>
      <c r="AM14" s="785">
        <f t="shared" si="20"/>
        <v>7.7499999999999999E-2</v>
      </c>
      <c r="AN14" s="785">
        <f t="shared" si="20"/>
        <v>0.1037496039937207</v>
      </c>
    </row>
    <row r="15" spans="1:40">
      <c r="A15" s="790"/>
      <c r="B15" s="807" t="s">
        <v>1133</v>
      </c>
      <c r="C15" s="790"/>
      <c r="D15" s="790"/>
      <c r="E15" s="790"/>
      <c r="F15" s="785">
        <f t="shared" ref="F15:L15" si="21">MEDIAN(F6:F12)</f>
        <v>2.4146741208419833E-2</v>
      </c>
      <c r="G15" s="785">
        <f t="shared" si="21"/>
        <v>8.4999999999999992E-2</v>
      </c>
      <c r="H15" s="785">
        <f t="shared" si="21"/>
        <v>0.05</v>
      </c>
      <c r="I15" s="785">
        <f t="shared" si="21"/>
        <v>0.10568143778831388</v>
      </c>
      <c r="J15" s="785">
        <f t="shared" si="21"/>
        <v>7.8615056477531753E-2</v>
      </c>
      <c r="K15" s="785">
        <f t="shared" si="21"/>
        <v>8.0625000000000002E-2</v>
      </c>
      <c r="L15" s="785">
        <f t="shared" si="21"/>
        <v>0.10507142415502194</v>
      </c>
      <c r="O15" s="790"/>
      <c r="P15" s="807" t="s">
        <v>1133</v>
      </c>
      <c r="Q15" s="790"/>
      <c r="R15" s="816"/>
      <c r="S15" s="816"/>
      <c r="T15" s="811">
        <f t="shared" ref="T15:Z15" si="22">MEDIAN(T6:T12)</f>
        <v>2.4146741208419833E-2</v>
      </c>
      <c r="U15" s="811">
        <f t="shared" si="22"/>
        <v>8.4999999999999992E-2</v>
      </c>
      <c r="V15" s="811">
        <f t="shared" si="22"/>
        <v>0.05</v>
      </c>
      <c r="W15" s="811">
        <f t="shared" si="22"/>
        <v>0.10343029644654313</v>
      </c>
      <c r="X15" s="811">
        <f t="shared" si="22"/>
        <v>7.8615056477531753E-2</v>
      </c>
      <c r="Y15" s="811">
        <f t="shared" si="22"/>
        <v>8.0625000000000002E-2</v>
      </c>
      <c r="Z15" s="811">
        <f t="shared" si="22"/>
        <v>0.10539294767515076</v>
      </c>
      <c r="AA15" s="791"/>
      <c r="AB15" s="791"/>
      <c r="AC15" s="791"/>
      <c r="AD15" s="814" t="s">
        <v>1133</v>
      </c>
      <c r="AE15" s="816"/>
      <c r="AF15" s="816"/>
      <c r="AG15" s="816"/>
      <c r="AH15" s="811">
        <f t="shared" ref="AH15:AN15" si="23">MEDIAN(AH6:AH12)</f>
        <v>2.4146741208419833E-2</v>
      </c>
      <c r="AI15" s="785">
        <f t="shared" si="23"/>
        <v>8.4999999999999992E-2</v>
      </c>
      <c r="AJ15" s="785">
        <f t="shared" si="23"/>
        <v>0.05</v>
      </c>
      <c r="AK15" s="785">
        <f t="shared" si="23"/>
        <v>0.10568143778831388</v>
      </c>
      <c r="AL15" s="785">
        <f t="shared" si="23"/>
        <v>7.8615056477531753E-2</v>
      </c>
      <c r="AM15" s="785">
        <f t="shared" si="23"/>
        <v>8.0625000000000002E-2</v>
      </c>
      <c r="AN15" s="785">
        <f t="shared" si="23"/>
        <v>0.10539294767515076</v>
      </c>
    </row>
    <row r="16" spans="1:40">
      <c r="A16" s="790"/>
      <c r="B16" s="790"/>
      <c r="C16" s="790"/>
      <c r="D16" s="790"/>
      <c r="E16" s="790"/>
      <c r="F16" s="790"/>
      <c r="G16" s="790"/>
      <c r="H16" s="790"/>
      <c r="I16" s="790"/>
      <c r="J16" s="790"/>
      <c r="K16" s="790"/>
      <c r="L16" s="790"/>
      <c r="O16" s="790"/>
      <c r="P16" s="790"/>
      <c r="Q16" s="790"/>
      <c r="R16" s="816"/>
      <c r="S16" s="816"/>
      <c r="T16" s="816"/>
      <c r="U16" s="816"/>
      <c r="V16" s="816"/>
      <c r="W16" s="816"/>
      <c r="X16" s="816"/>
      <c r="Y16" s="816"/>
      <c r="Z16" s="816"/>
      <c r="AA16" s="791"/>
      <c r="AB16" s="791"/>
      <c r="AC16" s="791"/>
      <c r="AD16" s="816"/>
      <c r="AE16" s="816"/>
      <c r="AF16" s="816"/>
      <c r="AG16" s="816"/>
      <c r="AH16" s="816"/>
      <c r="AI16" s="790"/>
      <c r="AJ16" s="790"/>
      <c r="AK16" s="790"/>
      <c r="AL16" s="790"/>
      <c r="AM16" s="790"/>
      <c r="AN16" s="790"/>
    </row>
    <row r="17" spans="1:44">
      <c r="A17" s="790"/>
      <c r="B17" s="806" t="s">
        <v>1589</v>
      </c>
      <c r="C17" s="790"/>
      <c r="D17" s="790"/>
      <c r="E17" s="790"/>
      <c r="F17" s="790"/>
      <c r="G17" s="790"/>
      <c r="H17" s="790"/>
      <c r="I17" s="790"/>
      <c r="J17" s="790"/>
      <c r="K17" s="790"/>
      <c r="L17" s="790"/>
      <c r="M17" s="792"/>
      <c r="O17" s="790"/>
      <c r="P17" s="806" t="s">
        <v>1589</v>
      </c>
      <c r="Q17" s="790"/>
      <c r="R17" s="816"/>
      <c r="S17" s="816"/>
      <c r="T17" s="816"/>
      <c r="U17" s="816"/>
      <c r="V17" s="816"/>
      <c r="W17" s="816"/>
      <c r="X17" s="816"/>
      <c r="Y17" s="816"/>
      <c r="Z17" s="816"/>
      <c r="AA17" s="793"/>
      <c r="AB17" s="791"/>
      <c r="AC17" s="791"/>
      <c r="AD17" s="818" t="s">
        <v>1589</v>
      </c>
      <c r="AE17" s="816"/>
      <c r="AF17" s="816"/>
      <c r="AG17" s="816"/>
      <c r="AH17" s="816"/>
      <c r="AI17" s="790"/>
      <c r="AJ17" s="790"/>
      <c r="AK17" s="790"/>
      <c r="AL17" s="790"/>
      <c r="AM17" s="790"/>
      <c r="AN17" s="790"/>
      <c r="AO17" s="792"/>
      <c r="AR17" s="792"/>
    </row>
    <row r="18" spans="1:44">
      <c r="A18" s="790"/>
      <c r="B18" s="790"/>
      <c r="C18" s="790"/>
      <c r="D18" s="790"/>
      <c r="E18" s="790"/>
      <c r="F18" s="790"/>
      <c r="G18" s="790"/>
      <c r="H18" s="790"/>
      <c r="I18" s="790"/>
      <c r="J18" s="790"/>
      <c r="K18" s="790"/>
      <c r="L18" s="790"/>
      <c r="M18" s="792"/>
      <c r="O18" s="790"/>
      <c r="P18" s="790"/>
      <c r="Q18" s="790"/>
      <c r="R18" s="816"/>
      <c r="S18" s="816"/>
      <c r="T18" s="816"/>
      <c r="U18" s="816"/>
      <c r="V18" s="816"/>
      <c r="W18" s="816"/>
      <c r="X18" s="816"/>
      <c r="Y18" s="816"/>
      <c r="Z18" s="816"/>
      <c r="AA18" s="793"/>
      <c r="AB18" s="791"/>
      <c r="AC18" s="791"/>
      <c r="AD18" s="816"/>
      <c r="AE18" s="816"/>
      <c r="AF18" s="816"/>
      <c r="AG18" s="816"/>
      <c r="AH18" s="816"/>
      <c r="AI18" s="790"/>
      <c r="AJ18" s="790"/>
      <c r="AK18" s="790"/>
      <c r="AL18" s="790"/>
      <c r="AM18" s="790"/>
      <c r="AN18" s="790"/>
      <c r="AO18" s="792"/>
      <c r="AR18" s="792"/>
    </row>
    <row r="19" spans="1:44" ht="63.75">
      <c r="A19" s="790"/>
      <c r="B19" s="427" t="s">
        <v>1</v>
      </c>
      <c r="C19" s="795"/>
      <c r="D19" s="796" t="s">
        <v>63</v>
      </c>
      <c r="E19" s="796" t="s">
        <v>62</v>
      </c>
      <c r="F19" s="796" t="s">
        <v>64</v>
      </c>
      <c r="G19" s="796" t="s">
        <v>1583</v>
      </c>
      <c r="H19" s="796" t="s">
        <v>1584</v>
      </c>
      <c r="I19" s="796" t="s">
        <v>1585</v>
      </c>
      <c r="J19" s="796" t="s">
        <v>1586</v>
      </c>
      <c r="K19" s="796" t="s">
        <v>1587</v>
      </c>
      <c r="L19" s="796" t="s">
        <v>1588</v>
      </c>
      <c r="O19" s="790"/>
      <c r="P19" s="427" t="s">
        <v>1</v>
      </c>
      <c r="Q19" s="795"/>
      <c r="R19" s="819" t="s">
        <v>63</v>
      </c>
      <c r="S19" s="819" t="s">
        <v>62</v>
      </c>
      <c r="T19" s="819" t="s">
        <v>64</v>
      </c>
      <c r="U19" s="819" t="s">
        <v>1583</v>
      </c>
      <c r="V19" s="819" t="s">
        <v>1584</v>
      </c>
      <c r="W19" s="819" t="s">
        <v>1585</v>
      </c>
      <c r="X19" s="819" t="s">
        <v>1586</v>
      </c>
      <c r="Y19" s="819" t="s">
        <v>1587</v>
      </c>
      <c r="Z19" s="819" t="s">
        <v>1588</v>
      </c>
      <c r="AA19" s="791"/>
      <c r="AB19" s="791"/>
      <c r="AC19" s="791"/>
      <c r="AD19" s="820" t="s">
        <v>1</v>
      </c>
      <c r="AE19" s="821"/>
      <c r="AF19" s="819" t="s">
        <v>63</v>
      </c>
      <c r="AG19" s="819" t="s">
        <v>62</v>
      </c>
      <c r="AH19" s="819" t="s">
        <v>64</v>
      </c>
      <c r="AI19" s="796" t="s">
        <v>1583</v>
      </c>
      <c r="AJ19" s="796" t="s">
        <v>1584</v>
      </c>
      <c r="AK19" s="796" t="s">
        <v>1585</v>
      </c>
      <c r="AL19" s="796" t="s">
        <v>1586</v>
      </c>
      <c r="AM19" s="796" t="s">
        <v>1587</v>
      </c>
      <c r="AN19" s="796" t="s">
        <v>1588</v>
      </c>
    </row>
    <row r="20" spans="1:44">
      <c r="A20" s="790"/>
      <c r="B20" s="807" t="s">
        <v>33</v>
      </c>
      <c r="C20" s="785"/>
      <c r="D20" s="797">
        <v>110.9036747333333</v>
      </c>
      <c r="E20" s="797">
        <v>2.1</v>
      </c>
      <c r="F20" s="785">
        <f t="shared" ref="F20:F26" si="24">E20/D20</f>
        <v>1.8935350925471384E-2</v>
      </c>
      <c r="G20" s="343">
        <f t="shared" ref="G20:G26" si="25">L41</f>
        <v>6.8166666666666667E-2</v>
      </c>
      <c r="H20" s="343">
        <f>H6</f>
        <v>7.0000000000000007E-2</v>
      </c>
      <c r="I20" s="343">
        <f t="shared" ref="I20:I26" si="26">F20*(1+G20)+G20</f>
        <v>8.8392777346891022E-2</v>
      </c>
      <c r="J20" s="343">
        <f t="shared" ref="J20:J26" si="27">F20*(1+H20)+H20</f>
        <v>9.0260825490254382E-2</v>
      </c>
      <c r="K20" s="808">
        <f>G20*0.75+H20*0.25</f>
        <v>6.8625000000000005E-2</v>
      </c>
      <c r="L20" s="808">
        <f>F20*(1+H20)+K20</f>
        <v>8.8885825490254394E-2</v>
      </c>
      <c r="O20" s="790"/>
      <c r="P20" s="807" t="s">
        <v>33</v>
      </c>
      <c r="Q20" s="785"/>
      <c r="R20" s="810">
        <v>110.9036747333333</v>
      </c>
      <c r="S20" s="810">
        <v>2.1</v>
      </c>
      <c r="T20" s="811">
        <f t="shared" ref="T20:T26" si="28">S20/R20</f>
        <v>1.8935350925471384E-2</v>
      </c>
      <c r="U20" s="812">
        <f>Z41</f>
        <v>6.8166666666666667E-2</v>
      </c>
      <c r="V20" s="812">
        <f>V6</f>
        <v>7.0000000000000007E-2</v>
      </c>
      <c r="W20" s="812">
        <f t="shared" ref="W20:W26" si="29">T20*(1+U20)+U20</f>
        <v>8.8392777346891022E-2</v>
      </c>
      <c r="X20" s="812">
        <f t="shared" ref="X20:X26" si="30">T20*(1+V20)+V20</f>
        <v>9.0260825490254382E-2</v>
      </c>
      <c r="Y20" s="813">
        <f>U20*0.75+V20*0.25</f>
        <v>6.8625000000000005E-2</v>
      </c>
      <c r="Z20" s="813">
        <f>T20*(1+Y20)+Y20</f>
        <v>8.8859789382731869E-2</v>
      </c>
      <c r="AA20" s="791"/>
      <c r="AB20" s="791"/>
      <c r="AC20" s="791"/>
      <c r="AD20" s="814" t="s">
        <v>33</v>
      </c>
      <c r="AE20" s="811"/>
      <c r="AF20" s="810">
        <v>110.9036747333333</v>
      </c>
      <c r="AG20" s="810">
        <v>2.1</v>
      </c>
      <c r="AH20" s="811">
        <f t="shared" ref="AH20:AH26" si="31">AG20/AF20</f>
        <v>1.8935350925471384E-2</v>
      </c>
      <c r="AI20" s="343">
        <f t="shared" ref="AI20:AI21" si="32">AN41</f>
        <v>7.166666666666667E-2</v>
      </c>
      <c r="AJ20" s="343">
        <f>AJ6</f>
        <v>7.0000000000000007E-2</v>
      </c>
      <c r="AK20" s="343">
        <f t="shared" ref="AK20:AK26" si="33">AH20*(1+AI20)+AI20</f>
        <v>9.1959051075130166E-2</v>
      </c>
      <c r="AL20" s="343">
        <f t="shared" ref="AL20:AL26" si="34">AH20*(1+AJ20)+AJ20</f>
        <v>9.0260825490254382E-2</v>
      </c>
      <c r="AM20" s="808">
        <f>AI20*0.75+AJ20*0.25</f>
        <v>7.1250000000000008E-2</v>
      </c>
      <c r="AN20" s="808">
        <f>AH20*(1+AM20)+AM20</f>
        <v>9.1534494678911227E-2</v>
      </c>
    </row>
    <row r="21" spans="1:44">
      <c r="A21" s="790"/>
      <c r="B21" s="809" t="s">
        <v>35</v>
      </c>
      <c r="C21" s="785"/>
      <c r="D21" s="797">
        <v>94.213999433333342</v>
      </c>
      <c r="E21" s="797">
        <v>1.55</v>
      </c>
      <c r="F21" s="785">
        <f t="shared" si="24"/>
        <v>1.6451907458793252E-2</v>
      </c>
      <c r="G21" s="343">
        <f t="shared" si="25"/>
        <v>6.9999999999999993E-2</v>
      </c>
      <c r="H21" s="343">
        <f t="shared" ref="H21:H26" si="35">H7</f>
        <v>0.09</v>
      </c>
      <c r="I21" s="343">
        <f t="shared" si="26"/>
        <v>8.7603540980908778E-2</v>
      </c>
      <c r="J21" s="343">
        <f t="shared" si="27"/>
        <v>0.10793257913008464</v>
      </c>
      <c r="K21" s="808">
        <f t="shared" ref="K21:K26" si="36">G21*0.75+H21*0.25</f>
        <v>7.4999999999999983E-2</v>
      </c>
      <c r="L21" s="808">
        <f t="shared" ref="L21:L26" si="37">F21*(1+H21)+K21</f>
        <v>9.2932579130084625E-2</v>
      </c>
      <c r="O21" s="790"/>
      <c r="P21" s="809" t="s">
        <v>35</v>
      </c>
      <c r="Q21" s="785"/>
      <c r="R21" s="810">
        <v>94.213999433333342</v>
      </c>
      <c r="S21" s="810">
        <v>1.55</v>
      </c>
      <c r="T21" s="811">
        <f t="shared" si="28"/>
        <v>1.6451907458793252E-2</v>
      </c>
      <c r="U21" s="812">
        <f t="shared" ref="U21:U26" si="38">Z42</f>
        <v>6.9999999999999993E-2</v>
      </c>
      <c r="V21" s="812">
        <f t="shared" ref="V21:V26" si="39">V7</f>
        <v>0.09</v>
      </c>
      <c r="W21" s="812">
        <f t="shared" si="29"/>
        <v>8.7603540980908778E-2</v>
      </c>
      <c r="X21" s="812">
        <f t="shared" si="30"/>
        <v>0.10793257913008464</v>
      </c>
      <c r="Y21" s="813">
        <f t="shared" ref="Y21:Y26" si="40">U21*0.75+V21*0.25</f>
        <v>7.4999999999999983E-2</v>
      </c>
      <c r="Z21" s="813">
        <f t="shared" ref="Z21:Z26" si="41">T21*(1+Y21)+Y21</f>
        <v>9.2685800518202729E-2</v>
      </c>
      <c r="AA21" s="791"/>
      <c r="AB21" s="791"/>
      <c r="AC21" s="791"/>
      <c r="AD21" s="822" t="s">
        <v>35</v>
      </c>
      <c r="AE21" s="811"/>
      <c r="AF21" s="810">
        <v>94.213999433333342</v>
      </c>
      <c r="AG21" s="810">
        <v>1.55</v>
      </c>
      <c r="AH21" s="811">
        <f t="shared" si="31"/>
        <v>1.6451907458793252E-2</v>
      </c>
      <c r="AI21" s="343">
        <f t="shared" si="32"/>
        <v>7.6666666666666675E-2</v>
      </c>
      <c r="AJ21" s="343">
        <f t="shared" ref="AJ21:AJ26" si="42">AJ7</f>
        <v>0.09</v>
      </c>
      <c r="AK21" s="343">
        <f t="shared" si="33"/>
        <v>9.4379887030634074E-2</v>
      </c>
      <c r="AL21" s="343">
        <f t="shared" si="34"/>
        <v>0.10793257913008464</v>
      </c>
      <c r="AM21" s="808">
        <f t="shared" ref="AM21:AM24" si="43">AI21*0.75+AJ21*0.25</f>
        <v>8.0000000000000016E-2</v>
      </c>
      <c r="AN21" s="808">
        <f t="shared" ref="AN21:AN26" si="44">AH21*(1+AM21)+AM21</f>
        <v>9.7768060055496736E-2</v>
      </c>
    </row>
    <row r="22" spans="1:44">
      <c r="A22" s="790"/>
      <c r="B22" s="807" t="s">
        <v>1172</v>
      </c>
      <c r="C22" s="785"/>
      <c r="D22" s="797">
        <v>71.12866616666669</v>
      </c>
      <c r="E22" s="797">
        <v>1.93</v>
      </c>
      <c r="F22" s="785">
        <f t="shared" si="24"/>
        <v>2.7133926502680063E-2</v>
      </c>
      <c r="G22" s="343">
        <f>L43</f>
        <v>5.4466666666666663E-2</v>
      </c>
      <c r="H22" s="343">
        <f t="shared" si="35"/>
        <v>2.5000000000000001E-2</v>
      </c>
      <c r="I22" s="343">
        <f t="shared" si="26"/>
        <v>8.3078487699526027E-2</v>
      </c>
      <c r="J22" s="343">
        <f t="shared" si="27"/>
        <v>5.2812274665247065E-2</v>
      </c>
      <c r="K22" s="808">
        <f t="shared" si="36"/>
        <v>4.7099999999999996E-2</v>
      </c>
      <c r="L22" s="808">
        <f t="shared" si="37"/>
        <v>7.4912274665247053E-2</v>
      </c>
      <c r="O22" s="790"/>
      <c r="P22" s="807" t="s">
        <v>1172</v>
      </c>
      <c r="Q22" s="785"/>
      <c r="R22" s="810">
        <v>71.12866616666669</v>
      </c>
      <c r="S22" s="810">
        <v>1.93</v>
      </c>
      <c r="T22" s="811">
        <f t="shared" si="28"/>
        <v>2.7133926502680063E-2</v>
      </c>
      <c r="U22" s="812">
        <f>Z43</f>
        <v>5.4466666666666663E-2</v>
      </c>
      <c r="V22" s="812">
        <f t="shared" si="39"/>
        <v>2.5000000000000001E-2</v>
      </c>
      <c r="W22" s="812">
        <f t="shared" si="29"/>
        <v>8.3078487699526027E-2</v>
      </c>
      <c r="X22" s="812">
        <f t="shared" si="30"/>
        <v>5.2812274665247065E-2</v>
      </c>
      <c r="Y22" s="813">
        <f t="shared" si="40"/>
        <v>4.7099999999999996E-2</v>
      </c>
      <c r="Z22" s="813">
        <f t="shared" si="41"/>
        <v>7.5511934440956288E-2</v>
      </c>
      <c r="AA22" s="791"/>
      <c r="AB22" s="791"/>
      <c r="AC22" s="791"/>
      <c r="AD22" s="814" t="s">
        <v>1172</v>
      </c>
      <c r="AE22" s="811"/>
      <c r="AF22" s="810">
        <v>71.12866616666669</v>
      </c>
      <c r="AG22" s="810">
        <v>1.93</v>
      </c>
      <c r="AH22" s="811">
        <f t="shared" si="31"/>
        <v>2.7133926502680063E-2</v>
      </c>
      <c r="AI22" s="343">
        <f>AN43</f>
        <v>5.6133333333333334E-2</v>
      </c>
      <c r="AJ22" s="343">
        <f t="shared" si="42"/>
        <v>2.5000000000000001E-2</v>
      </c>
      <c r="AK22" s="343"/>
      <c r="AL22" s="343">
        <f t="shared" si="34"/>
        <v>5.2812274665247065E-2</v>
      </c>
      <c r="AM22" s="808">
        <f t="shared" si="43"/>
        <v>4.8349999999999997E-2</v>
      </c>
      <c r="AN22" s="808"/>
    </row>
    <row r="23" spans="1:44">
      <c r="A23" s="790"/>
      <c r="B23" s="807" t="s">
        <v>40</v>
      </c>
      <c r="C23" s="785"/>
      <c r="D23" s="797">
        <v>92.188334233333336</v>
      </c>
      <c r="E23" s="797">
        <v>2</v>
      </c>
      <c r="F23" s="785">
        <f t="shared" si="24"/>
        <v>2.1694718931984377E-2</v>
      </c>
      <c r="G23" s="343">
        <f t="shared" si="25"/>
        <v>6.3E-2</v>
      </c>
      <c r="H23" s="343">
        <f t="shared" si="35"/>
        <v>8.5000000000000006E-2</v>
      </c>
      <c r="I23" s="343">
        <f t="shared" si="26"/>
        <v>8.6061486224699391E-2</v>
      </c>
      <c r="J23" s="343">
        <f t="shared" si="27"/>
        <v>0.10853877004120305</v>
      </c>
      <c r="K23" s="808">
        <f t="shared" si="36"/>
        <v>6.8500000000000005E-2</v>
      </c>
      <c r="L23" s="808">
        <f t="shared" si="37"/>
        <v>9.2038770041203061E-2</v>
      </c>
      <c r="O23" s="790"/>
      <c r="P23" s="807" t="s">
        <v>40</v>
      </c>
      <c r="Q23" s="785"/>
      <c r="R23" s="810">
        <v>92.188334233333336</v>
      </c>
      <c r="S23" s="810">
        <v>2</v>
      </c>
      <c r="T23" s="811">
        <f t="shared" si="28"/>
        <v>2.1694718931984377E-2</v>
      </c>
      <c r="U23" s="812">
        <f t="shared" si="38"/>
        <v>6.3E-2</v>
      </c>
      <c r="V23" s="812">
        <f t="shared" si="39"/>
        <v>8.5000000000000006E-2</v>
      </c>
      <c r="W23" s="812">
        <f t="shared" si="29"/>
        <v>8.6061486224699391E-2</v>
      </c>
      <c r="X23" s="812">
        <f t="shared" si="30"/>
        <v>0.10853877004120305</v>
      </c>
      <c r="Y23" s="813">
        <f t="shared" si="40"/>
        <v>6.8500000000000005E-2</v>
      </c>
      <c r="Z23" s="813">
        <f t="shared" si="41"/>
        <v>9.1680807178825319E-2</v>
      </c>
      <c r="AA23" s="791"/>
      <c r="AB23" s="791"/>
      <c r="AC23" s="791"/>
      <c r="AD23" s="814" t="s">
        <v>40</v>
      </c>
      <c r="AE23" s="811"/>
      <c r="AF23" s="810">
        <v>92.188334233333336</v>
      </c>
      <c r="AG23" s="810">
        <v>2</v>
      </c>
      <c r="AH23" s="811">
        <f t="shared" si="31"/>
        <v>2.1694718931984377E-2</v>
      </c>
      <c r="AI23" s="343">
        <f t="shared" ref="AI23:AI26" si="45">AN44</f>
        <v>6.3666666666666663E-2</v>
      </c>
      <c r="AJ23" s="343">
        <f t="shared" si="42"/>
        <v>8.5000000000000006E-2</v>
      </c>
      <c r="AK23" s="343">
        <f t="shared" si="33"/>
        <v>8.6742616037320711E-2</v>
      </c>
      <c r="AL23" s="343">
        <f t="shared" si="34"/>
        <v>0.10853877004120305</v>
      </c>
      <c r="AM23" s="808">
        <f t="shared" si="43"/>
        <v>6.9000000000000006E-2</v>
      </c>
      <c r="AN23" s="808">
        <f t="shared" si="44"/>
        <v>9.2191654538291312E-2</v>
      </c>
    </row>
    <row r="24" spans="1:44">
      <c r="A24" s="790"/>
      <c r="B24" s="807" t="s">
        <v>48</v>
      </c>
      <c r="C24" s="785"/>
      <c r="D24" s="797">
        <v>32.318999733333321</v>
      </c>
      <c r="E24" s="797">
        <v>1.2</v>
      </c>
      <c r="F24" s="785">
        <f t="shared" si="24"/>
        <v>3.712986199762669E-2</v>
      </c>
      <c r="G24" s="343">
        <f t="shared" si="25"/>
        <v>7.8666666666666663E-2</v>
      </c>
      <c r="H24" s="343">
        <f t="shared" si="35"/>
        <v>0.04</v>
      </c>
      <c r="I24" s="343">
        <f t="shared" si="26"/>
        <v>0.11871741114143999</v>
      </c>
      <c r="J24" s="343">
        <f t="shared" si="27"/>
        <v>7.8615056477531753E-2</v>
      </c>
      <c r="K24" s="808">
        <f t="shared" si="36"/>
        <v>6.8999999999999992E-2</v>
      </c>
      <c r="L24" s="808">
        <f t="shared" si="37"/>
        <v>0.10761505647753175</v>
      </c>
      <c r="O24" s="790"/>
      <c r="P24" s="807" t="s">
        <v>48</v>
      </c>
      <c r="Q24" s="785"/>
      <c r="R24" s="810">
        <v>32.318999733333321</v>
      </c>
      <c r="S24" s="810">
        <v>1.2</v>
      </c>
      <c r="T24" s="811">
        <f t="shared" si="28"/>
        <v>3.712986199762669E-2</v>
      </c>
      <c r="U24" s="812">
        <f t="shared" si="38"/>
        <v>7.8666666666666663E-2</v>
      </c>
      <c r="V24" s="812">
        <f t="shared" si="39"/>
        <v>0.04</v>
      </c>
      <c r="W24" s="812">
        <f t="shared" si="29"/>
        <v>0.11871741114143999</v>
      </c>
      <c r="X24" s="812">
        <f t="shared" si="30"/>
        <v>7.8615056477531753E-2</v>
      </c>
      <c r="Y24" s="813">
        <f t="shared" si="40"/>
        <v>6.8999999999999992E-2</v>
      </c>
      <c r="Z24" s="813">
        <f t="shared" si="41"/>
        <v>0.10869182247546291</v>
      </c>
      <c r="AA24" s="791"/>
      <c r="AB24" s="791"/>
      <c r="AC24" s="791"/>
      <c r="AD24" s="814" t="s">
        <v>48</v>
      </c>
      <c r="AE24" s="811"/>
      <c r="AF24" s="810">
        <v>32.318999733333321</v>
      </c>
      <c r="AG24" s="810">
        <v>1.2</v>
      </c>
      <c r="AH24" s="811">
        <f t="shared" si="31"/>
        <v>3.712986199762669E-2</v>
      </c>
      <c r="AI24" s="343">
        <f t="shared" si="45"/>
        <v>7.8666666666666663E-2</v>
      </c>
      <c r="AJ24" s="343">
        <f t="shared" si="42"/>
        <v>0.04</v>
      </c>
      <c r="AK24" s="343">
        <f t="shared" si="33"/>
        <v>0.11871741114143999</v>
      </c>
      <c r="AL24" s="343">
        <f t="shared" si="34"/>
        <v>7.8615056477531753E-2</v>
      </c>
      <c r="AM24" s="808">
        <f t="shared" si="43"/>
        <v>6.8999999999999992E-2</v>
      </c>
      <c r="AN24" s="808">
        <f t="shared" si="44"/>
        <v>0.10869182247546291</v>
      </c>
    </row>
    <row r="25" spans="1:44">
      <c r="A25" s="790"/>
      <c r="B25" s="807" t="s">
        <v>44</v>
      </c>
      <c r="C25" s="785"/>
      <c r="D25" s="797">
        <v>90.28133366666664</v>
      </c>
      <c r="E25" s="797">
        <v>2.1800000000000002</v>
      </c>
      <c r="F25" s="785">
        <f t="shared" si="24"/>
        <v>2.4146741208419833E-2</v>
      </c>
      <c r="G25" s="343">
        <f t="shared" si="25"/>
        <v>5.2066666666666671E-2</v>
      </c>
      <c r="H25" s="343">
        <f t="shared" si="35"/>
        <v>0.05</v>
      </c>
      <c r="I25" s="343">
        <f t="shared" si="26"/>
        <v>7.7470648200671566E-2</v>
      </c>
      <c r="J25" s="343">
        <f t="shared" si="27"/>
        <v>7.5354078268840829E-2</v>
      </c>
      <c r="K25" s="808">
        <f t="shared" si="36"/>
        <v>5.1549999999999999E-2</v>
      </c>
      <c r="L25" s="808">
        <f t="shared" si="37"/>
        <v>7.6904078268840825E-2</v>
      </c>
      <c r="O25" s="790"/>
      <c r="P25" s="807" t="s">
        <v>44</v>
      </c>
      <c r="Q25" s="785"/>
      <c r="R25" s="810">
        <v>85.113666633333338</v>
      </c>
      <c r="S25" s="810">
        <v>2.37</v>
      </c>
      <c r="T25" s="811">
        <f t="shared" si="28"/>
        <v>2.7845116932981823E-2</v>
      </c>
      <c r="U25" s="812">
        <f t="shared" si="38"/>
        <v>4.0399999999999998E-2</v>
      </c>
      <c r="V25" s="812">
        <f t="shared" si="39"/>
        <v>0.04</v>
      </c>
      <c r="W25" s="812">
        <f t="shared" si="29"/>
        <v>6.9370059657074296E-2</v>
      </c>
      <c r="X25" s="812">
        <f t="shared" si="30"/>
        <v>6.8958921610301094E-2</v>
      </c>
      <c r="Y25" s="813">
        <f>U25*0.75+V25*0.25</f>
        <v>4.0300000000000002E-2</v>
      </c>
      <c r="Z25" s="813">
        <f t="shared" si="41"/>
        <v>6.9267275145381002E-2</v>
      </c>
      <c r="AA25" s="791"/>
      <c r="AB25" s="791"/>
      <c r="AC25" s="791"/>
      <c r="AD25" s="814" t="s">
        <v>44</v>
      </c>
      <c r="AE25" s="811"/>
      <c r="AF25" s="810">
        <v>85.113666633333338</v>
      </c>
      <c r="AG25" s="810">
        <v>2.37</v>
      </c>
      <c r="AH25" s="811">
        <f t="shared" si="31"/>
        <v>2.7845116932981823E-2</v>
      </c>
      <c r="AI25" s="343">
        <f t="shared" si="45"/>
        <v>4.7433333333333334E-2</v>
      </c>
      <c r="AJ25" s="343">
        <f t="shared" si="42"/>
        <v>0.04</v>
      </c>
      <c r="AK25" s="343">
        <f t="shared" si="33"/>
        <v>7.6599236979502938E-2</v>
      </c>
      <c r="AL25" s="343">
        <f t="shared" si="34"/>
        <v>6.8958921610301094E-2</v>
      </c>
      <c r="AM25" s="808">
        <f>AI25*0.75+AJ25*0.25</f>
        <v>4.5575000000000004E-2</v>
      </c>
      <c r="AN25" s="808">
        <f t="shared" si="44"/>
        <v>7.4689158137202477E-2</v>
      </c>
    </row>
    <row r="26" spans="1:44">
      <c r="A26" s="790"/>
      <c r="B26" s="807" t="s">
        <v>42</v>
      </c>
      <c r="C26" s="785"/>
      <c r="D26" s="797">
        <v>85.113666633333338</v>
      </c>
      <c r="E26" s="797">
        <v>2.37</v>
      </c>
      <c r="F26" s="785">
        <f t="shared" si="24"/>
        <v>2.7845116932981823E-2</v>
      </c>
      <c r="G26" s="343">
        <f t="shared" si="25"/>
        <v>0.06</v>
      </c>
      <c r="H26" s="343">
        <f t="shared" si="35"/>
        <v>0.04</v>
      </c>
      <c r="I26" s="343">
        <f t="shared" si="26"/>
        <v>8.9515823948960738E-2</v>
      </c>
      <c r="J26" s="343">
        <f t="shared" si="27"/>
        <v>6.8958921610301094E-2</v>
      </c>
      <c r="K26" s="808">
        <f t="shared" si="36"/>
        <v>5.5E-2</v>
      </c>
      <c r="L26" s="808">
        <f t="shared" si="37"/>
        <v>8.3958921610301093E-2</v>
      </c>
      <c r="O26" s="790"/>
      <c r="P26" s="807" t="s">
        <v>42</v>
      </c>
      <c r="Q26" s="785"/>
      <c r="R26" s="810">
        <v>90.28133366666664</v>
      </c>
      <c r="S26" s="810">
        <v>2.1800000000000002</v>
      </c>
      <c r="T26" s="811">
        <f t="shared" si="28"/>
        <v>2.4146741208419833E-2</v>
      </c>
      <c r="U26" s="812">
        <f t="shared" si="38"/>
        <v>7.166666666666667E-2</v>
      </c>
      <c r="V26" s="812">
        <f t="shared" si="39"/>
        <v>0.05</v>
      </c>
      <c r="W26" s="812">
        <f t="shared" si="29"/>
        <v>9.7543924328356596E-2</v>
      </c>
      <c r="X26" s="812">
        <f t="shared" si="30"/>
        <v>7.5354078268840829E-2</v>
      </c>
      <c r="Y26" s="813">
        <f t="shared" si="40"/>
        <v>6.6250000000000003E-2</v>
      </c>
      <c r="Z26" s="813">
        <f t="shared" si="41"/>
        <v>9.1996462813477647E-2</v>
      </c>
      <c r="AA26" s="791"/>
      <c r="AB26" s="791"/>
      <c r="AC26" s="791"/>
      <c r="AD26" s="814" t="s">
        <v>42</v>
      </c>
      <c r="AE26" s="811"/>
      <c r="AF26" s="810">
        <v>90.28133366666664</v>
      </c>
      <c r="AG26" s="810">
        <v>2.1800000000000002</v>
      </c>
      <c r="AH26" s="811">
        <f t="shared" si="31"/>
        <v>2.4146741208419833E-2</v>
      </c>
      <c r="AI26" s="343">
        <f t="shared" si="45"/>
        <v>8.1666666666666665E-2</v>
      </c>
      <c r="AJ26" s="343">
        <f t="shared" si="42"/>
        <v>0.05</v>
      </c>
      <c r="AK26" s="343">
        <f t="shared" si="33"/>
        <v>0.10778539174044079</v>
      </c>
      <c r="AL26" s="343">
        <f t="shared" si="34"/>
        <v>7.5354078268840829E-2</v>
      </c>
      <c r="AM26" s="808">
        <f t="shared" ref="AM26" si="46">AI26*0.75+AJ26*0.25</f>
        <v>7.3749999999999996E-2</v>
      </c>
      <c r="AN26" s="808">
        <f t="shared" si="44"/>
        <v>9.9677563372540787E-2</v>
      </c>
    </row>
    <row r="27" spans="1:44">
      <c r="A27" s="790"/>
      <c r="B27" s="815"/>
      <c r="C27" s="790"/>
      <c r="D27" s="790"/>
      <c r="E27" s="790"/>
      <c r="F27" s="790"/>
      <c r="G27" s="790"/>
      <c r="H27" s="790"/>
      <c r="I27" s="790"/>
      <c r="J27" s="790"/>
      <c r="K27" s="790"/>
      <c r="L27" s="790"/>
      <c r="O27" s="790"/>
      <c r="P27" s="815"/>
      <c r="Q27" s="790"/>
      <c r="R27" s="816"/>
      <c r="S27" s="816"/>
      <c r="T27" s="816"/>
      <c r="U27" s="816"/>
      <c r="V27" s="816"/>
      <c r="W27" s="816"/>
      <c r="X27" s="816"/>
      <c r="Y27" s="816"/>
      <c r="Z27" s="816"/>
      <c r="AA27" s="791"/>
      <c r="AB27" s="791"/>
      <c r="AC27" s="791"/>
      <c r="AD27" s="817"/>
      <c r="AE27" s="816"/>
      <c r="AF27" s="816"/>
      <c r="AG27" s="816"/>
      <c r="AH27" s="816"/>
      <c r="AI27" s="790"/>
      <c r="AJ27" s="790"/>
      <c r="AK27" s="790"/>
      <c r="AL27" s="790"/>
      <c r="AM27" s="790"/>
      <c r="AN27" s="790"/>
    </row>
    <row r="28" spans="1:44">
      <c r="A28" s="790"/>
      <c r="B28" s="807" t="s">
        <v>20</v>
      </c>
      <c r="C28" s="790"/>
      <c r="D28" s="790"/>
      <c r="E28" s="790"/>
      <c r="F28" s="785">
        <f t="shared" ref="F28:L28" si="47">AVERAGE(F20:F26)</f>
        <v>2.4762517708279634E-2</v>
      </c>
      <c r="G28" s="785">
        <f t="shared" si="47"/>
        <v>6.3766666666666666E-2</v>
      </c>
      <c r="H28" s="785">
        <f t="shared" si="47"/>
        <v>5.7142857142857141E-2</v>
      </c>
      <c r="I28" s="785">
        <f t="shared" si="47"/>
        <v>9.0120025077585361E-2</v>
      </c>
      <c r="J28" s="785">
        <f t="shared" si="47"/>
        <v>8.3210357954780392E-2</v>
      </c>
      <c r="K28" s="785">
        <f t="shared" si="47"/>
        <v>6.211071428571429E-2</v>
      </c>
      <c r="L28" s="785">
        <f t="shared" si="47"/>
        <v>8.8178215097637541E-2</v>
      </c>
      <c r="O28" s="790"/>
      <c r="P28" s="807" t="s">
        <v>20</v>
      </c>
      <c r="Q28" s="790"/>
      <c r="R28" s="790"/>
      <c r="S28" s="790"/>
      <c r="T28" s="785">
        <f t="shared" ref="T28:Z28" si="48">AVERAGE(T20:T26)</f>
        <v>2.4762517708279634E-2</v>
      </c>
      <c r="U28" s="785">
        <f t="shared" si="48"/>
        <v>6.3766666666666666E-2</v>
      </c>
      <c r="V28" s="785">
        <f t="shared" si="48"/>
        <v>5.7142857142857141E-2</v>
      </c>
      <c r="W28" s="785">
        <f t="shared" si="48"/>
        <v>9.0109669625556582E-2</v>
      </c>
      <c r="X28" s="785">
        <f t="shared" si="48"/>
        <v>8.3210357954780392E-2</v>
      </c>
      <c r="Y28" s="785">
        <f t="shared" si="48"/>
        <v>6.211071428571429E-2</v>
      </c>
      <c r="Z28" s="785">
        <f t="shared" si="48"/>
        <v>8.8384841707862538E-2</v>
      </c>
      <c r="AD28" s="807" t="s">
        <v>20</v>
      </c>
      <c r="AE28" s="790"/>
      <c r="AF28" s="790"/>
      <c r="AG28" s="790"/>
      <c r="AH28" s="785">
        <f t="shared" ref="AH28:AM28" si="49">AVERAGE(AH20:AH26)</f>
        <v>2.4762517708279634E-2</v>
      </c>
      <c r="AI28" s="785">
        <f t="shared" si="49"/>
        <v>6.7985714285714288E-2</v>
      </c>
      <c r="AJ28" s="785">
        <f t="shared" si="49"/>
        <v>5.7142857142857141E-2</v>
      </c>
      <c r="AK28" s="785">
        <f t="shared" si="49"/>
        <v>9.6030599000744787E-2</v>
      </c>
      <c r="AL28" s="785">
        <f t="shared" si="49"/>
        <v>8.3210357954780392E-2</v>
      </c>
      <c r="AM28" s="785">
        <f t="shared" si="49"/>
        <v>6.5275E-2</v>
      </c>
      <c r="AN28" s="785">
        <f>AVERAGE(AN20:AN26)</f>
        <v>9.409212554298424E-2</v>
      </c>
    </row>
    <row r="29" spans="1:44">
      <c r="A29" s="790"/>
      <c r="B29" s="807" t="s">
        <v>1133</v>
      </c>
      <c r="C29" s="790"/>
      <c r="D29" s="790"/>
      <c r="E29" s="790"/>
      <c r="F29" s="785">
        <f t="shared" ref="F29:L29" si="50">MEDIAN(F20:F26)</f>
        <v>2.4146741208419833E-2</v>
      </c>
      <c r="G29" s="785">
        <f t="shared" si="50"/>
        <v>6.3E-2</v>
      </c>
      <c r="H29" s="785">
        <f t="shared" si="50"/>
        <v>0.05</v>
      </c>
      <c r="I29" s="785">
        <f t="shared" si="50"/>
        <v>8.7603540980908778E-2</v>
      </c>
      <c r="J29" s="785">
        <f t="shared" si="50"/>
        <v>7.8615056477531753E-2</v>
      </c>
      <c r="K29" s="785">
        <f t="shared" si="50"/>
        <v>6.8500000000000005E-2</v>
      </c>
      <c r="L29" s="785">
        <f t="shared" si="50"/>
        <v>8.8885825490254394E-2</v>
      </c>
      <c r="O29" s="790"/>
      <c r="P29" s="807" t="s">
        <v>1133</v>
      </c>
      <c r="Q29" s="790"/>
      <c r="R29" s="790"/>
      <c r="S29" s="790"/>
      <c r="T29" s="785">
        <f t="shared" ref="T29:Z29" si="51">MEDIAN(T20:T26)</f>
        <v>2.4146741208419833E-2</v>
      </c>
      <c r="U29" s="785">
        <f t="shared" si="51"/>
        <v>6.8166666666666667E-2</v>
      </c>
      <c r="V29" s="785">
        <f t="shared" si="51"/>
        <v>0.05</v>
      </c>
      <c r="W29" s="785">
        <f t="shared" si="51"/>
        <v>8.7603540980908778E-2</v>
      </c>
      <c r="X29" s="785">
        <f t="shared" si="51"/>
        <v>7.8615056477531753E-2</v>
      </c>
      <c r="Y29" s="785">
        <f t="shared" si="51"/>
        <v>6.8500000000000005E-2</v>
      </c>
      <c r="Z29" s="785">
        <f t="shared" si="51"/>
        <v>9.1680807178825319E-2</v>
      </c>
      <c r="AD29" s="807" t="s">
        <v>1133</v>
      </c>
      <c r="AE29" s="790"/>
      <c r="AF29" s="790"/>
      <c r="AG29" s="790"/>
      <c r="AH29" s="785">
        <f t="shared" ref="AH29:AN29" si="52">MEDIAN(AH20:AH26)</f>
        <v>2.4146741208419833E-2</v>
      </c>
      <c r="AI29" s="785">
        <f t="shared" si="52"/>
        <v>7.166666666666667E-2</v>
      </c>
      <c r="AJ29" s="785">
        <f t="shared" si="52"/>
        <v>0.05</v>
      </c>
      <c r="AK29" s="785">
        <f t="shared" si="52"/>
        <v>9.316946905288212E-2</v>
      </c>
      <c r="AL29" s="785">
        <f t="shared" si="52"/>
        <v>7.8615056477531753E-2</v>
      </c>
      <c r="AM29" s="785">
        <f t="shared" si="52"/>
        <v>6.9000000000000006E-2</v>
      </c>
      <c r="AN29" s="785">
        <f t="shared" si="52"/>
        <v>9.4979857296894024E-2</v>
      </c>
    </row>
    <row r="30" spans="1:44">
      <c r="A30" s="790"/>
      <c r="B30" s="790"/>
      <c r="C30" s="790"/>
      <c r="D30" s="790"/>
      <c r="E30" s="790"/>
      <c r="F30" s="790"/>
      <c r="G30" s="790"/>
      <c r="H30" s="790"/>
      <c r="I30" s="790"/>
      <c r="J30" s="790"/>
      <c r="K30" s="790"/>
      <c r="L30" s="790"/>
      <c r="O30" s="790"/>
      <c r="P30" s="790"/>
      <c r="Q30" s="790"/>
      <c r="R30" s="790"/>
      <c r="S30" s="790"/>
      <c r="T30" s="790"/>
      <c r="U30" s="790"/>
      <c r="V30" s="790"/>
      <c r="W30" s="790"/>
      <c r="X30" s="790"/>
      <c r="Y30" s="790"/>
      <c r="Z30" s="790"/>
      <c r="AD30" s="790"/>
      <c r="AE30" s="790"/>
      <c r="AF30" s="790"/>
      <c r="AG30" s="790"/>
      <c r="AH30" s="790"/>
      <c r="AI30" s="790"/>
      <c r="AJ30" s="790"/>
      <c r="AK30" s="790"/>
      <c r="AL30" s="790"/>
      <c r="AM30" s="790"/>
      <c r="AN30" s="790"/>
    </row>
    <row r="31" spans="1:44">
      <c r="AM31" s="741"/>
      <c r="AN31" s="741">
        <f>AN28-L28</f>
        <v>5.9139104453466984E-3</v>
      </c>
      <c r="AO31" s="741">
        <f>AVERAGE(AN28,AN14)</f>
        <v>9.8920864768352462E-2</v>
      </c>
    </row>
    <row r="32" spans="1:44">
      <c r="AN32" s="741">
        <f>AVERAGE(AN28,AN14,9.53%,11.35%)</f>
        <v>0.10166043238417623</v>
      </c>
    </row>
    <row r="33" spans="2:45">
      <c r="AN33" s="342">
        <f>MEDIAN(AN28,AN14,11.35%,9.53%)</f>
        <v>9.952480199686034E-2</v>
      </c>
    </row>
    <row r="34" spans="2:45">
      <c r="AN34" s="342"/>
    </row>
    <row r="35" spans="2:45">
      <c r="B35" s="792" t="s">
        <v>49</v>
      </c>
      <c r="C35" s="792"/>
      <c r="D35" s="792"/>
      <c r="E35" s="792"/>
      <c r="F35" s="792"/>
      <c r="G35" s="792"/>
      <c r="H35" s="792"/>
      <c r="I35" s="792"/>
      <c r="J35" s="792"/>
      <c r="K35" s="792"/>
      <c r="L35" s="792"/>
      <c r="P35" s="792" t="s">
        <v>49</v>
      </c>
      <c r="Q35" s="792"/>
      <c r="R35" s="792"/>
      <c r="S35" s="792"/>
      <c r="T35" s="792"/>
      <c r="U35" s="792"/>
      <c r="V35" s="792"/>
      <c r="W35" s="792"/>
      <c r="X35" s="792"/>
      <c r="Y35" s="792"/>
      <c r="Z35" s="792"/>
      <c r="AD35" s="792" t="s">
        <v>49</v>
      </c>
      <c r="AE35" s="792"/>
      <c r="AF35" s="792"/>
      <c r="AG35" s="792"/>
      <c r="AH35" s="792"/>
      <c r="AI35" s="792"/>
      <c r="AJ35" s="792"/>
      <c r="AK35" s="792"/>
      <c r="AL35" s="792"/>
      <c r="AM35" s="792"/>
      <c r="AN35" s="792"/>
    </row>
    <row r="36" spans="2:45">
      <c r="B36" s="792" t="s">
        <v>26</v>
      </c>
      <c r="C36" s="792"/>
      <c r="D36" s="792"/>
      <c r="E36" s="792"/>
      <c r="F36" s="792"/>
      <c r="G36" s="792"/>
      <c r="H36" s="792"/>
      <c r="I36" s="792"/>
      <c r="J36" s="792"/>
      <c r="K36" s="792"/>
      <c r="L36" s="792"/>
      <c r="P36" s="792" t="s">
        <v>26</v>
      </c>
      <c r="Q36" s="792"/>
      <c r="R36" s="792"/>
      <c r="S36" s="792"/>
      <c r="T36" s="792"/>
      <c r="U36" s="792"/>
      <c r="V36" s="792"/>
      <c r="W36" s="792"/>
      <c r="X36" s="792"/>
      <c r="Y36" s="792"/>
      <c r="Z36" s="792"/>
      <c r="AD36" s="792" t="s">
        <v>26</v>
      </c>
      <c r="AE36" s="792"/>
      <c r="AF36" s="792"/>
      <c r="AG36" s="792"/>
      <c r="AH36" s="792"/>
      <c r="AI36" s="792"/>
      <c r="AJ36" s="792"/>
      <c r="AK36" s="792"/>
      <c r="AL36" s="792"/>
      <c r="AM36" s="792"/>
      <c r="AN36" s="792"/>
    </row>
    <row r="37" spans="2:45">
      <c r="M37" s="785"/>
      <c r="AA37" s="785"/>
      <c r="AO37" s="785"/>
      <c r="AR37" s="785"/>
    </row>
    <row r="38" spans="2:45">
      <c r="B38" s="425"/>
      <c r="C38" s="790"/>
      <c r="D38" s="794" t="s">
        <v>51</v>
      </c>
      <c r="E38" s="794" t="s">
        <v>50</v>
      </c>
      <c r="F38" s="794" t="s">
        <v>52</v>
      </c>
      <c r="G38" s="794" t="s">
        <v>53</v>
      </c>
      <c r="H38" s="794" t="s">
        <v>54</v>
      </c>
      <c r="I38" s="794" t="s">
        <v>55</v>
      </c>
      <c r="J38" s="794" t="s">
        <v>56</v>
      </c>
      <c r="K38" s="794" t="s">
        <v>57</v>
      </c>
      <c r="L38" s="794" t="s">
        <v>58</v>
      </c>
      <c r="M38" s="790" t="s">
        <v>59</v>
      </c>
      <c r="N38" s="794" t="s">
        <v>60</v>
      </c>
      <c r="P38" s="425"/>
      <c r="Q38" s="790"/>
      <c r="R38" s="794" t="s">
        <v>51</v>
      </c>
      <c r="S38" s="794" t="s">
        <v>50</v>
      </c>
      <c r="T38" s="794" t="s">
        <v>52</v>
      </c>
      <c r="U38" s="794" t="s">
        <v>53</v>
      </c>
      <c r="V38" s="794" t="s">
        <v>54</v>
      </c>
      <c r="W38" s="794" t="s">
        <v>55</v>
      </c>
      <c r="X38" s="794" t="s">
        <v>56</v>
      </c>
      <c r="Y38" s="794" t="s">
        <v>57</v>
      </c>
      <c r="Z38" s="794" t="s">
        <v>58</v>
      </c>
      <c r="AA38" s="790" t="s">
        <v>59</v>
      </c>
      <c r="AB38" s="794" t="s">
        <v>60</v>
      </c>
      <c r="AD38" s="425"/>
      <c r="AE38" s="790"/>
      <c r="AF38" s="794" t="s">
        <v>51</v>
      </c>
      <c r="AG38" s="794" t="s">
        <v>50</v>
      </c>
      <c r="AH38" s="794" t="s">
        <v>52</v>
      </c>
      <c r="AI38" s="794" t="s">
        <v>53</v>
      </c>
      <c r="AJ38" s="794" t="s">
        <v>54</v>
      </c>
      <c r="AK38" s="794" t="s">
        <v>55</v>
      </c>
      <c r="AL38" s="794" t="s">
        <v>56</v>
      </c>
      <c r="AM38" s="794" t="s">
        <v>57</v>
      </c>
      <c r="AN38" s="794" t="s">
        <v>58</v>
      </c>
      <c r="AO38" s="790" t="s">
        <v>59</v>
      </c>
      <c r="AP38" s="794" t="s">
        <v>60</v>
      </c>
      <c r="AR38" s="790"/>
      <c r="AS38" s="794"/>
    </row>
    <row r="39" spans="2:45" ht="76.5">
      <c r="B39" s="427" t="s">
        <v>1</v>
      </c>
      <c r="C39" s="795"/>
      <c r="D39" s="796" t="s">
        <v>63</v>
      </c>
      <c r="E39" s="796" t="s">
        <v>62</v>
      </c>
      <c r="F39" s="796" t="s">
        <v>64</v>
      </c>
      <c r="G39" s="796" t="s">
        <v>66</v>
      </c>
      <c r="H39" s="796" t="s">
        <v>67</v>
      </c>
      <c r="I39" s="796" t="s">
        <v>68</v>
      </c>
      <c r="J39" s="796" t="s">
        <v>1590</v>
      </c>
      <c r="K39" s="796" t="s">
        <v>70</v>
      </c>
      <c r="L39" s="796" t="s">
        <v>1591</v>
      </c>
      <c r="M39" s="796" t="s">
        <v>1592</v>
      </c>
      <c r="N39" s="796" t="s">
        <v>1593</v>
      </c>
      <c r="P39" s="427" t="s">
        <v>1</v>
      </c>
      <c r="Q39" s="795"/>
      <c r="R39" s="796" t="s">
        <v>63</v>
      </c>
      <c r="S39" s="796" t="s">
        <v>62</v>
      </c>
      <c r="T39" s="796" t="s">
        <v>64</v>
      </c>
      <c r="U39" s="796" t="s">
        <v>66</v>
      </c>
      <c r="V39" s="796" t="s">
        <v>67</v>
      </c>
      <c r="W39" s="796" t="s">
        <v>68</v>
      </c>
      <c r="X39" s="796" t="s">
        <v>1590</v>
      </c>
      <c r="Y39" s="796" t="s">
        <v>70</v>
      </c>
      <c r="Z39" s="796" t="s">
        <v>1591</v>
      </c>
      <c r="AA39" s="796" t="s">
        <v>1592</v>
      </c>
      <c r="AB39" s="796" t="s">
        <v>1593</v>
      </c>
      <c r="AD39" s="427" t="s">
        <v>1</v>
      </c>
      <c r="AE39" s="795"/>
      <c r="AF39" s="796" t="s">
        <v>63</v>
      </c>
      <c r="AG39" s="796" t="s">
        <v>62</v>
      </c>
      <c r="AH39" s="796" t="s">
        <v>64</v>
      </c>
      <c r="AI39" s="796" t="s">
        <v>66</v>
      </c>
      <c r="AJ39" s="796" t="s">
        <v>67</v>
      </c>
      <c r="AK39" s="796" t="s">
        <v>68</v>
      </c>
      <c r="AL39" s="796" t="s">
        <v>1590</v>
      </c>
      <c r="AM39" s="796" t="s">
        <v>70</v>
      </c>
      <c r="AN39" s="796" t="s">
        <v>1591</v>
      </c>
      <c r="AO39" s="796" t="s">
        <v>1592</v>
      </c>
      <c r="AP39" s="796" t="s">
        <v>1593</v>
      </c>
      <c r="AR39" s="795"/>
      <c r="AS39" s="795"/>
    </row>
    <row r="40" spans="2:45">
      <c r="B40" s="430"/>
      <c r="C40" s="430"/>
      <c r="D40" s="430"/>
      <c r="E40" s="430"/>
      <c r="F40" s="430"/>
      <c r="G40" s="430"/>
      <c r="H40" s="430"/>
      <c r="I40" s="430"/>
      <c r="J40" s="430"/>
      <c r="K40" s="430"/>
      <c r="L40" s="430"/>
      <c r="M40" s="430"/>
      <c r="N40" s="430"/>
      <c r="P40" s="430"/>
      <c r="Q40" s="430"/>
      <c r="R40" s="430"/>
      <c r="S40" s="430"/>
      <c r="T40" s="430"/>
      <c r="U40" s="430"/>
      <c r="V40" s="430"/>
      <c r="W40" s="430"/>
      <c r="X40" s="430"/>
      <c r="Y40" s="430"/>
      <c r="Z40" s="430"/>
      <c r="AA40" s="430"/>
      <c r="AB40" s="430"/>
      <c r="AD40" s="430"/>
      <c r="AE40" s="430"/>
      <c r="AF40" s="430"/>
      <c r="AG40" s="430"/>
      <c r="AH40" s="430"/>
      <c r="AI40" s="430"/>
      <c r="AJ40" s="430"/>
      <c r="AK40" s="430"/>
      <c r="AL40" s="430"/>
      <c r="AM40" s="430"/>
      <c r="AN40" s="430"/>
      <c r="AO40" s="430"/>
      <c r="AP40" s="430"/>
      <c r="AR40" s="430"/>
      <c r="AS40" s="430"/>
    </row>
    <row r="41" spans="2:45">
      <c r="B41" s="740" t="s">
        <v>33</v>
      </c>
      <c r="C41" s="785"/>
      <c r="D41" s="797">
        <v>110.9036747333333</v>
      </c>
      <c r="E41" s="797">
        <v>2.1</v>
      </c>
      <c r="F41" s="785">
        <f>E41/D41</f>
        <v>1.8935350925471384E-2</v>
      </c>
      <c r="G41" s="785">
        <v>6.5000000000000002E-2</v>
      </c>
      <c r="H41" s="785">
        <v>6.4500000000000002E-2</v>
      </c>
      <c r="I41" s="785">
        <v>7.4999999999999997E-2</v>
      </c>
      <c r="J41" s="785">
        <f>RATE(5,,-4.3,5.6)</f>
        <v>5.425073941303532E-2</v>
      </c>
      <c r="K41" s="785">
        <f t="shared" ref="K41:K47" si="53">AVERAGE(G41:J41)</f>
        <v>6.4687684853258834E-2</v>
      </c>
      <c r="L41" s="785">
        <f>AVERAGE(G41:I41)</f>
        <v>6.8166666666666667E-2</v>
      </c>
      <c r="M41" s="785">
        <f>F41+K41</f>
        <v>8.3623035778730218E-2</v>
      </c>
      <c r="N41" s="785">
        <f t="shared" ref="N41:N47" si="54">F41+L41</f>
        <v>8.7102017592138051E-2</v>
      </c>
      <c r="P41" s="740" t="s">
        <v>33</v>
      </c>
      <c r="Q41" s="785"/>
      <c r="R41" s="797">
        <f>D41</f>
        <v>110.9036747333333</v>
      </c>
      <c r="S41" s="797">
        <f>E41</f>
        <v>2.1</v>
      </c>
      <c r="T41" s="785">
        <f>S41/R41</f>
        <v>1.8935350925471384E-2</v>
      </c>
      <c r="U41" s="785">
        <f>G41</f>
        <v>6.5000000000000002E-2</v>
      </c>
      <c r="V41" s="785">
        <f t="shared" ref="V41:W47" si="55">H41</f>
        <v>6.4500000000000002E-2</v>
      </c>
      <c r="W41" s="785">
        <f t="shared" si="55"/>
        <v>7.4999999999999997E-2</v>
      </c>
      <c r="X41" s="785">
        <f>RATE(5,,-4.3,5.6)</f>
        <v>5.425073941303532E-2</v>
      </c>
      <c r="Y41" s="785">
        <f t="shared" ref="Y41:Y47" si="56">AVERAGE(U41:X41)</f>
        <v>6.4687684853258834E-2</v>
      </c>
      <c r="Z41" s="785">
        <f>AVERAGE(U41:W41)</f>
        <v>6.8166666666666667E-2</v>
      </c>
      <c r="AA41" s="785">
        <f t="shared" ref="AA41:AA47" si="57">T41+Y41</f>
        <v>8.3623035778730218E-2</v>
      </c>
      <c r="AB41" s="785">
        <f t="shared" ref="AB41:AB47" si="58">T41+Z41</f>
        <v>8.7102017592138051E-2</v>
      </c>
      <c r="AD41" s="740" t="s">
        <v>33</v>
      </c>
      <c r="AE41" s="785"/>
      <c r="AF41" s="797">
        <f>R41</f>
        <v>110.9036747333333</v>
      </c>
      <c r="AG41" s="797">
        <f>S41</f>
        <v>2.1</v>
      </c>
      <c r="AH41" s="785">
        <f>AG41/AF41</f>
        <v>1.8935350925471384E-2</v>
      </c>
      <c r="AI41" s="785">
        <f>'DEU 2.01R Constant Growth DCF'!I8</f>
        <v>7.0000000000000007E-2</v>
      </c>
      <c r="AJ41" s="785">
        <f>'DEU 2.01R Constant Growth DCF'!J8</f>
        <v>7.0000000000000007E-2</v>
      </c>
      <c r="AK41" s="785">
        <f t="shared" ref="AK41:AK45" si="59">W41</f>
        <v>7.4999999999999997E-2</v>
      </c>
      <c r="AL41" s="785">
        <f>RATE(5,,-4.3,5.6)</f>
        <v>5.425073941303532E-2</v>
      </c>
      <c r="AM41" s="785">
        <f t="shared" ref="AM41:AM47" si="60">AVERAGE(AI41:AL41)</f>
        <v>6.7312684853258836E-2</v>
      </c>
      <c r="AN41" s="785">
        <f>AVERAGE(AI41:AK41)</f>
        <v>7.166666666666667E-2</v>
      </c>
      <c r="AO41" s="785">
        <f t="shared" ref="AO41:AO47" si="61">AH41+AM41</f>
        <v>8.624803577873022E-2</v>
      </c>
      <c r="AP41" s="785">
        <f t="shared" ref="AP41:AP47" si="62">AH41+AN41</f>
        <v>9.0602017592138054E-2</v>
      </c>
      <c r="AR41" s="785"/>
      <c r="AS41" s="785"/>
    </row>
    <row r="42" spans="2:45">
      <c r="B42" s="432" t="s">
        <v>35</v>
      </c>
      <c r="C42" s="785"/>
      <c r="D42" s="797">
        <v>94.213999433333342</v>
      </c>
      <c r="E42" s="797">
        <v>1.55</v>
      </c>
      <c r="F42" s="785">
        <f t="shared" ref="F42:F47" si="63">E42/D42</f>
        <v>1.6451907458793252E-2</v>
      </c>
      <c r="G42" s="785">
        <v>0.06</v>
      </c>
      <c r="H42" s="785">
        <v>0.06</v>
      </c>
      <c r="I42" s="785">
        <v>0.09</v>
      </c>
      <c r="J42" s="785">
        <f>RATE(5,,-3.5,5)</f>
        <v>7.3940923785779419E-2</v>
      </c>
      <c r="K42" s="785">
        <f t="shared" si="53"/>
        <v>7.0985230946444849E-2</v>
      </c>
      <c r="L42" s="785">
        <f t="shared" ref="L42:L47" si="64">AVERAGE(G42:I42)</f>
        <v>6.9999999999999993E-2</v>
      </c>
      <c r="M42" s="785">
        <f t="shared" ref="M42:M47" si="65">F42+K42</f>
        <v>8.7437138405238105E-2</v>
      </c>
      <c r="N42" s="785">
        <f t="shared" si="54"/>
        <v>8.6451907458793248E-2</v>
      </c>
      <c r="P42" s="432" t="s">
        <v>35</v>
      </c>
      <c r="Q42" s="785"/>
      <c r="R42" s="797">
        <f t="shared" ref="R42:S45" si="66">D42</f>
        <v>94.213999433333342</v>
      </c>
      <c r="S42" s="797">
        <f t="shared" si="66"/>
        <v>1.55</v>
      </c>
      <c r="T42" s="785">
        <f t="shared" ref="T42:T47" si="67">S42/R42</f>
        <v>1.6451907458793252E-2</v>
      </c>
      <c r="U42" s="785">
        <f t="shared" ref="U42:U47" si="68">G42</f>
        <v>0.06</v>
      </c>
      <c r="V42" s="785">
        <f t="shared" si="55"/>
        <v>0.06</v>
      </c>
      <c r="W42" s="785">
        <f t="shared" si="55"/>
        <v>0.09</v>
      </c>
      <c r="X42" s="785">
        <f>RATE(5,,-3.5,5)</f>
        <v>7.3940923785779419E-2</v>
      </c>
      <c r="Y42" s="785">
        <f t="shared" si="56"/>
        <v>7.0985230946444849E-2</v>
      </c>
      <c r="Z42" s="785">
        <f t="shared" ref="Z42:Z47" si="69">AVERAGE(U42:W42)</f>
        <v>6.9999999999999993E-2</v>
      </c>
      <c r="AA42" s="785">
        <f t="shared" si="57"/>
        <v>8.7437138405238105E-2</v>
      </c>
      <c r="AB42" s="785">
        <f t="shared" si="58"/>
        <v>8.6451907458793248E-2</v>
      </c>
      <c r="AD42" s="432" t="s">
        <v>35</v>
      </c>
      <c r="AE42" s="785"/>
      <c r="AF42" s="797">
        <f t="shared" ref="AF42:AG45" si="70">R42</f>
        <v>94.213999433333342</v>
      </c>
      <c r="AG42" s="797">
        <f t="shared" si="70"/>
        <v>1.55</v>
      </c>
      <c r="AH42" s="785">
        <f t="shared" ref="AH42:AH47" si="71">AG42/AF42</f>
        <v>1.6451907458793252E-2</v>
      </c>
      <c r="AI42" s="785">
        <f>'DEU 2.01R Constant Growth DCF'!I9</f>
        <v>0.08</v>
      </c>
      <c r="AJ42" s="785">
        <f>'DEU 2.01R Constant Growth DCF'!J9</f>
        <v>0.06</v>
      </c>
      <c r="AK42" s="785">
        <f t="shared" si="59"/>
        <v>0.09</v>
      </c>
      <c r="AL42" s="785">
        <f>RATE(5,,-3.5,5)</f>
        <v>7.3940923785779419E-2</v>
      </c>
      <c r="AM42" s="785">
        <f t="shared" si="60"/>
        <v>7.5985230946444854E-2</v>
      </c>
      <c r="AN42" s="785">
        <f t="shared" ref="AN42:AN47" si="72">AVERAGE(AI42:AK42)</f>
        <v>7.6666666666666675E-2</v>
      </c>
      <c r="AO42" s="785">
        <f t="shared" si="61"/>
        <v>9.2437138405238109E-2</v>
      </c>
      <c r="AP42" s="785">
        <f t="shared" si="62"/>
        <v>9.311857412545993E-2</v>
      </c>
      <c r="AR42" s="785"/>
      <c r="AS42" s="785"/>
    </row>
    <row r="43" spans="2:45">
      <c r="B43" s="740" t="s">
        <v>1172</v>
      </c>
      <c r="C43" s="785"/>
      <c r="D43" s="797">
        <v>71.12866616666669</v>
      </c>
      <c r="E43" s="797">
        <v>1.93</v>
      </c>
      <c r="F43" s="785">
        <f t="shared" si="63"/>
        <v>2.7133926502680063E-2</v>
      </c>
      <c r="G43" s="785">
        <v>4.4999999999999998E-2</v>
      </c>
      <c r="H43" s="785">
        <v>0.04</v>
      </c>
      <c r="I43" s="785">
        <v>7.8399999999999997E-2</v>
      </c>
      <c r="J43" s="785">
        <f>RATE(5,,-2.4,3.5)</f>
        <v>7.83788474517782E-2</v>
      </c>
      <c r="K43" s="785">
        <f t="shared" si="53"/>
        <v>6.0444711862944547E-2</v>
      </c>
      <c r="L43" s="785">
        <f>AVERAGE(G43:I43)</f>
        <v>5.4466666666666663E-2</v>
      </c>
      <c r="M43" s="785">
        <f t="shared" si="65"/>
        <v>8.7578638365624614E-2</v>
      </c>
      <c r="N43" s="785">
        <f t="shared" si="54"/>
        <v>8.160059316934673E-2</v>
      </c>
      <c r="P43" s="740" t="s">
        <v>1172</v>
      </c>
      <c r="Q43" s="785"/>
      <c r="R43" s="797">
        <f t="shared" si="66"/>
        <v>71.12866616666669</v>
      </c>
      <c r="S43" s="797">
        <f t="shared" si="66"/>
        <v>1.93</v>
      </c>
      <c r="T43" s="785">
        <f t="shared" si="67"/>
        <v>2.7133926502680063E-2</v>
      </c>
      <c r="U43" s="785">
        <f t="shared" si="68"/>
        <v>4.4999999999999998E-2</v>
      </c>
      <c r="V43" s="785">
        <f t="shared" si="55"/>
        <v>0.04</v>
      </c>
      <c r="W43" s="785">
        <f t="shared" si="55"/>
        <v>7.8399999999999997E-2</v>
      </c>
      <c r="X43" s="785">
        <f>RATE(5,,-2.4,3.5)</f>
        <v>7.83788474517782E-2</v>
      </c>
      <c r="Y43" s="785">
        <f t="shared" si="56"/>
        <v>6.0444711862944547E-2</v>
      </c>
      <c r="Z43" s="785">
        <f t="shared" si="69"/>
        <v>5.4466666666666663E-2</v>
      </c>
      <c r="AA43" s="785">
        <f t="shared" si="57"/>
        <v>8.7578638365624614E-2</v>
      </c>
      <c r="AB43" s="785">
        <f t="shared" si="58"/>
        <v>8.160059316934673E-2</v>
      </c>
      <c r="AD43" s="740" t="s">
        <v>1172</v>
      </c>
      <c r="AE43" s="785"/>
      <c r="AF43" s="797">
        <f t="shared" si="70"/>
        <v>71.12866616666669</v>
      </c>
      <c r="AG43" s="797">
        <f t="shared" si="70"/>
        <v>1.93</v>
      </c>
      <c r="AH43" s="785">
        <f t="shared" si="71"/>
        <v>2.7133926502680063E-2</v>
      </c>
      <c r="AI43" s="785">
        <f>'DEU 2.01R Constant Growth DCF'!I10</f>
        <v>0.05</v>
      </c>
      <c r="AJ43" s="785">
        <f>'DEU 2.01R Constant Growth DCF'!J10</f>
        <v>0.04</v>
      </c>
      <c r="AK43" s="785">
        <f t="shared" si="59"/>
        <v>7.8399999999999997E-2</v>
      </c>
      <c r="AL43" s="785">
        <f>RATE(5,,-2.4,3.5)</f>
        <v>7.83788474517782E-2</v>
      </c>
      <c r="AM43" s="785">
        <f t="shared" si="60"/>
        <v>6.1694711862944548E-2</v>
      </c>
      <c r="AN43" s="785">
        <f t="shared" si="72"/>
        <v>5.6133333333333334E-2</v>
      </c>
      <c r="AO43" s="785">
        <f t="shared" si="61"/>
        <v>8.8828638365624615E-2</v>
      </c>
      <c r="AP43" s="785">
        <f t="shared" si="62"/>
        <v>8.3267259836013394E-2</v>
      </c>
      <c r="AR43" s="785"/>
      <c r="AS43" s="785"/>
    </row>
    <row r="44" spans="2:45">
      <c r="B44" s="740" t="s">
        <v>40</v>
      </c>
      <c r="C44" s="785"/>
      <c r="D44" s="797">
        <v>92.188334233333336</v>
      </c>
      <c r="E44" s="797">
        <v>2</v>
      </c>
      <c r="F44" s="785">
        <f t="shared" si="63"/>
        <v>2.1694718931984377E-2</v>
      </c>
      <c r="G44" s="785">
        <v>5.9000000000000004E-2</v>
      </c>
      <c r="H44" s="785">
        <v>0.05</v>
      </c>
      <c r="I44" s="785">
        <v>0.08</v>
      </c>
      <c r="J44" s="785">
        <f>RATE(5,,-3.45,4.75)</f>
        <v>6.6043442151529796E-2</v>
      </c>
      <c r="K44" s="785">
        <f t="shared" si="53"/>
        <v>6.3760860537882449E-2</v>
      </c>
      <c r="L44" s="785">
        <f t="shared" si="64"/>
        <v>6.3E-2</v>
      </c>
      <c r="M44" s="785">
        <f t="shared" si="65"/>
        <v>8.545557946986683E-2</v>
      </c>
      <c r="N44" s="785">
        <f t="shared" si="54"/>
        <v>8.4694718931984381E-2</v>
      </c>
      <c r="P44" s="740" t="s">
        <v>40</v>
      </c>
      <c r="Q44" s="785"/>
      <c r="R44" s="797">
        <f t="shared" si="66"/>
        <v>92.188334233333336</v>
      </c>
      <c r="S44" s="797">
        <f t="shared" si="66"/>
        <v>2</v>
      </c>
      <c r="T44" s="785">
        <f t="shared" si="67"/>
        <v>2.1694718931984377E-2</v>
      </c>
      <c r="U44" s="785">
        <f t="shared" si="68"/>
        <v>5.9000000000000004E-2</v>
      </c>
      <c r="V44" s="785">
        <f t="shared" si="55"/>
        <v>0.05</v>
      </c>
      <c r="W44" s="785">
        <f t="shared" si="55"/>
        <v>0.08</v>
      </c>
      <c r="X44" s="785">
        <f>RATE(5,,-3.45,4.75)</f>
        <v>6.6043442151529796E-2</v>
      </c>
      <c r="Y44" s="785">
        <f t="shared" si="56"/>
        <v>6.3760860537882449E-2</v>
      </c>
      <c r="Z44" s="785">
        <f t="shared" si="69"/>
        <v>6.3E-2</v>
      </c>
      <c r="AA44" s="785">
        <f t="shared" si="57"/>
        <v>8.545557946986683E-2</v>
      </c>
      <c r="AB44" s="785">
        <f t="shared" si="58"/>
        <v>8.4694718931984381E-2</v>
      </c>
      <c r="AD44" s="740" t="s">
        <v>40</v>
      </c>
      <c r="AE44" s="785"/>
      <c r="AF44" s="797">
        <f t="shared" si="70"/>
        <v>92.188334233333336</v>
      </c>
      <c r="AG44" s="797">
        <f t="shared" si="70"/>
        <v>2</v>
      </c>
      <c r="AH44" s="785">
        <f t="shared" si="71"/>
        <v>2.1694718931984377E-2</v>
      </c>
      <c r="AI44" s="785">
        <f>'DEU 2.01R Constant Growth DCF'!I11</f>
        <v>6.0999999999999999E-2</v>
      </c>
      <c r="AJ44" s="785">
        <f>'DEU 2.01R Constant Growth DCF'!J11</f>
        <v>0.05</v>
      </c>
      <c r="AK44" s="785">
        <f t="shared" si="59"/>
        <v>0.08</v>
      </c>
      <c r="AL44" s="785">
        <f>RATE(5,,-3.45,4.75)</f>
        <v>6.6043442151529796E-2</v>
      </c>
      <c r="AM44" s="785">
        <f t="shared" si="60"/>
        <v>6.426086053788245E-2</v>
      </c>
      <c r="AN44" s="785">
        <f t="shared" si="72"/>
        <v>6.3666666666666663E-2</v>
      </c>
      <c r="AO44" s="785">
        <f t="shared" si="61"/>
        <v>8.595557946986683E-2</v>
      </c>
      <c r="AP44" s="785">
        <f t="shared" si="62"/>
        <v>8.5361385598651043E-2</v>
      </c>
      <c r="AR44" s="785"/>
      <c r="AS44" s="785"/>
    </row>
    <row r="45" spans="2:45">
      <c r="B45" s="740" t="s">
        <v>48</v>
      </c>
      <c r="C45" s="785"/>
      <c r="D45" s="797">
        <v>32.318999733333321</v>
      </c>
      <c r="E45" s="797">
        <v>1.2</v>
      </c>
      <c r="F45" s="785">
        <f t="shared" si="63"/>
        <v>3.712986199762669E-2</v>
      </c>
      <c r="G45" s="785">
        <v>7.2000000000000008E-2</v>
      </c>
      <c r="H45" s="785">
        <v>5.8999999999999997E-2</v>
      </c>
      <c r="I45" s="785">
        <v>0.105</v>
      </c>
      <c r="J45" s="785">
        <f>RATE(5,,-1.1,2.4)</f>
        <v>0.16886326892011588</v>
      </c>
      <c r="K45" s="785">
        <f t="shared" si="53"/>
        <v>0.10121581723002897</v>
      </c>
      <c r="L45" s="785">
        <f t="shared" si="64"/>
        <v>7.8666666666666663E-2</v>
      </c>
      <c r="M45" s="785">
        <f t="shared" si="65"/>
        <v>0.13834567922765567</v>
      </c>
      <c r="N45" s="785">
        <f t="shared" si="54"/>
        <v>0.11579652866429335</v>
      </c>
      <c r="P45" s="740" t="s">
        <v>48</v>
      </c>
      <c r="Q45" s="785"/>
      <c r="R45" s="797">
        <f t="shared" si="66"/>
        <v>32.318999733333321</v>
      </c>
      <c r="S45" s="797">
        <f t="shared" si="66"/>
        <v>1.2</v>
      </c>
      <c r="T45" s="785">
        <f t="shared" si="67"/>
        <v>3.712986199762669E-2</v>
      </c>
      <c r="U45" s="785">
        <f t="shared" si="68"/>
        <v>7.2000000000000008E-2</v>
      </c>
      <c r="V45" s="785">
        <f t="shared" si="55"/>
        <v>5.8999999999999997E-2</v>
      </c>
      <c r="W45" s="785">
        <f t="shared" si="55"/>
        <v>0.105</v>
      </c>
      <c r="X45" s="785">
        <f>RATE(5,,-1.1,2.4)</f>
        <v>0.16886326892011588</v>
      </c>
      <c r="Y45" s="785">
        <f t="shared" si="56"/>
        <v>0.10121581723002897</v>
      </c>
      <c r="Z45" s="785">
        <f t="shared" si="69"/>
        <v>7.8666666666666663E-2</v>
      </c>
      <c r="AA45" s="785">
        <f t="shared" si="57"/>
        <v>0.13834567922765567</v>
      </c>
      <c r="AB45" s="785">
        <f t="shared" si="58"/>
        <v>0.11579652866429335</v>
      </c>
      <c r="AD45" s="740" t="s">
        <v>48</v>
      </c>
      <c r="AE45" s="785"/>
      <c r="AF45" s="797">
        <f t="shared" si="70"/>
        <v>32.318999733333321</v>
      </c>
      <c r="AG45" s="797">
        <f t="shared" si="70"/>
        <v>1.2</v>
      </c>
      <c r="AH45" s="785">
        <f t="shared" si="71"/>
        <v>3.712986199762669E-2</v>
      </c>
      <c r="AI45" s="785">
        <f>'DEU 2.01R Constant Growth DCF'!I12</f>
        <v>8.5000000000000006E-2</v>
      </c>
      <c r="AJ45" s="785">
        <f>'DEU 2.01R Constant Growth DCF'!J12</f>
        <v>4.5999999999999999E-2</v>
      </c>
      <c r="AK45" s="785">
        <f t="shared" si="59"/>
        <v>0.105</v>
      </c>
      <c r="AL45" s="785">
        <f>RATE(5,,-1.1,2.4)</f>
        <v>0.16886326892011588</v>
      </c>
      <c r="AM45" s="785">
        <f t="shared" si="60"/>
        <v>0.10121581723002897</v>
      </c>
      <c r="AN45" s="785">
        <f t="shared" si="72"/>
        <v>7.8666666666666663E-2</v>
      </c>
      <c r="AO45" s="785">
        <f t="shared" si="61"/>
        <v>0.13834567922765567</v>
      </c>
      <c r="AP45" s="785">
        <f t="shared" si="62"/>
        <v>0.11579652866429335</v>
      </c>
      <c r="AR45" s="785"/>
      <c r="AS45" s="785"/>
    </row>
    <row r="46" spans="2:45">
      <c r="B46" s="740" t="s">
        <v>44</v>
      </c>
      <c r="C46" s="785"/>
      <c r="D46" s="797">
        <v>90.28133366666664</v>
      </c>
      <c r="E46" s="797">
        <v>2.1800000000000002</v>
      </c>
      <c r="F46" s="785">
        <f t="shared" si="63"/>
        <v>2.4146741208419833E-2</v>
      </c>
      <c r="G46" s="785">
        <v>3.7999999999999999E-2</v>
      </c>
      <c r="H46" s="785">
        <v>2.8199999999999999E-2</v>
      </c>
      <c r="I46" s="785">
        <v>0.09</v>
      </c>
      <c r="J46" s="785">
        <f>RATE(5,,-3.7,5)</f>
        <v>6.2071258063263399E-2</v>
      </c>
      <c r="K46" s="785">
        <f t="shared" si="53"/>
        <v>5.4567814515815855E-2</v>
      </c>
      <c r="L46" s="785">
        <f t="shared" si="64"/>
        <v>5.2066666666666671E-2</v>
      </c>
      <c r="M46" s="785">
        <f t="shared" si="65"/>
        <v>7.8714555724235691E-2</v>
      </c>
      <c r="N46" s="785">
        <f t="shared" si="54"/>
        <v>7.62134078750865E-2</v>
      </c>
      <c r="P46" s="740" t="s">
        <v>44</v>
      </c>
      <c r="Q46" s="785"/>
      <c r="R46" s="798">
        <v>85.113666633333338</v>
      </c>
      <c r="S46" s="798">
        <v>2.37</v>
      </c>
      <c r="T46" s="785">
        <f t="shared" si="67"/>
        <v>2.7845116932981823E-2</v>
      </c>
      <c r="U46" s="785">
        <f t="shared" si="68"/>
        <v>3.7999999999999999E-2</v>
      </c>
      <c r="V46" s="785">
        <f t="shared" si="55"/>
        <v>2.8199999999999999E-2</v>
      </c>
      <c r="W46" s="785">
        <v>5.5E-2</v>
      </c>
      <c r="X46" s="785">
        <f>RATE(5,,-3.7,5)</f>
        <v>6.2071258063263399E-2</v>
      </c>
      <c r="Y46" s="785">
        <f t="shared" si="56"/>
        <v>4.5817814515815847E-2</v>
      </c>
      <c r="Z46" s="785">
        <f t="shared" si="69"/>
        <v>4.0399999999999998E-2</v>
      </c>
      <c r="AA46" s="785">
        <f t="shared" si="57"/>
        <v>7.3662931448797667E-2</v>
      </c>
      <c r="AB46" s="785">
        <f t="shared" si="58"/>
        <v>6.8245116932981825E-2</v>
      </c>
      <c r="AD46" s="740" t="s">
        <v>44</v>
      </c>
      <c r="AE46" s="785"/>
      <c r="AF46" s="798">
        <v>85.113666633333338</v>
      </c>
      <c r="AG46" s="798">
        <v>2.37</v>
      </c>
      <c r="AH46" s="785">
        <f t="shared" si="71"/>
        <v>2.7845116932981823E-2</v>
      </c>
      <c r="AI46" s="785">
        <f>'DEU 2.01R Constant Growth DCF'!I13</f>
        <v>5.5E-2</v>
      </c>
      <c r="AJ46" s="785">
        <f>'DEU 2.01R Constant Growth DCF'!J13</f>
        <v>3.2300000000000002E-2</v>
      </c>
      <c r="AK46" s="785">
        <v>5.5E-2</v>
      </c>
      <c r="AL46" s="785">
        <f>RATE(5,,-3.7,5)</f>
        <v>6.2071258063263399E-2</v>
      </c>
      <c r="AM46" s="785">
        <f t="shared" si="60"/>
        <v>5.1092814515815849E-2</v>
      </c>
      <c r="AN46" s="785">
        <f t="shared" si="72"/>
        <v>4.7433333333333334E-2</v>
      </c>
      <c r="AO46" s="785">
        <f t="shared" si="61"/>
        <v>7.8937931448797669E-2</v>
      </c>
      <c r="AP46" s="785">
        <f t="shared" si="62"/>
        <v>7.5278450266315161E-2</v>
      </c>
      <c r="AR46" s="785"/>
      <c r="AS46" s="785"/>
    </row>
    <row r="47" spans="2:45">
      <c r="B47" s="740" t="s">
        <v>42</v>
      </c>
      <c r="C47" s="785"/>
      <c r="D47" s="797">
        <v>85.113666633333338</v>
      </c>
      <c r="E47" s="797">
        <v>2.37</v>
      </c>
      <c r="F47" s="785">
        <f t="shared" si="63"/>
        <v>2.7845116932981823E-2</v>
      </c>
      <c r="G47" s="785">
        <v>6.2E-2</v>
      </c>
      <c r="H47" s="785">
        <v>6.3E-2</v>
      </c>
      <c r="I47" s="785">
        <v>5.5E-2</v>
      </c>
      <c r="J47" s="785">
        <f>RATE(5,,-4,5.8)</f>
        <v>7.7143587798635879E-2</v>
      </c>
      <c r="K47" s="785">
        <f t="shared" si="53"/>
        <v>6.4285896949658972E-2</v>
      </c>
      <c r="L47" s="785">
        <f t="shared" si="64"/>
        <v>0.06</v>
      </c>
      <c r="M47" s="785">
        <f t="shared" si="65"/>
        <v>9.2131013882640792E-2</v>
      </c>
      <c r="N47" s="785">
        <f t="shared" si="54"/>
        <v>8.7845116932981818E-2</v>
      </c>
      <c r="P47" s="740" t="s">
        <v>42</v>
      </c>
      <c r="Q47" s="785"/>
      <c r="R47" s="798">
        <v>90.28133366666664</v>
      </c>
      <c r="S47" s="798">
        <v>2.1800000000000002</v>
      </c>
      <c r="T47" s="785">
        <f t="shared" si="67"/>
        <v>2.4146741208419833E-2</v>
      </c>
      <c r="U47" s="785">
        <f t="shared" si="68"/>
        <v>6.2E-2</v>
      </c>
      <c r="V47" s="785">
        <f t="shared" si="55"/>
        <v>6.3E-2</v>
      </c>
      <c r="W47" s="785">
        <v>0.09</v>
      </c>
      <c r="X47" s="785">
        <f>RATE(5,,-4,5.8)</f>
        <v>7.7143587798635879E-2</v>
      </c>
      <c r="Y47" s="785">
        <f t="shared" si="56"/>
        <v>7.3035896949658966E-2</v>
      </c>
      <c r="Z47" s="785">
        <f t="shared" si="69"/>
        <v>7.166666666666667E-2</v>
      </c>
      <c r="AA47" s="785">
        <f t="shared" si="57"/>
        <v>9.7182638158078802E-2</v>
      </c>
      <c r="AB47" s="785">
        <f t="shared" si="58"/>
        <v>9.5813407875086506E-2</v>
      </c>
      <c r="AD47" s="740" t="s">
        <v>42</v>
      </c>
      <c r="AE47" s="785"/>
      <c r="AF47" s="798">
        <v>90.28133366666664</v>
      </c>
      <c r="AG47" s="798">
        <v>2.1800000000000002</v>
      </c>
      <c r="AH47" s="785">
        <f t="shared" si="71"/>
        <v>2.4146741208419833E-2</v>
      </c>
      <c r="AI47" s="785">
        <f>'DEU 2.01R Constant Growth DCF'!I14</f>
        <v>7.2999999999999995E-2</v>
      </c>
      <c r="AJ47" s="785">
        <f>'DEU 2.01R Constant Growth DCF'!J14</f>
        <v>8.2000000000000003E-2</v>
      </c>
      <c r="AK47" s="785">
        <v>0.09</v>
      </c>
      <c r="AL47" s="785">
        <f>RATE(5,,-4,5.8)</f>
        <v>7.7143587798635879E-2</v>
      </c>
      <c r="AM47" s="785">
        <f t="shared" si="60"/>
        <v>8.0535896949658972E-2</v>
      </c>
      <c r="AN47" s="785">
        <f t="shared" si="72"/>
        <v>8.1666666666666665E-2</v>
      </c>
      <c r="AO47" s="785">
        <f t="shared" si="61"/>
        <v>0.10468263815807881</v>
      </c>
      <c r="AP47" s="785">
        <f t="shared" si="62"/>
        <v>0.1058134078750865</v>
      </c>
      <c r="AR47" s="785"/>
      <c r="AS47" s="785"/>
    </row>
    <row r="49" spans="2:45">
      <c r="B49" s="799" t="s">
        <v>74</v>
      </c>
      <c r="C49" s="785"/>
      <c r="D49" s="799"/>
      <c r="E49" s="799"/>
      <c r="F49" s="800">
        <f t="shared" ref="F49:L49" si="73">AVERAGE(F41:F47)</f>
        <v>2.4762517708279634E-2</v>
      </c>
      <c r="G49" s="800">
        <f t="shared" si="73"/>
        <v>5.728571428571428E-2</v>
      </c>
      <c r="H49" s="800">
        <f t="shared" si="73"/>
        <v>5.21E-2</v>
      </c>
      <c r="I49" s="800">
        <f t="shared" si="73"/>
        <v>8.1914285714285717E-2</v>
      </c>
      <c r="J49" s="800">
        <f t="shared" si="73"/>
        <v>8.2956009654876831E-2</v>
      </c>
      <c r="K49" s="800">
        <f t="shared" si="73"/>
        <v>6.8564002413719211E-2</v>
      </c>
      <c r="L49" s="800">
        <f t="shared" si="73"/>
        <v>6.3766666666666666E-2</v>
      </c>
      <c r="M49" s="800">
        <f>AVERAGE(M41:M47)</f>
        <v>9.3326520121998838E-2</v>
      </c>
      <c r="N49" s="800">
        <f>AVERAGE(N41:N47)</f>
        <v>8.8529184374946293E-2</v>
      </c>
      <c r="P49" s="799" t="s">
        <v>74</v>
      </c>
      <c r="Q49" s="785"/>
      <c r="R49" s="799"/>
      <c r="S49" s="799"/>
      <c r="T49" s="800">
        <f t="shared" ref="T49:Z49" si="74">AVERAGE(T41:T47)</f>
        <v>2.4762517708279634E-2</v>
      </c>
      <c r="U49" s="800">
        <f t="shared" si="74"/>
        <v>5.728571428571428E-2</v>
      </c>
      <c r="V49" s="800">
        <f t="shared" si="74"/>
        <v>5.21E-2</v>
      </c>
      <c r="W49" s="800">
        <f t="shared" si="74"/>
        <v>8.1914285714285703E-2</v>
      </c>
      <c r="X49" s="800">
        <f t="shared" si="74"/>
        <v>8.2956009654876831E-2</v>
      </c>
      <c r="Y49" s="800">
        <f t="shared" si="74"/>
        <v>6.8564002413719211E-2</v>
      </c>
      <c r="Z49" s="800">
        <f t="shared" si="74"/>
        <v>6.3766666666666666E-2</v>
      </c>
      <c r="AA49" s="800">
        <f>AVERAGE(AA41:AA47)</f>
        <v>9.3326520121998838E-2</v>
      </c>
      <c r="AB49" s="800">
        <f>AVERAGE(AB41:AB47)</f>
        <v>8.8529184374946293E-2</v>
      </c>
      <c r="AD49" s="799" t="s">
        <v>74</v>
      </c>
      <c r="AE49" s="785"/>
      <c r="AF49" s="799"/>
      <c r="AG49" s="799"/>
      <c r="AH49" s="800">
        <f t="shared" ref="AH49:AN49" si="75">AVERAGE(AH41:AH47)</f>
        <v>2.4762517708279634E-2</v>
      </c>
      <c r="AI49" s="800">
        <f t="shared" si="75"/>
        <v>6.7714285714285713E-2</v>
      </c>
      <c r="AJ49" s="800">
        <f t="shared" si="75"/>
        <v>5.4328571428571434E-2</v>
      </c>
      <c r="AK49" s="800">
        <f t="shared" si="75"/>
        <v>8.1914285714285703E-2</v>
      </c>
      <c r="AL49" s="800">
        <f t="shared" si="75"/>
        <v>8.2956009654876831E-2</v>
      </c>
      <c r="AM49" s="800">
        <f t="shared" si="75"/>
        <v>7.1728288128004927E-2</v>
      </c>
      <c r="AN49" s="800">
        <f t="shared" si="75"/>
        <v>6.7985714285714288E-2</v>
      </c>
      <c r="AO49" s="800">
        <f>AVERAGE(AO41:AO47)</f>
        <v>9.6490805836284554E-2</v>
      </c>
      <c r="AP49" s="800">
        <f>AVERAGE(AP41:AP47)</f>
        <v>9.2748231993993929E-2</v>
      </c>
      <c r="AR49" s="785"/>
      <c r="AS49" s="785"/>
    </row>
    <row r="50" spans="2:45">
      <c r="B50" s="801" t="s">
        <v>75</v>
      </c>
      <c r="D50" s="801"/>
      <c r="E50" s="801"/>
      <c r="F50" s="802">
        <f t="shared" ref="F50:L50" si="76">MEDIAN(F41:F47)</f>
        <v>2.4146741208419833E-2</v>
      </c>
      <c r="G50" s="802">
        <f t="shared" si="76"/>
        <v>0.06</v>
      </c>
      <c r="H50" s="802">
        <f t="shared" si="76"/>
        <v>5.8999999999999997E-2</v>
      </c>
      <c r="I50" s="802">
        <f t="shared" si="76"/>
        <v>0.08</v>
      </c>
      <c r="J50" s="802">
        <f t="shared" si="76"/>
        <v>7.3940923785779419E-2</v>
      </c>
      <c r="K50" s="802">
        <f t="shared" si="76"/>
        <v>6.4285896949658972E-2</v>
      </c>
      <c r="L50" s="802">
        <f t="shared" si="76"/>
        <v>6.3E-2</v>
      </c>
      <c r="M50" s="802">
        <f>MEDIAN(M41:M47)</f>
        <v>8.7437138405238105E-2</v>
      </c>
      <c r="N50" s="802">
        <f>MEDIAN(N41:N47)</f>
        <v>8.6451907458793248E-2</v>
      </c>
      <c r="P50" s="801" t="s">
        <v>75</v>
      </c>
      <c r="R50" s="801"/>
      <c r="S50" s="801"/>
      <c r="T50" s="802">
        <f t="shared" ref="T50:Z50" si="77">MEDIAN(T41:T47)</f>
        <v>2.4146741208419833E-2</v>
      </c>
      <c r="U50" s="802">
        <f t="shared" si="77"/>
        <v>0.06</v>
      </c>
      <c r="V50" s="802">
        <f t="shared" si="77"/>
        <v>5.8999999999999997E-2</v>
      </c>
      <c r="W50" s="802">
        <f t="shared" si="77"/>
        <v>0.08</v>
      </c>
      <c r="X50" s="802">
        <f t="shared" si="77"/>
        <v>7.3940923785779419E-2</v>
      </c>
      <c r="Y50" s="802">
        <f t="shared" si="77"/>
        <v>6.4687684853258834E-2</v>
      </c>
      <c r="Z50" s="802">
        <f t="shared" si="77"/>
        <v>6.8166666666666667E-2</v>
      </c>
      <c r="AA50" s="802">
        <f>MEDIAN(AA41:AA47)</f>
        <v>8.7437138405238105E-2</v>
      </c>
      <c r="AB50" s="802">
        <f>MEDIAN(AB41:AB47)</f>
        <v>8.6451907458793248E-2</v>
      </c>
      <c r="AD50" s="801" t="s">
        <v>75</v>
      </c>
      <c r="AF50" s="801"/>
      <c r="AG50" s="801"/>
      <c r="AH50" s="802">
        <f t="shared" ref="AH50:AN50" si="78">MEDIAN(AH41:AH47)</f>
        <v>2.4146741208419833E-2</v>
      </c>
      <c r="AI50" s="802">
        <f t="shared" si="78"/>
        <v>7.0000000000000007E-2</v>
      </c>
      <c r="AJ50" s="802">
        <f t="shared" si="78"/>
        <v>0.05</v>
      </c>
      <c r="AK50" s="802">
        <f t="shared" si="78"/>
        <v>0.08</v>
      </c>
      <c r="AL50" s="802">
        <f t="shared" si="78"/>
        <v>7.3940923785779419E-2</v>
      </c>
      <c r="AM50" s="802">
        <f t="shared" si="78"/>
        <v>6.7312684853258836E-2</v>
      </c>
      <c r="AN50" s="802">
        <f t="shared" si="78"/>
        <v>7.166666666666667E-2</v>
      </c>
      <c r="AO50" s="802">
        <f>MEDIAN(AO41:AO47)</f>
        <v>8.8828638365624615E-2</v>
      </c>
      <c r="AP50" s="802">
        <f>MEDIAN(AP41:AP47)</f>
        <v>9.0602017592138054E-2</v>
      </c>
      <c r="AR50" s="785"/>
      <c r="AS50" s="785"/>
    </row>
    <row r="51" spans="2:45">
      <c r="K51" s="803"/>
      <c r="L51" s="785"/>
      <c r="Y51" s="803"/>
      <c r="Z51" s="785"/>
      <c r="AM51" s="803"/>
      <c r="AN51" s="785"/>
    </row>
    <row r="52" spans="2:45">
      <c r="B52" s="801" t="s">
        <v>76</v>
      </c>
      <c r="G52" s="438"/>
      <c r="H52" s="438"/>
      <c r="I52" s="438"/>
      <c r="J52" s="438"/>
      <c r="P52" s="801" t="s">
        <v>76</v>
      </c>
      <c r="U52" s="438"/>
      <c r="V52" s="438"/>
      <c r="W52" s="438"/>
      <c r="X52" s="438"/>
      <c r="AD52" s="801" t="s">
        <v>76</v>
      </c>
      <c r="AI52" s="438"/>
      <c r="AJ52" s="438"/>
      <c r="AK52" s="438"/>
      <c r="AL52" s="438"/>
    </row>
    <row r="53" spans="2:45">
      <c r="B53" s="740" t="s">
        <v>1594</v>
      </c>
      <c r="G53" s="438"/>
      <c r="H53" s="438"/>
      <c r="I53" s="438"/>
      <c r="J53" s="438"/>
      <c r="P53" s="740" t="s">
        <v>1594</v>
      </c>
      <c r="U53" s="438"/>
      <c r="V53" s="438"/>
      <c r="W53" s="438"/>
      <c r="X53" s="438"/>
      <c r="AD53" s="740" t="s">
        <v>1594</v>
      </c>
      <c r="AI53" s="438"/>
      <c r="AJ53" s="438"/>
      <c r="AK53" s="438"/>
      <c r="AL53" s="438"/>
    </row>
    <row r="54" spans="2:45">
      <c r="B54" s="740" t="s">
        <v>1595</v>
      </c>
      <c r="I54" s="785"/>
      <c r="J54" s="785"/>
      <c r="P54" s="740" t="s">
        <v>1595</v>
      </c>
      <c r="V54" s="804"/>
      <c r="W54" s="785"/>
      <c r="X54" s="785"/>
      <c r="AD54" s="740" t="s">
        <v>1595</v>
      </c>
      <c r="AK54" s="785"/>
      <c r="AL54" s="785"/>
    </row>
    <row r="55" spans="2:45">
      <c r="B55" s="805" t="s">
        <v>78</v>
      </c>
      <c r="I55" s="785"/>
      <c r="J55" s="785"/>
      <c r="P55" s="805" t="s">
        <v>78</v>
      </c>
      <c r="W55" s="785"/>
      <c r="X55" s="785"/>
      <c r="AD55" s="805" t="s">
        <v>78</v>
      </c>
      <c r="AK55" s="785"/>
      <c r="AL55" s="785"/>
    </row>
    <row r="56" spans="2:45">
      <c r="B56" s="805" t="s">
        <v>79</v>
      </c>
      <c r="I56" s="785"/>
      <c r="J56" s="785"/>
      <c r="P56" s="805" t="s">
        <v>79</v>
      </c>
      <c r="W56" s="785"/>
      <c r="X56" s="785"/>
      <c r="AD56" s="805" t="s">
        <v>79</v>
      </c>
      <c r="AK56" s="785"/>
      <c r="AL56" s="785"/>
    </row>
    <row r="57" spans="2:45">
      <c r="B57" s="805" t="s">
        <v>1596</v>
      </c>
      <c r="I57" s="785"/>
      <c r="J57" s="785"/>
      <c r="P57" s="805" t="s">
        <v>1596</v>
      </c>
      <c r="W57" s="785"/>
      <c r="X57" s="785"/>
      <c r="AD57" s="805" t="s">
        <v>1597</v>
      </c>
      <c r="AK57" s="785"/>
      <c r="AL57" s="785"/>
    </row>
    <row r="58" spans="2:45">
      <c r="B58" s="805" t="s">
        <v>1598</v>
      </c>
      <c r="I58" s="785"/>
      <c r="J58" s="785"/>
      <c r="P58" s="805" t="s">
        <v>1598</v>
      </c>
      <c r="W58" s="785"/>
      <c r="X58" s="785"/>
      <c r="AD58" s="805" t="s">
        <v>1599</v>
      </c>
      <c r="AK58" s="785"/>
      <c r="AL58" s="785"/>
    </row>
    <row r="59" spans="2:45">
      <c r="B59" s="805" t="s">
        <v>586</v>
      </c>
      <c r="I59" s="785"/>
      <c r="J59" s="785"/>
      <c r="P59" s="805" t="s">
        <v>586</v>
      </c>
      <c r="W59" s="785"/>
      <c r="X59" s="785"/>
      <c r="AD59" s="805" t="s">
        <v>586</v>
      </c>
      <c r="AK59" s="785"/>
      <c r="AL59" s="785"/>
    </row>
    <row r="60" spans="2:45">
      <c r="B60" s="805" t="s">
        <v>1600</v>
      </c>
      <c r="I60" s="785"/>
      <c r="J60" s="785"/>
      <c r="P60" s="805" t="s">
        <v>1600</v>
      </c>
      <c r="W60" s="785"/>
      <c r="X60" s="785"/>
      <c r="AD60" s="805" t="s">
        <v>1600</v>
      </c>
      <c r="AK60" s="785"/>
      <c r="AL60" s="785"/>
    </row>
    <row r="61" spans="2:45">
      <c r="B61" s="805" t="s">
        <v>1601</v>
      </c>
      <c r="I61" s="785"/>
      <c r="J61" s="785"/>
      <c r="P61" s="805" t="s">
        <v>1601</v>
      </c>
      <c r="W61" s="785"/>
      <c r="X61" s="785"/>
      <c r="AD61" s="805" t="s">
        <v>1601</v>
      </c>
      <c r="AK61" s="785"/>
      <c r="AL61" s="785"/>
    </row>
    <row r="62" spans="2:45">
      <c r="B62" s="805" t="s">
        <v>1602</v>
      </c>
      <c r="I62" s="785"/>
      <c r="J62" s="785"/>
      <c r="P62" s="805" t="s">
        <v>1602</v>
      </c>
      <c r="W62" s="785"/>
      <c r="X62" s="785"/>
      <c r="AD62" s="805" t="s">
        <v>1602</v>
      </c>
      <c r="AK62" s="785"/>
      <c r="AL62" s="785"/>
    </row>
    <row r="63" spans="2:45">
      <c r="B63" s="805" t="s">
        <v>1603</v>
      </c>
      <c r="P63" s="805" t="s">
        <v>1603</v>
      </c>
      <c r="AD63" s="805" t="s">
        <v>1603</v>
      </c>
    </row>
    <row r="64" spans="2:45">
      <c r="B64" s="805" t="s">
        <v>1604</v>
      </c>
      <c r="P64" s="805" t="s">
        <v>1604</v>
      </c>
      <c r="AD64" s="805" t="s">
        <v>1604</v>
      </c>
    </row>
    <row r="65" spans="2:2">
      <c r="B65" s="805"/>
    </row>
  </sheetData>
  <mergeCells count="3">
    <mergeCell ref="B1:L1"/>
    <mergeCell ref="P1:Z1"/>
    <mergeCell ref="AD1:AN1"/>
  </mergeCells>
  <printOptions horizontalCentered="1"/>
  <pageMargins left="0.7" right="0.7" top="1.25" bottom="0.75" header="0.3" footer="0.3"/>
  <pageSetup scale="70" fitToHeight="0" orientation="landscape" useFirstPageNumber="1" r:id="rId1"/>
  <headerFooter>
    <oddHeader>&amp;RDEU Exhibit 2.10R
Page &amp;P of 3</oddHeader>
  </headerFooter>
  <rowBreaks count="2" manualBreakCount="2">
    <brk id="34" max="39" man="1"/>
    <brk id="51" max="16383" man="1"/>
  </rowBreaks>
  <colBreaks count="2" manualBreakCount="2">
    <brk id="14" max="29" man="1"/>
    <brk id="2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5"/>
  <sheetViews>
    <sheetView view="pageLayout" zoomScaleNormal="70" zoomScaleSheetLayoutView="100" workbookViewId="0">
      <selection activeCell="L3" sqref="L3"/>
    </sheetView>
  </sheetViews>
  <sheetFormatPr defaultColWidth="7.5" defaultRowHeight="12.75"/>
  <cols>
    <col min="1" max="1" width="49.25" style="344" customWidth="1"/>
    <col min="2" max="2" width="22.25" style="344" customWidth="1"/>
    <col min="3" max="13" width="6.875" style="344" customWidth="1"/>
    <col min="14" max="30" width="7.5" style="344" hidden="1" customWidth="1"/>
    <col min="31" max="33" width="8" style="344" hidden="1" customWidth="1"/>
    <col min="34" max="38" width="8.25" style="344" hidden="1" customWidth="1"/>
    <col min="39" max="41" width="8" style="344" hidden="1" customWidth="1"/>
    <col min="42" max="42" width="8.25" style="344" hidden="1" customWidth="1"/>
    <col min="43" max="43" width="8.625" style="344" hidden="1" customWidth="1"/>
    <col min="44" max="44" width="8" style="344" hidden="1" customWidth="1"/>
    <col min="45" max="45" width="8.25" style="344" hidden="1" customWidth="1"/>
    <col min="46" max="54" width="8.625" style="344" hidden="1" customWidth="1"/>
    <col min="55" max="55" width="8.25" style="344" hidden="1" customWidth="1"/>
    <col min="56" max="57" width="8.625" style="344" hidden="1" customWidth="1"/>
    <col min="58" max="58" width="8.25" style="344" hidden="1" customWidth="1"/>
    <col min="59" max="59" width="8.375" style="344" hidden="1" customWidth="1"/>
    <col min="60" max="61" width="8.625" style="344" hidden="1" customWidth="1"/>
    <col min="62" max="63" width="8.375" style="344" hidden="1" customWidth="1"/>
    <col min="64" max="64" width="8.625" style="344" hidden="1" customWidth="1"/>
    <col min="65" max="65" width="8.375" style="344" hidden="1" customWidth="1"/>
    <col min="66" max="66" width="8.625" style="344" hidden="1" customWidth="1"/>
    <col min="67" max="67" width="8.375" style="344" hidden="1" customWidth="1"/>
    <col min="68" max="70" width="8.625" style="344" hidden="1" customWidth="1"/>
    <col min="71" max="72" width="9.75" style="344" hidden="1" customWidth="1"/>
    <col min="73" max="73" width="9.375" style="344" hidden="1" customWidth="1"/>
    <col min="74" max="82" width="9.75" style="344" hidden="1" customWidth="1"/>
    <col min="83" max="87" width="10.125" style="344" hidden="1" customWidth="1"/>
    <col min="88" max="88" width="9.375" style="344" hidden="1" customWidth="1"/>
    <col min="89" max="89" width="10.125" style="344" hidden="1" customWidth="1"/>
    <col min="90" max="92" width="9.75" style="344" hidden="1" customWidth="1"/>
    <col min="93" max="93" width="2.625" style="344" customWidth="1"/>
    <col min="94" max="104" width="10.5" style="344" hidden="1" customWidth="1"/>
    <col min="105" max="105" width="9.375" style="344" hidden="1" customWidth="1"/>
    <col min="106" max="106" width="10.125" style="344" hidden="1" customWidth="1"/>
    <col min="107" max="107" width="9.75" style="344" hidden="1" customWidth="1"/>
    <col min="108" max="108" width="10.125" style="344" hidden="1" customWidth="1"/>
    <col min="109" max="110" width="9.75" style="344" hidden="1" customWidth="1"/>
    <col min="111" max="111" width="10.125" style="344" hidden="1" customWidth="1"/>
    <col min="112" max="114" width="10.5" style="344" hidden="1" customWidth="1"/>
    <col min="115" max="116" width="10.75" style="344" hidden="1" customWidth="1"/>
    <col min="117" max="118" width="10.5" style="344" hidden="1" customWidth="1"/>
    <col min="119" max="119" width="10.75" style="344" hidden="1" customWidth="1"/>
    <col min="120" max="120" width="10.375" style="344" hidden="1" customWidth="1"/>
    <col min="121" max="123" width="10.75" style="344" hidden="1" customWidth="1"/>
    <col min="124" max="124" width="10.5" style="344" hidden="1" customWidth="1"/>
    <col min="125" max="125" width="11" style="344" hidden="1" customWidth="1"/>
    <col min="126" max="126" width="10.75" style="344" hidden="1" customWidth="1"/>
    <col min="127" max="130" width="11" style="344" hidden="1" customWidth="1"/>
    <col min="131" max="132" width="10.75" style="344" hidden="1" customWidth="1"/>
    <col min="133" max="133" width="11" style="344" hidden="1" customWidth="1"/>
    <col min="134" max="135" width="10.75" style="344" hidden="1" customWidth="1"/>
    <col min="136" max="136" width="11" style="344" hidden="1" customWidth="1"/>
    <col min="137" max="137" width="10.75" style="344" hidden="1" customWidth="1"/>
    <col min="138" max="139" width="11" style="344" hidden="1" customWidth="1"/>
    <col min="140" max="140" width="10.5" style="344" hidden="1" customWidth="1"/>
    <col min="141" max="141" width="10.75" style="344" hidden="1" customWidth="1"/>
    <col min="142" max="144" width="11" style="344" hidden="1" customWidth="1"/>
    <col min="145" max="145" width="10.5" style="344" hidden="1" customWidth="1"/>
    <col min="146" max="146" width="10.75" style="344" hidden="1" customWidth="1"/>
    <col min="147" max="149" width="11" style="344" hidden="1" customWidth="1"/>
    <col min="150" max="150" width="10.75" style="344" hidden="1" customWidth="1"/>
    <col min="151" max="154" width="11.375" style="344" hidden="1" customWidth="1"/>
    <col min="155" max="156" width="11.75" style="344" hidden="1" customWidth="1"/>
    <col min="157" max="157" width="11.375" style="344" hidden="1" customWidth="1"/>
    <col min="158" max="158" width="11.75" style="344" hidden="1" customWidth="1"/>
    <col min="159" max="161" width="11.375" style="344" hidden="1" customWidth="1"/>
    <col min="162" max="164" width="11.75" style="344" hidden="1" customWidth="1"/>
    <col min="165" max="166" width="12.125" style="344" hidden="1" customWidth="1"/>
    <col min="167" max="168" width="11.75" style="344" hidden="1" customWidth="1"/>
    <col min="169" max="170" width="12.125" style="344" hidden="1" customWidth="1"/>
    <col min="171" max="174" width="11.75" style="344" hidden="1" customWidth="1"/>
    <col min="175" max="175" width="12.125" style="344" hidden="1" customWidth="1"/>
    <col min="176" max="176" width="11.75" style="344" hidden="1" customWidth="1"/>
    <col min="177" max="177" width="11.375" style="344" hidden="1" customWidth="1"/>
    <col min="178" max="178" width="11.75" style="344" hidden="1" customWidth="1"/>
    <col min="179" max="179" width="11.375" style="344" hidden="1" customWidth="1"/>
    <col min="180" max="181" width="12.125" style="344" hidden="1" customWidth="1"/>
    <col min="182" max="182" width="11.375" style="344" hidden="1" customWidth="1"/>
    <col min="183" max="183" width="11.75" style="344" hidden="1" customWidth="1"/>
    <col min="184" max="184" width="11.375" style="344" hidden="1" customWidth="1"/>
    <col min="185" max="185" width="12.125" style="344" hidden="1" customWidth="1"/>
    <col min="186" max="188" width="11.75" style="344" hidden="1" customWidth="1"/>
    <col min="189" max="189" width="12.125" style="344" hidden="1" customWidth="1"/>
    <col min="190" max="190" width="11.75" style="344" hidden="1" customWidth="1"/>
    <col min="191" max="192" width="13.375" style="344" hidden="1" customWidth="1"/>
    <col min="193" max="193" width="12.875" style="344" hidden="1" customWidth="1"/>
    <col min="194" max="195" width="13.375" style="344" hidden="1" customWidth="1"/>
    <col min="196" max="197" width="12.875" style="344" hidden="1" customWidth="1"/>
    <col min="198" max="198" width="13.375" style="344" hidden="1" customWidth="1"/>
    <col min="199" max="199" width="12.875" style="344" hidden="1" customWidth="1"/>
    <col min="200" max="200" width="13.375" style="344" hidden="1" customWidth="1"/>
    <col min="201" max="202" width="12.875" style="344" hidden="1" customWidth="1"/>
    <col min="203" max="203" width="13.75" style="344" hidden="1" customWidth="1"/>
    <col min="204" max="204" width="13.375" style="344" hidden="1" customWidth="1"/>
    <col min="205" max="205" width="13.75" style="344" hidden="1" customWidth="1"/>
    <col min="206" max="206" width="12.875" style="344" hidden="1" customWidth="1"/>
    <col min="207" max="208" width="13.375" style="344" hidden="1" customWidth="1"/>
    <col min="209" max="209" width="13.75" style="344" hidden="1" customWidth="1"/>
    <col min="210" max="212" width="12.875" style="344" hidden="1" customWidth="1"/>
    <col min="213" max="214" width="13.375" style="344" hidden="1" customWidth="1"/>
    <col min="215" max="215" width="12.875" style="344" hidden="1" customWidth="1"/>
    <col min="216" max="216" width="13.75" style="344" hidden="1" customWidth="1"/>
    <col min="217" max="218" width="13.375" style="344" hidden="1" customWidth="1"/>
    <col min="219" max="222" width="13.75" style="344" hidden="1" customWidth="1"/>
    <col min="223" max="223" width="12.875" style="344" hidden="1" customWidth="1"/>
    <col min="224" max="226" width="13.375" style="344" hidden="1" customWidth="1"/>
    <col min="227" max="227" width="13.75" style="344" hidden="1" customWidth="1"/>
    <col min="228" max="228" width="12.875" style="344" hidden="1" customWidth="1"/>
    <col min="229" max="230" width="13.375" style="344" hidden="1" customWidth="1"/>
    <col min="231" max="231" width="14.5" style="344" hidden="1" customWidth="1"/>
    <col min="232" max="233" width="13.75" style="344" hidden="1" customWidth="1"/>
    <col min="234" max="234" width="14.5" style="344" hidden="1" customWidth="1"/>
    <col min="235" max="236" width="13.75" style="344" hidden="1" customWidth="1"/>
    <col min="237" max="237" width="14" style="344" hidden="1" customWidth="1"/>
    <col min="238" max="240" width="14.5" style="344" hidden="1" customWidth="1"/>
    <col min="241" max="241" width="13.75" style="344" hidden="1" customWidth="1"/>
    <col min="242" max="242" width="14.5" style="344" hidden="1" customWidth="1"/>
    <col min="243" max="243" width="14" style="344" hidden="1" customWidth="1"/>
    <col min="244" max="244" width="13.75" style="344" hidden="1" customWidth="1"/>
    <col min="245" max="246" width="14.75" style="344" hidden="1" customWidth="1"/>
    <col min="247" max="247" width="14.5" style="344" hidden="1" customWidth="1"/>
    <col min="248" max="248" width="13.75" style="344" hidden="1" customWidth="1"/>
    <col min="249" max="249" width="14" style="344" hidden="1" customWidth="1"/>
    <col min="250" max="250" width="13.75" style="344" hidden="1" customWidth="1"/>
    <col min="251" max="252" width="14.5" style="344" hidden="1" customWidth="1"/>
    <col min="253" max="253" width="14.75" style="344" hidden="1" customWidth="1"/>
    <col min="254" max="254" width="1.875" style="344" hidden="1" customWidth="1"/>
    <col min="255" max="255" width="15.375" style="344" customWidth="1"/>
    <col min="256" max="16384" width="7.5" style="344"/>
  </cols>
  <sheetData>
    <row r="1" spans="1:255" ht="30" customHeight="1">
      <c r="A1" s="833" t="s">
        <v>1490</v>
      </c>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c r="BK1" s="833"/>
      <c r="BL1" s="833"/>
      <c r="BM1" s="833"/>
      <c r="BN1" s="833"/>
      <c r="BO1" s="833"/>
      <c r="BP1" s="833"/>
      <c r="BQ1" s="833"/>
      <c r="BR1" s="833"/>
      <c r="BS1" s="833"/>
      <c r="BT1" s="833"/>
      <c r="BU1" s="833"/>
      <c r="BV1" s="833"/>
      <c r="BW1" s="833"/>
      <c r="BX1" s="833"/>
      <c r="BY1" s="833"/>
      <c r="BZ1" s="833"/>
      <c r="CA1" s="833"/>
      <c r="CB1" s="833"/>
      <c r="CC1" s="833"/>
      <c r="CD1" s="833"/>
      <c r="CE1" s="833"/>
      <c r="CF1" s="833"/>
      <c r="CG1" s="833"/>
      <c r="CH1" s="833"/>
      <c r="CI1" s="833"/>
      <c r="CJ1" s="833"/>
      <c r="CK1" s="833"/>
      <c r="CL1" s="833"/>
      <c r="CM1" s="833"/>
      <c r="CN1" s="833"/>
      <c r="CO1" s="833"/>
      <c r="CP1" s="833"/>
      <c r="CQ1" s="833"/>
      <c r="CR1" s="833"/>
      <c r="CS1" s="833"/>
      <c r="CT1" s="833"/>
      <c r="CU1" s="833"/>
      <c r="CV1" s="833"/>
      <c r="CW1" s="833"/>
      <c r="CX1" s="833"/>
      <c r="CY1" s="833"/>
      <c r="CZ1" s="833"/>
      <c r="DA1" s="833"/>
      <c r="DB1" s="833"/>
      <c r="DC1" s="833"/>
      <c r="DD1" s="833"/>
      <c r="DE1" s="833"/>
      <c r="DF1" s="833"/>
      <c r="DG1" s="833"/>
      <c r="DH1" s="833"/>
      <c r="DI1" s="833"/>
      <c r="DJ1" s="833"/>
      <c r="DK1" s="833"/>
      <c r="DL1" s="833"/>
      <c r="DM1" s="833"/>
      <c r="DN1" s="833"/>
      <c r="DO1" s="833"/>
      <c r="DP1" s="833"/>
      <c r="DQ1" s="833"/>
      <c r="DR1" s="833"/>
      <c r="DS1" s="833"/>
      <c r="DT1" s="833"/>
      <c r="DU1" s="833"/>
      <c r="DV1" s="833"/>
      <c r="DW1" s="833"/>
      <c r="DX1" s="833"/>
      <c r="DY1" s="833"/>
      <c r="DZ1" s="833"/>
      <c r="EA1" s="833"/>
      <c r="EB1" s="833"/>
      <c r="EC1" s="833"/>
      <c r="ED1" s="833"/>
      <c r="EE1" s="833"/>
      <c r="EF1" s="833"/>
      <c r="EG1" s="833"/>
      <c r="EH1" s="833"/>
      <c r="EI1" s="833"/>
      <c r="EJ1" s="833"/>
      <c r="EK1" s="833"/>
      <c r="EL1" s="833"/>
      <c r="EM1" s="833"/>
      <c r="EN1" s="833"/>
      <c r="EO1" s="833"/>
      <c r="EP1" s="833"/>
      <c r="EQ1" s="833"/>
      <c r="ER1" s="833"/>
      <c r="ES1" s="833"/>
      <c r="ET1" s="833"/>
      <c r="EU1" s="833"/>
      <c r="EV1" s="833"/>
      <c r="EW1" s="833"/>
      <c r="EX1" s="833"/>
      <c r="EY1" s="833"/>
      <c r="EZ1" s="833"/>
      <c r="FA1" s="833"/>
      <c r="FB1" s="833"/>
      <c r="FC1" s="833"/>
      <c r="FD1" s="833"/>
      <c r="FE1" s="833"/>
      <c r="FF1" s="833"/>
      <c r="FG1" s="833"/>
      <c r="FH1" s="833"/>
      <c r="FI1" s="833"/>
      <c r="FJ1" s="833"/>
      <c r="FK1" s="833"/>
      <c r="FL1" s="833"/>
      <c r="FM1" s="833"/>
      <c r="FN1" s="833"/>
      <c r="FO1" s="833"/>
      <c r="FP1" s="833"/>
      <c r="FQ1" s="833"/>
      <c r="FR1" s="833"/>
      <c r="FS1" s="833"/>
      <c r="FT1" s="833"/>
      <c r="FU1" s="833"/>
      <c r="FV1" s="833"/>
      <c r="FW1" s="833"/>
      <c r="FX1" s="833"/>
      <c r="FY1" s="833"/>
      <c r="FZ1" s="833"/>
      <c r="GA1" s="833"/>
      <c r="GB1" s="833"/>
      <c r="GC1" s="833"/>
      <c r="GD1" s="833"/>
      <c r="GE1" s="833"/>
      <c r="GF1" s="833"/>
      <c r="GG1" s="833"/>
      <c r="GH1" s="833"/>
      <c r="GI1" s="833"/>
      <c r="GJ1" s="833"/>
      <c r="GK1" s="833"/>
      <c r="GL1" s="833"/>
      <c r="GM1" s="833"/>
      <c r="GN1" s="833"/>
      <c r="GO1" s="833"/>
      <c r="GP1" s="833"/>
      <c r="GQ1" s="833"/>
      <c r="GR1" s="833"/>
      <c r="GS1" s="833"/>
      <c r="GT1" s="833"/>
      <c r="GU1" s="833"/>
      <c r="GV1" s="833"/>
      <c r="GW1" s="833"/>
      <c r="GX1" s="833"/>
      <c r="GY1" s="833"/>
      <c r="GZ1" s="833"/>
      <c r="HA1" s="833"/>
      <c r="HB1" s="833"/>
      <c r="HC1" s="833"/>
      <c r="HD1" s="833"/>
      <c r="HE1" s="833"/>
      <c r="HF1" s="833"/>
      <c r="HG1" s="833"/>
      <c r="HH1" s="833"/>
      <c r="HI1" s="833"/>
      <c r="HJ1" s="833"/>
      <c r="HK1" s="833"/>
      <c r="HL1" s="833"/>
      <c r="HM1" s="833"/>
      <c r="HN1" s="833"/>
      <c r="HO1" s="833"/>
      <c r="HP1" s="833"/>
      <c r="HQ1" s="833"/>
      <c r="HR1" s="833"/>
      <c r="HS1" s="833"/>
      <c r="HT1" s="833"/>
      <c r="HU1" s="833"/>
      <c r="HV1" s="833"/>
      <c r="HW1" s="833"/>
      <c r="HX1" s="833"/>
      <c r="HY1" s="833"/>
      <c r="HZ1" s="833"/>
      <c r="IA1" s="833"/>
      <c r="IB1" s="833"/>
      <c r="IC1" s="833"/>
      <c r="ID1" s="833"/>
      <c r="IE1" s="833"/>
      <c r="IF1" s="833"/>
      <c r="IG1" s="833"/>
      <c r="IH1" s="833"/>
      <c r="II1" s="833"/>
      <c r="IJ1" s="833"/>
      <c r="IK1" s="833"/>
      <c r="IL1" s="833"/>
      <c r="IM1" s="833"/>
      <c r="IN1" s="833"/>
      <c r="IO1" s="833"/>
      <c r="IP1" s="833"/>
      <c r="IQ1" s="833"/>
      <c r="IR1" s="833"/>
      <c r="IS1" s="833"/>
      <c r="IT1" s="833"/>
      <c r="IU1" s="833"/>
    </row>
    <row r="2" spans="1:255" ht="13.5" thickBot="1"/>
    <row r="3" spans="1:255">
      <c r="A3" s="345" t="s">
        <v>1491</v>
      </c>
      <c r="B3" s="346" t="s">
        <v>1492</v>
      </c>
      <c r="C3" s="346"/>
    </row>
    <row r="4" spans="1:255">
      <c r="A4" s="347" t="s">
        <v>1493</v>
      </c>
      <c r="B4" s="348" t="s">
        <v>64</v>
      </c>
      <c r="C4" s="349">
        <v>4.4999999999999998E-2</v>
      </c>
      <c r="D4" s="344" t="s">
        <v>50</v>
      </c>
    </row>
    <row r="5" spans="1:255">
      <c r="A5" s="350" t="s">
        <v>1494</v>
      </c>
      <c r="B5" s="351" t="s">
        <v>1495</v>
      </c>
      <c r="C5" s="352">
        <f>C6-C4</f>
        <v>0.06</v>
      </c>
    </row>
    <row r="6" spans="1:255">
      <c r="A6" s="350" t="s">
        <v>1493</v>
      </c>
      <c r="B6" s="344" t="s">
        <v>1496</v>
      </c>
      <c r="C6" s="353">
        <v>0.105</v>
      </c>
      <c r="D6" s="344" t="s">
        <v>50</v>
      </c>
    </row>
    <row r="7" spans="1:255">
      <c r="A7" s="354"/>
    </row>
    <row r="8" spans="1:255">
      <c r="A8" s="350" t="s">
        <v>1493</v>
      </c>
      <c r="B8" s="344" t="s">
        <v>1497</v>
      </c>
      <c r="C8" s="353">
        <f>'DEU 2.12R Payout Ratio'!F38</f>
        <v>0.63586768143244132</v>
      </c>
      <c r="D8" s="344" t="s">
        <v>51</v>
      </c>
    </row>
    <row r="9" spans="1:255" ht="13.5" thickBot="1">
      <c r="A9" s="355" t="s">
        <v>1493</v>
      </c>
      <c r="B9" s="356" t="s">
        <v>1498</v>
      </c>
      <c r="C9" s="356">
        <v>20</v>
      </c>
      <c r="D9" s="344" t="s">
        <v>51</v>
      </c>
    </row>
    <row r="12" spans="1:255" ht="13.5" thickBot="1"/>
    <row r="13" spans="1:255">
      <c r="A13" s="357"/>
      <c r="B13" s="346"/>
      <c r="C13" s="346">
        <v>0</v>
      </c>
      <c r="D13" s="346">
        <v>1</v>
      </c>
      <c r="E13" s="346">
        <f t="shared" ref="E13:BP13" si="0">D13+1</f>
        <v>2</v>
      </c>
      <c r="F13" s="346">
        <f t="shared" si="0"/>
        <v>3</v>
      </c>
      <c r="G13" s="346">
        <f t="shared" si="0"/>
        <v>4</v>
      </c>
      <c r="H13" s="346">
        <f t="shared" si="0"/>
        <v>5</v>
      </c>
      <c r="I13" s="346">
        <f t="shared" si="0"/>
        <v>6</v>
      </c>
      <c r="J13" s="346">
        <f t="shared" si="0"/>
        <v>7</v>
      </c>
      <c r="K13" s="346">
        <f t="shared" si="0"/>
        <v>8</v>
      </c>
      <c r="L13" s="346">
        <f t="shared" si="0"/>
        <v>9</v>
      </c>
      <c r="M13" s="346">
        <f t="shared" si="0"/>
        <v>10</v>
      </c>
      <c r="N13" s="346">
        <f t="shared" si="0"/>
        <v>11</v>
      </c>
      <c r="O13" s="346">
        <f t="shared" si="0"/>
        <v>12</v>
      </c>
      <c r="P13" s="346">
        <f t="shared" si="0"/>
        <v>13</v>
      </c>
      <c r="Q13" s="346">
        <f t="shared" si="0"/>
        <v>14</v>
      </c>
      <c r="R13" s="346">
        <f t="shared" si="0"/>
        <v>15</v>
      </c>
      <c r="S13" s="346">
        <f t="shared" si="0"/>
        <v>16</v>
      </c>
      <c r="T13" s="346">
        <f t="shared" si="0"/>
        <v>17</v>
      </c>
      <c r="U13" s="346">
        <f t="shared" si="0"/>
        <v>18</v>
      </c>
      <c r="V13" s="346">
        <f t="shared" si="0"/>
        <v>19</v>
      </c>
      <c r="W13" s="346">
        <f t="shared" si="0"/>
        <v>20</v>
      </c>
      <c r="X13" s="346">
        <f t="shared" si="0"/>
        <v>21</v>
      </c>
      <c r="Y13" s="346">
        <f t="shared" si="0"/>
        <v>22</v>
      </c>
      <c r="Z13" s="346">
        <f t="shared" si="0"/>
        <v>23</v>
      </c>
      <c r="AA13" s="346">
        <f t="shared" si="0"/>
        <v>24</v>
      </c>
      <c r="AB13" s="346">
        <f t="shared" si="0"/>
        <v>25</v>
      </c>
      <c r="AC13" s="346">
        <f t="shared" si="0"/>
        <v>26</v>
      </c>
      <c r="AD13" s="346">
        <f t="shared" si="0"/>
        <v>27</v>
      </c>
      <c r="AE13" s="346">
        <f t="shared" si="0"/>
        <v>28</v>
      </c>
      <c r="AF13" s="346">
        <f t="shared" si="0"/>
        <v>29</v>
      </c>
      <c r="AG13" s="346">
        <f t="shared" si="0"/>
        <v>30</v>
      </c>
      <c r="AH13" s="346">
        <f t="shared" si="0"/>
        <v>31</v>
      </c>
      <c r="AI13" s="346">
        <f t="shared" si="0"/>
        <v>32</v>
      </c>
      <c r="AJ13" s="346">
        <f t="shared" si="0"/>
        <v>33</v>
      </c>
      <c r="AK13" s="346">
        <f t="shared" si="0"/>
        <v>34</v>
      </c>
      <c r="AL13" s="346">
        <f t="shared" si="0"/>
        <v>35</v>
      </c>
      <c r="AM13" s="346">
        <f t="shared" si="0"/>
        <v>36</v>
      </c>
      <c r="AN13" s="346">
        <f t="shared" si="0"/>
        <v>37</v>
      </c>
      <c r="AO13" s="346">
        <f t="shared" si="0"/>
        <v>38</v>
      </c>
      <c r="AP13" s="346">
        <f t="shared" si="0"/>
        <v>39</v>
      </c>
      <c r="AQ13" s="346">
        <f t="shared" si="0"/>
        <v>40</v>
      </c>
      <c r="AR13" s="346">
        <f t="shared" si="0"/>
        <v>41</v>
      </c>
      <c r="AS13" s="346">
        <f t="shared" si="0"/>
        <v>42</v>
      </c>
      <c r="AT13" s="346">
        <f t="shared" si="0"/>
        <v>43</v>
      </c>
      <c r="AU13" s="346">
        <f t="shared" si="0"/>
        <v>44</v>
      </c>
      <c r="AV13" s="346">
        <f t="shared" si="0"/>
        <v>45</v>
      </c>
      <c r="AW13" s="346">
        <f t="shared" si="0"/>
        <v>46</v>
      </c>
      <c r="AX13" s="346">
        <f t="shared" si="0"/>
        <v>47</v>
      </c>
      <c r="AY13" s="346">
        <f t="shared" si="0"/>
        <v>48</v>
      </c>
      <c r="AZ13" s="346">
        <f t="shared" si="0"/>
        <v>49</v>
      </c>
      <c r="BA13" s="346">
        <f t="shared" si="0"/>
        <v>50</v>
      </c>
      <c r="BB13" s="346">
        <f t="shared" si="0"/>
        <v>51</v>
      </c>
      <c r="BC13" s="346">
        <f t="shared" si="0"/>
        <v>52</v>
      </c>
      <c r="BD13" s="346">
        <f t="shared" si="0"/>
        <v>53</v>
      </c>
      <c r="BE13" s="346">
        <f t="shared" si="0"/>
        <v>54</v>
      </c>
      <c r="BF13" s="346">
        <f t="shared" si="0"/>
        <v>55</v>
      </c>
      <c r="BG13" s="346">
        <f t="shared" si="0"/>
        <v>56</v>
      </c>
      <c r="BH13" s="346">
        <f t="shared" si="0"/>
        <v>57</v>
      </c>
      <c r="BI13" s="346">
        <f t="shared" si="0"/>
        <v>58</v>
      </c>
      <c r="BJ13" s="346">
        <f t="shared" si="0"/>
        <v>59</v>
      </c>
      <c r="BK13" s="346">
        <f t="shared" si="0"/>
        <v>60</v>
      </c>
      <c r="BL13" s="346">
        <f t="shared" si="0"/>
        <v>61</v>
      </c>
      <c r="BM13" s="346">
        <f t="shared" si="0"/>
        <v>62</v>
      </c>
      <c r="BN13" s="346">
        <f t="shared" si="0"/>
        <v>63</v>
      </c>
      <c r="BO13" s="346">
        <f t="shared" si="0"/>
        <v>64</v>
      </c>
      <c r="BP13" s="346">
        <f t="shared" si="0"/>
        <v>65</v>
      </c>
      <c r="BQ13" s="346">
        <f t="shared" ref="BQ13:CN13" si="1">BP13+1</f>
        <v>66</v>
      </c>
      <c r="BR13" s="346">
        <f t="shared" si="1"/>
        <v>67</v>
      </c>
      <c r="BS13" s="346">
        <f t="shared" si="1"/>
        <v>68</v>
      </c>
      <c r="BT13" s="346">
        <f t="shared" si="1"/>
        <v>69</v>
      </c>
      <c r="BU13" s="346">
        <f t="shared" si="1"/>
        <v>70</v>
      </c>
      <c r="BV13" s="346">
        <f t="shared" si="1"/>
        <v>71</v>
      </c>
      <c r="BW13" s="346">
        <f t="shared" si="1"/>
        <v>72</v>
      </c>
      <c r="BX13" s="346">
        <f t="shared" si="1"/>
        <v>73</v>
      </c>
      <c r="BY13" s="346">
        <f t="shared" si="1"/>
        <v>74</v>
      </c>
      <c r="BZ13" s="346">
        <f t="shared" si="1"/>
        <v>75</v>
      </c>
      <c r="CA13" s="346">
        <f t="shared" si="1"/>
        <v>76</v>
      </c>
      <c r="CB13" s="346">
        <f t="shared" si="1"/>
        <v>77</v>
      </c>
      <c r="CC13" s="346">
        <f t="shared" si="1"/>
        <v>78</v>
      </c>
      <c r="CD13" s="346">
        <f t="shared" si="1"/>
        <v>79</v>
      </c>
      <c r="CE13" s="346">
        <f t="shared" si="1"/>
        <v>80</v>
      </c>
      <c r="CF13" s="346">
        <f t="shared" si="1"/>
        <v>81</v>
      </c>
      <c r="CG13" s="346">
        <f t="shared" si="1"/>
        <v>82</v>
      </c>
      <c r="CH13" s="346">
        <f t="shared" si="1"/>
        <v>83</v>
      </c>
      <c r="CI13" s="346">
        <f t="shared" si="1"/>
        <v>84</v>
      </c>
      <c r="CJ13" s="346">
        <f t="shared" si="1"/>
        <v>85</v>
      </c>
      <c r="CK13" s="346">
        <f t="shared" si="1"/>
        <v>86</v>
      </c>
      <c r="CL13" s="346">
        <f t="shared" si="1"/>
        <v>87</v>
      </c>
      <c r="CM13" s="346">
        <f t="shared" si="1"/>
        <v>88</v>
      </c>
      <c r="CN13" s="346">
        <f t="shared" si="1"/>
        <v>89</v>
      </c>
      <c r="CO13" s="346"/>
      <c r="CP13" s="346">
        <f>CN13+1</f>
        <v>90</v>
      </c>
      <c r="CQ13" s="346">
        <f t="shared" ref="CQ13:FB13" si="2">CP13+1</f>
        <v>91</v>
      </c>
      <c r="CR13" s="346">
        <f t="shared" si="2"/>
        <v>92</v>
      </c>
      <c r="CS13" s="346">
        <f t="shared" si="2"/>
        <v>93</v>
      </c>
      <c r="CT13" s="346">
        <f t="shared" si="2"/>
        <v>94</v>
      </c>
      <c r="CU13" s="346">
        <f t="shared" si="2"/>
        <v>95</v>
      </c>
      <c r="CV13" s="346">
        <f t="shared" si="2"/>
        <v>96</v>
      </c>
      <c r="CW13" s="346">
        <f t="shared" si="2"/>
        <v>97</v>
      </c>
      <c r="CX13" s="346">
        <f t="shared" si="2"/>
        <v>98</v>
      </c>
      <c r="CY13" s="346">
        <f t="shared" si="2"/>
        <v>99</v>
      </c>
      <c r="CZ13" s="346">
        <f t="shared" si="2"/>
        <v>100</v>
      </c>
      <c r="DA13" s="346">
        <f t="shared" si="2"/>
        <v>101</v>
      </c>
      <c r="DB13" s="346">
        <f t="shared" si="2"/>
        <v>102</v>
      </c>
      <c r="DC13" s="346">
        <f t="shared" si="2"/>
        <v>103</v>
      </c>
      <c r="DD13" s="346">
        <f t="shared" si="2"/>
        <v>104</v>
      </c>
      <c r="DE13" s="346">
        <f t="shared" si="2"/>
        <v>105</v>
      </c>
      <c r="DF13" s="346">
        <f t="shared" si="2"/>
        <v>106</v>
      </c>
      <c r="DG13" s="346">
        <f t="shared" si="2"/>
        <v>107</v>
      </c>
      <c r="DH13" s="346">
        <f t="shared" si="2"/>
        <v>108</v>
      </c>
      <c r="DI13" s="346">
        <f t="shared" si="2"/>
        <v>109</v>
      </c>
      <c r="DJ13" s="346">
        <f t="shared" si="2"/>
        <v>110</v>
      </c>
      <c r="DK13" s="346">
        <f t="shared" si="2"/>
        <v>111</v>
      </c>
      <c r="DL13" s="346">
        <f t="shared" si="2"/>
        <v>112</v>
      </c>
      <c r="DM13" s="346">
        <f t="shared" si="2"/>
        <v>113</v>
      </c>
      <c r="DN13" s="346">
        <f t="shared" si="2"/>
        <v>114</v>
      </c>
      <c r="DO13" s="346">
        <f t="shared" si="2"/>
        <v>115</v>
      </c>
      <c r="DP13" s="346">
        <f t="shared" si="2"/>
        <v>116</v>
      </c>
      <c r="DQ13" s="346">
        <f t="shared" si="2"/>
        <v>117</v>
      </c>
      <c r="DR13" s="346">
        <f t="shared" si="2"/>
        <v>118</v>
      </c>
      <c r="DS13" s="346">
        <f t="shared" si="2"/>
        <v>119</v>
      </c>
      <c r="DT13" s="346">
        <f t="shared" si="2"/>
        <v>120</v>
      </c>
      <c r="DU13" s="346">
        <f t="shared" si="2"/>
        <v>121</v>
      </c>
      <c r="DV13" s="346">
        <f t="shared" si="2"/>
        <v>122</v>
      </c>
      <c r="DW13" s="346">
        <f t="shared" si="2"/>
        <v>123</v>
      </c>
      <c r="DX13" s="346">
        <f t="shared" si="2"/>
        <v>124</v>
      </c>
      <c r="DY13" s="346">
        <f t="shared" si="2"/>
        <v>125</v>
      </c>
      <c r="DZ13" s="346">
        <f t="shared" si="2"/>
        <v>126</v>
      </c>
      <c r="EA13" s="346">
        <f t="shared" si="2"/>
        <v>127</v>
      </c>
      <c r="EB13" s="346">
        <f t="shared" si="2"/>
        <v>128</v>
      </c>
      <c r="EC13" s="346">
        <f t="shared" si="2"/>
        <v>129</v>
      </c>
      <c r="ED13" s="346">
        <f t="shared" si="2"/>
        <v>130</v>
      </c>
      <c r="EE13" s="346">
        <f t="shared" si="2"/>
        <v>131</v>
      </c>
      <c r="EF13" s="346">
        <f t="shared" si="2"/>
        <v>132</v>
      </c>
      <c r="EG13" s="346">
        <f t="shared" si="2"/>
        <v>133</v>
      </c>
      <c r="EH13" s="346">
        <f t="shared" si="2"/>
        <v>134</v>
      </c>
      <c r="EI13" s="346">
        <f t="shared" si="2"/>
        <v>135</v>
      </c>
      <c r="EJ13" s="346">
        <f t="shared" si="2"/>
        <v>136</v>
      </c>
      <c r="EK13" s="346">
        <f t="shared" si="2"/>
        <v>137</v>
      </c>
      <c r="EL13" s="346">
        <f t="shared" si="2"/>
        <v>138</v>
      </c>
      <c r="EM13" s="346">
        <f t="shared" si="2"/>
        <v>139</v>
      </c>
      <c r="EN13" s="346">
        <f t="shared" si="2"/>
        <v>140</v>
      </c>
      <c r="EO13" s="346">
        <f t="shared" si="2"/>
        <v>141</v>
      </c>
      <c r="EP13" s="346">
        <f t="shared" si="2"/>
        <v>142</v>
      </c>
      <c r="EQ13" s="346">
        <f t="shared" si="2"/>
        <v>143</v>
      </c>
      <c r="ER13" s="346">
        <f t="shared" si="2"/>
        <v>144</v>
      </c>
      <c r="ES13" s="346">
        <f t="shared" si="2"/>
        <v>145</v>
      </c>
      <c r="ET13" s="346">
        <f t="shared" si="2"/>
        <v>146</v>
      </c>
      <c r="EU13" s="346">
        <f t="shared" si="2"/>
        <v>147</v>
      </c>
      <c r="EV13" s="346">
        <f t="shared" si="2"/>
        <v>148</v>
      </c>
      <c r="EW13" s="346">
        <f t="shared" si="2"/>
        <v>149</v>
      </c>
      <c r="EX13" s="346">
        <f t="shared" si="2"/>
        <v>150</v>
      </c>
      <c r="EY13" s="346">
        <f t="shared" si="2"/>
        <v>151</v>
      </c>
      <c r="EZ13" s="346">
        <f t="shared" si="2"/>
        <v>152</v>
      </c>
      <c r="FA13" s="346">
        <f t="shared" si="2"/>
        <v>153</v>
      </c>
      <c r="FB13" s="346">
        <f t="shared" si="2"/>
        <v>154</v>
      </c>
      <c r="FC13" s="346">
        <f t="shared" ref="FC13:HN13" si="3">FB13+1</f>
        <v>155</v>
      </c>
      <c r="FD13" s="346">
        <f t="shared" si="3"/>
        <v>156</v>
      </c>
      <c r="FE13" s="346">
        <f t="shared" si="3"/>
        <v>157</v>
      </c>
      <c r="FF13" s="346">
        <f t="shared" si="3"/>
        <v>158</v>
      </c>
      <c r="FG13" s="346">
        <f t="shared" si="3"/>
        <v>159</v>
      </c>
      <c r="FH13" s="346">
        <f t="shared" si="3"/>
        <v>160</v>
      </c>
      <c r="FI13" s="346">
        <f t="shared" si="3"/>
        <v>161</v>
      </c>
      <c r="FJ13" s="346">
        <f t="shared" si="3"/>
        <v>162</v>
      </c>
      <c r="FK13" s="346">
        <f t="shared" si="3"/>
        <v>163</v>
      </c>
      <c r="FL13" s="346">
        <f t="shared" si="3"/>
        <v>164</v>
      </c>
      <c r="FM13" s="346">
        <f t="shared" si="3"/>
        <v>165</v>
      </c>
      <c r="FN13" s="346">
        <f t="shared" si="3"/>
        <v>166</v>
      </c>
      <c r="FO13" s="346">
        <f t="shared" si="3"/>
        <v>167</v>
      </c>
      <c r="FP13" s="346">
        <f t="shared" si="3"/>
        <v>168</v>
      </c>
      <c r="FQ13" s="346">
        <f t="shared" si="3"/>
        <v>169</v>
      </c>
      <c r="FR13" s="346">
        <f t="shared" si="3"/>
        <v>170</v>
      </c>
      <c r="FS13" s="346">
        <f t="shared" si="3"/>
        <v>171</v>
      </c>
      <c r="FT13" s="346">
        <f t="shared" si="3"/>
        <v>172</v>
      </c>
      <c r="FU13" s="346">
        <f t="shared" si="3"/>
        <v>173</v>
      </c>
      <c r="FV13" s="346">
        <f t="shared" si="3"/>
        <v>174</v>
      </c>
      <c r="FW13" s="346">
        <f t="shared" si="3"/>
        <v>175</v>
      </c>
      <c r="FX13" s="346">
        <f t="shared" si="3"/>
        <v>176</v>
      </c>
      <c r="FY13" s="346">
        <f t="shared" si="3"/>
        <v>177</v>
      </c>
      <c r="FZ13" s="346">
        <f t="shared" si="3"/>
        <v>178</v>
      </c>
      <c r="GA13" s="346">
        <f t="shared" si="3"/>
        <v>179</v>
      </c>
      <c r="GB13" s="346">
        <f t="shared" si="3"/>
        <v>180</v>
      </c>
      <c r="GC13" s="346">
        <f t="shared" si="3"/>
        <v>181</v>
      </c>
      <c r="GD13" s="346">
        <f t="shared" si="3"/>
        <v>182</v>
      </c>
      <c r="GE13" s="346">
        <f t="shared" si="3"/>
        <v>183</v>
      </c>
      <c r="GF13" s="346">
        <f t="shared" si="3"/>
        <v>184</v>
      </c>
      <c r="GG13" s="346">
        <f t="shared" si="3"/>
        <v>185</v>
      </c>
      <c r="GH13" s="346">
        <f t="shared" si="3"/>
        <v>186</v>
      </c>
      <c r="GI13" s="346">
        <f t="shared" si="3"/>
        <v>187</v>
      </c>
      <c r="GJ13" s="346">
        <f t="shared" si="3"/>
        <v>188</v>
      </c>
      <c r="GK13" s="346">
        <f t="shared" si="3"/>
        <v>189</v>
      </c>
      <c r="GL13" s="346">
        <f t="shared" si="3"/>
        <v>190</v>
      </c>
      <c r="GM13" s="346">
        <f t="shared" si="3"/>
        <v>191</v>
      </c>
      <c r="GN13" s="346">
        <f t="shared" si="3"/>
        <v>192</v>
      </c>
      <c r="GO13" s="346">
        <f t="shared" si="3"/>
        <v>193</v>
      </c>
      <c r="GP13" s="346">
        <f t="shared" si="3"/>
        <v>194</v>
      </c>
      <c r="GQ13" s="346">
        <f t="shared" si="3"/>
        <v>195</v>
      </c>
      <c r="GR13" s="346">
        <f t="shared" si="3"/>
        <v>196</v>
      </c>
      <c r="GS13" s="346">
        <f t="shared" si="3"/>
        <v>197</v>
      </c>
      <c r="GT13" s="346">
        <f t="shared" si="3"/>
        <v>198</v>
      </c>
      <c r="GU13" s="346">
        <f t="shared" si="3"/>
        <v>199</v>
      </c>
      <c r="GV13" s="346">
        <f t="shared" si="3"/>
        <v>200</v>
      </c>
      <c r="GW13" s="346">
        <f t="shared" si="3"/>
        <v>201</v>
      </c>
      <c r="GX13" s="346">
        <f t="shared" si="3"/>
        <v>202</v>
      </c>
      <c r="GY13" s="346">
        <f t="shared" si="3"/>
        <v>203</v>
      </c>
      <c r="GZ13" s="346">
        <f t="shared" si="3"/>
        <v>204</v>
      </c>
      <c r="HA13" s="346">
        <f t="shared" si="3"/>
        <v>205</v>
      </c>
      <c r="HB13" s="346">
        <f t="shared" si="3"/>
        <v>206</v>
      </c>
      <c r="HC13" s="346">
        <f t="shared" si="3"/>
        <v>207</v>
      </c>
      <c r="HD13" s="346">
        <f t="shared" si="3"/>
        <v>208</v>
      </c>
      <c r="HE13" s="346">
        <f t="shared" si="3"/>
        <v>209</v>
      </c>
      <c r="HF13" s="346">
        <f t="shared" si="3"/>
        <v>210</v>
      </c>
      <c r="HG13" s="346">
        <f t="shared" si="3"/>
        <v>211</v>
      </c>
      <c r="HH13" s="346">
        <f t="shared" si="3"/>
        <v>212</v>
      </c>
      <c r="HI13" s="346">
        <f t="shared" si="3"/>
        <v>213</v>
      </c>
      <c r="HJ13" s="346">
        <f t="shared" si="3"/>
        <v>214</v>
      </c>
      <c r="HK13" s="346">
        <f t="shared" si="3"/>
        <v>215</v>
      </c>
      <c r="HL13" s="346">
        <f t="shared" si="3"/>
        <v>216</v>
      </c>
      <c r="HM13" s="346">
        <f t="shared" si="3"/>
        <v>217</v>
      </c>
      <c r="HN13" s="346">
        <f t="shared" si="3"/>
        <v>218</v>
      </c>
      <c r="HO13" s="346">
        <f t="shared" ref="HO13:IS13" si="4">HN13+1</f>
        <v>219</v>
      </c>
      <c r="HP13" s="346">
        <f t="shared" si="4"/>
        <v>220</v>
      </c>
      <c r="HQ13" s="346">
        <f t="shared" si="4"/>
        <v>221</v>
      </c>
      <c r="HR13" s="346">
        <f t="shared" si="4"/>
        <v>222</v>
      </c>
      <c r="HS13" s="346">
        <f t="shared" si="4"/>
        <v>223</v>
      </c>
      <c r="HT13" s="346">
        <f t="shared" si="4"/>
        <v>224</v>
      </c>
      <c r="HU13" s="346">
        <f t="shared" si="4"/>
        <v>225</v>
      </c>
      <c r="HV13" s="346">
        <f t="shared" si="4"/>
        <v>226</v>
      </c>
      <c r="HW13" s="346">
        <f t="shared" si="4"/>
        <v>227</v>
      </c>
      <c r="HX13" s="346">
        <f t="shared" si="4"/>
        <v>228</v>
      </c>
      <c r="HY13" s="346">
        <f t="shared" si="4"/>
        <v>229</v>
      </c>
      <c r="HZ13" s="346">
        <f t="shared" si="4"/>
        <v>230</v>
      </c>
      <c r="IA13" s="346">
        <f t="shared" si="4"/>
        <v>231</v>
      </c>
      <c r="IB13" s="346">
        <f t="shared" si="4"/>
        <v>232</v>
      </c>
      <c r="IC13" s="346">
        <f t="shared" si="4"/>
        <v>233</v>
      </c>
      <c r="ID13" s="346">
        <f t="shared" si="4"/>
        <v>234</v>
      </c>
      <c r="IE13" s="346">
        <f t="shared" si="4"/>
        <v>235</v>
      </c>
      <c r="IF13" s="346">
        <f t="shared" si="4"/>
        <v>236</v>
      </c>
      <c r="IG13" s="346">
        <f t="shared" si="4"/>
        <v>237</v>
      </c>
      <c r="IH13" s="346">
        <f t="shared" si="4"/>
        <v>238</v>
      </c>
      <c r="II13" s="346">
        <f t="shared" si="4"/>
        <v>239</v>
      </c>
      <c r="IJ13" s="346">
        <f t="shared" si="4"/>
        <v>240</v>
      </c>
      <c r="IK13" s="346">
        <f t="shared" si="4"/>
        <v>241</v>
      </c>
      <c r="IL13" s="346">
        <f t="shared" si="4"/>
        <v>242</v>
      </c>
      <c r="IM13" s="346">
        <f t="shared" si="4"/>
        <v>243</v>
      </c>
      <c r="IN13" s="346">
        <f t="shared" si="4"/>
        <v>244</v>
      </c>
      <c r="IO13" s="346">
        <f t="shared" si="4"/>
        <v>245</v>
      </c>
      <c r="IP13" s="346">
        <f t="shared" si="4"/>
        <v>246</v>
      </c>
      <c r="IQ13" s="346">
        <f t="shared" si="4"/>
        <v>247</v>
      </c>
      <c r="IR13" s="346">
        <f t="shared" si="4"/>
        <v>248</v>
      </c>
      <c r="IS13" s="346">
        <f t="shared" si="4"/>
        <v>249</v>
      </c>
      <c r="IT13" s="346"/>
      <c r="IU13" s="346">
        <f>IS13+1</f>
        <v>250</v>
      </c>
    </row>
    <row r="14" spans="1:255">
      <c r="A14" s="347" t="s">
        <v>1499</v>
      </c>
      <c r="B14" s="344" t="s">
        <v>1498</v>
      </c>
      <c r="C14" s="358">
        <f>C9</f>
        <v>20</v>
      </c>
      <c r="D14" s="358">
        <f t="shared" ref="D14:BO14" si="5">C14*(1+$C5)</f>
        <v>21.200000000000003</v>
      </c>
      <c r="E14" s="358">
        <f t="shared" si="5"/>
        <v>22.472000000000005</v>
      </c>
      <c r="F14" s="358">
        <f t="shared" si="5"/>
        <v>23.820320000000006</v>
      </c>
      <c r="G14" s="358">
        <f t="shared" si="5"/>
        <v>25.249539200000008</v>
      </c>
      <c r="H14" s="358">
        <f t="shared" si="5"/>
        <v>26.764511552000009</v>
      </c>
      <c r="I14" s="358">
        <f t="shared" si="5"/>
        <v>28.370382245120012</v>
      </c>
      <c r="J14" s="358">
        <f t="shared" si="5"/>
        <v>30.072605179827214</v>
      </c>
      <c r="K14" s="358">
        <f t="shared" si="5"/>
        <v>31.87696149061685</v>
      </c>
      <c r="L14" s="358">
        <f t="shared" si="5"/>
        <v>33.789579180053863</v>
      </c>
      <c r="M14" s="358">
        <f t="shared" si="5"/>
        <v>35.816953930857096</v>
      </c>
      <c r="N14" s="358">
        <f t="shared" si="5"/>
        <v>37.96597116670852</v>
      </c>
      <c r="O14" s="358">
        <f t="shared" si="5"/>
        <v>40.243929436711035</v>
      </c>
      <c r="P14" s="358">
        <f t="shared" si="5"/>
        <v>42.658565202913699</v>
      </c>
      <c r="Q14" s="358">
        <f t="shared" si="5"/>
        <v>45.218079115088521</v>
      </c>
      <c r="R14" s="358">
        <f t="shared" si="5"/>
        <v>47.931163861993838</v>
      </c>
      <c r="S14" s="358">
        <f t="shared" si="5"/>
        <v>50.807033693713471</v>
      </c>
      <c r="T14" s="358">
        <f t="shared" si="5"/>
        <v>53.855455715336284</v>
      </c>
      <c r="U14" s="358">
        <f t="shared" si="5"/>
        <v>57.086783058256465</v>
      </c>
      <c r="V14" s="358">
        <f t="shared" si="5"/>
        <v>60.511990041751858</v>
      </c>
      <c r="W14" s="358">
        <f t="shared" si="5"/>
        <v>64.14270944425698</v>
      </c>
      <c r="X14" s="358">
        <f t="shared" si="5"/>
        <v>67.991272010912397</v>
      </c>
      <c r="Y14" s="358">
        <f t="shared" si="5"/>
        <v>72.070748331567145</v>
      </c>
      <c r="Z14" s="358">
        <f t="shared" si="5"/>
        <v>76.394993231461171</v>
      </c>
      <c r="AA14" s="358">
        <f t="shared" si="5"/>
        <v>80.978692825348844</v>
      </c>
      <c r="AB14" s="358">
        <f t="shared" si="5"/>
        <v>85.837414394869782</v>
      </c>
      <c r="AC14" s="358">
        <f t="shared" si="5"/>
        <v>90.987659258561976</v>
      </c>
      <c r="AD14" s="358">
        <f t="shared" si="5"/>
        <v>96.446918814075701</v>
      </c>
      <c r="AE14" s="358">
        <f t="shared" si="5"/>
        <v>102.23373394292025</v>
      </c>
      <c r="AF14" s="358">
        <f t="shared" si="5"/>
        <v>108.36775797949548</v>
      </c>
      <c r="AG14" s="358">
        <f t="shared" si="5"/>
        <v>114.86982345826522</v>
      </c>
      <c r="AH14" s="358">
        <f t="shared" si="5"/>
        <v>121.76201286576114</v>
      </c>
      <c r="AI14" s="358">
        <f t="shared" si="5"/>
        <v>129.06773363770682</v>
      </c>
      <c r="AJ14" s="358">
        <f t="shared" si="5"/>
        <v>136.81179765596923</v>
      </c>
      <c r="AK14" s="358">
        <f t="shared" si="5"/>
        <v>145.02050551532739</v>
      </c>
      <c r="AL14" s="358">
        <f t="shared" si="5"/>
        <v>153.72173584624704</v>
      </c>
      <c r="AM14" s="358">
        <f t="shared" si="5"/>
        <v>162.94503999702187</v>
      </c>
      <c r="AN14" s="358">
        <f t="shared" si="5"/>
        <v>172.72174239684318</v>
      </c>
      <c r="AO14" s="358">
        <f t="shared" si="5"/>
        <v>183.0850469406538</v>
      </c>
      <c r="AP14" s="358">
        <f t="shared" si="5"/>
        <v>194.07014975709305</v>
      </c>
      <c r="AQ14" s="358">
        <f t="shared" si="5"/>
        <v>205.71435874251864</v>
      </c>
      <c r="AR14" s="358">
        <f t="shared" si="5"/>
        <v>218.05722026706977</v>
      </c>
      <c r="AS14" s="358">
        <f t="shared" si="5"/>
        <v>231.14065348309396</v>
      </c>
      <c r="AT14" s="358">
        <f t="shared" si="5"/>
        <v>245.00909269207961</v>
      </c>
      <c r="AU14" s="358">
        <f t="shared" si="5"/>
        <v>259.7096382536044</v>
      </c>
      <c r="AV14" s="358">
        <f t="shared" si="5"/>
        <v>275.29221654882065</v>
      </c>
      <c r="AW14" s="358">
        <f t="shared" si="5"/>
        <v>291.80974954174991</v>
      </c>
      <c r="AX14" s="358">
        <f t="shared" si="5"/>
        <v>309.3183345142549</v>
      </c>
      <c r="AY14" s="358">
        <f t="shared" si="5"/>
        <v>327.87743458511022</v>
      </c>
      <c r="AZ14" s="358">
        <f t="shared" si="5"/>
        <v>347.55008066021685</v>
      </c>
      <c r="BA14" s="358">
        <f t="shared" si="5"/>
        <v>368.4030854998299</v>
      </c>
      <c r="BB14" s="358">
        <f t="shared" si="5"/>
        <v>390.50727062981969</v>
      </c>
      <c r="BC14" s="358">
        <f t="shared" si="5"/>
        <v>413.93770686760888</v>
      </c>
      <c r="BD14" s="358">
        <f t="shared" si="5"/>
        <v>438.77396927966544</v>
      </c>
      <c r="BE14" s="358">
        <f t="shared" si="5"/>
        <v>465.10040743644538</v>
      </c>
      <c r="BF14" s="358">
        <f t="shared" si="5"/>
        <v>493.00643188263211</v>
      </c>
      <c r="BG14" s="358">
        <f t="shared" si="5"/>
        <v>522.58681779559004</v>
      </c>
      <c r="BH14" s="358">
        <f t="shared" si="5"/>
        <v>553.94202686332551</v>
      </c>
      <c r="BI14" s="358">
        <f t="shared" si="5"/>
        <v>587.17854847512501</v>
      </c>
      <c r="BJ14" s="358">
        <f t="shared" si="5"/>
        <v>622.4092613836325</v>
      </c>
      <c r="BK14" s="358">
        <f t="shared" si="5"/>
        <v>659.75381706665053</v>
      </c>
      <c r="BL14" s="358">
        <f t="shared" si="5"/>
        <v>699.33904609064962</v>
      </c>
      <c r="BM14" s="358">
        <f t="shared" si="5"/>
        <v>741.29938885608863</v>
      </c>
      <c r="BN14" s="358">
        <f t="shared" si="5"/>
        <v>785.77735218745397</v>
      </c>
      <c r="BO14" s="358">
        <f t="shared" si="5"/>
        <v>832.92399331870126</v>
      </c>
      <c r="BP14" s="358">
        <f t="shared" ref="BP14:CN14" si="6">BO14*(1+$C5)</f>
        <v>882.89943291782333</v>
      </c>
      <c r="BQ14" s="358">
        <f t="shared" si="6"/>
        <v>935.87339889289274</v>
      </c>
      <c r="BR14" s="358">
        <f t="shared" si="6"/>
        <v>992.02580282646636</v>
      </c>
      <c r="BS14" s="358">
        <f t="shared" si="6"/>
        <v>1051.5473509960543</v>
      </c>
      <c r="BT14" s="358">
        <f t="shared" si="6"/>
        <v>1114.6401920558176</v>
      </c>
      <c r="BU14" s="358">
        <f t="shared" si="6"/>
        <v>1181.5186035791667</v>
      </c>
      <c r="BV14" s="358">
        <f t="shared" si="6"/>
        <v>1252.4097197939168</v>
      </c>
      <c r="BW14" s="358">
        <f t="shared" si="6"/>
        <v>1327.5543029815519</v>
      </c>
      <c r="BX14" s="358">
        <f t="shared" si="6"/>
        <v>1407.207561160445</v>
      </c>
      <c r="BY14" s="358">
        <f t="shared" si="6"/>
        <v>1491.6400148300718</v>
      </c>
      <c r="BZ14" s="358">
        <f t="shared" si="6"/>
        <v>1581.1384157198761</v>
      </c>
      <c r="CA14" s="358">
        <f t="shared" si="6"/>
        <v>1676.0067206630688</v>
      </c>
      <c r="CB14" s="358">
        <f t="shared" si="6"/>
        <v>1776.5671239028529</v>
      </c>
      <c r="CC14" s="358">
        <f t="shared" si="6"/>
        <v>1883.1611513370242</v>
      </c>
      <c r="CD14" s="358">
        <f t="shared" si="6"/>
        <v>1996.1508204172458</v>
      </c>
      <c r="CE14" s="358">
        <f t="shared" si="6"/>
        <v>2115.9198696422804</v>
      </c>
      <c r="CF14" s="358">
        <f t="shared" si="6"/>
        <v>2242.8750618208173</v>
      </c>
      <c r="CG14" s="358">
        <f t="shared" si="6"/>
        <v>2377.4475655300666</v>
      </c>
      <c r="CH14" s="358">
        <f t="shared" si="6"/>
        <v>2520.094419461871</v>
      </c>
      <c r="CI14" s="358">
        <f t="shared" si="6"/>
        <v>2671.3000846295836</v>
      </c>
      <c r="CJ14" s="358">
        <f t="shared" si="6"/>
        <v>2831.5780897073587</v>
      </c>
      <c r="CK14" s="358">
        <f t="shared" si="6"/>
        <v>3001.4727750898005</v>
      </c>
      <c r="CL14" s="358">
        <f t="shared" si="6"/>
        <v>3181.5611415951885</v>
      </c>
      <c r="CM14" s="358">
        <f t="shared" si="6"/>
        <v>3372.4548100909001</v>
      </c>
      <c r="CN14" s="358">
        <f t="shared" si="6"/>
        <v>3574.8020986963543</v>
      </c>
      <c r="CO14" s="359"/>
      <c r="CP14" s="358">
        <f>CN14*(1+$C5)</f>
        <v>3789.2902246181357</v>
      </c>
      <c r="CQ14" s="358">
        <f t="shared" ref="CQ14:FB14" si="7">CP14*(1+$C5)</f>
        <v>4016.647638095224</v>
      </c>
      <c r="CR14" s="358">
        <f t="shared" si="7"/>
        <v>4257.6464963809376</v>
      </c>
      <c r="CS14" s="358">
        <f t="shared" si="7"/>
        <v>4513.1052861637945</v>
      </c>
      <c r="CT14" s="358">
        <f t="shared" si="7"/>
        <v>4783.8916033336227</v>
      </c>
      <c r="CU14" s="358">
        <f t="shared" si="7"/>
        <v>5070.9250995336406</v>
      </c>
      <c r="CV14" s="358">
        <f t="shared" si="7"/>
        <v>5375.1806055056595</v>
      </c>
      <c r="CW14" s="358">
        <f t="shared" si="7"/>
        <v>5697.6914418359993</v>
      </c>
      <c r="CX14" s="358">
        <f t="shared" si="7"/>
        <v>6039.5529283461592</v>
      </c>
      <c r="CY14" s="358">
        <f t="shared" si="7"/>
        <v>6401.9261040469291</v>
      </c>
      <c r="CZ14" s="358">
        <f t="shared" si="7"/>
        <v>6786.0416702897455</v>
      </c>
      <c r="DA14" s="358">
        <f t="shared" si="7"/>
        <v>7193.2041705071306</v>
      </c>
      <c r="DB14" s="358">
        <f t="shared" si="7"/>
        <v>7624.7964207375589</v>
      </c>
      <c r="DC14" s="358">
        <f t="shared" si="7"/>
        <v>8082.2842059818131</v>
      </c>
      <c r="DD14" s="358">
        <f t="shared" si="7"/>
        <v>8567.2212583407218</v>
      </c>
      <c r="DE14" s="358">
        <f t="shared" si="7"/>
        <v>9081.2545338411655</v>
      </c>
      <c r="DF14" s="358">
        <f t="shared" si="7"/>
        <v>9626.1298058716366</v>
      </c>
      <c r="DG14" s="358">
        <f t="shared" si="7"/>
        <v>10203.697594223935</v>
      </c>
      <c r="DH14" s="358">
        <f t="shared" si="7"/>
        <v>10815.919449877372</v>
      </c>
      <c r="DI14" s="358">
        <f t="shared" si="7"/>
        <v>11464.874616870015</v>
      </c>
      <c r="DJ14" s="358">
        <f t="shared" si="7"/>
        <v>12152.767093882216</v>
      </c>
      <c r="DK14" s="358">
        <f t="shared" si="7"/>
        <v>12881.93311951515</v>
      </c>
      <c r="DL14" s="358">
        <f t="shared" si="7"/>
        <v>13654.849106686059</v>
      </c>
      <c r="DM14" s="358">
        <f t="shared" si="7"/>
        <v>14474.140053087223</v>
      </c>
      <c r="DN14" s="358">
        <f t="shared" si="7"/>
        <v>15342.588456272457</v>
      </c>
      <c r="DO14" s="358">
        <f t="shared" si="7"/>
        <v>16263.143763648804</v>
      </c>
      <c r="DP14" s="358">
        <f t="shared" si="7"/>
        <v>17238.932389467733</v>
      </c>
      <c r="DQ14" s="358">
        <f t="shared" si="7"/>
        <v>18273.268332835796</v>
      </c>
      <c r="DR14" s="358">
        <f t="shared" si="7"/>
        <v>19369.664432805945</v>
      </c>
      <c r="DS14" s="358">
        <f t="shared" si="7"/>
        <v>20531.844298774304</v>
      </c>
      <c r="DT14" s="358">
        <f t="shared" si="7"/>
        <v>21763.754956700763</v>
      </c>
      <c r="DU14" s="358">
        <f t="shared" si="7"/>
        <v>23069.58025410281</v>
      </c>
      <c r="DV14" s="358">
        <f t="shared" si="7"/>
        <v>24453.755069348979</v>
      </c>
      <c r="DW14" s="358">
        <f t="shared" si="7"/>
        <v>25920.980373509919</v>
      </c>
      <c r="DX14" s="358">
        <f t="shared" si="7"/>
        <v>27476.239195920516</v>
      </c>
      <c r="DY14" s="358">
        <f t="shared" si="7"/>
        <v>29124.813547675749</v>
      </c>
      <c r="DZ14" s="358">
        <f t="shared" si="7"/>
        <v>30872.302360536294</v>
      </c>
      <c r="EA14" s="358">
        <f t="shared" si="7"/>
        <v>32724.640502168473</v>
      </c>
      <c r="EB14" s="358">
        <f t="shared" si="7"/>
        <v>34688.118932298581</v>
      </c>
      <c r="EC14" s="358">
        <f t="shared" si="7"/>
        <v>36769.406068236494</v>
      </c>
      <c r="ED14" s="358">
        <f t="shared" si="7"/>
        <v>38975.570432330685</v>
      </c>
      <c r="EE14" s="358">
        <f t="shared" si="7"/>
        <v>41314.104658270531</v>
      </c>
      <c r="EF14" s="358">
        <f t="shared" si="7"/>
        <v>43792.950937766764</v>
      </c>
      <c r="EG14" s="358">
        <f t="shared" si="7"/>
        <v>46420.527994032775</v>
      </c>
      <c r="EH14" s="358">
        <f t="shared" si="7"/>
        <v>49205.759673674744</v>
      </c>
      <c r="EI14" s="358">
        <f t="shared" si="7"/>
        <v>52158.10525409523</v>
      </c>
      <c r="EJ14" s="358">
        <f t="shared" si="7"/>
        <v>55287.591569340948</v>
      </c>
      <c r="EK14" s="358">
        <f t="shared" si="7"/>
        <v>58604.847063501409</v>
      </c>
      <c r="EL14" s="358">
        <f t="shared" si="7"/>
        <v>62121.137887311495</v>
      </c>
      <c r="EM14" s="358">
        <f t="shared" si="7"/>
        <v>65848.406160550192</v>
      </c>
      <c r="EN14" s="358">
        <f t="shared" si="7"/>
        <v>69799.310530183211</v>
      </c>
      <c r="EO14" s="358">
        <f t="shared" si="7"/>
        <v>73987.269161994205</v>
      </c>
      <c r="EP14" s="358">
        <f t="shared" si="7"/>
        <v>78426.50531171386</v>
      </c>
      <c r="EQ14" s="358">
        <f t="shared" si="7"/>
        <v>83132.09563041669</v>
      </c>
      <c r="ER14" s="358">
        <f t="shared" si="7"/>
        <v>88120.021368241694</v>
      </c>
      <c r="ES14" s="358">
        <f t="shared" si="7"/>
        <v>93407.222650336204</v>
      </c>
      <c r="ET14" s="358">
        <f t="shared" si="7"/>
        <v>99011.656009356375</v>
      </c>
      <c r="EU14" s="358">
        <f t="shared" si="7"/>
        <v>104952.35536991776</v>
      </c>
      <c r="EV14" s="358">
        <f t="shared" si="7"/>
        <v>111249.49669211282</v>
      </c>
      <c r="EW14" s="358">
        <f t="shared" si="7"/>
        <v>117924.4664936396</v>
      </c>
      <c r="EX14" s="358">
        <f t="shared" si="7"/>
        <v>124999.93448325798</v>
      </c>
      <c r="EY14" s="358">
        <f t="shared" si="7"/>
        <v>132499.93055225347</v>
      </c>
      <c r="EZ14" s="358">
        <f t="shared" si="7"/>
        <v>140449.92638538868</v>
      </c>
      <c r="FA14" s="358">
        <f t="shared" si="7"/>
        <v>148876.921968512</v>
      </c>
      <c r="FB14" s="358">
        <f t="shared" si="7"/>
        <v>157809.53728662274</v>
      </c>
      <c r="FC14" s="358">
        <f t="shared" ref="FC14:HN14" si="8">FB14*(1+$C5)</f>
        <v>167278.10952382011</v>
      </c>
      <c r="FD14" s="358">
        <f t="shared" si="8"/>
        <v>177314.79609524933</v>
      </c>
      <c r="FE14" s="358">
        <f t="shared" si="8"/>
        <v>187953.68386096429</v>
      </c>
      <c r="FF14" s="358">
        <f t="shared" si="8"/>
        <v>199230.90489262214</v>
      </c>
      <c r="FG14" s="358">
        <f t="shared" si="8"/>
        <v>211184.75918617949</v>
      </c>
      <c r="FH14" s="358">
        <f t="shared" si="8"/>
        <v>223855.84473735027</v>
      </c>
      <c r="FI14" s="358">
        <f t="shared" si="8"/>
        <v>237287.19542159131</v>
      </c>
      <c r="FJ14" s="358">
        <f t="shared" si="8"/>
        <v>251524.4271468868</v>
      </c>
      <c r="FK14" s="358">
        <f t="shared" si="8"/>
        <v>266615.89277570002</v>
      </c>
      <c r="FL14" s="358">
        <f t="shared" si="8"/>
        <v>282612.84634224203</v>
      </c>
      <c r="FM14" s="358">
        <f t="shared" si="8"/>
        <v>299569.61712277657</v>
      </c>
      <c r="FN14" s="358">
        <f t="shared" si="8"/>
        <v>317543.79415014316</v>
      </c>
      <c r="FO14" s="358">
        <f t="shared" si="8"/>
        <v>336596.42179915175</v>
      </c>
      <c r="FP14" s="358">
        <f t="shared" si="8"/>
        <v>356792.20710710087</v>
      </c>
      <c r="FQ14" s="358">
        <f t="shared" si="8"/>
        <v>378199.73953352694</v>
      </c>
      <c r="FR14" s="358">
        <f t="shared" si="8"/>
        <v>400891.72390553856</v>
      </c>
      <c r="FS14" s="358">
        <f t="shared" si="8"/>
        <v>424945.22733987088</v>
      </c>
      <c r="FT14" s="358">
        <f t="shared" si="8"/>
        <v>450441.94098026317</v>
      </c>
      <c r="FU14" s="358">
        <f t="shared" si="8"/>
        <v>477468.45743907901</v>
      </c>
      <c r="FV14" s="358">
        <f t="shared" si="8"/>
        <v>506116.56488542375</v>
      </c>
      <c r="FW14" s="358">
        <f t="shared" si="8"/>
        <v>536483.5587785492</v>
      </c>
      <c r="FX14" s="358">
        <f t="shared" si="8"/>
        <v>568672.57230526221</v>
      </c>
      <c r="FY14" s="358">
        <f t="shared" si="8"/>
        <v>602792.92664357799</v>
      </c>
      <c r="FZ14" s="358">
        <f t="shared" si="8"/>
        <v>638960.50224219274</v>
      </c>
      <c r="GA14" s="358">
        <f t="shared" si="8"/>
        <v>677298.13237672439</v>
      </c>
      <c r="GB14" s="358">
        <f t="shared" si="8"/>
        <v>717936.02031932794</v>
      </c>
      <c r="GC14" s="358">
        <f t="shared" si="8"/>
        <v>761012.18153848767</v>
      </c>
      <c r="GD14" s="358">
        <f t="shared" si="8"/>
        <v>806672.91243079701</v>
      </c>
      <c r="GE14" s="358">
        <f t="shared" si="8"/>
        <v>855073.2871766449</v>
      </c>
      <c r="GF14" s="358">
        <f t="shared" si="8"/>
        <v>906377.68440724362</v>
      </c>
      <c r="GG14" s="358">
        <f t="shared" si="8"/>
        <v>960760.3454716783</v>
      </c>
      <c r="GH14" s="358">
        <f t="shared" si="8"/>
        <v>1018405.9661999791</v>
      </c>
      <c r="GI14" s="358">
        <f t="shared" si="8"/>
        <v>1079510.3241719778</v>
      </c>
      <c r="GJ14" s="358">
        <f t="shared" si="8"/>
        <v>1144280.9436222964</v>
      </c>
      <c r="GK14" s="358">
        <f t="shared" si="8"/>
        <v>1212937.8002396342</v>
      </c>
      <c r="GL14" s="358">
        <f t="shared" si="8"/>
        <v>1285714.0682540124</v>
      </c>
      <c r="GM14" s="358">
        <f t="shared" si="8"/>
        <v>1362856.9123492532</v>
      </c>
      <c r="GN14" s="358">
        <f t="shared" si="8"/>
        <v>1444628.3270902084</v>
      </c>
      <c r="GO14" s="358">
        <f t="shared" si="8"/>
        <v>1531306.0267156209</v>
      </c>
      <c r="GP14" s="358">
        <f t="shared" si="8"/>
        <v>1623184.3883185582</v>
      </c>
      <c r="GQ14" s="358">
        <f t="shared" si="8"/>
        <v>1720575.4516176719</v>
      </c>
      <c r="GR14" s="358">
        <f t="shared" si="8"/>
        <v>1823809.9787147322</v>
      </c>
      <c r="GS14" s="358">
        <f t="shared" si="8"/>
        <v>1933238.5774376162</v>
      </c>
      <c r="GT14" s="358">
        <f t="shared" si="8"/>
        <v>2049232.8920838733</v>
      </c>
      <c r="GU14" s="358">
        <f t="shared" si="8"/>
        <v>2172186.8656089059</v>
      </c>
      <c r="GV14" s="358">
        <f t="shared" si="8"/>
        <v>2302518.0775454403</v>
      </c>
      <c r="GW14" s="358">
        <f t="shared" si="8"/>
        <v>2440669.1621981668</v>
      </c>
      <c r="GX14" s="358">
        <f t="shared" si="8"/>
        <v>2587109.3119300571</v>
      </c>
      <c r="GY14" s="358">
        <f t="shared" si="8"/>
        <v>2742335.8706458607</v>
      </c>
      <c r="GZ14" s="358">
        <f t="shared" si="8"/>
        <v>2906876.0228846124</v>
      </c>
      <c r="HA14" s="358">
        <f t="shared" si="8"/>
        <v>3081288.5842576893</v>
      </c>
      <c r="HB14" s="358">
        <f t="shared" si="8"/>
        <v>3266165.8993131509</v>
      </c>
      <c r="HC14" s="358">
        <f t="shared" si="8"/>
        <v>3462135.8532719403</v>
      </c>
      <c r="HD14" s="358">
        <f t="shared" si="8"/>
        <v>3669864.0044682571</v>
      </c>
      <c r="HE14" s="358">
        <f t="shared" si="8"/>
        <v>3890055.8447363526</v>
      </c>
      <c r="HF14" s="358">
        <f t="shared" si="8"/>
        <v>4123459.1954205339</v>
      </c>
      <c r="HG14" s="358">
        <f t="shared" si="8"/>
        <v>4370866.7471457664</v>
      </c>
      <c r="HH14" s="358">
        <f t="shared" si="8"/>
        <v>4633118.7519745128</v>
      </c>
      <c r="HI14" s="358">
        <f t="shared" si="8"/>
        <v>4911105.8770929836</v>
      </c>
      <c r="HJ14" s="358">
        <f t="shared" si="8"/>
        <v>5205772.2297185631</v>
      </c>
      <c r="HK14" s="358">
        <f t="shared" si="8"/>
        <v>5518118.5635016775</v>
      </c>
      <c r="HL14" s="358">
        <f t="shared" si="8"/>
        <v>5849205.6773117781</v>
      </c>
      <c r="HM14" s="358">
        <f t="shared" si="8"/>
        <v>6200158.0179504855</v>
      </c>
      <c r="HN14" s="358">
        <f t="shared" si="8"/>
        <v>6572167.4990275148</v>
      </c>
      <c r="HO14" s="358">
        <f t="shared" ref="HO14:IS14" si="9">HN14*(1+$C5)</f>
        <v>6966497.5489691664</v>
      </c>
      <c r="HP14" s="358">
        <f t="shared" si="9"/>
        <v>7384487.4019073164</v>
      </c>
      <c r="HQ14" s="358">
        <f t="shared" si="9"/>
        <v>7827556.6460217554</v>
      </c>
      <c r="HR14" s="358">
        <f t="shared" si="9"/>
        <v>8297210.0447830614</v>
      </c>
      <c r="HS14" s="358">
        <f t="shared" si="9"/>
        <v>8795042.6474700458</v>
      </c>
      <c r="HT14" s="358">
        <f t="shared" si="9"/>
        <v>9322745.2063182499</v>
      </c>
      <c r="HU14" s="358">
        <f t="shared" si="9"/>
        <v>9882109.918697346</v>
      </c>
      <c r="HV14" s="358">
        <f t="shared" si="9"/>
        <v>10475036.513819188</v>
      </c>
      <c r="HW14" s="358">
        <f t="shared" si="9"/>
        <v>11103538.70464834</v>
      </c>
      <c r="HX14" s="358">
        <f t="shared" si="9"/>
        <v>11769751.02692724</v>
      </c>
      <c r="HY14" s="358">
        <f t="shared" si="9"/>
        <v>12475936.088542875</v>
      </c>
      <c r="HZ14" s="358">
        <f t="shared" si="9"/>
        <v>13224492.253855448</v>
      </c>
      <c r="IA14" s="358">
        <f t="shared" si="9"/>
        <v>14017961.789086776</v>
      </c>
      <c r="IB14" s="358">
        <f t="shared" si="9"/>
        <v>14859039.496431984</v>
      </c>
      <c r="IC14" s="358">
        <f t="shared" si="9"/>
        <v>15750581.866217904</v>
      </c>
      <c r="ID14" s="358">
        <f t="shared" si="9"/>
        <v>16695616.77819098</v>
      </c>
      <c r="IE14" s="358">
        <f t="shared" si="9"/>
        <v>17697353.784882441</v>
      </c>
      <c r="IF14" s="358">
        <f t="shared" si="9"/>
        <v>18759195.011975389</v>
      </c>
      <c r="IG14" s="358">
        <f t="shared" si="9"/>
        <v>19884746.712693915</v>
      </c>
      <c r="IH14" s="358">
        <f t="shared" si="9"/>
        <v>21077831.515455551</v>
      </c>
      <c r="II14" s="358">
        <f t="shared" si="9"/>
        <v>22342501.406382885</v>
      </c>
      <c r="IJ14" s="358">
        <f t="shared" si="9"/>
        <v>23683051.490765858</v>
      </c>
      <c r="IK14" s="358">
        <f t="shared" si="9"/>
        <v>25104034.580211811</v>
      </c>
      <c r="IL14" s="358">
        <f t="shared" si="9"/>
        <v>26610276.655024521</v>
      </c>
      <c r="IM14" s="358">
        <f t="shared" si="9"/>
        <v>28206893.254325993</v>
      </c>
      <c r="IN14" s="358">
        <f t="shared" si="9"/>
        <v>29899306.849585555</v>
      </c>
      <c r="IO14" s="358">
        <f t="shared" si="9"/>
        <v>31693265.260560691</v>
      </c>
      <c r="IP14" s="358">
        <f t="shared" si="9"/>
        <v>33594861.176194333</v>
      </c>
      <c r="IQ14" s="358">
        <f t="shared" si="9"/>
        <v>35610552.846765995</v>
      </c>
      <c r="IR14" s="358">
        <f t="shared" si="9"/>
        <v>37747186.017571956</v>
      </c>
      <c r="IS14" s="358">
        <f t="shared" si="9"/>
        <v>40012017.178626277</v>
      </c>
      <c r="IT14" s="359"/>
      <c r="IU14" s="358">
        <f>IS14*(1+$C5)</f>
        <v>42412738.209343858</v>
      </c>
    </row>
    <row r="15" spans="1:255">
      <c r="A15" s="350" t="s">
        <v>1500</v>
      </c>
      <c r="C15" s="358"/>
      <c r="D15" s="352">
        <f t="shared" ref="D15:BO15" si="10">(D14-C14)/C14</f>
        <v>6.0000000000000143E-2</v>
      </c>
      <c r="E15" s="352">
        <f t="shared" si="10"/>
        <v>6.0000000000000088E-2</v>
      </c>
      <c r="F15" s="352">
        <f t="shared" si="10"/>
        <v>6.0000000000000032E-2</v>
      </c>
      <c r="G15" s="352">
        <f t="shared" si="10"/>
        <v>6.0000000000000074E-2</v>
      </c>
      <c r="H15" s="352">
        <f t="shared" si="10"/>
        <v>6.0000000000000019E-2</v>
      </c>
      <c r="I15" s="352">
        <f t="shared" si="10"/>
        <v>6.0000000000000109E-2</v>
      </c>
      <c r="J15" s="352">
        <f t="shared" si="10"/>
        <v>6.0000000000000019E-2</v>
      </c>
      <c r="K15" s="352">
        <f t="shared" si="10"/>
        <v>6.0000000000000109E-2</v>
      </c>
      <c r="L15" s="352">
        <f t="shared" si="10"/>
        <v>6.0000000000000074E-2</v>
      </c>
      <c r="M15" s="352">
        <f t="shared" si="10"/>
        <v>6.0000000000000032E-2</v>
      </c>
      <c r="N15" s="352">
        <f t="shared" si="10"/>
        <v>5.9999999999999963E-2</v>
      </c>
      <c r="O15" s="352">
        <f t="shared" si="10"/>
        <v>6.0000000000000088E-2</v>
      </c>
      <c r="P15" s="352">
        <f t="shared" si="10"/>
        <v>6.000000000000006E-2</v>
      </c>
      <c r="Q15" s="352">
        <f t="shared" si="10"/>
        <v>0.06</v>
      </c>
      <c r="R15" s="352">
        <f t="shared" si="10"/>
        <v>6.0000000000000116E-2</v>
      </c>
      <c r="S15" s="352">
        <f t="shared" si="10"/>
        <v>6.0000000000000067E-2</v>
      </c>
      <c r="T15" s="352">
        <f t="shared" si="10"/>
        <v>6.0000000000000081E-2</v>
      </c>
      <c r="U15" s="352">
        <f t="shared" si="10"/>
        <v>6.0000000000000081E-2</v>
      </c>
      <c r="V15" s="352">
        <f t="shared" si="10"/>
        <v>6.0000000000000088E-2</v>
      </c>
      <c r="W15" s="352">
        <f t="shared" si="10"/>
        <v>6.0000000000000171E-2</v>
      </c>
      <c r="X15" s="352">
        <f t="shared" si="10"/>
        <v>5.999999999999997E-2</v>
      </c>
      <c r="Y15" s="352">
        <f t="shared" si="10"/>
        <v>6.0000000000000074E-2</v>
      </c>
      <c r="Z15" s="352">
        <f t="shared" si="10"/>
        <v>5.9999999999999963E-2</v>
      </c>
      <c r="AA15" s="352">
        <f t="shared" si="10"/>
        <v>6.0000000000000032E-2</v>
      </c>
      <c r="AB15" s="352">
        <f t="shared" si="10"/>
        <v>6.0000000000000088E-2</v>
      </c>
      <c r="AC15" s="352">
        <f t="shared" si="10"/>
        <v>6.0000000000000081E-2</v>
      </c>
      <c r="AD15" s="352">
        <f t="shared" si="10"/>
        <v>6.0000000000000074E-2</v>
      </c>
      <c r="AE15" s="352">
        <f t="shared" si="10"/>
        <v>6.0000000000000102E-2</v>
      </c>
      <c r="AF15" s="352">
        <f t="shared" si="10"/>
        <v>6.0000000000000109E-2</v>
      </c>
      <c r="AG15" s="352">
        <f t="shared" si="10"/>
        <v>6.0000000000000074E-2</v>
      </c>
      <c r="AH15" s="352">
        <f t="shared" si="10"/>
        <v>6.000000000000006E-2</v>
      </c>
      <c r="AI15" s="352">
        <f t="shared" si="10"/>
        <v>6.0000000000000157E-2</v>
      </c>
      <c r="AJ15" s="352">
        <f t="shared" si="10"/>
        <v>5.9999999999999977E-2</v>
      </c>
      <c r="AK15" s="352">
        <f t="shared" si="10"/>
        <v>6.0000000000000019E-2</v>
      </c>
      <c r="AL15" s="352">
        <f t="shared" si="10"/>
        <v>6.0000000000000095E-2</v>
      </c>
      <c r="AM15" s="352">
        <f t="shared" si="10"/>
        <v>0.06</v>
      </c>
      <c r="AN15" s="352">
        <f t="shared" si="10"/>
        <v>6.0000000000000032E-2</v>
      </c>
      <c r="AO15" s="352">
        <f t="shared" si="10"/>
        <v>6.000000000000013E-2</v>
      </c>
      <c r="AP15" s="352">
        <f t="shared" si="10"/>
        <v>6.000000000000013E-2</v>
      </c>
      <c r="AQ15" s="352">
        <f t="shared" si="10"/>
        <v>6.0000000000000046E-2</v>
      </c>
      <c r="AR15" s="352">
        <f t="shared" si="10"/>
        <v>6.0000000000000032E-2</v>
      </c>
      <c r="AS15" s="352">
        <f t="shared" si="10"/>
        <v>6.0000000000000019E-2</v>
      </c>
      <c r="AT15" s="352">
        <f t="shared" si="10"/>
        <v>6.0000000000000046E-2</v>
      </c>
      <c r="AU15" s="352">
        <f t="shared" si="10"/>
        <v>6.000000000000006E-2</v>
      </c>
      <c r="AV15" s="352">
        <f t="shared" si="10"/>
        <v>5.9999999999999949E-2</v>
      </c>
      <c r="AW15" s="352">
        <f t="shared" si="10"/>
        <v>6.0000000000000081E-2</v>
      </c>
      <c r="AX15" s="352">
        <f t="shared" si="10"/>
        <v>5.9999999999999991E-2</v>
      </c>
      <c r="AY15" s="352">
        <f t="shared" si="10"/>
        <v>6.0000000000000095E-2</v>
      </c>
      <c r="AZ15" s="352">
        <f t="shared" si="10"/>
        <v>6.0000000000000039E-2</v>
      </c>
      <c r="BA15" s="352">
        <f t="shared" si="10"/>
        <v>6.0000000000000109E-2</v>
      </c>
      <c r="BB15" s="352">
        <f t="shared" si="10"/>
        <v>5.9999999999999984E-2</v>
      </c>
      <c r="BC15" s="352">
        <f t="shared" si="10"/>
        <v>6.0000000000000032E-2</v>
      </c>
      <c r="BD15" s="352">
        <f t="shared" si="10"/>
        <v>6.0000000000000053E-2</v>
      </c>
      <c r="BE15" s="352">
        <f t="shared" si="10"/>
        <v>6.0000000000000039E-2</v>
      </c>
      <c r="BF15" s="352">
        <f t="shared" si="10"/>
        <v>6.0000000000000026E-2</v>
      </c>
      <c r="BG15" s="352">
        <f t="shared" si="10"/>
        <v>5.9999999999999991E-2</v>
      </c>
      <c r="BH15" s="352">
        <f t="shared" si="10"/>
        <v>6.0000000000000137E-2</v>
      </c>
      <c r="BI15" s="352">
        <f t="shared" si="10"/>
        <v>5.9999999999999949E-2</v>
      </c>
      <c r="BJ15" s="352">
        <f t="shared" si="10"/>
        <v>5.999999999999997E-2</v>
      </c>
      <c r="BK15" s="352">
        <f t="shared" si="10"/>
        <v>6.000000000000013E-2</v>
      </c>
      <c r="BL15" s="352">
        <f t="shared" si="10"/>
        <v>6.0000000000000088E-2</v>
      </c>
      <c r="BM15" s="352">
        <f t="shared" si="10"/>
        <v>6.0000000000000046E-2</v>
      </c>
      <c r="BN15" s="352">
        <f t="shared" si="10"/>
        <v>6.0000000000000039E-2</v>
      </c>
      <c r="BO15" s="352">
        <f t="shared" si="10"/>
        <v>6.0000000000000067E-2</v>
      </c>
      <c r="BP15" s="352">
        <f t="shared" ref="BP15:CN15" si="11">(BP14-BO14)/BO14</f>
        <v>5.9999999999999991E-2</v>
      </c>
      <c r="BQ15" s="352">
        <f t="shared" si="11"/>
        <v>6.0000000000000005E-2</v>
      </c>
      <c r="BR15" s="352">
        <f t="shared" si="11"/>
        <v>6.000000000000006E-2</v>
      </c>
      <c r="BS15" s="352">
        <f t="shared" si="11"/>
        <v>5.9999999999999977E-2</v>
      </c>
      <c r="BT15" s="352">
        <f t="shared" si="11"/>
        <v>0.06</v>
      </c>
      <c r="BU15" s="352">
        <f t="shared" si="11"/>
        <v>6.0000000000000026E-2</v>
      </c>
      <c r="BV15" s="352">
        <f t="shared" si="11"/>
        <v>6.0000000000000109E-2</v>
      </c>
      <c r="BW15" s="352">
        <f t="shared" si="11"/>
        <v>6.0000000000000102E-2</v>
      </c>
      <c r="BX15" s="352">
        <f t="shared" si="11"/>
        <v>0.06</v>
      </c>
      <c r="BY15" s="352">
        <f t="shared" si="11"/>
        <v>6.0000000000000026E-2</v>
      </c>
      <c r="BZ15" s="352">
        <f t="shared" si="11"/>
        <v>6.0000000000000005E-2</v>
      </c>
      <c r="CA15" s="352">
        <f t="shared" si="11"/>
        <v>6.0000000000000081E-2</v>
      </c>
      <c r="CB15" s="352">
        <f t="shared" si="11"/>
        <v>6.0000000000000005E-2</v>
      </c>
      <c r="CC15" s="352">
        <f t="shared" si="11"/>
        <v>6.0000000000000053E-2</v>
      </c>
      <c r="CD15" s="352">
        <f t="shared" si="11"/>
        <v>6.0000000000000067E-2</v>
      </c>
      <c r="CE15" s="352">
        <f t="shared" si="11"/>
        <v>5.9999999999999963E-2</v>
      </c>
      <c r="CF15" s="352">
        <f t="shared" si="11"/>
        <v>6.0000000000000032E-2</v>
      </c>
      <c r="CG15" s="352">
        <f t="shared" si="11"/>
        <v>6.0000000000000116E-2</v>
      </c>
      <c r="CH15" s="352">
        <f t="shared" si="11"/>
        <v>6.0000000000000143E-2</v>
      </c>
      <c r="CI15" s="352">
        <f t="shared" si="11"/>
        <v>6.0000000000000137E-2</v>
      </c>
      <c r="CJ15" s="352">
        <f t="shared" si="11"/>
        <v>6.0000000000000032E-2</v>
      </c>
      <c r="CK15" s="352">
        <f t="shared" si="11"/>
        <v>6.0000000000000109E-2</v>
      </c>
      <c r="CL15" s="352">
        <f t="shared" si="11"/>
        <v>5.9999999999999977E-2</v>
      </c>
      <c r="CM15" s="352">
        <f t="shared" si="11"/>
        <v>6.0000000000000095E-2</v>
      </c>
      <c r="CN15" s="352">
        <f t="shared" si="11"/>
        <v>6.0000000000000053E-2</v>
      </c>
      <c r="CO15" s="360"/>
      <c r="CP15" s="352">
        <f>(CP14-CN14)/CN14</f>
        <v>6.0000000000000032E-2</v>
      </c>
      <c r="CQ15" s="352">
        <f t="shared" ref="CQ15:FB15" si="12">(CQ14-CP14)/CP14</f>
        <v>6.000000000000006E-2</v>
      </c>
      <c r="CR15" s="352">
        <f t="shared" si="12"/>
        <v>6.0000000000000039E-2</v>
      </c>
      <c r="CS15" s="352">
        <f t="shared" si="12"/>
        <v>6.000000000000015E-2</v>
      </c>
      <c r="CT15" s="352">
        <f t="shared" si="12"/>
        <v>6.0000000000000116E-2</v>
      </c>
      <c r="CU15" s="352">
        <f t="shared" si="12"/>
        <v>6.0000000000000116E-2</v>
      </c>
      <c r="CV15" s="352">
        <f t="shared" si="12"/>
        <v>6.0000000000000095E-2</v>
      </c>
      <c r="CW15" s="352">
        <f t="shared" si="12"/>
        <v>6.0000000000000039E-2</v>
      </c>
      <c r="CX15" s="352">
        <f t="shared" si="12"/>
        <v>5.9999999999999991E-2</v>
      </c>
      <c r="CY15" s="352">
        <f t="shared" si="12"/>
        <v>6.000000000000006E-2</v>
      </c>
      <c r="CZ15" s="352">
        <f t="shared" si="12"/>
        <v>6.0000000000000102E-2</v>
      </c>
      <c r="DA15" s="352">
        <f t="shared" si="12"/>
        <v>6.0000000000000046E-2</v>
      </c>
      <c r="DB15" s="352">
        <f t="shared" si="12"/>
        <v>6.0000000000000074E-2</v>
      </c>
      <c r="DC15" s="352">
        <f t="shared" si="12"/>
        <v>6.0000000000000081E-2</v>
      </c>
      <c r="DD15" s="352">
        <f t="shared" si="12"/>
        <v>5.9999999999999984E-2</v>
      </c>
      <c r="DE15" s="352">
        <f t="shared" si="12"/>
        <v>6.0000000000000053E-2</v>
      </c>
      <c r="DF15" s="352">
        <f t="shared" si="12"/>
        <v>6.0000000000000123E-2</v>
      </c>
      <c r="DG15" s="352">
        <f t="shared" si="12"/>
        <v>6.0000000000000032E-2</v>
      </c>
      <c r="DH15" s="352">
        <f t="shared" si="12"/>
        <v>6.0000000000000102E-2</v>
      </c>
      <c r="DI15" s="352">
        <f t="shared" si="12"/>
        <v>5.9999999999999991E-2</v>
      </c>
      <c r="DJ15" s="352">
        <f t="shared" si="12"/>
        <v>6.0000000000000026E-2</v>
      </c>
      <c r="DK15" s="352">
        <f t="shared" si="12"/>
        <v>6.0000000000000102E-2</v>
      </c>
      <c r="DL15" s="352">
        <f t="shared" si="12"/>
        <v>0.06</v>
      </c>
      <c r="DM15" s="352">
        <f t="shared" si="12"/>
        <v>6.0000000000000074E-2</v>
      </c>
      <c r="DN15" s="352">
        <f t="shared" si="12"/>
        <v>6.0000000000000005E-2</v>
      </c>
      <c r="DO15" s="352">
        <f t="shared" si="12"/>
        <v>6.0000000000000012E-2</v>
      </c>
      <c r="DP15" s="352">
        <f t="shared" si="12"/>
        <v>0.06</v>
      </c>
      <c r="DQ15" s="352">
        <f t="shared" si="12"/>
        <v>5.999999999999997E-2</v>
      </c>
      <c r="DR15" s="352">
        <f t="shared" si="12"/>
        <v>6.0000000000000039E-2</v>
      </c>
      <c r="DS15" s="352">
        <f t="shared" si="12"/>
        <v>6.0000000000000123E-2</v>
      </c>
      <c r="DT15" s="352">
        <f t="shared" si="12"/>
        <v>6.0000000000000032E-2</v>
      </c>
      <c r="DU15" s="352">
        <f t="shared" si="12"/>
        <v>6.000000000000006E-2</v>
      </c>
      <c r="DV15" s="352">
        <f t="shared" si="12"/>
        <v>6.0000000000000046E-2</v>
      </c>
      <c r="DW15" s="352">
        <f t="shared" si="12"/>
        <v>6.0000000000000053E-2</v>
      </c>
      <c r="DX15" s="352">
        <f t="shared" si="12"/>
        <v>6.0000000000000053E-2</v>
      </c>
      <c r="DY15" s="352">
        <f t="shared" si="12"/>
        <v>6.0000000000000067E-2</v>
      </c>
      <c r="DZ15" s="352">
        <f t="shared" si="12"/>
        <v>6.0000000000000012E-2</v>
      </c>
      <c r="EA15" s="352">
        <f t="shared" si="12"/>
        <v>6.0000000000000046E-2</v>
      </c>
      <c r="EB15" s="352">
        <f t="shared" si="12"/>
        <v>5.9999999999999984E-2</v>
      </c>
      <c r="EC15" s="352">
        <f t="shared" si="12"/>
        <v>5.9999999999999956E-2</v>
      </c>
      <c r="ED15" s="352">
        <f t="shared" si="12"/>
        <v>6.0000000000000039E-2</v>
      </c>
      <c r="EE15" s="352">
        <f t="shared" si="12"/>
        <v>6.0000000000000123E-2</v>
      </c>
      <c r="EF15" s="352">
        <f t="shared" si="12"/>
        <v>6.0000000000000012E-2</v>
      </c>
      <c r="EG15" s="352">
        <f t="shared" si="12"/>
        <v>6.0000000000000116E-2</v>
      </c>
      <c r="EH15" s="352">
        <f t="shared" si="12"/>
        <v>6.0000000000000053E-2</v>
      </c>
      <c r="EI15" s="352">
        <f t="shared" si="12"/>
        <v>6.0000000000000026E-2</v>
      </c>
      <c r="EJ15" s="352">
        <f t="shared" si="12"/>
        <v>6.0000000000000088E-2</v>
      </c>
      <c r="EK15" s="352">
        <f t="shared" si="12"/>
        <v>6.0000000000000081E-2</v>
      </c>
      <c r="EL15" s="352">
        <f t="shared" si="12"/>
        <v>6.0000000000000032E-2</v>
      </c>
      <c r="EM15" s="352">
        <f t="shared" si="12"/>
        <v>6.0000000000000109E-2</v>
      </c>
      <c r="EN15" s="352">
        <f t="shared" si="12"/>
        <v>6.0000000000000116E-2</v>
      </c>
      <c r="EO15" s="352">
        <f t="shared" si="12"/>
        <v>6.0000000000000019E-2</v>
      </c>
      <c r="EP15" s="352">
        <f t="shared" si="12"/>
        <v>6.0000000000000026E-2</v>
      </c>
      <c r="EQ15" s="352">
        <f t="shared" si="12"/>
        <v>5.9999999999999991E-2</v>
      </c>
      <c r="ER15" s="352">
        <f t="shared" si="12"/>
        <v>6.0000000000000032E-2</v>
      </c>
      <c r="ES15" s="352">
        <f t="shared" si="12"/>
        <v>6.0000000000000088E-2</v>
      </c>
      <c r="ET15" s="352">
        <f t="shared" si="12"/>
        <v>5.9999999999999991E-2</v>
      </c>
      <c r="EU15" s="352">
        <f t="shared" si="12"/>
        <v>0.06</v>
      </c>
      <c r="EV15" s="352">
        <f t="shared" si="12"/>
        <v>5.9999999999999991E-2</v>
      </c>
      <c r="EW15" s="352">
        <f t="shared" si="12"/>
        <v>6.0000000000000081E-2</v>
      </c>
      <c r="EX15" s="352">
        <f t="shared" si="12"/>
        <v>6.0000000000000039E-2</v>
      </c>
      <c r="EY15" s="352">
        <f t="shared" si="12"/>
        <v>6.0000000000000088E-2</v>
      </c>
      <c r="EZ15" s="352">
        <f t="shared" si="12"/>
        <v>6.0000000000000012E-2</v>
      </c>
      <c r="FA15" s="352">
        <f t="shared" si="12"/>
        <v>6.0000000000000019E-2</v>
      </c>
      <c r="FB15" s="352">
        <f t="shared" si="12"/>
        <v>6.0000000000000109E-2</v>
      </c>
      <c r="FC15" s="352">
        <f t="shared" ref="FC15:HN15" si="13">(FC14-FB14)/FB14</f>
        <v>6.0000000000000026E-2</v>
      </c>
      <c r="FD15" s="352">
        <f t="shared" si="13"/>
        <v>6.0000000000000088E-2</v>
      </c>
      <c r="FE15" s="352">
        <f t="shared" si="13"/>
        <v>5.9999999999999984E-2</v>
      </c>
      <c r="FF15" s="352">
        <f t="shared" si="13"/>
        <v>0.06</v>
      </c>
      <c r="FG15" s="352">
        <f t="shared" si="13"/>
        <v>6.0000000000000102E-2</v>
      </c>
      <c r="FH15" s="352">
        <f t="shared" si="13"/>
        <v>6.0000000000000039E-2</v>
      </c>
      <c r="FI15" s="352">
        <f t="shared" si="13"/>
        <v>6.0000000000000116E-2</v>
      </c>
      <c r="FJ15" s="352">
        <f t="shared" si="13"/>
        <v>6.0000000000000012E-2</v>
      </c>
      <c r="FK15" s="352">
        <f t="shared" si="13"/>
        <v>6.0000000000000067E-2</v>
      </c>
      <c r="FL15" s="352">
        <f t="shared" si="13"/>
        <v>6.0000000000000039E-2</v>
      </c>
      <c r="FM15" s="352">
        <f t="shared" si="13"/>
        <v>6.0000000000000067E-2</v>
      </c>
      <c r="FN15" s="352">
        <f t="shared" si="13"/>
        <v>5.9999999999999984E-2</v>
      </c>
      <c r="FO15" s="352">
        <f t="shared" si="13"/>
        <v>5.9999999999999991E-2</v>
      </c>
      <c r="FP15" s="352">
        <f t="shared" si="13"/>
        <v>6.0000000000000039E-2</v>
      </c>
      <c r="FQ15" s="352">
        <f t="shared" si="13"/>
        <v>6.0000000000000053E-2</v>
      </c>
      <c r="FR15" s="352">
        <f t="shared" si="13"/>
        <v>6.0000000000000005E-2</v>
      </c>
      <c r="FS15" s="352">
        <f t="shared" si="13"/>
        <v>6.0000000000000019E-2</v>
      </c>
      <c r="FT15" s="352">
        <f t="shared" si="13"/>
        <v>6.0000000000000095E-2</v>
      </c>
      <c r="FU15" s="352">
        <f t="shared" si="13"/>
        <v>6.0000000000000102E-2</v>
      </c>
      <c r="FV15" s="352">
        <f t="shared" si="13"/>
        <v>6.0000000000000005E-2</v>
      </c>
      <c r="FW15" s="352">
        <f t="shared" si="13"/>
        <v>6.0000000000000039E-2</v>
      </c>
      <c r="FX15" s="352">
        <f t="shared" si="13"/>
        <v>6.0000000000000109E-2</v>
      </c>
      <c r="FY15" s="352">
        <f t="shared" si="13"/>
        <v>6.0000000000000088E-2</v>
      </c>
      <c r="FZ15" s="352">
        <f t="shared" si="13"/>
        <v>6.000000000000013E-2</v>
      </c>
      <c r="GA15" s="352">
        <f t="shared" si="13"/>
        <v>6.000000000000013E-2</v>
      </c>
      <c r="GB15" s="352">
        <f t="shared" si="13"/>
        <v>6.0000000000000137E-2</v>
      </c>
      <c r="GC15" s="352">
        <f t="shared" si="13"/>
        <v>6.0000000000000067E-2</v>
      </c>
      <c r="GD15" s="352">
        <f t="shared" si="13"/>
        <v>6.0000000000000102E-2</v>
      </c>
      <c r="GE15" s="352">
        <f t="shared" si="13"/>
        <v>6.0000000000000088E-2</v>
      </c>
      <c r="GF15" s="352">
        <f t="shared" si="13"/>
        <v>6.0000000000000039E-2</v>
      </c>
      <c r="GG15" s="352">
        <f t="shared" si="13"/>
        <v>6.0000000000000067E-2</v>
      </c>
      <c r="GH15" s="352">
        <f t="shared" si="13"/>
        <v>6.0000000000000074E-2</v>
      </c>
      <c r="GI15" s="352">
        <f t="shared" si="13"/>
        <v>6.0000000000000005E-2</v>
      </c>
      <c r="GJ15" s="352">
        <f t="shared" si="13"/>
        <v>5.9999999999999963E-2</v>
      </c>
      <c r="GK15" s="352">
        <f t="shared" si="13"/>
        <v>6.0000000000000005E-2</v>
      </c>
      <c r="GL15" s="352">
        <f t="shared" si="13"/>
        <v>6.0000000000000074E-2</v>
      </c>
      <c r="GM15" s="352">
        <f t="shared" si="13"/>
        <v>6.0000000000000053E-2</v>
      </c>
      <c r="GN15" s="352">
        <f t="shared" si="13"/>
        <v>6.0000000000000026E-2</v>
      </c>
      <c r="GO15" s="352">
        <f t="shared" si="13"/>
        <v>5.9999999999999977E-2</v>
      </c>
      <c r="GP15" s="352">
        <f t="shared" si="13"/>
        <v>6.0000000000000053E-2</v>
      </c>
      <c r="GQ15" s="352">
        <f t="shared" si="13"/>
        <v>6.0000000000000095E-2</v>
      </c>
      <c r="GR15" s="352">
        <f t="shared" si="13"/>
        <v>6.0000000000000019E-2</v>
      </c>
      <c r="GS15" s="352">
        <f t="shared" si="13"/>
        <v>6.0000000000000019E-2</v>
      </c>
      <c r="GT15" s="352">
        <f t="shared" si="13"/>
        <v>6.000000000000006E-2</v>
      </c>
      <c r="GU15" s="352">
        <f t="shared" si="13"/>
        <v>6.0000000000000116E-2</v>
      </c>
      <c r="GV15" s="352">
        <f t="shared" si="13"/>
        <v>6.0000000000000012E-2</v>
      </c>
      <c r="GW15" s="352">
        <f t="shared" si="13"/>
        <v>6.0000000000000053E-2</v>
      </c>
      <c r="GX15" s="352">
        <f t="shared" si="13"/>
        <v>6.0000000000000116E-2</v>
      </c>
      <c r="GY15" s="352">
        <f t="shared" si="13"/>
        <v>6.0000000000000046E-2</v>
      </c>
      <c r="GZ15" s="352">
        <f t="shared" si="13"/>
        <v>6.0000000000000046E-2</v>
      </c>
      <c r="HA15" s="352">
        <f t="shared" si="13"/>
        <v>6.0000000000000039E-2</v>
      </c>
      <c r="HB15" s="352">
        <f t="shared" si="13"/>
        <v>6.0000000000000081E-2</v>
      </c>
      <c r="HC15" s="352">
        <f t="shared" si="13"/>
        <v>6.0000000000000088E-2</v>
      </c>
      <c r="HD15" s="352">
        <f t="shared" si="13"/>
        <v>6.0000000000000116E-2</v>
      </c>
      <c r="HE15" s="352">
        <f t="shared" si="13"/>
        <v>6.0000000000000019E-2</v>
      </c>
      <c r="HF15" s="352">
        <f t="shared" si="13"/>
        <v>6.0000000000000046E-2</v>
      </c>
      <c r="HG15" s="352">
        <f t="shared" si="13"/>
        <v>6.0000000000000116E-2</v>
      </c>
      <c r="HH15" s="352">
        <f t="shared" si="13"/>
        <v>6.0000000000000102E-2</v>
      </c>
      <c r="HI15" s="352">
        <f t="shared" si="13"/>
        <v>0.06</v>
      </c>
      <c r="HJ15" s="352">
        <f t="shared" si="13"/>
        <v>6.0000000000000116E-2</v>
      </c>
      <c r="HK15" s="352">
        <f t="shared" si="13"/>
        <v>6.0000000000000102E-2</v>
      </c>
      <c r="HL15" s="352">
        <f t="shared" si="13"/>
        <v>5.9999999999999991E-2</v>
      </c>
      <c r="HM15" s="352">
        <f t="shared" si="13"/>
        <v>6.0000000000000123E-2</v>
      </c>
      <c r="HN15" s="352">
        <f t="shared" si="13"/>
        <v>6.0000000000000039E-2</v>
      </c>
      <c r="HO15" s="352">
        <f t="shared" ref="HO15:IS15" si="14">(HO14-HN14)/HN14</f>
        <v>6.0000000000000095E-2</v>
      </c>
      <c r="HP15" s="352">
        <f t="shared" si="14"/>
        <v>6.0000000000000012E-2</v>
      </c>
      <c r="HQ15" s="352">
        <f t="shared" si="14"/>
        <v>6.0000000000000005E-2</v>
      </c>
      <c r="HR15" s="352">
        <f t="shared" si="14"/>
        <v>6.0000000000000081E-2</v>
      </c>
      <c r="HS15" s="352">
        <f t="shared" si="14"/>
        <v>6.0000000000000095E-2</v>
      </c>
      <c r="HT15" s="352">
        <f t="shared" si="14"/>
        <v>6.000000000000015E-2</v>
      </c>
      <c r="HU15" s="352">
        <f t="shared" si="14"/>
        <v>6.0000000000000116E-2</v>
      </c>
      <c r="HV15" s="352">
        <f t="shared" si="14"/>
        <v>6.0000000000000116E-2</v>
      </c>
      <c r="HW15" s="352">
        <f t="shared" si="14"/>
        <v>6.0000000000000095E-2</v>
      </c>
      <c r="HX15" s="352">
        <f t="shared" si="14"/>
        <v>5.999999999999997E-2</v>
      </c>
      <c r="HY15" s="352">
        <f t="shared" si="14"/>
        <v>6.0000000000000026E-2</v>
      </c>
      <c r="HZ15" s="352">
        <f t="shared" si="14"/>
        <v>6.0000000000000067E-2</v>
      </c>
      <c r="IA15" s="352">
        <f t="shared" si="14"/>
        <v>6.0000000000000053E-2</v>
      </c>
      <c r="IB15" s="352">
        <f t="shared" si="14"/>
        <v>6.0000000000000116E-2</v>
      </c>
      <c r="IC15" s="352">
        <f t="shared" si="14"/>
        <v>6.0000000000000053E-2</v>
      </c>
      <c r="ID15" s="352">
        <f t="shared" si="14"/>
        <v>6.0000000000000109E-2</v>
      </c>
      <c r="IE15" s="352">
        <f t="shared" si="14"/>
        <v>6.0000000000000157E-2</v>
      </c>
      <c r="IF15" s="352">
        <f t="shared" si="14"/>
        <v>6.0000000000000074E-2</v>
      </c>
      <c r="IG15" s="352">
        <f t="shared" si="14"/>
        <v>6.000000000000013E-2</v>
      </c>
      <c r="IH15" s="352">
        <f t="shared" si="14"/>
        <v>6.0000000000000088E-2</v>
      </c>
      <c r="II15" s="352">
        <f t="shared" si="14"/>
        <v>6.0000000000000012E-2</v>
      </c>
      <c r="IJ15" s="352">
        <f t="shared" si="14"/>
        <v>6.0000000000000026E-2</v>
      </c>
      <c r="IK15" s="352">
        <f t="shared" si="14"/>
        <v>6.0000000000000032E-2</v>
      </c>
      <c r="IL15" s="352">
        <f t="shared" si="14"/>
        <v>6.0000000000000067E-2</v>
      </c>
      <c r="IM15" s="352">
        <f t="shared" si="14"/>
        <v>6.0000000000000039E-2</v>
      </c>
      <c r="IN15" s="352">
        <f t="shared" si="14"/>
        <v>6.0000000000000088E-2</v>
      </c>
      <c r="IO15" s="352">
        <f t="shared" si="14"/>
        <v>6.0000000000000088E-2</v>
      </c>
      <c r="IP15" s="352">
        <f t="shared" si="14"/>
        <v>5.9999999999999991E-2</v>
      </c>
      <c r="IQ15" s="352">
        <f t="shared" si="14"/>
        <v>6.0000000000000074E-2</v>
      </c>
      <c r="IR15" s="352">
        <f t="shared" si="14"/>
        <v>6.0000000000000032E-2</v>
      </c>
      <c r="IS15" s="352">
        <f t="shared" si="14"/>
        <v>6.0000000000000088E-2</v>
      </c>
      <c r="IT15" s="360"/>
      <c r="IU15" s="352">
        <f>(IU14-IS14)/IS14</f>
        <v>6.0000000000000123E-2</v>
      </c>
    </row>
    <row r="16" spans="1:255">
      <c r="A16" s="350" t="s">
        <v>1501</v>
      </c>
      <c r="B16" s="344" t="s">
        <v>1502</v>
      </c>
      <c r="C16" s="358">
        <f t="shared" ref="C16:BN16" si="15">C14*$C6</f>
        <v>2.1</v>
      </c>
      <c r="D16" s="358">
        <f t="shared" si="15"/>
        <v>2.2260000000000004</v>
      </c>
      <c r="E16" s="358">
        <f t="shared" si="15"/>
        <v>2.3595600000000005</v>
      </c>
      <c r="F16" s="358">
        <f t="shared" si="15"/>
        <v>2.5011336000000006</v>
      </c>
      <c r="G16" s="358">
        <f t="shared" si="15"/>
        <v>2.6512016160000007</v>
      </c>
      <c r="H16" s="358">
        <f t="shared" si="15"/>
        <v>2.8102737129600008</v>
      </c>
      <c r="I16" s="358">
        <f t="shared" si="15"/>
        <v>2.9788901357376014</v>
      </c>
      <c r="J16" s="358">
        <f t="shared" si="15"/>
        <v>3.1576235438818574</v>
      </c>
      <c r="K16" s="358">
        <f t="shared" si="15"/>
        <v>3.3470809565147692</v>
      </c>
      <c r="L16" s="358">
        <f t="shared" si="15"/>
        <v>3.5479058139056554</v>
      </c>
      <c r="M16" s="358">
        <f t="shared" si="15"/>
        <v>3.7607801627399948</v>
      </c>
      <c r="N16" s="358">
        <f t="shared" si="15"/>
        <v>3.9864269725043946</v>
      </c>
      <c r="O16" s="358">
        <f t="shared" si="15"/>
        <v>4.2256125908546585</v>
      </c>
      <c r="P16" s="358">
        <f t="shared" si="15"/>
        <v>4.4791493463059382</v>
      </c>
      <c r="Q16" s="358">
        <f t="shared" si="15"/>
        <v>4.7478983070842942</v>
      </c>
      <c r="R16" s="358">
        <f t="shared" si="15"/>
        <v>5.0327722055093531</v>
      </c>
      <c r="S16" s="358">
        <f t="shared" si="15"/>
        <v>5.3347385378399146</v>
      </c>
      <c r="T16" s="358">
        <f t="shared" si="15"/>
        <v>5.6548228501103095</v>
      </c>
      <c r="U16" s="358">
        <f t="shared" si="15"/>
        <v>5.9941122211169287</v>
      </c>
      <c r="V16" s="358">
        <f t="shared" si="15"/>
        <v>6.3537589543839452</v>
      </c>
      <c r="W16" s="358">
        <f t="shared" si="15"/>
        <v>6.7349844916469825</v>
      </c>
      <c r="X16" s="358">
        <f t="shared" si="15"/>
        <v>7.1390835611458012</v>
      </c>
      <c r="Y16" s="358">
        <f t="shared" si="15"/>
        <v>7.5674285748145502</v>
      </c>
      <c r="Z16" s="358">
        <f t="shared" si="15"/>
        <v>8.0214742893034234</v>
      </c>
      <c r="AA16" s="358">
        <f t="shared" si="15"/>
        <v>8.5027627466616291</v>
      </c>
      <c r="AB16" s="358">
        <f t="shared" si="15"/>
        <v>9.0129285114613271</v>
      </c>
      <c r="AC16" s="358">
        <f t="shared" si="15"/>
        <v>9.5537042221490065</v>
      </c>
      <c r="AD16" s="358">
        <f t="shared" si="15"/>
        <v>10.126926475477948</v>
      </c>
      <c r="AE16" s="358">
        <f t="shared" si="15"/>
        <v>10.734542064006627</v>
      </c>
      <c r="AF16" s="358">
        <f t="shared" si="15"/>
        <v>11.378614587847025</v>
      </c>
      <c r="AG16" s="358">
        <f t="shared" si="15"/>
        <v>12.061331463117847</v>
      </c>
      <c r="AH16" s="358">
        <f t="shared" si="15"/>
        <v>12.785011350904918</v>
      </c>
      <c r="AI16" s="358">
        <f t="shared" si="15"/>
        <v>13.552112031959217</v>
      </c>
      <c r="AJ16" s="358">
        <f t="shared" si="15"/>
        <v>14.365238753876769</v>
      </c>
      <c r="AK16" s="358">
        <f t="shared" si="15"/>
        <v>15.227153079109375</v>
      </c>
      <c r="AL16" s="358">
        <f t="shared" si="15"/>
        <v>16.14078226385594</v>
      </c>
      <c r="AM16" s="358">
        <f t="shared" si="15"/>
        <v>17.109229199687295</v>
      </c>
      <c r="AN16" s="358">
        <f t="shared" si="15"/>
        <v>18.135782951668535</v>
      </c>
      <c r="AO16" s="358">
        <f t="shared" si="15"/>
        <v>19.223929928768648</v>
      </c>
      <c r="AP16" s="358">
        <f t="shared" si="15"/>
        <v>20.377365724494769</v>
      </c>
      <c r="AQ16" s="358">
        <f t="shared" si="15"/>
        <v>21.600007667964455</v>
      </c>
      <c r="AR16" s="358">
        <f t="shared" si="15"/>
        <v>22.896008128042325</v>
      </c>
      <c r="AS16" s="358">
        <f t="shared" si="15"/>
        <v>24.269768615724864</v>
      </c>
      <c r="AT16" s="358">
        <f t="shared" si="15"/>
        <v>25.725954732668356</v>
      </c>
      <c r="AU16" s="358">
        <f t="shared" si="15"/>
        <v>27.269512016628461</v>
      </c>
      <c r="AV16" s="358">
        <f t="shared" si="15"/>
        <v>28.905682737626165</v>
      </c>
      <c r="AW16" s="358">
        <f t="shared" si="15"/>
        <v>30.640023701883738</v>
      </c>
      <c r="AX16" s="358">
        <f t="shared" si="15"/>
        <v>32.478425123996765</v>
      </c>
      <c r="AY16" s="358">
        <f t="shared" si="15"/>
        <v>34.427130631436569</v>
      </c>
      <c r="AZ16" s="358">
        <f t="shared" si="15"/>
        <v>36.492758469322766</v>
      </c>
      <c r="BA16" s="358">
        <f t="shared" si="15"/>
        <v>38.682323977482135</v>
      </c>
      <c r="BB16" s="358">
        <f t="shared" si="15"/>
        <v>41.003263416131063</v>
      </c>
      <c r="BC16" s="358">
        <f t="shared" si="15"/>
        <v>43.46345922109893</v>
      </c>
      <c r="BD16" s="358">
        <f t="shared" si="15"/>
        <v>46.071266774364872</v>
      </c>
      <c r="BE16" s="358">
        <f t="shared" si="15"/>
        <v>48.835542780826763</v>
      </c>
      <c r="BF16" s="358">
        <f t="shared" si="15"/>
        <v>51.765675347676371</v>
      </c>
      <c r="BG16" s="358">
        <f t="shared" si="15"/>
        <v>54.871615868536949</v>
      </c>
      <c r="BH16" s="358">
        <f t="shared" si="15"/>
        <v>58.163912820649173</v>
      </c>
      <c r="BI16" s="358">
        <f t="shared" si="15"/>
        <v>61.653747589888127</v>
      </c>
      <c r="BJ16" s="358">
        <f t="shared" si="15"/>
        <v>65.352972445281409</v>
      </c>
      <c r="BK16" s="358">
        <f t="shared" si="15"/>
        <v>69.274150791998309</v>
      </c>
      <c r="BL16" s="358">
        <f t="shared" si="15"/>
        <v>73.430599839518209</v>
      </c>
      <c r="BM16" s="358">
        <f t="shared" si="15"/>
        <v>77.836435829889297</v>
      </c>
      <c r="BN16" s="358">
        <f t="shared" si="15"/>
        <v>82.506621979682663</v>
      </c>
      <c r="BO16" s="358">
        <f t="shared" ref="BO16:CN16" si="16">BO14*$C6</f>
        <v>87.457019298463635</v>
      </c>
      <c r="BP16" s="358">
        <f t="shared" si="16"/>
        <v>92.704440456371444</v>
      </c>
      <c r="BQ16" s="358">
        <f t="shared" si="16"/>
        <v>98.266706883753727</v>
      </c>
      <c r="BR16" s="358">
        <f t="shared" si="16"/>
        <v>104.16270929677897</v>
      </c>
      <c r="BS16" s="358">
        <f t="shared" si="16"/>
        <v>110.4124718545857</v>
      </c>
      <c r="BT16" s="358">
        <f t="shared" si="16"/>
        <v>117.03722016586084</v>
      </c>
      <c r="BU16" s="358">
        <f t="shared" si="16"/>
        <v>124.0594533758125</v>
      </c>
      <c r="BV16" s="358">
        <f t="shared" si="16"/>
        <v>131.50302057836126</v>
      </c>
      <c r="BW16" s="358">
        <f t="shared" si="16"/>
        <v>139.39320181306294</v>
      </c>
      <c r="BX16" s="358">
        <f t="shared" si="16"/>
        <v>147.75679392184674</v>
      </c>
      <c r="BY16" s="358">
        <f t="shared" si="16"/>
        <v>156.62220155715752</v>
      </c>
      <c r="BZ16" s="358">
        <f t="shared" si="16"/>
        <v>166.01953365058699</v>
      </c>
      <c r="CA16" s="358">
        <f t="shared" si="16"/>
        <v>175.98070566962221</v>
      </c>
      <c r="CB16" s="358">
        <f t="shared" si="16"/>
        <v>186.53954800979955</v>
      </c>
      <c r="CC16" s="358">
        <f t="shared" si="16"/>
        <v>197.73192089038753</v>
      </c>
      <c r="CD16" s="358">
        <f t="shared" si="16"/>
        <v>209.5958361438108</v>
      </c>
      <c r="CE16" s="358">
        <f t="shared" si="16"/>
        <v>222.17158631243944</v>
      </c>
      <c r="CF16" s="358">
        <f t="shared" si="16"/>
        <v>235.5018814911858</v>
      </c>
      <c r="CG16" s="358">
        <f t="shared" si="16"/>
        <v>249.63199438065698</v>
      </c>
      <c r="CH16" s="358">
        <f t="shared" si="16"/>
        <v>264.60991404349642</v>
      </c>
      <c r="CI16" s="358">
        <f t="shared" si="16"/>
        <v>280.48650888610626</v>
      </c>
      <c r="CJ16" s="358">
        <f t="shared" si="16"/>
        <v>297.31569941927268</v>
      </c>
      <c r="CK16" s="358">
        <f t="shared" si="16"/>
        <v>315.15464138442906</v>
      </c>
      <c r="CL16" s="358">
        <f t="shared" si="16"/>
        <v>334.0639198674948</v>
      </c>
      <c r="CM16" s="358">
        <f t="shared" si="16"/>
        <v>354.1077550595445</v>
      </c>
      <c r="CN16" s="358">
        <f t="shared" si="16"/>
        <v>375.35422036311718</v>
      </c>
      <c r="CO16" s="359"/>
      <c r="CP16" s="358">
        <f t="shared" ref="CP16:FA16" si="17">CP14*$C6</f>
        <v>397.87547358490423</v>
      </c>
      <c r="CQ16" s="358">
        <f t="shared" si="17"/>
        <v>421.74800199999851</v>
      </c>
      <c r="CR16" s="358">
        <f t="shared" si="17"/>
        <v>447.05288211999846</v>
      </c>
      <c r="CS16" s="358">
        <f t="shared" si="17"/>
        <v>473.87605504719841</v>
      </c>
      <c r="CT16" s="358">
        <f t="shared" si="17"/>
        <v>502.30861835003037</v>
      </c>
      <c r="CU16" s="358">
        <f t="shared" si="17"/>
        <v>532.4471354510323</v>
      </c>
      <c r="CV16" s="358">
        <f t="shared" si="17"/>
        <v>564.39396357809426</v>
      </c>
      <c r="CW16" s="358">
        <f t="shared" si="17"/>
        <v>598.25760139277986</v>
      </c>
      <c r="CX16" s="358">
        <f t="shared" si="17"/>
        <v>634.1530574763467</v>
      </c>
      <c r="CY16" s="358">
        <f t="shared" si="17"/>
        <v>672.20224092492754</v>
      </c>
      <c r="CZ16" s="358">
        <f t="shared" si="17"/>
        <v>712.53437538042328</v>
      </c>
      <c r="DA16" s="358">
        <f t="shared" si="17"/>
        <v>755.28643790324872</v>
      </c>
      <c r="DB16" s="358">
        <f t="shared" si="17"/>
        <v>800.60362417744363</v>
      </c>
      <c r="DC16" s="358">
        <f t="shared" si="17"/>
        <v>848.63984162809038</v>
      </c>
      <c r="DD16" s="358">
        <f t="shared" si="17"/>
        <v>899.5582321257757</v>
      </c>
      <c r="DE16" s="358">
        <f t="shared" si="17"/>
        <v>953.53172605332236</v>
      </c>
      <c r="DF16" s="358">
        <f t="shared" si="17"/>
        <v>1010.7436296165218</v>
      </c>
      <c r="DG16" s="358">
        <f t="shared" si="17"/>
        <v>1071.3882473935132</v>
      </c>
      <c r="DH16" s="358">
        <f t="shared" si="17"/>
        <v>1135.671542237124</v>
      </c>
      <c r="DI16" s="358">
        <f t="shared" si="17"/>
        <v>1203.8118347713514</v>
      </c>
      <c r="DJ16" s="358">
        <f t="shared" si="17"/>
        <v>1276.0405448576325</v>
      </c>
      <c r="DK16" s="358">
        <f t="shared" si="17"/>
        <v>1352.6029775490906</v>
      </c>
      <c r="DL16" s="358">
        <f t="shared" si="17"/>
        <v>1433.7591562020361</v>
      </c>
      <c r="DM16" s="358">
        <f t="shared" si="17"/>
        <v>1519.7847055741584</v>
      </c>
      <c r="DN16" s="358">
        <f t="shared" si="17"/>
        <v>1610.9717879086079</v>
      </c>
      <c r="DO16" s="358">
        <f t="shared" si="17"/>
        <v>1707.6300951831245</v>
      </c>
      <c r="DP16" s="358">
        <f t="shared" si="17"/>
        <v>1810.087900894112</v>
      </c>
      <c r="DQ16" s="358">
        <f t="shared" si="17"/>
        <v>1918.6931749477585</v>
      </c>
      <c r="DR16" s="358">
        <f t="shared" si="17"/>
        <v>2033.8147654446241</v>
      </c>
      <c r="DS16" s="358">
        <f t="shared" si="17"/>
        <v>2155.8436513713018</v>
      </c>
      <c r="DT16" s="358">
        <f t="shared" si="17"/>
        <v>2285.19427045358</v>
      </c>
      <c r="DU16" s="358">
        <f t="shared" si="17"/>
        <v>2422.305926680795</v>
      </c>
      <c r="DV16" s="358">
        <f t="shared" si="17"/>
        <v>2567.6442822816425</v>
      </c>
      <c r="DW16" s="358">
        <f t="shared" si="17"/>
        <v>2721.7029392185414</v>
      </c>
      <c r="DX16" s="358">
        <f t="shared" si="17"/>
        <v>2885.0051155716542</v>
      </c>
      <c r="DY16" s="358">
        <f t="shared" si="17"/>
        <v>3058.1054225059534</v>
      </c>
      <c r="DZ16" s="358">
        <f t="shared" si="17"/>
        <v>3241.5917478563106</v>
      </c>
      <c r="EA16" s="358">
        <f t="shared" si="17"/>
        <v>3436.0872527276897</v>
      </c>
      <c r="EB16" s="358">
        <f t="shared" si="17"/>
        <v>3642.2524878913509</v>
      </c>
      <c r="EC16" s="358">
        <f t="shared" si="17"/>
        <v>3860.7876371648317</v>
      </c>
      <c r="ED16" s="358">
        <f t="shared" si="17"/>
        <v>4092.4348953947219</v>
      </c>
      <c r="EE16" s="358">
        <f t="shared" si="17"/>
        <v>4337.9809891184059</v>
      </c>
      <c r="EF16" s="358">
        <f t="shared" si="17"/>
        <v>4598.25984846551</v>
      </c>
      <c r="EG16" s="358">
        <f t="shared" si="17"/>
        <v>4874.1554393734414</v>
      </c>
      <c r="EH16" s="358">
        <f t="shared" si="17"/>
        <v>5166.6047657358476</v>
      </c>
      <c r="EI16" s="358">
        <f t="shared" si="17"/>
        <v>5476.6010516799988</v>
      </c>
      <c r="EJ16" s="358">
        <f t="shared" si="17"/>
        <v>5805.197114780799</v>
      </c>
      <c r="EK16" s="358">
        <f t="shared" si="17"/>
        <v>6153.5089416676474</v>
      </c>
      <c r="EL16" s="358">
        <f t="shared" si="17"/>
        <v>6522.7194781677072</v>
      </c>
      <c r="EM16" s="358">
        <f t="shared" si="17"/>
        <v>6914.0826468577698</v>
      </c>
      <c r="EN16" s="358">
        <f t="shared" si="17"/>
        <v>7328.927605669237</v>
      </c>
      <c r="EO16" s="358">
        <f t="shared" si="17"/>
        <v>7768.6632620093915</v>
      </c>
      <c r="EP16" s="358">
        <f t="shared" si="17"/>
        <v>8234.7830577299555</v>
      </c>
      <c r="EQ16" s="358">
        <f t="shared" si="17"/>
        <v>8728.8700411937516</v>
      </c>
      <c r="ER16" s="358">
        <f t="shared" si="17"/>
        <v>9252.6022436653784</v>
      </c>
      <c r="ES16" s="358">
        <f t="shared" si="17"/>
        <v>9807.7583782853017</v>
      </c>
      <c r="ET16" s="358">
        <f t="shared" si="17"/>
        <v>10396.223880982419</v>
      </c>
      <c r="EU16" s="358">
        <f t="shared" si="17"/>
        <v>11019.997313841364</v>
      </c>
      <c r="EV16" s="358">
        <f t="shared" si="17"/>
        <v>11681.197152671846</v>
      </c>
      <c r="EW16" s="358">
        <f t="shared" si="17"/>
        <v>12382.068981832157</v>
      </c>
      <c r="EX16" s="358">
        <f t="shared" si="17"/>
        <v>13124.993120742087</v>
      </c>
      <c r="EY16" s="358">
        <f t="shared" si="17"/>
        <v>13912.492707986614</v>
      </c>
      <c r="EZ16" s="358">
        <f t="shared" si="17"/>
        <v>14747.242270465811</v>
      </c>
      <c r="FA16" s="358">
        <f t="shared" si="17"/>
        <v>15632.07680669376</v>
      </c>
      <c r="FB16" s="358">
        <f t="shared" ref="FB16:HM16" si="18">FB14*$C6</f>
        <v>16570.001415095387</v>
      </c>
      <c r="FC16" s="358">
        <f t="shared" si="18"/>
        <v>17564.201500001112</v>
      </c>
      <c r="FD16" s="358">
        <f t="shared" si="18"/>
        <v>18618.053590001178</v>
      </c>
      <c r="FE16" s="358">
        <f t="shared" si="18"/>
        <v>19735.136805401249</v>
      </c>
      <c r="FF16" s="358">
        <f t="shared" si="18"/>
        <v>20919.245013725325</v>
      </c>
      <c r="FG16" s="358">
        <f t="shared" si="18"/>
        <v>22174.399714548847</v>
      </c>
      <c r="FH16" s="358">
        <f t="shared" si="18"/>
        <v>23504.863697421777</v>
      </c>
      <c r="FI16" s="358">
        <f t="shared" si="18"/>
        <v>24915.155519267086</v>
      </c>
      <c r="FJ16" s="358">
        <f t="shared" si="18"/>
        <v>26410.064850423114</v>
      </c>
      <c r="FK16" s="358">
        <f t="shared" si="18"/>
        <v>27994.668741448502</v>
      </c>
      <c r="FL16" s="358">
        <f t="shared" si="18"/>
        <v>29674.348865935412</v>
      </c>
      <c r="FM16" s="358">
        <f t="shared" si="18"/>
        <v>31454.809797891539</v>
      </c>
      <c r="FN16" s="358">
        <f t="shared" si="18"/>
        <v>33342.098385765028</v>
      </c>
      <c r="FO16" s="358">
        <f t="shared" si="18"/>
        <v>35342.624288910934</v>
      </c>
      <c r="FP16" s="358">
        <f t="shared" si="18"/>
        <v>37463.181746245587</v>
      </c>
      <c r="FQ16" s="358">
        <f t="shared" si="18"/>
        <v>39710.972651020325</v>
      </c>
      <c r="FR16" s="358">
        <f t="shared" si="18"/>
        <v>42093.631010081546</v>
      </c>
      <c r="FS16" s="358">
        <f t="shared" si="18"/>
        <v>44619.248870686439</v>
      </c>
      <c r="FT16" s="358">
        <f t="shared" si="18"/>
        <v>47296.403802927634</v>
      </c>
      <c r="FU16" s="358">
        <f t="shared" si="18"/>
        <v>50134.188031103295</v>
      </c>
      <c r="FV16" s="358">
        <f t="shared" si="18"/>
        <v>53142.23931296949</v>
      </c>
      <c r="FW16" s="358">
        <f t="shared" si="18"/>
        <v>56330.773671747666</v>
      </c>
      <c r="FX16" s="358">
        <f t="shared" si="18"/>
        <v>59710.62009205253</v>
      </c>
      <c r="FY16" s="358">
        <f t="shared" si="18"/>
        <v>63293.257297575685</v>
      </c>
      <c r="FZ16" s="358">
        <f t="shared" si="18"/>
        <v>67090.852735430235</v>
      </c>
      <c r="GA16" s="358">
        <f t="shared" si="18"/>
        <v>71116.303899556064</v>
      </c>
      <c r="GB16" s="358">
        <f t="shared" si="18"/>
        <v>75383.282133529428</v>
      </c>
      <c r="GC16" s="358">
        <f t="shared" si="18"/>
        <v>79906.279061541209</v>
      </c>
      <c r="GD16" s="358">
        <f t="shared" si="18"/>
        <v>84700.655805233677</v>
      </c>
      <c r="GE16" s="358">
        <f t="shared" si="18"/>
        <v>89782.695153547713</v>
      </c>
      <c r="GF16" s="358">
        <f t="shared" si="18"/>
        <v>95169.656862760574</v>
      </c>
      <c r="GG16" s="358">
        <f t="shared" si="18"/>
        <v>100879.83627452621</v>
      </c>
      <c r="GH16" s="358">
        <f t="shared" si="18"/>
        <v>106932.62645099779</v>
      </c>
      <c r="GI16" s="358">
        <f t="shared" si="18"/>
        <v>113348.58403805767</v>
      </c>
      <c r="GJ16" s="358">
        <f t="shared" si="18"/>
        <v>120149.49908034112</v>
      </c>
      <c r="GK16" s="358">
        <f t="shared" si="18"/>
        <v>127358.46902516158</v>
      </c>
      <c r="GL16" s="358">
        <f t="shared" si="18"/>
        <v>134999.97716667131</v>
      </c>
      <c r="GM16" s="358">
        <f t="shared" si="18"/>
        <v>143099.97579667158</v>
      </c>
      <c r="GN16" s="358">
        <f t="shared" si="18"/>
        <v>151685.97434447188</v>
      </c>
      <c r="GO16" s="358">
        <f t="shared" si="18"/>
        <v>160787.13280514019</v>
      </c>
      <c r="GP16" s="358">
        <f t="shared" si="18"/>
        <v>170434.3607734486</v>
      </c>
      <c r="GQ16" s="358">
        <f t="shared" si="18"/>
        <v>180660.42241985555</v>
      </c>
      <c r="GR16" s="358">
        <f t="shared" si="18"/>
        <v>191500.04776504688</v>
      </c>
      <c r="GS16" s="358">
        <f t="shared" si="18"/>
        <v>202990.0506309497</v>
      </c>
      <c r="GT16" s="358">
        <f t="shared" si="18"/>
        <v>215169.45366880667</v>
      </c>
      <c r="GU16" s="358">
        <f t="shared" si="18"/>
        <v>228079.62088893511</v>
      </c>
      <c r="GV16" s="358">
        <f t="shared" si="18"/>
        <v>241764.39814227121</v>
      </c>
      <c r="GW16" s="358">
        <f t="shared" si="18"/>
        <v>256270.2620308075</v>
      </c>
      <c r="GX16" s="358">
        <f t="shared" si="18"/>
        <v>271646.47775265598</v>
      </c>
      <c r="GY16" s="358">
        <f t="shared" si="18"/>
        <v>287945.26641781535</v>
      </c>
      <c r="GZ16" s="358">
        <f t="shared" si="18"/>
        <v>305221.98240288428</v>
      </c>
      <c r="HA16" s="358">
        <f t="shared" si="18"/>
        <v>323535.30134705739</v>
      </c>
      <c r="HB16" s="358">
        <f t="shared" si="18"/>
        <v>342947.41942788084</v>
      </c>
      <c r="HC16" s="358">
        <f t="shared" si="18"/>
        <v>363524.26459355373</v>
      </c>
      <c r="HD16" s="358">
        <f t="shared" si="18"/>
        <v>385335.72046916699</v>
      </c>
      <c r="HE16" s="358">
        <f t="shared" si="18"/>
        <v>408455.86369731702</v>
      </c>
      <c r="HF16" s="358">
        <f t="shared" si="18"/>
        <v>432963.21551915602</v>
      </c>
      <c r="HG16" s="358">
        <f t="shared" si="18"/>
        <v>458941.00845030544</v>
      </c>
      <c r="HH16" s="358">
        <f t="shared" si="18"/>
        <v>486477.46895732381</v>
      </c>
      <c r="HI16" s="358">
        <f t="shared" si="18"/>
        <v>515666.11709476326</v>
      </c>
      <c r="HJ16" s="358">
        <f t="shared" si="18"/>
        <v>546606.08412044914</v>
      </c>
      <c r="HK16" s="358">
        <f t="shared" si="18"/>
        <v>579402.44916767615</v>
      </c>
      <c r="HL16" s="358">
        <f t="shared" si="18"/>
        <v>614166.59611773666</v>
      </c>
      <c r="HM16" s="358">
        <f t="shared" si="18"/>
        <v>651016.59188480093</v>
      </c>
      <c r="HN16" s="358">
        <f t="shared" ref="HN16:IS16" si="19">HN14*$C6</f>
        <v>690077.587397889</v>
      </c>
      <c r="HO16" s="358">
        <f t="shared" si="19"/>
        <v>731482.24264176248</v>
      </c>
      <c r="HP16" s="358">
        <f t="shared" si="19"/>
        <v>775371.17720026814</v>
      </c>
      <c r="HQ16" s="358">
        <f t="shared" si="19"/>
        <v>821893.44783228426</v>
      </c>
      <c r="HR16" s="358">
        <f t="shared" si="19"/>
        <v>871207.05470222142</v>
      </c>
      <c r="HS16" s="358">
        <f t="shared" si="19"/>
        <v>923479.47798435483</v>
      </c>
      <c r="HT16" s="358">
        <f t="shared" si="19"/>
        <v>978888.24666341615</v>
      </c>
      <c r="HU16" s="358">
        <f t="shared" si="19"/>
        <v>1037621.5414632213</v>
      </c>
      <c r="HV16" s="358">
        <f t="shared" si="19"/>
        <v>1099878.8339510148</v>
      </c>
      <c r="HW16" s="358">
        <f t="shared" si="19"/>
        <v>1165871.5639880756</v>
      </c>
      <c r="HX16" s="358">
        <f t="shared" si="19"/>
        <v>1235823.8578273603</v>
      </c>
      <c r="HY16" s="358">
        <f t="shared" si="19"/>
        <v>1309973.2892970019</v>
      </c>
      <c r="HZ16" s="358">
        <f t="shared" si="19"/>
        <v>1388571.686654822</v>
      </c>
      <c r="IA16" s="358">
        <f t="shared" si="19"/>
        <v>1471885.9878541115</v>
      </c>
      <c r="IB16" s="358">
        <f t="shared" si="19"/>
        <v>1560199.1471253582</v>
      </c>
      <c r="IC16" s="358">
        <f t="shared" si="19"/>
        <v>1653811.0959528799</v>
      </c>
      <c r="ID16" s="358">
        <f t="shared" si="19"/>
        <v>1753039.7617100528</v>
      </c>
      <c r="IE16" s="358">
        <f t="shared" si="19"/>
        <v>1858222.1474126563</v>
      </c>
      <c r="IF16" s="358">
        <f t="shared" si="19"/>
        <v>1969715.4762574157</v>
      </c>
      <c r="IG16" s="358">
        <f t="shared" si="19"/>
        <v>2087898.4048328609</v>
      </c>
      <c r="IH16" s="358">
        <f t="shared" si="19"/>
        <v>2213172.309122833</v>
      </c>
      <c r="II16" s="358">
        <f t="shared" si="19"/>
        <v>2345962.6476702029</v>
      </c>
      <c r="IJ16" s="358">
        <f t="shared" si="19"/>
        <v>2486720.4065304152</v>
      </c>
      <c r="IK16" s="358">
        <f t="shared" si="19"/>
        <v>2635923.6309222402</v>
      </c>
      <c r="IL16" s="358">
        <f t="shared" si="19"/>
        <v>2794079.0487775747</v>
      </c>
      <c r="IM16" s="358">
        <f t="shared" si="19"/>
        <v>2961723.7917042291</v>
      </c>
      <c r="IN16" s="358">
        <f t="shared" si="19"/>
        <v>3139427.2192064831</v>
      </c>
      <c r="IO16" s="358">
        <f t="shared" si="19"/>
        <v>3327792.8523588725</v>
      </c>
      <c r="IP16" s="358">
        <f t="shared" si="19"/>
        <v>3527460.4235004047</v>
      </c>
      <c r="IQ16" s="358">
        <f t="shared" si="19"/>
        <v>3739108.0489104292</v>
      </c>
      <c r="IR16" s="358">
        <f t="shared" si="19"/>
        <v>3963454.5318450551</v>
      </c>
      <c r="IS16" s="358">
        <f t="shared" si="19"/>
        <v>4201261.8037557593</v>
      </c>
      <c r="IT16" s="359"/>
      <c r="IU16" s="358">
        <f>IU14*$C6</f>
        <v>4453337.5119811045</v>
      </c>
    </row>
    <row r="17" spans="1:255">
      <c r="A17" s="350" t="s">
        <v>1503</v>
      </c>
      <c r="C17" s="358"/>
      <c r="D17" s="352">
        <f t="shared" ref="D17:BO17" si="20">(D16-C16)/C16</f>
        <v>6.0000000000000157E-2</v>
      </c>
      <c r="E17" s="352">
        <f t="shared" si="20"/>
        <v>6.0000000000000046E-2</v>
      </c>
      <c r="F17" s="352">
        <f t="shared" si="20"/>
        <v>6.0000000000000019E-2</v>
      </c>
      <c r="G17" s="352">
        <f t="shared" si="20"/>
        <v>6.0000000000000019E-2</v>
      </c>
      <c r="H17" s="352">
        <f t="shared" si="20"/>
        <v>6.0000000000000032E-2</v>
      </c>
      <c r="I17" s="352">
        <f t="shared" si="20"/>
        <v>6.0000000000000192E-2</v>
      </c>
      <c r="J17" s="352">
        <f t="shared" si="20"/>
        <v>5.9999999999999963E-2</v>
      </c>
      <c r="K17" s="352">
        <f t="shared" si="20"/>
        <v>6.0000000000000123E-2</v>
      </c>
      <c r="L17" s="352">
        <f t="shared" si="20"/>
        <v>6.0000000000000005E-2</v>
      </c>
      <c r="M17" s="352">
        <f t="shared" si="20"/>
        <v>6.0000000000000026E-2</v>
      </c>
      <c r="N17" s="352">
        <f t="shared" si="20"/>
        <v>6.0000000000000019E-2</v>
      </c>
      <c r="O17" s="352">
        <f t="shared" si="20"/>
        <v>6.0000000000000046E-2</v>
      </c>
      <c r="P17" s="352">
        <f t="shared" si="20"/>
        <v>6.0000000000000053E-2</v>
      </c>
      <c r="Q17" s="352">
        <f t="shared" si="20"/>
        <v>5.9999999999999928E-2</v>
      </c>
      <c r="R17" s="352">
        <f t="shared" si="20"/>
        <v>6.0000000000000275E-2</v>
      </c>
      <c r="S17" s="352">
        <f t="shared" si="20"/>
        <v>6.0000000000000053E-2</v>
      </c>
      <c r="T17" s="352">
        <f t="shared" si="20"/>
        <v>6.0000000000000005E-2</v>
      </c>
      <c r="U17" s="352">
        <f t="shared" si="20"/>
        <v>6.0000000000000102E-2</v>
      </c>
      <c r="V17" s="352">
        <f t="shared" si="20"/>
        <v>6.0000000000000143E-2</v>
      </c>
      <c r="W17" s="352">
        <f t="shared" si="20"/>
        <v>6.0000000000000095E-2</v>
      </c>
      <c r="X17" s="352">
        <f t="shared" si="20"/>
        <v>5.9999999999999963E-2</v>
      </c>
      <c r="Y17" s="352">
        <f t="shared" si="20"/>
        <v>6.000000000000013E-2</v>
      </c>
      <c r="Z17" s="352">
        <f t="shared" si="20"/>
        <v>6.0000000000000026E-2</v>
      </c>
      <c r="AA17" s="352">
        <f t="shared" si="20"/>
        <v>6.0000000000000032E-2</v>
      </c>
      <c r="AB17" s="352">
        <f t="shared" si="20"/>
        <v>6.0000000000000032E-2</v>
      </c>
      <c r="AC17" s="352">
        <f t="shared" si="20"/>
        <v>5.999999999999997E-2</v>
      </c>
      <c r="AD17" s="352">
        <f t="shared" si="20"/>
        <v>6.0000000000000095E-2</v>
      </c>
      <c r="AE17" s="352">
        <f t="shared" si="20"/>
        <v>6.0000000000000227E-2</v>
      </c>
      <c r="AF17" s="352">
        <f t="shared" si="20"/>
        <v>6.0000000000000046E-2</v>
      </c>
      <c r="AG17" s="352">
        <f t="shared" si="20"/>
        <v>6.0000000000000053E-2</v>
      </c>
      <c r="AH17" s="352">
        <f t="shared" si="20"/>
        <v>6.0000000000000026E-2</v>
      </c>
      <c r="AI17" s="352">
        <f t="shared" si="20"/>
        <v>6.0000000000000261E-2</v>
      </c>
      <c r="AJ17" s="352">
        <f t="shared" si="20"/>
        <v>5.9999999999999921E-2</v>
      </c>
      <c r="AK17" s="352">
        <f t="shared" si="20"/>
        <v>5.9999999999999977E-2</v>
      </c>
      <c r="AL17" s="352">
        <f t="shared" si="20"/>
        <v>6.0000000000000164E-2</v>
      </c>
      <c r="AM17" s="352">
        <f t="shared" si="20"/>
        <v>5.9999999999999956E-2</v>
      </c>
      <c r="AN17" s="352">
        <f t="shared" si="20"/>
        <v>6.0000000000000123E-2</v>
      </c>
      <c r="AO17" s="352">
        <f t="shared" si="20"/>
        <v>6.0000000000000046E-2</v>
      </c>
      <c r="AP17" s="352">
        <f t="shared" si="20"/>
        <v>6.000000000000013E-2</v>
      </c>
      <c r="AQ17" s="352">
        <f t="shared" si="20"/>
        <v>5.9999999999999984E-2</v>
      </c>
      <c r="AR17" s="352">
        <f t="shared" si="20"/>
        <v>6.0000000000000137E-2</v>
      </c>
      <c r="AS17" s="352">
        <f t="shared" si="20"/>
        <v>5.9999999999999963E-2</v>
      </c>
      <c r="AT17" s="352">
        <f t="shared" si="20"/>
        <v>6.0000000000000005E-2</v>
      </c>
      <c r="AU17" s="352">
        <f t="shared" si="20"/>
        <v>6.0000000000000143E-2</v>
      </c>
      <c r="AV17" s="352">
        <f t="shared" si="20"/>
        <v>5.9999999999999873E-2</v>
      </c>
      <c r="AW17" s="352">
        <f t="shared" si="20"/>
        <v>6.0000000000000102E-2</v>
      </c>
      <c r="AX17" s="352">
        <f t="shared" si="20"/>
        <v>6.0000000000000074E-2</v>
      </c>
      <c r="AY17" s="352">
        <f t="shared" si="20"/>
        <v>5.9999999999999949E-2</v>
      </c>
      <c r="AZ17" s="352">
        <f t="shared" si="20"/>
        <v>6.0000000000000081E-2</v>
      </c>
      <c r="BA17" s="352">
        <f t="shared" si="20"/>
        <v>6.0000000000000081E-2</v>
      </c>
      <c r="BB17" s="352">
        <f t="shared" si="20"/>
        <v>0.06</v>
      </c>
      <c r="BC17" s="352">
        <f t="shared" si="20"/>
        <v>6.0000000000000081E-2</v>
      </c>
      <c r="BD17" s="352">
        <f t="shared" si="20"/>
        <v>6.0000000000000157E-2</v>
      </c>
      <c r="BE17" s="352">
        <f t="shared" si="20"/>
        <v>5.9999999999999977E-2</v>
      </c>
      <c r="BF17" s="352">
        <f t="shared" si="20"/>
        <v>6.0000000000000039E-2</v>
      </c>
      <c r="BG17" s="352">
        <f t="shared" si="20"/>
        <v>5.9999999999999921E-2</v>
      </c>
      <c r="BH17" s="352">
        <f t="shared" si="20"/>
        <v>6.000000000000013E-2</v>
      </c>
      <c r="BI17" s="352">
        <f t="shared" si="20"/>
        <v>6.0000000000000053E-2</v>
      </c>
      <c r="BJ17" s="352">
        <f t="shared" si="20"/>
        <v>5.9999999999999915E-2</v>
      </c>
      <c r="BK17" s="352">
        <f t="shared" si="20"/>
        <v>6.0000000000000234E-2</v>
      </c>
      <c r="BL17" s="352">
        <f t="shared" si="20"/>
        <v>6.0000000000000012E-2</v>
      </c>
      <c r="BM17" s="352">
        <f t="shared" si="20"/>
        <v>5.9999999999999935E-2</v>
      </c>
      <c r="BN17" s="352">
        <f t="shared" si="20"/>
        <v>6.0000000000000109E-2</v>
      </c>
      <c r="BO17" s="352">
        <f t="shared" si="20"/>
        <v>6.000000000000015E-2</v>
      </c>
      <c r="BP17" s="352">
        <f t="shared" ref="BP17:CN17" si="21">(BP16-BO16)/BO16</f>
        <v>5.9999999999999894E-2</v>
      </c>
      <c r="BQ17" s="352">
        <f t="shared" si="21"/>
        <v>5.9999999999999963E-2</v>
      </c>
      <c r="BR17" s="352">
        <f t="shared" si="21"/>
        <v>6.0000000000000199E-2</v>
      </c>
      <c r="BS17" s="352">
        <f t="shared" si="21"/>
        <v>5.9999999999999949E-2</v>
      </c>
      <c r="BT17" s="352">
        <f t="shared" si="21"/>
        <v>5.9999999999999991E-2</v>
      </c>
      <c r="BU17" s="352">
        <f t="shared" si="21"/>
        <v>0.06</v>
      </c>
      <c r="BV17" s="352">
        <f t="shared" si="21"/>
        <v>6.0000000000000109E-2</v>
      </c>
      <c r="BW17" s="352">
        <f t="shared" si="21"/>
        <v>6.0000000000000081E-2</v>
      </c>
      <c r="BX17" s="352">
        <f t="shared" si="21"/>
        <v>6.0000000000000109E-2</v>
      </c>
      <c r="BY17" s="352">
        <f t="shared" si="21"/>
        <v>5.9999999999999894E-2</v>
      </c>
      <c r="BZ17" s="352">
        <f t="shared" si="21"/>
        <v>6.0000000000000116E-2</v>
      </c>
      <c r="CA17" s="352">
        <f t="shared" si="21"/>
        <v>5.9999999999999984E-2</v>
      </c>
      <c r="CB17" s="352">
        <f t="shared" si="21"/>
        <v>6.0000000000000019E-2</v>
      </c>
      <c r="CC17" s="352">
        <f t="shared" si="21"/>
        <v>6.0000000000000046E-2</v>
      </c>
      <c r="CD17" s="352">
        <f t="shared" si="21"/>
        <v>6.0000000000000102E-2</v>
      </c>
      <c r="CE17" s="352">
        <f t="shared" si="21"/>
        <v>5.9999999999999984E-2</v>
      </c>
      <c r="CF17" s="352">
        <f t="shared" si="21"/>
        <v>5.9999999999999942E-2</v>
      </c>
      <c r="CG17" s="352">
        <f t="shared" si="21"/>
        <v>6.000000000000013E-2</v>
      </c>
      <c r="CH17" s="352">
        <f t="shared" si="21"/>
        <v>6.0000000000000088E-2</v>
      </c>
      <c r="CI17" s="352">
        <f t="shared" si="21"/>
        <v>6.0000000000000234E-2</v>
      </c>
      <c r="CJ17" s="352">
        <f t="shared" si="21"/>
        <v>6.0000000000000123E-2</v>
      </c>
      <c r="CK17" s="352">
        <f t="shared" si="21"/>
        <v>6.0000000000000067E-2</v>
      </c>
      <c r="CL17" s="352">
        <f t="shared" si="21"/>
        <v>6.0000000000000012E-2</v>
      </c>
      <c r="CM17" s="352">
        <f t="shared" si="21"/>
        <v>6.0000000000000032E-2</v>
      </c>
      <c r="CN17" s="352">
        <f t="shared" si="21"/>
        <v>6.0000000000000019E-2</v>
      </c>
      <c r="CO17" s="360"/>
      <c r="CP17" s="352">
        <f>(CP16-CN16)/CN16</f>
        <v>6.0000000000000046E-2</v>
      </c>
      <c r="CQ17" s="352">
        <f t="shared" ref="CQ17:FB17" si="22">(CQ16-CP16)/CP16</f>
        <v>6.0000000000000067E-2</v>
      </c>
      <c r="CR17" s="352">
        <f t="shared" si="22"/>
        <v>6.0000000000000095E-2</v>
      </c>
      <c r="CS17" s="352">
        <f t="shared" si="22"/>
        <v>6.0000000000000095E-2</v>
      </c>
      <c r="CT17" s="352">
        <f t="shared" si="22"/>
        <v>6.000000000000013E-2</v>
      </c>
      <c r="CU17" s="352">
        <f t="shared" si="22"/>
        <v>6.0000000000000199E-2</v>
      </c>
      <c r="CV17" s="352">
        <f t="shared" si="22"/>
        <v>6.0000000000000046E-2</v>
      </c>
      <c r="CW17" s="352">
        <f t="shared" si="22"/>
        <v>5.9999999999999908E-2</v>
      </c>
      <c r="CX17" s="352">
        <f t="shared" si="22"/>
        <v>6.0000000000000081E-2</v>
      </c>
      <c r="CY17" s="352">
        <f t="shared" si="22"/>
        <v>6.0000000000000053E-2</v>
      </c>
      <c r="CZ17" s="352">
        <f t="shared" si="22"/>
        <v>6.0000000000000143E-2</v>
      </c>
      <c r="DA17" s="352">
        <f t="shared" si="22"/>
        <v>6.000000000000006E-2</v>
      </c>
      <c r="DB17" s="352">
        <f t="shared" si="22"/>
        <v>5.9999999999999984E-2</v>
      </c>
      <c r="DC17" s="352">
        <f t="shared" si="22"/>
        <v>6.0000000000000157E-2</v>
      </c>
      <c r="DD17" s="352">
        <f t="shared" si="22"/>
        <v>5.999999999999988E-2</v>
      </c>
      <c r="DE17" s="352">
        <f t="shared" si="22"/>
        <v>6.000000000000013E-2</v>
      </c>
      <c r="DF17" s="352">
        <f t="shared" si="22"/>
        <v>6.000000000000015E-2</v>
      </c>
      <c r="DG17" s="352">
        <f t="shared" si="22"/>
        <v>6.0000000000000053E-2</v>
      </c>
      <c r="DH17" s="352">
        <f t="shared" si="22"/>
        <v>5.9999999999999956E-2</v>
      </c>
      <c r="DI17" s="352">
        <f t="shared" si="22"/>
        <v>6.0000000000000019E-2</v>
      </c>
      <c r="DJ17" s="352">
        <f t="shared" si="22"/>
        <v>6.0000000000000032E-2</v>
      </c>
      <c r="DK17" s="352">
        <f t="shared" si="22"/>
        <v>6.0000000000000095E-2</v>
      </c>
      <c r="DL17" s="352">
        <f t="shared" si="22"/>
        <v>6.0000000000000067E-2</v>
      </c>
      <c r="DM17" s="352">
        <f t="shared" si="22"/>
        <v>6.0000000000000032E-2</v>
      </c>
      <c r="DN17" s="352">
        <f t="shared" si="22"/>
        <v>6.0000000000000026E-2</v>
      </c>
      <c r="DO17" s="352">
        <f t="shared" si="22"/>
        <v>6.000000000000006E-2</v>
      </c>
      <c r="DP17" s="352">
        <f t="shared" si="22"/>
        <v>6.0000000000000012E-2</v>
      </c>
      <c r="DQ17" s="352">
        <f t="shared" si="22"/>
        <v>5.9999999999999908E-2</v>
      </c>
      <c r="DR17" s="352">
        <f t="shared" si="22"/>
        <v>6.0000000000000026E-2</v>
      </c>
      <c r="DS17" s="352">
        <f t="shared" si="22"/>
        <v>6.0000000000000143E-2</v>
      </c>
      <c r="DT17" s="352">
        <f t="shared" si="22"/>
        <v>6.0000000000000032E-2</v>
      </c>
      <c r="DU17" s="352">
        <f t="shared" si="22"/>
        <v>6.0000000000000095E-2</v>
      </c>
      <c r="DV17" s="352">
        <f t="shared" si="22"/>
        <v>5.9999999999999935E-2</v>
      </c>
      <c r="DW17" s="352">
        <f t="shared" si="22"/>
        <v>6.0000000000000116E-2</v>
      </c>
      <c r="DX17" s="352">
        <f t="shared" si="22"/>
        <v>6.000000000000013E-2</v>
      </c>
      <c r="DY17" s="352">
        <f t="shared" si="22"/>
        <v>5.999999999999997E-2</v>
      </c>
      <c r="DZ17" s="352">
        <f t="shared" si="22"/>
        <v>6.0000000000000005E-2</v>
      </c>
      <c r="EA17" s="352">
        <f t="shared" si="22"/>
        <v>6.000000000000015E-2</v>
      </c>
      <c r="EB17" s="352">
        <f t="shared" si="22"/>
        <v>5.9999999999999956E-2</v>
      </c>
      <c r="EC17" s="352">
        <f t="shared" si="22"/>
        <v>5.9999999999999928E-2</v>
      </c>
      <c r="ED17" s="352">
        <f t="shared" si="22"/>
        <v>6.0000000000000081E-2</v>
      </c>
      <c r="EE17" s="352">
        <f t="shared" si="22"/>
        <v>6.0000000000000157E-2</v>
      </c>
      <c r="EF17" s="352">
        <f t="shared" si="22"/>
        <v>5.9999999999999942E-2</v>
      </c>
      <c r="EG17" s="352">
        <f t="shared" si="22"/>
        <v>6.0000000000000164E-2</v>
      </c>
      <c r="EH17" s="352">
        <f t="shared" si="22"/>
        <v>5.9999999999999956E-2</v>
      </c>
      <c r="EI17" s="352">
        <f t="shared" si="22"/>
        <v>6.000000000000006E-2</v>
      </c>
      <c r="EJ17" s="352">
        <f t="shared" si="22"/>
        <v>6.0000000000000046E-2</v>
      </c>
      <c r="EK17" s="352">
        <f t="shared" si="22"/>
        <v>6.0000000000000081E-2</v>
      </c>
      <c r="EL17" s="352">
        <f t="shared" si="22"/>
        <v>6.000000000000015E-2</v>
      </c>
      <c r="EM17" s="352">
        <f t="shared" si="22"/>
        <v>6.0000000000000026E-2</v>
      </c>
      <c r="EN17" s="352">
        <f t="shared" si="22"/>
        <v>6.000000000000015E-2</v>
      </c>
      <c r="EO17" s="352">
        <f t="shared" si="22"/>
        <v>6.0000000000000039E-2</v>
      </c>
      <c r="EP17" s="352">
        <f t="shared" si="22"/>
        <v>6.0000000000000074E-2</v>
      </c>
      <c r="EQ17" s="352">
        <f t="shared" si="22"/>
        <v>5.9999999999999845E-2</v>
      </c>
      <c r="ER17" s="352">
        <f t="shared" si="22"/>
        <v>6.0000000000000199E-2</v>
      </c>
      <c r="ES17" s="352">
        <f t="shared" si="22"/>
        <v>6.000000000000006E-2</v>
      </c>
      <c r="ET17" s="352">
        <f t="shared" si="22"/>
        <v>5.9999999999999956E-2</v>
      </c>
      <c r="EU17" s="352">
        <f t="shared" si="22"/>
        <v>5.9999999999999977E-2</v>
      </c>
      <c r="EV17" s="352">
        <f t="shared" si="22"/>
        <v>6.0000000000000005E-2</v>
      </c>
      <c r="EW17" s="352">
        <f t="shared" si="22"/>
        <v>6.0000000000000012E-2</v>
      </c>
      <c r="EX17" s="352">
        <f t="shared" si="22"/>
        <v>6.0000000000000026E-2</v>
      </c>
      <c r="EY17" s="352">
        <f t="shared" si="22"/>
        <v>6.0000000000000137E-2</v>
      </c>
      <c r="EZ17" s="352">
        <f t="shared" si="22"/>
        <v>6.0000000000000032E-2</v>
      </c>
      <c r="FA17" s="352">
        <f t="shared" si="22"/>
        <v>6.0000000000000005E-2</v>
      </c>
      <c r="FB17" s="352">
        <f t="shared" si="22"/>
        <v>6.0000000000000074E-2</v>
      </c>
      <c r="FC17" s="352">
        <f t="shared" ref="FC17:HN17" si="23">(FC16-FB16)/FB16</f>
        <v>6.0000000000000157E-2</v>
      </c>
      <c r="FD17" s="352">
        <f t="shared" si="23"/>
        <v>5.9999999999999949E-2</v>
      </c>
      <c r="FE17" s="352">
        <f t="shared" si="23"/>
        <v>6.0000000000000012E-2</v>
      </c>
      <c r="FF17" s="352">
        <f t="shared" si="23"/>
        <v>6.0000000000000067E-2</v>
      </c>
      <c r="FG17" s="352">
        <f t="shared" si="23"/>
        <v>6.0000000000000074E-2</v>
      </c>
      <c r="FH17" s="352">
        <f t="shared" si="23"/>
        <v>5.9999999999999984E-2</v>
      </c>
      <c r="FI17" s="352">
        <f t="shared" si="23"/>
        <v>6.0000000000000088E-2</v>
      </c>
      <c r="FJ17" s="352">
        <f t="shared" si="23"/>
        <v>6.0000000000000123E-2</v>
      </c>
      <c r="FK17" s="352">
        <f t="shared" si="23"/>
        <v>6.0000000000000053E-2</v>
      </c>
      <c r="FL17" s="352">
        <f t="shared" si="23"/>
        <v>5.999999999999997E-2</v>
      </c>
      <c r="FM17" s="352">
        <f t="shared" si="23"/>
        <v>6.0000000000000102E-2</v>
      </c>
      <c r="FN17" s="352">
        <f t="shared" si="23"/>
        <v>5.9999999999999887E-2</v>
      </c>
      <c r="FO17" s="352">
        <f t="shared" si="23"/>
        <v>6.0000000000000137E-2</v>
      </c>
      <c r="FP17" s="352">
        <f t="shared" si="23"/>
        <v>5.9999999999999915E-2</v>
      </c>
      <c r="FQ17" s="352">
        <f t="shared" si="23"/>
        <v>6.0000000000000074E-2</v>
      </c>
      <c r="FR17" s="352">
        <f t="shared" si="23"/>
        <v>6.0000000000000032E-2</v>
      </c>
      <c r="FS17" s="352">
        <f t="shared" si="23"/>
        <v>5.9999999999999991E-2</v>
      </c>
      <c r="FT17" s="352">
        <f t="shared" si="23"/>
        <v>6.0000000000000206E-2</v>
      </c>
      <c r="FU17" s="352">
        <f t="shared" si="23"/>
        <v>6.0000000000000046E-2</v>
      </c>
      <c r="FV17" s="352">
        <f t="shared" si="23"/>
        <v>5.9999999999999956E-2</v>
      </c>
      <c r="FW17" s="352">
        <f t="shared" si="23"/>
        <v>6.0000000000000109E-2</v>
      </c>
      <c r="FX17" s="352">
        <f t="shared" si="23"/>
        <v>6.0000000000000074E-2</v>
      </c>
      <c r="FY17" s="352">
        <f t="shared" si="23"/>
        <v>6.0000000000000053E-2</v>
      </c>
      <c r="FZ17" s="352">
        <f t="shared" si="23"/>
        <v>6.0000000000000143E-2</v>
      </c>
      <c r="GA17" s="352">
        <f t="shared" si="23"/>
        <v>6.000000000000022E-2</v>
      </c>
      <c r="GB17" s="352">
        <f t="shared" si="23"/>
        <v>6.0000000000000012E-2</v>
      </c>
      <c r="GC17" s="352">
        <f t="shared" si="23"/>
        <v>6.0000000000000192E-2</v>
      </c>
      <c r="GD17" s="352">
        <f t="shared" si="23"/>
        <v>5.9999999999999942E-2</v>
      </c>
      <c r="GE17" s="352">
        <f t="shared" si="23"/>
        <v>6.0000000000000185E-2</v>
      </c>
      <c r="GF17" s="352">
        <f t="shared" si="23"/>
        <v>5.9999999999999984E-2</v>
      </c>
      <c r="GG17" s="352">
        <f t="shared" si="23"/>
        <v>6.0000000000000046E-2</v>
      </c>
      <c r="GH17" s="352">
        <f t="shared" si="23"/>
        <v>6.000000000000006E-2</v>
      </c>
      <c r="GI17" s="352">
        <f t="shared" si="23"/>
        <v>6.0000000000000102E-2</v>
      </c>
      <c r="GJ17" s="352">
        <f t="shared" si="23"/>
        <v>5.9999999999999908E-2</v>
      </c>
      <c r="GK17" s="352">
        <f t="shared" si="23"/>
        <v>5.9999999999999963E-2</v>
      </c>
      <c r="GL17" s="352">
        <f t="shared" si="23"/>
        <v>6.000000000000022E-2</v>
      </c>
      <c r="GM17" s="352">
        <f t="shared" si="23"/>
        <v>0.06</v>
      </c>
      <c r="GN17" s="352">
        <f t="shared" si="23"/>
        <v>5.9999999999999984E-2</v>
      </c>
      <c r="GO17" s="352">
        <f t="shared" si="23"/>
        <v>6.0000000000000032E-2</v>
      </c>
      <c r="GP17" s="352">
        <f t="shared" si="23"/>
        <v>5.9999999999999963E-2</v>
      </c>
      <c r="GQ17" s="352">
        <f t="shared" si="23"/>
        <v>6.0000000000000178E-2</v>
      </c>
      <c r="GR17" s="352">
        <f t="shared" si="23"/>
        <v>6.0000000000000019E-2</v>
      </c>
      <c r="GS17" s="352">
        <f t="shared" si="23"/>
        <v>6.0000000000000026E-2</v>
      </c>
      <c r="GT17" s="352">
        <f t="shared" si="23"/>
        <v>5.9999999999999956E-2</v>
      </c>
      <c r="GU17" s="352">
        <f t="shared" si="23"/>
        <v>6.0000000000000178E-2</v>
      </c>
      <c r="GV17" s="352">
        <f t="shared" si="23"/>
        <v>5.9999999999999963E-2</v>
      </c>
      <c r="GW17" s="352">
        <f t="shared" si="23"/>
        <v>6.0000000000000067E-2</v>
      </c>
      <c r="GX17" s="352">
        <f t="shared" si="23"/>
        <v>6.0000000000000116E-2</v>
      </c>
      <c r="GY17" s="352">
        <f t="shared" si="23"/>
        <v>6.0000000000000053E-2</v>
      </c>
      <c r="GZ17" s="352">
        <f t="shared" si="23"/>
        <v>6.0000000000000046E-2</v>
      </c>
      <c r="HA17" s="352">
        <f t="shared" si="23"/>
        <v>6.0000000000000171E-2</v>
      </c>
      <c r="HB17" s="352">
        <f t="shared" si="23"/>
        <v>6.0000000000000019E-2</v>
      </c>
      <c r="HC17" s="352">
        <f t="shared" si="23"/>
        <v>6.0000000000000102E-2</v>
      </c>
      <c r="HD17" s="352">
        <f t="shared" si="23"/>
        <v>6.0000000000000102E-2</v>
      </c>
      <c r="HE17" s="352">
        <f t="shared" si="23"/>
        <v>6.0000000000000032E-2</v>
      </c>
      <c r="HF17" s="352">
        <f t="shared" si="23"/>
        <v>5.9999999999999935E-2</v>
      </c>
      <c r="HG17" s="352">
        <f t="shared" si="23"/>
        <v>6.0000000000000143E-2</v>
      </c>
      <c r="HH17" s="352">
        <f t="shared" si="23"/>
        <v>6.0000000000000109E-2</v>
      </c>
      <c r="HI17" s="352">
        <f t="shared" si="23"/>
        <v>6.0000000000000046E-2</v>
      </c>
      <c r="HJ17" s="352">
        <f t="shared" si="23"/>
        <v>6.0000000000000164E-2</v>
      </c>
      <c r="HK17" s="352">
        <f t="shared" si="23"/>
        <v>6.0000000000000109E-2</v>
      </c>
      <c r="HL17" s="352">
        <f t="shared" si="23"/>
        <v>5.9999999999999887E-2</v>
      </c>
      <c r="HM17" s="352">
        <f t="shared" si="23"/>
        <v>6.0000000000000123E-2</v>
      </c>
      <c r="HN17" s="352">
        <f t="shared" si="23"/>
        <v>6.0000000000000019E-2</v>
      </c>
      <c r="HO17" s="352">
        <f t="shared" ref="HO17:IS17" si="24">(HO16-HN16)/HN16</f>
        <v>6.0000000000000199E-2</v>
      </c>
      <c r="HP17" s="352">
        <f t="shared" si="24"/>
        <v>5.9999999999999873E-2</v>
      </c>
      <c r="HQ17" s="352">
        <f t="shared" si="24"/>
        <v>6.0000000000000046E-2</v>
      </c>
      <c r="HR17" s="352">
        <f t="shared" si="24"/>
        <v>6.0000000000000116E-2</v>
      </c>
      <c r="HS17" s="352">
        <f t="shared" si="24"/>
        <v>6.000000000000015E-2</v>
      </c>
      <c r="HT17" s="352">
        <f t="shared" si="24"/>
        <v>6.0000000000000032E-2</v>
      </c>
      <c r="HU17" s="352">
        <f t="shared" si="24"/>
        <v>6.0000000000000185E-2</v>
      </c>
      <c r="HV17" s="352">
        <f t="shared" si="24"/>
        <v>6.0000000000000199E-2</v>
      </c>
      <c r="HW17" s="352">
        <f t="shared" si="24"/>
        <v>5.9999999999999921E-2</v>
      </c>
      <c r="HX17" s="352">
        <f t="shared" si="24"/>
        <v>6.000000000000013E-2</v>
      </c>
      <c r="HY17" s="352">
        <f t="shared" si="24"/>
        <v>6.0000000000000005E-2</v>
      </c>
      <c r="HZ17" s="352">
        <f t="shared" si="24"/>
        <v>5.9999999999999963E-2</v>
      </c>
      <c r="IA17" s="352">
        <f t="shared" si="24"/>
        <v>6.0000000000000137E-2</v>
      </c>
      <c r="IB17" s="352">
        <f t="shared" si="24"/>
        <v>6.0000000000000046E-2</v>
      </c>
      <c r="IC17" s="352">
        <f t="shared" si="24"/>
        <v>6.0000000000000095E-2</v>
      </c>
      <c r="ID17" s="352">
        <f t="shared" si="24"/>
        <v>6.0000000000000109E-2</v>
      </c>
      <c r="IE17" s="352">
        <f t="shared" si="24"/>
        <v>6.0000000000000185E-2</v>
      </c>
      <c r="IF17" s="352">
        <f t="shared" si="24"/>
        <v>0.06</v>
      </c>
      <c r="IG17" s="352">
        <f t="shared" si="24"/>
        <v>6.000000000000013E-2</v>
      </c>
      <c r="IH17" s="352">
        <f t="shared" si="24"/>
        <v>6.0000000000000185E-2</v>
      </c>
      <c r="II17" s="352">
        <f t="shared" si="24"/>
        <v>5.9999999999999977E-2</v>
      </c>
      <c r="IJ17" s="352">
        <f t="shared" si="24"/>
        <v>6.0000000000000046E-2</v>
      </c>
      <c r="IK17" s="352">
        <f t="shared" si="24"/>
        <v>6.0000000000000046E-2</v>
      </c>
      <c r="IL17" s="352">
        <f t="shared" si="24"/>
        <v>6.0000000000000019E-2</v>
      </c>
      <c r="IM17" s="352">
        <f t="shared" si="24"/>
        <v>5.999999999999997E-2</v>
      </c>
      <c r="IN17" s="352">
        <f t="shared" si="24"/>
        <v>6.0000000000000095E-2</v>
      </c>
      <c r="IO17" s="352">
        <f t="shared" si="24"/>
        <v>6.0000000000000143E-2</v>
      </c>
      <c r="IP17" s="352">
        <f t="shared" si="24"/>
        <v>5.9999999999999942E-2</v>
      </c>
      <c r="IQ17" s="352">
        <f t="shared" si="24"/>
        <v>6.0000000000000074E-2</v>
      </c>
      <c r="IR17" s="352">
        <f t="shared" si="24"/>
        <v>6.0000000000000019E-2</v>
      </c>
      <c r="IS17" s="352">
        <f t="shared" si="24"/>
        <v>6.0000000000000227E-2</v>
      </c>
      <c r="IT17" s="360"/>
      <c r="IU17" s="352">
        <f>(IU16-IS16)/IS16</f>
        <v>5.9999999999999921E-2</v>
      </c>
    </row>
    <row r="18" spans="1:255">
      <c r="A18" s="350" t="s">
        <v>1504</v>
      </c>
      <c r="B18" s="344" t="s">
        <v>1505</v>
      </c>
      <c r="C18" s="353">
        <f t="shared" ref="C18:BN18" si="25">C16/C14</f>
        <v>0.10500000000000001</v>
      </c>
      <c r="D18" s="353">
        <f t="shared" si="25"/>
        <v>0.10500000000000001</v>
      </c>
      <c r="E18" s="353">
        <f t="shared" si="25"/>
        <v>0.105</v>
      </c>
      <c r="F18" s="353">
        <f t="shared" si="25"/>
        <v>0.105</v>
      </c>
      <c r="G18" s="353">
        <f t="shared" si="25"/>
        <v>0.105</v>
      </c>
      <c r="H18" s="353">
        <f t="shared" si="25"/>
        <v>0.105</v>
      </c>
      <c r="I18" s="353">
        <f t="shared" si="25"/>
        <v>0.10500000000000001</v>
      </c>
      <c r="J18" s="353">
        <f t="shared" si="25"/>
        <v>0.105</v>
      </c>
      <c r="K18" s="353">
        <f t="shared" si="25"/>
        <v>0.105</v>
      </c>
      <c r="L18" s="353">
        <f t="shared" si="25"/>
        <v>0.105</v>
      </c>
      <c r="M18" s="353">
        <f t="shared" si="25"/>
        <v>0.105</v>
      </c>
      <c r="N18" s="353">
        <f t="shared" si="25"/>
        <v>0.105</v>
      </c>
      <c r="O18" s="353">
        <f t="shared" si="25"/>
        <v>0.105</v>
      </c>
      <c r="P18" s="353">
        <f t="shared" si="25"/>
        <v>0.105</v>
      </c>
      <c r="Q18" s="353">
        <f t="shared" si="25"/>
        <v>0.10499999999999998</v>
      </c>
      <c r="R18" s="353">
        <f t="shared" si="25"/>
        <v>0.105</v>
      </c>
      <c r="S18" s="353">
        <f t="shared" si="25"/>
        <v>0.105</v>
      </c>
      <c r="T18" s="353">
        <f t="shared" si="25"/>
        <v>0.105</v>
      </c>
      <c r="U18" s="353">
        <f t="shared" si="25"/>
        <v>0.105</v>
      </c>
      <c r="V18" s="353">
        <f t="shared" si="25"/>
        <v>0.105</v>
      </c>
      <c r="W18" s="353">
        <f t="shared" si="25"/>
        <v>0.105</v>
      </c>
      <c r="X18" s="353">
        <f t="shared" si="25"/>
        <v>0.105</v>
      </c>
      <c r="Y18" s="353">
        <f t="shared" si="25"/>
        <v>0.105</v>
      </c>
      <c r="Z18" s="353">
        <f t="shared" si="25"/>
        <v>0.10500000000000001</v>
      </c>
      <c r="AA18" s="353">
        <f t="shared" si="25"/>
        <v>0.10500000000000001</v>
      </c>
      <c r="AB18" s="353">
        <f t="shared" si="25"/>
        <v>0.105</v>
      </c>
      <c r="AC18" s="353">
        <f t="shared" si="25"/>
        <v>0.10499999999999998</v>
      </c>
      <c r="AD18" s="353">
        <f t="shared" si="25"/>
        <v>0.105</v>
      </c>
      <c r="AE18" s="353">
        <f t="shared" si="25"/>
        <v>0.10500000000000001</v>
      </c>
      <c r="AF18" s="353">
        <f t="shared" si="25"/>
        <v>0.105</v>
      </c>
      <c r="AG18" s="353">
        <f t="shared" si="25"/>
        <v>0.105</v>
      </c>
      <c r="AH18" s="353">
        <f t="shared" si="25"/>
        <v>0.105</v>
      </c>
      <c r="AI18" s="353">
        <f t="shared" si="25"/>
        <v>0.105</v>
      </c>
      <c r="AJ18" s="353">
        <f t="shared" si="25"/>
        <v>0.105</v>
      </c>
      <c r="AK18" s="353">
        <f t="shared" si="25"/>
        <v>0.105</v>
      </c>
      <c r="AL18" s="353">
        <f t="shared" si="25"/>
        <v>0.105</v>
      </c>
      <c r="AM18" s="353">
        <f t="shared" si="25"/>
        <v>0.105</v>
      </c>
      <c r="AN18" s="353">
        <f t="shared" si="25"/>
        <v>0.10500000000000001</v>
      </c>
      <c r="AO18" s="353">
        <f t="shared" si="25"/>
        <v>0.105</v>
      </c>
      <c r="AP18" s="353">
        <f t="shared" si="25"/>
        <v>0.105</v>
      </c>
      <c r="AQ18" s="353">
        <f t="shared" si="25"/>
        <v>0.10499999999999998</v>
      </c>
      <c r="AR18" s="353">
        <f t="shared" si="25"/>
        <v>0.105</v>
      </c>
      <c r="AS18" s="353">
        <f t="shared" si="25"/>
        <v>0.105</v>
      </c>
      <c r="AT18" s="353">
        <f t="shared" si="25"/>
        <v>0.105</v>
      </c>
      <c r="AU18" s="353">
        <f t="shared" si="25"/>
        <v>0.105</v>
      </c>
      <c r="AV18" s="353">
        <f t="shared" si="25"/>
        <v>0.105</v>
      </c>
      <c r="AW18" s="353">
        <f t="shared" si="25"/>
        <v>0.105</v>
      </c>
      <c r="AX18" s="353">
        <f t="shared" si="25"/>
        <v>0.105</v>
      </c>
      <c r="AY18" s="353">
        <f t="shared" si="25"/>
        <v>0.10499999999999998</v>
      </c>
      <c r="AZ18" s="353">
        <f t="shared" si="25"/>
        <v>0.105</v>
      </c>
      <c r="BA18" s="353">
        <f t="shared" si="25"/>
        <v>0.10499999999999998</v>
      </c>
      <c r="BB18" s="353">
        <f t="shared" si="25"/>
        <v>0.10499999999999998</v>
      </c>
      <c r="BC18" s="353">
        <f t="shared" si="25"/>
        <v>0.105</v>
      </c>
      <c r="BD18" s="353">
        <f t="shared" si="25"/>
        <v>0.10500000000000001</v>
      </c>
      <c r="BE18" s="353">
        <f t="shared" si="25"/>
        <v>0.105</v>
      </c>
      <c r="BF18" s="353">
        <f t="shared" si="25"/>
        <v>0.105</v>
      </c>
      <c r="BG18" s="353">
        <f t="shared" si="25"/>
        <v>0.105</v>
      </c>
      <c r="BH18" s="353">
        <f t="shared" si="25"/>
        <v>0.105</v>
      </c>
      <c r="BI18" s="353">
        <f t="shared" si="25"/>
        <v>0.105</v>
      </c>
      <c r="BJ18" s="353">
        <f t="shared" si="25"/>
        <v>0.105</v>
      </c>
      <c r="BK18" s="353">
        <f t="shared" si="25"/>
        <v>0.10500000000000001</v>
      </c>
      <c r="BL18" s="353">
        <f t="shared" si="25"/>
        <v>0.105</v>
      </c>
      <c r="BM18" s="353">
        <f t="shared" si="25"/>
        <v>0.10499999999999998</v>
      </c>
      <c r="BN18" s="353">
        <f t="shared" si="25"/>
        <v>0.105</v>
      </c>
      <c r="BO18" s="353">
        <f t="shared" ref="BO18:CN18" si="26">BO16/BO14</f>
        <v>0.105</v>
      </c>
      <c r="BP18" s="353">
        <f t="shared" si="26"/>
        <v>0.105</v>
      </c>
      <c r="BQ18" s="353">
        <f t="shared" si="26"/>
        <v>0.10499999999999998</v>
      </c>
      <c r="BR18" s="353">
        <f t="shared" si="26"/>
        <v>0.105</v>
      </c>
      <c r="BS18" s="353">
        <f t="shared" si="26"/>
        <v>0.105</v>
      </c>
      <c r="BT18" s="353">
        <f t="shared" si="26"/>
        <v>0.105</v>
      </c>
      <c r="BU18" s="353">
        <f t="shared" si="26"/>
        <v>0.105</v>
      </c>
      <c r="BV18" s="353">
        <f t="shared" si="26"/>
        <v>0.105</v>
      </c>
      <c r="BW18" s="353">
        <f t="shared" si="26"/>
        <v>0.105</v>
      </c>
      <c r="BX18" s="353">
        <f t="shared" si="26"/>
        <v>0.10500000000000001</v>
      </c>
      <c r="BY18" s="353">
        <f t="shared" si="26"/>
        <v>0.105</v>
      </c>
      <c r="BZ18" s="353">
        <f t="shared" si="26"/>
        <v>0.105</v>
      </c>
      <c r="CA18" s="353">
        <f t="shared" si="26"/>
        <v>0.105</v>
      </c>
      <c r="CB18" s="353">
        <f t="shared" si="26"/>
        <v>0.105</v>
      </c>
      <c r="CC18" s="353">
        <f t="shared" si="26"/>
        <v>0.105</v>
      </c>
      <c r="CD18" s="353">
        <f t="shared" si="26"/>
        <v>0.105</v>
      </c>
      <c r="CE18" s="353">
        <f t="shared" si="26"/>
        <v>0.105</v>
      </c>
      <c r="CF18" s="353">
        <f t="shared" si="26"/>
        <v>0.105</v>
      </c>
      <c r="CG18" s="353">
        <f t="shared" si="26"/>
        <v>0.105</v>
      </c>
      <c r="CH18" s="353">
        <f t="shared" si="26"/>
        <v>0.10499999999999998</v>
      </c>
      <c r="CI18" s="353">
        <f t="shared" si="26"/>
        <v>0.105</v>
      </c>
      <c r="CJ18" s="353">
        <f t="shared" si="26"/>
        <v>0.10500000000000001</v>
      </c>
      <c r="CK18" s="353">
        <f t="shared" si="26"/>
        <v>0.105</v>
      </c>
      <c r="CL18" s="353">
        <f t="shared" si="26"/>
        <v>0.10500000000000001</v>
      </c>
      <c r="CM18" s="353">
        <f t="shared" si="26"/>
        <v>0.105</v>
      </c>
      <c r="CN18" s="353">
        <f t="shared" si="26"/>
        <v>0.105</v>
      </c>
      <c r="CO18" s="361"/>
      <c r="CP18" s="353">
        <f t="shared" ref="CP18:FA18" si="27">CP16/CP14</f>
        <v>0.105</v>
      </c>
      <c r="CQ18" s="353">
        <f t="shared" si="27"/>
        <v>0.105</v>
      </c>
      <c r="CR18" s="353">
        <f t="shared" si="27"/>
        <v>0.105</v>
      </c>
      <c r="CS18" s="353">
        <f t="shared" si="27"/>
        <v>0.105</v>
      </c>
      <c r="CT18" s="353">
        <f t="shared" si="27"/>
        <v>0.105</v>
      </c>
      <c r="CU18" s="353">
        <f t="shared" si="27"/>
        <v>0.10500000000000001</v>
      </c>
      <c r="CV18" s="353">
        <f t="shared" si="27"/>
        <v>0.105</v>
      </c>
      <c r="CW18" s="353">
        <f t="shared" si="27"/>
        <v>0.10499999999999998</v>
      </c>
      <c r="CX18" s="353">
        <f t="shared" si="27"/>
        <v>0.105</v>
      </c>
      <c r="CY18" s="353">
        <f t="shared" si="27"/>
        <v>0.105</v>
      </c>
      <c r="CZ18" s="353">
        <f t="shared" si="27"/>
        <v>0.105</v>
      </c>
      <c r="DA18" s="353">
        <f t="shared" si="27"/>
        <v>0.105</v>
      </c>
      <c r="DB18" s="353">
        <f t="shared" si="27"/>
        <v>0.105</v>
      </c>
      <c r="DC18" s="353">
        <f t="shared" si="27"/>
        <v>0.105</v>
      </c>
      <c r="DD18" s="353">
        <f t="shared" si="27"/>
        <v>0.105</v>
      </c>
      <c r="DE18" s="353">
        <f t="shared" si="27"/>
        <v>0.105</v>
      </c>
      <c r="DF18" s="353">
        <f t="shared" si="27"/>
        <v>0.105</v>
      </c>
      <c r="DG18" s="353">
        <f t="shared" si="27"/>
        <v>0.105</v>
      </c>
      <c r="DH18" s="353">
        <f t="shared" si="27"/>
        <v>0.10499999999999998</v>
      </c>
      <c r="DI18" s="353">
        <f t="shared" si="27"/>
        <v>0.105</v>
      </c>
      <c r="DJ18" s="353">
        <f t="shared" si="27"/>
        <v>0.105</v>
      </c>
      <c r="DK18" s="353">
        <f t="shared" si="27"/>
        <v>0.105</v>
      </c>
      <c r="DL18" s="353">
        <f t="shared" si="27"/>
        <v>0.105</v>
      </c>
      <c r="DM18" s="353">
        <f t="shared" si="27"/>
        <v>0.105</v>
      </c>
      <c r="DN18" s="353">
        <f t="shared" si="27"/>
        <v>0.105</v>
      </c>
      <c r="DO18" s="353">
        <f t="shared" si="27"/>
        <v>0.105</v>
      </c>
      <c r="DP18" s="353">
        <f t="shared" si="27"/>
        <v>0.105</v>
      </c>
      <c r="DQ18" s="353">
        <f t="shared" si="27"/>
        <v>0.105</v>
      </c>
      <c r="DR18" s="353">
        <f t="shared" si="27"/>
        <v>0.105</v>
      </c>
      <c r="DS18" s="353">
        <f t="shared" si="27"/>
        <v>0.105</v>
      </c>
      <c r="DT18" s="353">
        <f t="shared" si="27"/>
        <v>0.105</v>
      </c>
      <c r="DU18" s="353">
        <f t="shared" si="27"/>
        <v>0.105</v>
      </c>
      <c r="DV18" s="353">
        <f t="shared" si="27"/>
        <v>0.10499999999999998</v>
      </c>
      <c r="DW18" s="353">
        <f t="shared" si="27"/>
        <v>0.105</v>
      </c>
      <c r="DX18" s="353">
        <f t="shared" si="27"/>
        <v>0.105</v>
      </c>
      <c r="DY18" s="353">
        <f t="shared" si="27"/>
        <v>0.105</v>
      </c>
      <c r="DZ18" s="353">
        <f t="shared" si="27"/>
        <v>0.105</v>
      </c>
      <c r="EA18" s="353">
        <f t="shared" si="27"/>
        <v>0.105</v>
      </c>
      <c r="EB18" s="353">
        <f t="shared" si="27"/>
        <v>0.105</v>
      </c>
      <c r="EC18" s="353">
        <f t="shared" si="27"/>
        <v>0.105</v>
      </c>
      <c r="ED18" s="353">
        <f t="shared" si="27"/>
        <v>0.105</v>
      </c>
      <c r="EE18" s="353">
        <f t="shared" si="27"/>
        <v>0.105</v>
      </c>
      <c r="EF18" s="353">
        <f t="shared" si="27"/>
        <v>0.105</v>
      </c>
      <c r="EG18" s="353">
        <f t="shared" si="27"/>
        <v>0.105</v>
      </c>
      <c r="EH18" s="353">
        <f t="shared" si="27"/>
        <v>0.105</v>
      </c>
      <c r="EI18" s="353">
        <f t="shared" si="27"/>
        <v>0.105</v>
      </c>
      <c r="EJ18" s="353">
        <f t="shared" si="27"/>
        <v>0.105</v>
      </c>
      <c r="EK18" s="353">
        <f t="shared" si="27"/>
        <v>0.105</v>
      </c>
      <c r="EL18" s="353">
        <f t="shared" si="27"/>
        <v>0.105</v>
      </c>
      <c r="EM18" s="353">
        <f t="shared" si="27"/>
        <v>0.105</v>
      </c>
      <c r="EN18" s="353">
        <f t="shared" si="27"/>
        <v>0.105</v>
      </c>
      <c r="EO18" s="353">
        <f t="shared" si="27"/>
        <v>0.105</v>
      </c>
      <c r="EP18" s="353">
        <f t="shared" si="27"/>
        <v>0.10500000000000001</v>
      </c>
      <c r="EQ18" s="353">
        <f t="shared" si="27"/>
        <v>0.105</v>
      </c>
      <c r="ER18" s="353">
        <f t="shared" si="27"/>
        <v>0.10500000000000001</v>
      </c>
      <c r="ES18" s="353">
        <f t="shared" si="27"/>
        <v>0.10500000000000001</v>
      </c>
      <c r="ET18" s="353">
        <f t="shared" si="27"/>
        <v>0.105</v>
      </c>
      <c r="EU18" s="353">
        <f t="shared" si="27"/>
        <v>0.105</v>
      </c>
      <c r="EV18" s="353">
        <f t="shared" si="27"/>
        <v>0.105</v>
      </c>
      <c r="EW18" s="353">
        <f t="shared" si="27"/>
        <v>0.105</v>
      </c>
      <c r="EX18" s="353">
        <f t="shared" si="27"/>
        <v>0.105</v>
      </c>
      <c r="EY18" s="353">
        <f t="shared" si="27"/>
        <v>0.105</v>
      </c>
      <c r="EZ18" s="353">
        <f t="shared" si="27"/>
        <v>0.105</v>
      </c>
      <c r="FA18" s="353">
        <f t="shared" si="27"/>
        <v>0.105</v>
      </c>
      <c r="FB18" s="353">
        <f t="shared" ref="FB18:HM18" si="28">FB16/FB14</f>
        <v>0.105</v>
      </c>
      <c r="FC18" s="353">
        <f t="shared" si="28"/>
        <v>0.10500000000000001</v>
      </c>
      <c r="FD18" s="353">
        <f t="shared" si="28"/>
        <v>0.105</v>
      </c>
      <c r="FE18" s="353">
        <f t="shared" si="28"/>
        <v>0.105</v>
      </c>
      <c r="FF18" s="353">
        <f t="shared" si="28"/>
        <v>0.105</v>
      </c>
      <c r="FG18" s="353">
        <f t="shared" si="28"/>
        <v>0.105</v>
      </c>
      <c r="FH18" s="353">
        <f t="shared" si="28"/>
        <v>0.105</v>
      </c>
      <c r="FI18" s="353">
        <f t="shared" si="28"/>
        <v>0.105</v>
      </c>
      <c r="FJ18" s="353">
        <f t="shared" si="28"/>
        <v>0.105</v>
      </c>
      <c r="FK18" s="353">
        <f t="shared" si="28"/>
        <v>0.105</v>
      </c>
      <c r="FL18" s="353">
        <f t="shared" si="28"/>
        <v>0.105</v>
      </c>
      <c r="FM18" s="353">
        <f t="shared" si="28"/>
        <v>0.105</v>
      </c>
      <c r="FN18" s="353">
        <f t="shared" si="28"/>
        <v>0.10499999999999998</v>
      </c>
      <c r="FO18" s="353">
        <f t="shared" si="28"/>
        <v>0.105</v>
      </c>
      <c r="FP18" s="353">
        <f t="shared" si="28"/>
        <v>0.105</v>
      </c>
      <c r="FQ18" s="353">
        <f t="shared" si="28"/>
        <v>0.105</v>
      </c>
      <c r="FR18" s="353">
        <f t="shared" si="28"/>
        <v>0.105</v>
      </c>
      <c r="FS18" s="353">
        <f t="shared" si="28"/>
        <v>0.105</v>
      </c>
      <c r="FT18" s="353">
        <f t="shared" si="28"/>
        <v>0.10500000000000001</v>
      </c>
      <c r="FU18" s="353">
        <f t="shared" si="28"/>
        <v>0.105</v>
      </c>
      <c r="FV18" s="353">
        <f t="shared" si="28"/>
        <v>0.105</v>
      </c>
      <c r="FW18" s="353">
        <f t="shared" si="28"/>
        <v>0.105</v>
      </c>
      <c r="FX18" s="353">
        <f t="shared" si="28"/>
        <v>0.105</v>
      </c>
      <c r="FY18" s="353">
        <f t="shared" si="28"/>
        <v>0.105</v>
      </c>
      <c r="FZ18" s="353">
        <f t="shared" si="28"/>
        <v>0.105</v>
      </c>
      <c r="GA18" s="353">
        <f t="shared" si="28"/>
        <v>0.10500000000000001</v>
      </c>
      <c r="GB18" s="353">
        <f t="shared" si="28"/>
        <v>0.105</v>
      </c>
      <c r="GC18" s="353">
        <f t="shared" si="28"/>
        <v>0.10500000000000001</v>
      </c>
      <c r="GD18" s="353">
        <f t="shared" si="28"/>
        <v>0.105</v>
      </c>
      <c r="GE18" s="353">
        <f t="shared" si="28"/>
        <v>0.105</v>
      </c>
      <c r="GF18" s="353">
        <f t="shared" si="28"/>
        <v>0.105</v>
      </c>
      <c r="GG18" s="353">
        <f t="shared" si="28"/>
        <v>0.105</v>
      </c>
      <c r="GH18" s="353">
        <f t="shared" si="28"/>
        <v>0.105</v>
      </c>
      <c r="GI18" s="353">
        <f t="shared" si="28"/>
        <v>0.105</v>
      </c>
      <c r="GJ18" s="353">
        <f t="shared" si="28"/>
        <v>0.105</v>
      </c>
      <c r="GK18" s="353">
        <f t="shared" si="28"/>
        <v>0.105</v>
      </c>
      <c r="GL18" s="353">
        <f t="shared" si="28"/>
        <v>0.10500000000000001</v>
      </c>
      <c r="GM18" s="353">
        <f t="shared" si="28"/>
        <v>0.105</v>
      </c>
      <c r="GN18" s="353">
        <f t="shared" si="28"/>
        <v>0.105</v>
      </c>
      <c r="GO18" s="353">
        <f t="shared" si="28"/>
        <v>0.105</v>
      </c>
      <c r="GP18" s="353">
        <f t="shared" si="28"/>
        <v>0.105</v>
      </c>
      <c r="GQ18" s="353">
        <f t="shared" si="28"/>
        <v>0.105</v>
      </c>
      <c r="GR18" s="353">
        <f t="shared" si="28"/>
        <v>0.105</v>
      </c>
      <c r="GS18" s="353">
        <f t="shared" si="28"/>
        <v>0.105</v>
      </c>
      <c r="GT18" s="353">
        <f t="shared" si="28"/>
        <v>0.105</v>
      </c>
      <c r="GU18" s="353">
        <f t="shared" si="28"/>
        <v>0.105</v>
      </c>
      <c r="GV18" s="353">
        <f t="shared" si="28"/>
        <v>0.105</v>
      </c>
      <c r="GW18" s="353">
        <f t="shared" si="28"/>
        <v>0.105</v>
      </c>
      <c r="GX18" s="353">
        <f t="shared" si="28"/>
        <v>0.105</v>
      </c>
      <c r="GY18" s="353">
        <f t="shared" si="28"/>
        <v>0.105</v>
      </c>
      <c r="GZ18" s="353">
        <f t="shared" si="28"/>
        <v>0.105</v>
      </c>
      <c r="HA18" s="353">
        <f t="shared" si="28"/>
        <v>0.10500000000000001</v>
      </c>
      <c r="HB18" s="353">
        <f t="shared" si="28"/>
        <v>0.105</v>
      </c>
      <c r="HC18" s="353">
        <f t="shared" si="28"/>
        <v>0.105</v>
      </c>
      <c r="HD18" s="353">
        <f t="shared" si="28"/>
        <v>0.105</v>
      </c>
      <c r="HE18" s="353">
        <f t="shared" si="28"/>
        <v>0.105</v>
      </c>
      <c r="HF18" s="353">
        <f t="shared" si="28"/>
        <v>0.105</v>
      </c>
      <c r="HG18" s="353">
        <f t="shared" si="28"/>
        <v>0.105</v>
      </c>
      <c r="HH18" s="353">
        <f t="shared" si="28"/>
        <v>0.105</v>
      </c>
      <c r="HI18" s="353">
        <f t="shared" si="28"/>
        <v>0.105</v>
      </c>
      <c r="HJ18" s="353">
        <f t="shared" si="28"/>
        <v>0.105</v>
      </c>
      <c r="HK18" s="353">
        <f t="shared" si="28"/>
        <v>0.10500000000000001</v>
      </c>
      <c r="HL18" s="353">
        <f t="shared" si="28"/>
        <v>0.105</v>
      </c>
      <c r="HM18" s="353">
        <f t="shared" si="28"/>
        <v>0.105</v>
      </c>
      <c r="HN18" s="353">
        <f t="shared" ref="HN18:IS18" si="29">HN16/HN14</f>
        <v>0.105</v>
      </c>
      <c r="HO18" s="353">
        <f t="shared" si="29"/>
        <v>0.105</v>
      </c>
      <c r="HP18" s="353">
        <f t="shared" si="29"/>
        <v>0.10499999999999998</v>
      </c>
      <c r="HQ18" s="353">
        <f t="shared" si="29"/>
        <v>0.105</v>
      </c>
      <c r="HR18" s="353">
        <f t="shared" si="29"/>
        <v>0.105</v>
      </c>
      <c r="HS18" s="353">
        <f t="shared" si="29"/>
        <v>0.105</v>
      </c>
      <c r="HT18" s="353">
        <f t="shared" si="29"/>
        <v>0.105</v>
      </c>
      <c r="HU18" s="353">
        <f t="shared" si="29"/>
        <v>0.105</v>
      </c>
      <c r="HV18" s="353">
        <f t="shared" si="29"/>
        <v>0.10500000000000001</v>
      </c>
      <c r="HW18" s="353">
        <f t="shared" si="29"/>
        <v>0.10499999999999998</v>
      </c>
      <c r="HX18" s="353">
        <f t="shared" si="29"/>
        <v>0.10500000000000001</v>
      </c>
      <c r="HY18" s="353">
        <f t="shared" si="29"/>
        <v>0.105</v>
      </c>
      <c r="HZ18" s="353">
        <f t="shared" si="29"/>
        <v>0.105</v>
      </c>
      <c r="IA18" s="353">
        <f t="shared" si="29"/>
        <v>0.105</v>
      </c>
      <c r="IB18" s="353">
        <f t="shared" si="29"/>
        <v>0.105</v>
      </c>
      <c r="IC18" s="353">
        <f t="shared" si="29"/>
        <v>0.105</v>
      </c>
      <c r="ID18" s="353">
        <f t="shared" si="29"/>
        <v>0.105</v>
      </c>
      <c r="IE18" s="353">
        <f t="shared" si="29"/>
        <v>0.105</v>
      </c>
      <c r="IF18" s="353">
        <f t="shared" si="29"/>
        <v>0.105</v>
      </c>
      <c r="IG18" s="353">
        <f t="shared" si="29"/>
        <v>0.105</v>
      </c>
      <c r="IH18" s="353">
        <f t="shared" si="29"/>
        <v>0.105</v>
      </c>
      <c r="II18" s="353">
        <f t="shared" si="29"/>
        <v>0.105</v>
      </c>
      <c r="IJ18" s="353">
        <f t="shared" si="29"/>
        <v>0.105</v>
      </c>
      <c r="IK18" s="353">
        <f t="shared" si="29"/>
        <v>0.105</v>
      </c>
      <c r="IL18" s="353">
        <f t="shared" si="29"/>
        <v>0.105</v>
      </c>
      <c r="IM18" s="353">
        <f t="shared" si="29"/>
        <v>0.105</v>
      </c>
      <c r="IN18" s="353">
        <f t="shared" si="29"/>
        <v>0.105</v>
      </c>
      <c r="IO18" s="353">
        <f t="shared" si="29"/>
        <v>0.105</v>
      </c>
      <c r="IP18" s="353">
        <f t="shared" si="29"/>
        <v>0.105</v>
      </c>
      <c r="IQ18" s="353">
        <f t="shared" si="29"/>
        <v>0.105</v>
      </c>
      <c r="IR18" s="353">
        <f t="shared" si="29"/>
        <v>0.105</v>
      </c>
      <c r="IS18" s="353">
        <f t="shared" si="29"/>
        <v>0.10500000000000001</v>
      </c>
      <c r="IT18" s="361"/>
      <c r="IU18" s="353">
        <f>IU16/IU14</f>
        <v>0.10499999999999998</v>
      </c>
    </row>
    <row r="19" spans="1:255">
      <c r="A19" s="350" t="s">
        <v>1506</v>
      </c>
      <c r="B19" s="344" t="s">
        <v>1507</v>
      </c>
      <c r="C19" s="358">
        <f>C16*C8</f>
        <v>1.3353221310081269</v>
      </c>
      <c r="D19" s="358">
        <f t="shared" ref="D19:BO19" si="30">D16*$C8</f>
        <v>1.4154414588686146</v>
      </c>
      <c r="E19" s="358">
        <f t="shared" si="30"/>
        <v>1.5003679464007316</v>
      </c>
      <c r="F19" s="358">
        <f t="shared" si="30"/>
        <v>1.5903900231847756</v>
      </c>
      <c r="G19" s="358">
        <f t="shared" si="30"/>
        <v>1.685813424575862</v>
      </c>
      <c r="H19" s="358">
        <f t="shared" si="30"/>
        <v>1.7869622300504138</v>
      </c>
      <c r="I19" s="358">
        <f t="shared" si="30"/>
        <v>1.8941799638534391</v>
      </c>
      <c r="J19" s="358">
        <f t="shared" si="30"/>
        <v>2.0078307616846454</v>
      </c>
      <c r="K19" s="358">
        <f t="shared" si="30"/>
        <v>2.1283006073857242</v>
      </c>
      <c r="L19" s="358">
        <f t="shared" si="30"/>
        <v>2.2559986438288679</v>
      </c>
      <c r="M19" s="358">
        <f t="shared" si="30"/>
        <v>2.3913585624586</v>
      </c>
      <c r="N19" s="358">
        <f t="shared" si="30"/>
        <v>2.5348400762061161</v>
      </c>
      <c r="O19" s="358">
        <f t="shared" si="30"/>
        <v>2.6869304807784831</v>
      </c>
      <c r="P19" s="358">
        <f t="shared" si="30"/>
        <v>2.848146309625192</v>
      </c>
      <c r="Q19" s="358">
        <f t="shared" si="30"/>
        <v>3.0190350882027035</v>
      </c>
      <c r="R19" s="358">
        <f t="shared" si="30"/>
        <v>3.2001771934948664</v>
      </c>
      <c r="S19" s="358">
        <f t="shared" si="30"/>
        <v>3.3921878251045587</v>
      </c>
      <c r="T19" s="358">
        <f t="shared" si="30"/>
        <v>3.5957190946108319</v>
      </c>
      <c r="U19" s="358">
        <f t="shared" si="30"/>
        <v>3.8114622402874825</v>
      </c>
      <c r="V19" s="358">
        <f t="shared" si="30"/>
        <v>4.0401499747047316</v>
      </c>
      <c r="W19" s="358">
        <f t="shared" si="30"/>
        <v>4.2825589731870162</v>
      </c>
      <c r="X19" s="358">
        <f t="shared" si="30"/>
        <v>4.5395125115782369</v>
      </c>
      <c r="Y19" s="358">
        <f t="shared" si="30"/>
        <v>4.8118832622729322</v>
      </c>
      <c r="Z19" s="358">
        <f t="shared" si="30"/>
        <v>5.1005962580093076</v>
      </c>
      <c r="AA19" s="358">
        <f t="shared" si="30"/>
        <v>5.406632033489867</v>
      </c>
      <c r="AB19" s="358">
        <f t="shared" si="30"/>
        <v>5.7310299554992588</v>
      </c>
      <c r="AC19" s="358">
        <f t="shared" si="30"/>
        <v>6.0748917528292141</v>
      </c>
      <c r="AD19" s="358">
        <f t="shared" si="30"/>
        <v>6.4393852579989677</v>
      </c>
      <c r="AE19" s="358">
        <f t="shared" si="30"/>
        <v>6.8257483734789073</v>
      </c>
      <c r="AF19" s="358">
        <f t="shared" si="30"/>
        <v>7.235293275887642</v>
      </c>
      <c r="AG19" s="358">
        <f t="shared" si="30"/>
        <v>7.6694108724409009</v>
      </c>
      <c r="AH19" s="358">
        <f t="shared" si="30"/>
        <v>8.1295755247873558</v>
      </c>
      <c r="AI19" s="358">
        <f t="shared" si="30"/>
        <v>8.6173500562745975</v>
      </c>
      <c r="AJ19" s="358">
        <f t="shared" si="30"/>
        <v>9.1343910596510742</v>
      </c>
      <c r="AK19" s="358">
        <f t="shared" si="30"/>
        <v>9.6824545232301382</v>
      </c>
      <c r="AL19" s="358">
        <f t="shared" si="30"/>
        <v>10.263401794623947</v>
      </c>
      <c r="AM19" s="358">
        <f t="shared" si="30"/>
        <v>10.879205902301385</v>
      </c>
      <c r="AN19" s="358">
        <f t="shared" si="30"/>
        <v>11.531958256439468</v>
      </c>
      <c r="AO19" s="358">
        <f t="shared" si="30"/>
        <v>12.223875751825837</v>
      </c>
      <c r="AP19" s="358">
        <f t="shared" si="30"/>
        <v>12.957308296935389</v>
      </c>
      <c r="AQ19" s="358">
        <f t="shared" si="30"/>
        <v>13.734746794751512</v>
      </c>
      <c r="AR19" s="358">
        <f t="shared" si="30"/>
        <v>14.558831602436605</v>
      </c>
      <c r="AS19" s="358">
        <f t="shared" si="30"/>
        <v>15.4323614985828</v>
      </c>
      <c r="AT19" s="358">
        <f t="shared" si="30"/>
        <v>16.358303188497768</v>
      </c>
      <c r="AU19" s="358">
        <f t="shared" si="30"/>
        <v>17.339801379807636</v>
      </c>
      <c r="AV19" s="358">
        <f t="shared" si="30"/>
        <v>18.380189462596093</v>
      </c>
      <c r="AW19" s="358">
        <f t="shared" si="30"/>
        <v>19.483000830351859</v>
      </c>
      <c r="AX19" s="358">
        <f t="shared" si="30"/>
        <v>20.651980880172975</v>
      </c>
      <c r="AY19" s="358">
        <f t="shared" si="30"/>
        <v>21.891099732983349</v>
      </c>
      <c r="AZ19" s="358">
        <f t="shared" si="30"/>
        <v>23.204565716962353</v>
      </c>
      <c r="BA19" s="358">
        <f t="shared" si="30"/>
        <v>24.596839659980098</v>
      </c>
      <c r="BB19" s="358">
        <f t="shared" si="30"/>
        <v>26.072650039578903</v>
      </c>
      <c r="BC19" s="358">
        <f t="shared" si="30"/>
        <v>27.63700904195364</v>
      </c>
      <c r="BD19" s="358">
        <f t="shared" si="30"/>
        <v>29.29522958447086</v>
      </c>
      <c r="BE19" s="358">
        <f t="shared" si="30"/>
        <v>31.05294335953911</v>
      </c>
      <c r="BF19" s="358">
        <f t="shared" si="30"/>
        <v>32.916119961111463</v>
      </c>
      <c r="BG19" s="358">
        <f t="shared" si="30"/>
        <v>34.891087158778141</v>
      </c>
      <c r="BH19" s="358">
        <f t="shared" si="30"/>
        <v>36.984552388304841</v>
      </c>
      <c r="BI19" s="358">
        <f t="shared" si="30"/>
        <v>39.20362553160313</v>
      </c>
      <c r="BJ19" s="358">
        <f t="shared" si="30"/>
        <v>41.555843063499317</v>
      </c>
      <c r="BK19" s="358">
        <f t="shared" si="30"/>
        <v>44.049193647309281</v>
      </c>
      <c r="BL19" s="358">
        <f t="shared" si="30"/>
        <v>46.69214526614784</v>
      </c>
      <c r="BM19" s="358">
        <f t="shared" si="30"/>
        <v>49.493673982116711</v>
      </c>
      <c r="BN19" s="358">
        <f t="shared" si="30"/>
        <v>52.46329442104372</v>
      </c>
      <c r="BO19" s="358">
        <f t="shared" si="30"/>
        <v>55.61109208630635</v>
      </c>
      <c r="BP19" s="358">
        <f t="shared" ref="BP19:CN19" si="31">BP16*$C8</f>
        <v>58.947757611484725</v>
      </c>
      <c r="BQ19" s="358">
        <f t="shared" si="31"/>
        <v>62.484623068173804</v>
      </c>
      <c r="BR19" s="358">
        <f t="shared" si="31"/>
        <v>66.233700452264245</v>
      </c>
      <c r="BS19" s="358">
        <f t="shared" si="31"/>
        <v>70.20772247940009</v>
      </c>
      <c r="BT19" s="358">
        <f t="shared" si="31"/>
        <v>74.420185828164108</v>
      </c>
      <c r="BU19" s="358">
        <f t="shared" si="31"/>
        <v>78.885396977853944</v>
      </c>
      <c r="BV19" s="358">
        <f t="shared" si="31"/>
        <v>83.618520796525189</v>
      </c>
      <c r="BW19" s="358">
        <f t="shared" si="31"/>
        <v>88.635632044316708</v>
      </c>
      <c r="BX19" s="358">
        <f t="shared" si="31"/>
        <v>93.953769966975727</v>
      </c>
      <c r="BY19" s="358">
        <f t="shared" si="31"/>
        <v>99.590996164994252</v>
      </c>
      <c r="BZ19" s="358">
        <f t="shared" si="31"/>
        <v>105.56645593489392</v>
      </c>
      <c r="CA19" s="358">
        <f t="shared" si="31"/>
        <v>111.90044329098755</v>
      </c>
      <c r="CB19" s="358">
        <f t="shared" si="31"/>
        <v>118.61446988844681</v>
      </c>
      <c r="CC19" s="358">
        <f t="shared" si="31"/>
        <v>125.73133808175362</v>
      </c>
      <c r="CD19" s="358">
        <f t="shared" si="31"/>
        <v>133.27521836665886</v>
      </c>
      <c r="CE19" s="358">
        <f t="shared" si="31"/>
        <v>141.27173146865837</v>
      </c>
      <c r="CF19" s="358">
        <f t="shared" si="31"/>
        <v>149.74803535677788</v>
      </c>
      <c r="CG19" s="358">
        <f t="shared" si="31"/>
        <v>158.73291747818456</v>
      </c>
      <c r="CH19" s="358">
        <f t="shared" si="31"/>
        <v>168.25689252687567</v>
      </c>
      <c r="CI19" s="358">
        <f t="shared" si="31"/>
        <v>178.35230607848825</v>
      </c>
      <c r="CJ19" s="358">
        <f t="shared" si="31"/>
        <v>189.05344444319755</v>
      </c>
      <c r="CK19" s="358">
        <f t="shared" si="31"/>
        <v>200.39665110978942</v>
      </c>
      <c r="CL19" s="358">
        <f t="shared" si="31"/>
        <v>212.42045017637679</v>
      </c>
      <c r="CM19" s="358">
        <f t="shared" si="31"/>
        <v>225.16567718695941</v>
      </c>
      <c r="CN19" s="358">
        <f t="shared" si="31"/>
        <v>238.67561781817696</v>
      </c>
      <c r="CO19" s="359"/>
      <c r="CP19" s="358">
        <f t="shared" ref="CP19:FA19" si="32">CP16*$C8</f>
        <v>252.99615488726761</v>
      </c>
      <c r="CQ19" s="358">
        <f t="shared" si="32"/>
        <v>268.17592418050367</v>
      </c>
      <c r="CR19" s="358">
        <f t="shared" si="32"/>
        <v>284.26647963133394</v>
      </c>
      <c r="CS19" s="358">
        <f t="shared" si="32"/>
        <v>301.32246840921397</v>
      </c>
      <c r="CT19" s="358">
        <f t="shared" si="32"/>
        <v>319.40181651376685</v>
      </c>
      <c r="CU19" s="358">
        <f t="shared" si="32"/>
        <v>338.56592550459294</v>
      </c>
      <c r="CV19" s="358">
        <f t="shared" si="32"/>
        <v>358.8798810348685</v>
      </c>
      <c r="CW19" s="358">
        <f t="shared" si="32"/>
        <v>380.4126738969606</v>
      </c>
      <c r="CX19" s="358">
        <f t="shared" si="32"/>
        <v>403.23743433077829</v>
      </c>
      <c r="CY19" s="358">
        <f t="shared" si="32"/>
        <v>427.43168039062499</v>
      </c>
      <c r="CZ19" s="358">
        <f t="shared" si="32"/>
        <v>453.07758121406255</v>
      </c>
      <c r="DA19" s="358">
        <f t="shared" si="32"/>
        <v>480.26223608690634</v>
      </c>
      <c r="DB19" s="358">
        <f t="shared" si="32"/>
        <v>509.07797025212068</v>
      </c>
      <c r="DC19" s="358">
        <f t="shared" si="32"/>
        <v>539.62264846724804</v>
      </c>
      <c r="DD19" s="358">
        <f t="shared" si="32"/>
        <v>572.00000737528285</v>
      </c>
      <c r="DE19" s="358">
        <f t="shared" si="32"/>
        <v>606.32000781779993</v>
      </c>
      <c r="DF19" s="358">
        <f t="shared" si="32"/>
        <v>642.69920828686793</v>
      </c>
      <c r="DG19" s="358">
        <f t="shared" si="32"/>
        <v>681.26116078408006</v>
      </c>
      <c r="DH19" s="358">
        <f t="shared" si="32"/>
        <v>722.13683043112485</v>
      </c>
      <c r="DI19" s="358">
        <f t="shared" si="32"/>
        <v>765.46504025699232</v>
      </c>
      <c r="DJ19" s="358">
        <f t="shared" si="32"/>
        <v>811.39294267241189</v>
      </c>
      <c r="DK19" s="358">
        <f t="shared" si="32"/>
        <v>860.07651923275671</v>
      </c>
      <c r="DL19" s="358">
        <f t="shared" si="32"/>
        <v>911.68111038672214</v>
      </c>
      <c r="DM19" s="358">
        <f t="shared" si="32"/>
        <v>966.38197700992555</v>
      </c>
      <c r="DN19" s="358">
        <f t="shared" si="32"/>
        <v>1024.364895630521</v>
      </c>
      <c r="DO19" s="358">
        <f t="shared" si="32"/>
        <v>1085.8267893683524</v>
      </c>
      <c r="DP19" s="358">
        <f t="shared" si="32"/>
        <v>1150.9763967304536</v>
      </c>
      <c r="DQ19" s="358">
        <f t="shared" si="32"/>
        <v>1220.0349805342807</v>
      </c>
      <c r="DR19" s="358">
        <f t="shared" si="32"/>
        <v>1293.2370793663376</v>
      </c>
      <c r="DS19" s="358">
        <f t="shared" si="32"/>
        <v>1370.8313041283179</v>
      </c>
      <c r="DT19" s="358">
        <f t="shared" si="32"/>
        <v>1453.0811823760171</v>
      </c>
      <c r="DU19" s="358">
        <f t="shared" si="32"/>
        <v>1540.2660533185783</v>
      </c>
      <c r="DV19" s="358">
        <f t="shared" si="32"/>
        <v>1632.682016517693</v>
      </c>
      <c r="DW19" s="358">
        <f t="shared" si="32"/>
        <v>1730.6429375087546</v>
      </c>
      <c r="DX19" s="358">
        <f t="shared" si="32"/>
        <v>1834.4815137592802</v>
      </c>
      <c r="DY19" s="358">
        <f t="shared" si="32"/>
        <v>1944.550404584837</v>
      </c>
      <c r="DZ19" s="358">
        <f t="shared" si="32"/>
        <v>2061.223428859927</v>
      </c>
      <c r="EA19" s="358">
        <f t="shared" si="32"/>
        <v>2184.8968345915232</v>
      </c>
      <c r="EB19" s="358">
        <f t="shared" si="32"/>
        <v>2315.9906446670143</v>
      </c>
      <c r="EC19" s="358">
        <f t="shared" si="32"/>
        <v>2454.9500833470352</v>
      </c>
      <c r="ED19" s="358">
        <f t="shared" si="32"/>
        <v>2602.2470883478572</v>
      </c>
      <c r="EE19" s="358">
        <f t="shared" si="32"/>
        <v>2758.3819136487291</v>
      </c>
      <c r="EF19" s="358">
        <f t="shared" si="32"/>
        <v>2923.8848284676528</v>
      </c>
      <c r="EG19" s="358">
        <f t="shared" si="32"/>
        <v>3099.3179181757123</v>
      </c>
      <c r="EH19" s="358">
        <f t="shared" si="32"/>
        <v>3285.276993266255</v>
      </c>
      <c r="EI19" s="358">
        <f t="shared" si="32"/>
        <v>3482.3936128622304</v>
      </c>
      <c r="EJ19" s="358">
        <f t="shared" si="32"/>
        <v>3691.3372296339644</v>
      </c>
      <c r="EK19" s="358">
        <f t="shared" si="32"/>
        <v>3912.8174634120028</v>
      </c>
      <c r="EL19" s="358">
        <f t="shared" si="32"/>
        <v>4147.5865112167239</v>
      </c>
      <c r="EM19" s="358">
        <f t="shared" si="32"/>
        <v>4396.4417018897275</v>
      </c>
      <c r="EN19" s="358">
        <f t="shared" si="32"/>
        <v>4660.2282040031114</v>
      </c>
      <c r="EO19" s="358">
        <f t="shared" si="32"/>
        <v>4939.8418962432979</v>
      </c>
      <c r="EP19" s="358">
        <f t="shared" si="32"/>
        <v>5236.2324100178967</v>
      </c>
      <c r="EQ19" s="358">
        <f t="shared" si="32"/>
        <v>5550.4063546189691</v>
      </c>
      <c r="ER19" s="358">
        <f t="shared" si="32"/>
        <v>5883.4307358961087</v>
      </c>
      <c r="ES19" s="358">
        <f t="shared" si="32"/>
        <v>6236.4365800498754</v>
      </c>
      <c r="ET19" s="358">
        <f t="shared" si="32"/>
        <v>6610.6227748528681</v>
      </c>
      <c r="EU19" s="358">
        <f t="shared" si="32"/>
        <v>7007.2601413440398</v>
      </c>
      <c r="EV19" s="358">
        <f t="shared" si="32"/>
        <v>7427.695749824682</v>
      </c>
      <c r="EW19" s="358">
        <f t="shared" si="32"/>
        <v>7873.3574948141631</v>
      </c>
      <c r="EX19" s="358">
        <f t="shared" si="32"/>
        <v>8345.7589445030135</v>
      </c>
      <c r="EY19" s="358">
        <f t="shared" si="32"/>
        <v>8846.504481173195</v>
      </c>
      <c r="EZ19" s="358">
        <f t="shared" si="32"/>
        <v>9377.2947500435876</v>
      </c>
      <c r="FA19" s="358">
        <f t="shared" si="32"/>
        <v>9939.932435046203</v>
      </c>
      <c r="FB19" s="358">
        <f t="shared" ref="FB19:HM19" si="33">FB16*$C8</f>
        <v>10536.328381148975</v>
      </c>
      <c r="FC19" s="358">
        <f t="shared" si="33"/>
        <v>11168.508084017916</v>
      </c>
      <c r="FD19" s="358">
        <f t="shared" si="33"/>
        <v>11838.61856905899</v>
      </c>
      <c r="FE19" s="358">
        <f t="shared" si="33"/>
        <v>12548.93568320253</v>
      </c>
      <c r="FF19" s="358">
        <f t="shared" si="33"/>
        <v>13301.871824194683</v>
      </c>
      <c r="FG19" s="358">
        <f t="shared" si="33"/>
        <v>14099.984133646363</v>
      </c>
      <c r="FH19" s="358">
        <f t="shared" si="33"/>
        <v>14945.983181665146</v>
      </c>
      <c r="FI19" s="358">
        <f t="shared" si="33"/>
        <v>15842.742172565055</v>
      </c>
      <c r="FJ19" s="358">
        <f t="shared" si="33"/>
        <v>16793.306702918962</v>
      </c>
      <c r="FK19" s="358">
        <f t="shared" si="33"/>
        <v>17800.905105094098</v>
      </c>
      <c r="FL19" s="358">
        <f t="shared" si="33"/>
        <v>18868.959411399745</v>
      </c>
      <c r="FM19" s="358">
        <f t="shared" si="33"/>
        <v>20001.096976083732</v>
      </c>
      <c r="FN19" s="358">
        <f t="shared" si="33"/>
        <v>21201.162794648753</v>
      </c>
      <c r="FO19" s="358">
        <f t="shared" si="33"/>
        <v>22473.232562327681</v>
      </c>
      <c r="FP19" s="358">
        <f t="shared" si="33"/>
        <v>23821.626516067339</v>
      </c>
      <c r="FQ19" s="358">
        <f t="shared" si="33"/>
        <v>25250.924107031384</v>
      </c>
      <c r="FR19" s="358">
        <f t="shared" si="33"/>
        <v>26765.979553453268</v>
      </c>
      <c r="FS19" s="358">
        <f t="shared" si="33"/>
        <v>28371.93832666046</v>
      </c>
      <c r="FT19" s="358">
        <f t="shared" si="33"/>
        <v>30074.254626260095</v>
      </c>
      <c r="FU19" s="358">
        <f t="shared" si="33"/>
        <v>31878.709903835701</v>
      </c>
      <c r="FV19" s="358">
        <f t="shared" si="33"/>
        <v>33791.432498065842</v>
      </c>
      <c r="FW19" s="358">
        <f t="shared" si="33"/>
        <v>35818.9184479498</v>
      </c>
      <c r="FX19" s="358">
        <f t="shared" si="33"/>
        <v>37968.053554826787</v>
      </c>
      <c r="FY19" s="358">
        <f t="shared" si="33"/>
        <v>40246.136768116397</v>
      </c>
      <c r="FZ19" s="358">
        <f t="shared" si="33"/>
        <v>42660.904974203389</v>
      </c>
      <c r="GA19" s="358">
        <f t="shared" si="33"/>
        <v>45220.559272655599</v>
      </c>
      <c r="GB19" s="358">
        <f t="shared" si="33"/>
        <v>47933.792829014936</v>
      </c>
      <c r="GC19" s="358">
        <f t="shared" si="33"/>
        <v>50809.820398755845</v>
      </c>
      <c r="GD19" s="358">
        <f t="shared" si="33"/>
        <v>53858.409622681189</v>
      </c>
      <c r="GE19" s="358">
        <f t="shared" si="33"/>
        <v>57089.914200042069</v>
      </c>
      <c r="GF19" s="358">
        <f t="shared" si="33"/>
        <v>60515.309052044591</v>
      </c>
      <c r="GG19" s="358">
        <f t="shared" si="33"/>
        <v>64146.227595167271</v>
      </c>
      <c r="GH19" s="358">
        <f t="shared" si="33"/>
        <v>67995.001250877307</v>
      </c>
      <c r="GI19" s="358">
        <f t="shared" si="33"/>
        <v>72074.701325929957</v>
      </c>
      <c r="GJ19" s="358">
        <f t="shared" si="33"/>
        <v>76399.183405485746</v>
      </c>
      <c r="GK19" s="358">
        <f t="shared" si="33"/>
        <v>80983.134409814898</v>
      </c>
      <c r="GL19" s="358">
        <f t="shared" si="33"/>
        <v>85842.122474403805</v>
      </c>
      <c r="GM19" s="358">
        <f t="shared" si="33"/>
        <v>90992.649822868028</v>
      </c>
      <c r="GN19" s="358">
        <f t="shared" si="33"/>
        <v>96452.208812240104</v>
      </c>
      <c r="GO19" s="358">
        <f t="shared" si="33"/>
        <v>102239.34134097453</v>
      </c>
      <c r="GP19" s="358">
        <f t="shared" si="33"/>
        <v>108373.70182143299</v>
      </c>
      <c r="GQ19" s="358">
        <f t="shared" si="33"/>
        <v>114876.12393071898</v>
      </c>
      <c r="GR19" s="358">
        <f t="shared" si="33"/>
        <v>121768.69136656213</v>
      </c>
      <c r="GS19" s="358">
        <f t="shared" si="33"/>
        <v>129074.81284855586</v>
      </c>
      <c r="GT19" s="358">
        <f t="shared" si="33"/>
        <v>136819.30161946922</v>
      </c>
      <c r="GU19" s="358">
        <f t="shared" si="33"/>
        <v>145028.45971663739</v>
      </c>
      <c r="GV19" s="358">
        <f t="shared" si="33"/>
        <v>153730.16729963562</v>
      </c>
      <c r="GW19" s="358">
        <f t="shared" si="33"/>
        <v>162953.97733761376</v>
      </c>
      <c r="GX19" s="358">
        <f t="shared" si="33"/>
        <v>172731.2159778706</v>
      </c>
      <c r="GY19" s="358">
        <f t="shared" si="33"/>
        <v>183095.08893654286</v>
      </c>
      <c r="GZ19" s="358">
        <f t="shared" si="33"/>
        <v>194080.79427273542</v>
      </c>
      <c r="HA19" s="358">
        <f t="shared" si="33"/>
        <v>205725.6419290996</v>
      </c>
      <c r="HB19" s="358">
        <f t="shared" si="33"/>
        <v>218069.18044484558</v>
      </c>
      <c r="HC19" s="358">
        <f t="shared" si="33"/>
        <v>231153.33127153633</v>
      </c>
      <c r="HD19" s="358">
        <f t="shared" si="33"/>
        <v>245022.53114782853</v>
      </c>
      <c r="HE19" s="358">
        <f t="shared" si="33"/>
        <v>259723.88301669827</v>
      </c>
      <c r="HF19" s="358">
        <f t="shared" si="33"/>
        <v>275307.31599770015</v>
      </c>
      <c r="HG19" s="358">
        <f t="shared" si="33"/>
        <v>291825.7549575622</v>
      </c>
      <c r="HH19" s="358">
        <f t="shared" si="33"/>
        <v>309335.30025501596</v>
      </c>
      <c r="HI19" s="358">
        <f t="shared" si="33"/>
        <v>327895.41827031691</v>
      </c>
      <c r="HJ19" s="358">
        <f t="shared" si="33"/>
        <v>347569.14336653601</v>
      </c>
      <c r="HK19" s="358">
        <f t="shared" si="33"/>
        <v>368423.29196852818</v>
      </c>
      <c r="HL19" s="358">
        <f t="shared" si="33"/>
        <v>390528.68948663981</v>
      </c>
      <c r="HM19" s="358">
        <f t="shared" si="33"/>
        <v>413960.41085583827</v>
      </c>
      <c r="HN19" s="358">
        <f t="shared" ref="HN19:IS19" si="34">HN16*$C8</f>
        <v>438798.03550718859</v>
      </c>
      <c r="HO19" s="358">
        <f t="shared" si="34"/>
        <v>465125.91763761995</v>
      </c>
      <c r="HP19" s="358">
        <f t="shared" si="34"/>
        <v>493033.47269587714</v>
      </c>
      <c r="HQ19" s="358">
        <f t="shared" si="34"/>
        <v>522615.48105762975</v>
      </c>
      <c r="HR19" s="358">
        <f t="shared" si="34"/>
        <v>553972.40992108756</v>
      </c>
      <c r="HS19" s="358">
        <f t="shared" si="34"/>
        <v>587210.7545163529</v>
      </c>
      <c r="HT19" s="358">
        <f t="shared" si="34"/>
        <v>622443.39978733414</v>
      </c>
      <c r="HU19" s="358">
        <f t="shared" si="34"/>
        <v>659790.00377457426</v>
      </c>
      <c r="HV19" s="358">
        <f t="shared" si="34"/>
        <v>699377.40400104888</v>
      </c>
      <c r="HW19" s="358">
        <f t="shared" si="34"/>
        <v>741340.0482411118</v>
      </c>
      <c r="HX19" s="358">
        <f t="shared" si="34"/>
        <v>785820.45113557857</v>
      </c>
      <c r="HY19" s="358">
        <f t="shared" si="34"/>
        <v>832969.67820371327</v>
      </c>
      <c r="HZ19" s="358">
        <f t="shared" si="34"/>
        <v>882947.85889593605</v>
      </c>
      <c r="IA19" s="358">
        <f t="shared" si="34"/>
        <v>935924.73042969231</v>
      </c>
      <c r="IB19" s="358">
        <f t="shared" si="34"/>
        <v>992080.21425547393</v>
      </c>
      <c r="IC19" s="358">
        <f t="shared" si="34"/>
        <v>1051605.0271108025</v>
      </c>
      <c r="ID19" s="358">
        <f t="shared" si="34"/>
        <v>1114701.3287374508</v>
      </c>
      <c r="IE19" s="358">
        <f t="shared" si="34"/>
        <v>1181583.4084616979</v>
      </c>
      <c r="IF19" s="358">
        <f t="shared" si="34"/>
        <v>1252478.4129693999</v>
      </c>
      <c r="IG19" s="358">
        <f t="shared" si="34"/>
        <v>1327627.1177475641</v>
      </c>
      <c r="IH19" s="358">
        <f t="shared" si="34"/>
        <v>1407284.744812418</v>
      </c>
      <c r="II19" s="358">
        <f t="shared" si="34"/>
        <v>1491721.8295011632</v>
      </c>
      <c r="IJ19" s="358">
        <f t="shared" si="34"/>
        <v>1581225.139271233</v>
      </c>
      <c r="IK19" s="358">
        <f t="shared" si="34"/>
        <v>1676098.6476275071</v>
      </c>
      <c r="IL19" s="358">
        <f t="shared" si="34"/>
        <v>1776664.5664851575</v>
      </c>
      <c r="IM19" s="358">
        <f t="shared" si="34"/>
        <v>1883264.4404742669</v>
      </c>
      <c r="IN19" s="358">
        <f t="shared" si="34"/>
        <v>1996260.3069027232</v>
      </c>
      <c r="IO19" s="358">
        <f t="shared" si="34"/>
        <v>2116035.925316887</v>
      </c>
      <c r="IP19" s="358">
        <f t="shared" si="34"/>
        <v>2242998.0808358998</v>
      </c>
      <c r="IQ19" s="358">
        <f t="shared" si="34"/>
        <v>2377577.965686054</v>
      </c>
      <c r="IR19" s="358">
        <f t="shared" si="34"/>
        <v>2520232.6436272175</v>
      </c>
      <c r="IS19" s="358">
        <f t="shared" si="34"/>
        <v>2671446.6022448507</v>
      </c>
      <c r="IT19" s="359"/>
      <c r="IU19" s="358">
        <f>IU16*$C8</f>
        <v>2831733.3983795419</v>
      </c>
    </row>
    <row r="20" spans="1:255">
      <c r="A20" s="350" t="s">
        <v>1508</v>
      </c>
      <c r="C20" s="358"/>
      <c r="D20" s="352">
        <f t="shared" ref="D20:BO20" si="35">(D19-C19)/C19</f>
        <v>6.000000000000006E-2</v>
      </c>
      <c r="E20" s="352">
        <f t="shared" si="35"/>
        <v>6.0000000000000053E-2</v>
      </c>
      <c r="F20" s="352">
        <f t="shared" si="35"/>
        <v>6.0000000000000109E-2</v>
      </c>
      <c r="G20" s="352">
        <f t="shared" si="35"/>
        <v>5.9999999999999915E-2</v>
      </c>
      <c r="H20" s="352">
        <f t="shared" si="35"/>
        <v>6.0000000000000012E-2</v>
      </c>
      <c r="I20" s="352">
        <f t="shared" si="35"/>
        <v>6.0000000000000296E-2</v>
      </c>
      <c r="J20" s="352">
        <f t="shared" si="35"/>
        <v>5.9999999999999942E-2</v>
      </c>
      <c r="K20" s="352">
        <f t="shared" si="35"/>
        <v>6.0000000000000081E-2</v>
      </c>
      <c r="L20" s="352">
        <f t="shared" si="35"/>
        <v>6.0000000000000116E-2</v>
      </c>
      <c r="M20" s="352">
        <f t="shared" si="35"/>
        <v>0.06</v>
      </c>
      <c r="N20" s="352">
        <f t="shared" si="35"/>
        <v>6.0000000000000026E-2</v>
      </c>
      <c r="O20" s="352">
        <f t="shared" si="35"/>
        <v>6.0000000000000012E-2</v>
      </c>
      <c r="P20" s="352">
        <f t="shared" si="35"/>
        <v>5.9999999999999977E-2</v>
      </c>
      <c r="Q20" s="352">
        <f t="shared" si="35"/>
        <v>5.9999999999999991E-2</v>
      </c>
      <c r="R20" s="352">
        <f t="shared" si="35"/>
        <v>6.0000000000000227E-2</v>
      </c>
      <c r="S20" s="352">
        <f t="shared" si="35"/>
        <v>6.0000000000000109E-2</v>
      </c>
      <c r="T20" s="352">
        <f t="shared" si="35"/>
        <v>5.9999999999999908E-2</v>
      </c>
      <c r="U20" s="352">
        <f t="shared" si="35"/>
        <v>6.0000000000000171E-2</v>
      </c>
      <c r="V20" s="352">
        <f t="shared" si="35"/>
        <v>6.0000000000000039E-2</v>
      </c>
      <c r="W20" s="352">
        <f t="shared" si="35"/>
        <v>6.0000000000000171E-2</v>
      </c>
      <c r="X20" s="352">
        <f t="shared" si="35"/>
        <v>5.9999999999999935E-2</v>
      </c>
      <c r="Y20" s="352">
        <f t="shared" si="35"/>
        <v>6.0000000000000241E-2</v>
      </c>
      <c r="Z20" s="352">
        <f t="shared" si="35"/>
        <v>5.9999999999999894E-2</v>
      </c>
      <c r="AA20" s="352">
        <f t="shared" si="35"/>
        <v>6.0000000000000178E-2</v>
      </c>
      <c r="AB20" s="352">
        <f t="shared" si="35"/>
        <v>5.9999999999999956E-2</v>
      </c>
      <c r="AC20" s="352">
        <f t="shared" si="35"/>
        <v>5.999999999999997E-2</v>
      </c>
      <c r="AD20" s="352">
        <f t="shared" si="35"/>
        <v>6.0000000000000116E-2</v>
      </c>
      <c r="AE20" s="352">
        <f t="shared" si="35"/>
        <v>6.0000000000000241E-2</v>
      </c>
      <c r="AF20" s="352">
        <f t="shared" si="35"/>
        <v>6.0000000000000046E-2</v>
      </c>
      <c r="AG20" s="352">
        <f t="shared" si="35"/>
        <v>6.0000000000000046E-2</v>
      </c>
      <c r="AH20" s="352">
        <f t="shared" si="35"/>
        <v>6.0000000000000109E-2</v>
      </c>
      <c r="AI20" s="352">
        <f t="shared" si="35"/>
        <v>6.0000000000000046E-2</v>
      </c>
      <c r="AJ20" s="352">
        <f t="shared" si="35"/>
        <v>6.0000000000000102E-2</v>
      </c>
      <c r="AK20" s="352">
        <f t="shared" si="35"/>
        <v>5.9999999999999949E-2</v>
      </c>
      <c r="AL20" s="352">
        <f t="shared" si="35"/>
        <v>6.000000000000006E-2</v>
      </c>
      <c r="AM20" s="352">
        <f t="shared" si="35"/>
        <v>6.000000000000006E-2</v>
      </c>
      <c r="AN20" s="352">
        <f t="shared" si="35"/>
        <v>6.000000000000006E-2</v>
      </c>
      <c r="AO20" s="352">
        <f t="shared" si="35"/>
        <v>6.0000000000000032E-2</v>
      </c>
      <c r="AP20" s="352">
        <f t="shared" si="35"/>
        <v>6.0000000000000206E-2</v>
      </c>
      <c r="AQ20" s="352">
        <f t="shared" si="35"/>
        <v>5.9999999999999942E-2</v>
      </c>
      <c r="AR20" s="352">
        <f t="shared" si="35"/>
        <v>6.0000000000000171E-2</v>
      </c>
      <c r="AS20" s="352">
        <f t="shared" si="35"/>
        <v>5.9999999999999915E-2</v>
      </c>
      <c r="AT20" s="352">
        <f t="shared" si="35"/>
        <v>5.9999999999999984E-2</v>
      </c>
      <c r="AU20" s="352">
        <f t="shared" si="35"/>
        <v>6.0000000000000102E-2</v>
      </c>
      <c r="AV20" s="352">
        <f t="shared" si="35"/>
        <v>5.9999999999999935E-2</v>
      </c>
      <c r="AW20" s="352">
        <f t="shared" si="35"/>
        <v>6.0000000000000039E-2</v>
      </c>
      <c r="AX20" s="352">
        <f t="shared" si="35"/>
        <v>6.0000000000000206E-2</v>
      </c>
      <c r="AY20" s="352">
        <f t="shared" si="35"/>
        <v>5.9999999999999817E-2</v>
      </c>
      <c r="AZ20" s="352">
        <f t="shared" si="35"/>
        <v>6.0000000000000137E-2</v>
      </c>
      <c r="BA20" s="352">
        <f t="shared" si="35"/>
        <v>6.0000000000000171E-2</v>
      </c>
      <c r="BB20" s="352">
        <f t="shared" si="35"/>
        <v>5.9999999999999956E-2</v>
      </c>
      <c r="BC20" s="352">
        <f t="shared" si="35"/>
        <v>6.0000000000000088E-2</v>
      </c>
      <c r="BD20" s="352">
        <f t="shared" si="35"/>
        <v>6.0000000000000074E-2</v>
      </c>
      <c r="BE20" s="352">
        <f t="shared" si="35"/>
        <v>5.9999999999999956E-2</v>
      </c>
      <c r="BF20" s="352">
        <f t="shared" si="35"/>
        <v>6.0000000000000178E-2</v>
      </c>
      <c r="BG20" s="352">
        <f t="shared" si="35"/>
        <v>5.9999999999999734E-2</v>
      </c>
      <c r="BH20" s="352">
        <f t="shared" si="35"/>
        <v>6.0000000000000331E-2</v>
      </c>
      <c r="BI20" s="352">
        <f t="shared" si="35"/>
        <v>5.9999999999999949E-2</v>
      </c>
      <c r="BJ20" s="352">
        <f t="shared" si="35"/>
        <v>5.9999999999999984E-2</v>
      </c>
      <c r="BK20" s="352">
        <f t="shared" si="35"/>
        <v>6.0000000000000109E-2</v>
      </c>
      <c r="BL20" s="352">
        <f t="shared" si="35"/>
        <v>6.0000000000000053E-2</v>
      </c>
      <c r="BM20" s="352">
        <f t="shared" si="35"/>
        <v>6.0000000000000019E-2</v>
      </c>
      <c r="BN20" s="352">
        <f t="shared" si="35"/>
        <v>6.0000000000000137E-2</v>
      </c>
      <c r="BO20" s="352">
        <f t="shared" si="35"/>
        <v>6.0000000000000123E-2</v>
      </c>
      <c r="BP20" s="352">
        <f t="shared" ref="BP20:CN20" si="36">(BP19-BO19)/BO19</f>
        <v>5.9999999999999901E-2</v>
      </c>
      <c r="BQ20" s="352">
        <f t="shared" si="36"/>
        <v>5.9999999999999908E-2</v>
      </c>
      <c r="BR20" s="352">
        <f t="shared" si="36"/>
        <v>6.0000000000000206E-2</v>
      </c>
      <c r="BS20" s="352">
        <f t="shared" si="36"/>
        <v>5.9999999999999859E-2</v>
      </c>
      <c r="BT20" s="352">
        <f t="shared" si="36"/>
        <v>6.0000000000000185E-2</v>
      </c>
      <c r="BU20" s="352">
        <f t="shared" si="36"/>
        <v>5.9999999999999852E-2</v>
      </c>
      <c r="BV20" s="352">
        <f t="shared" si="36"/>
        <v>6.0000000000000109E-2</v>
      </c>
      <c r="BW20" s="352">
        <f t="shared" si="36"/>
        <v>6.0000000000000088E-2</v>
      </c>
      <c r="BX20" s="352">
        <f t="shared" si="36"/>
        <v>6.0000000000000192E-2</v>
      </c>
      <c r="BY20" s="352">
        <f t="shared" si="36"/>
        <v>5.9999999999999797E-2</v>
      </c>
      <c r="BZ20" s="352">
        <f t="shared" si="36"/>
        <v>6.0000000000000171E-2</v>
      </c>
      <c r="CA20" s="352">
        <f t="shared" si="36"/>
        <v>5.9999999999999949E-2</v>
      </c>
      <c r="CB20" s="352">
        <f t="shared" si="36"/>
        <v>5.9999999999999991E-2</v>
      </c>
      <c r="CC20" s="352">
        <f t="shared" si="36"/>
        <v>6.0000000000000053E-2</v>
      </c>
      <c r="CD20" s="352">
        <f t="shared" si="36"/>
        <v>6.0000000000000199E-2</v>
      </c>
      <c r="CE20" s="352">
        <f t="shared" si="36"/>
        <v>5.9999999999999845E-2</v>
      </c>
      <c r="CF20" s="352">
        <f t="shared" si="36"/>
        <v>6.0000000000000005E-2</v>
      </c>
      <c r="CG20" s="352">
        <f t="shared" si="36"/>
        <v>6.0000000000000081E-2</v>
      </c>
      <c r="CH20" s="352">
        <f t="shared" si="36"/>
        <v>6.0000000000000248E-2</v>
      </c>
      <c r="CI20" s="352">
        <f t="shared" si="36"/>
        <v>6.0000000000000234E-2</v>
      </c>
      <c r="CJ20" s="352">
        <f t="shared" si="36"/>
        <v>5.9999999999999991E-2</v>
      </c>
      <c r="CK20" s="352">
        <f t="shared" si="36"/>
        <v>6.0000000000000081E-2</v>
      </c>
      <c r="CL20" s="352">
        <f t="shared" si="36"/>
        <v>6.0000000000000039E-2</v>
      </c>
      <c r="CM20" s="352">
        <f t="shared" si="36"/>
        <v>6.0000000000000081E-2</v>
      </c>
      <c r="CN20" s="352">
        <f t="shared" si="36"/>
        <v>5.9999999999999915E-2</v>
      </c>
      <c r="CO20" s="360"/>
      <c r="CP20" s="352">
        <f>(CP19-CN19)/CN19</f>
        <v>6.000000000000013E-2</v>
      </c>
      <c r="CQ20" s="352">
        <f t="shared" ref="CQ20:FB20" si="37">(CQ19-CP19)/CP19</f>
        <v>6.0000000000000026E-2</v>
      </c>
      <c r="CR20" s="352">
        <f t="shared" si="37"/>
        <v>6.0000000000000171E-2</v>
      </c>
      <c r="CS20" s="352">
        <f t="shared" si="37"/>
        <v>5.9999999999999984E-2</v>
      </c>
      <c r="CT20" s="352">
        <f t="shared" si="37"/>
        <v>6.000000000000013E-2</v>
      </c>
      <c r="CU20" s="352">
        <f t="shared" si="37"/>
        <v>6.0000000000000261E-2</v>
      </c>
      <c r="CV20" s="352">
        <f t="shared" si="37"/>
        <v>5.9999999999999963E-2</v>
      </c>
      <c r="CW20" s="352">
        <f t="shared" si="37"/>
        <v>5.9999999999999956E-2</v>
      </c>
      <c r="CX20" s="352">
        <f t="shared" si="37"/>
        <v>6.0000000000000137E-2</v>
      </c>
      <c r="CY20" s="352">
        <f t="shared" si="37"/>
        <v>6.0000000000000019E-2</v>
      </c>
      <c r="CZ20" s="352">
        <f t="shared" si="37"/>
        <v>6.0000000000000137E-2</v>
      </c>
      <c r="DA20" s="352">
        <f t="shared" si="37"/>
        <v>6.0000000000000088E-2</v>
      </c>
      <c r="DB20" s="352">
        <f t="shared" si="37"/>
        <v>5.9999999999999908E-2</v>
      </c>
      <c r="DC20" s="352">
        <f t="shared" si="37"/>
        <v>6.0000000000000241E-2</v>
      </c>
      <c r="DD20" s="352">
        <f t="shared" si="37"/>
        <v>5.9999999999999859E-2</v>
      </c>
      <c r="DE20" s="352">
        <f t="shared" si="37"/>
        <v>6.0000000000000199E-2</v>
      </c>
      <c r="DF20" s="352">
        <f t="shared" si="37"/>
        <v>0.06</v>
      </c>
      <c r="DG20" s="352">
        <f t="shared" si="37"/>
        <v>6.0000000000000088E-2</v>
      </c>
      <c r="DH20" s="352">
        <f t="shared" si="37"/>
        <v>5.9999999999999977E-2</v>
      </c>
      <c r="DI20" s="352">
        <f t="shared" si="37"/>
        <v>5.9999999999999977E-2</v>
      </c>
      <c r="DJ20" s="352">
        <f t="shared" si="37"/>
        <v>6.0000000000000032E-2</v>
      </c>
      <c r="DK20" s="352">
        <f t="shared" si="37"/>
        <v>6.000000000000013E-2</v>
      </c>
      <c r="DL20" s="352">
        <f t="shared" si="37"/>
        <v>6.0000000000000032E-2</v>
      </c>
      <c r="DM20" s="352">
        <f t="shared" si="37"/>
        <v>6.0000000000000088E-2</v>
      </c>
      <c r="DN20" s="352">
        <f t="shared" si="37"/>
        <v>5.9999999999999921E-2</v>
      </c>
      <c r="DO20" s="352">
        <f t="shared" si="37"/>
        <v>6.0000000000000095E-2</v>
      </c>
      <c r="DP20" s="352">
        <f t="shared" si="37"/>
        <v>6.0000000000000123E-2</v>
      </c>
      <c r="DQ20" s="352">
        <f t="shared" si="37"/>
        <v>5.9999999999999901E-2</v>
      </c>
      <c r="DR20" s="352">
        <f t="shared" si="37"/>
        <v>6.0000000000000039E-2</v>
      </c>
      <c r="DS20" s="352">
        <f t="shared" si="37"/>
        <v>6.0000000000000019E-2</v>
      </c>
      <c r="DT20" s="352">
        <f t="shared" si="37"/>
        <v>6.0000000000000046E-2</v>
      </c>
      <c r="DU20" s="352">
        <f t="shared" si="37"/>
        <v>6.000000000000015E-2</v>
      </c>
      <c r="DV20" s="352">
        <f t="shared" si="37"/>
        <v>5.9999999999999991E-2</v>
      </c>
      <c r="DW20" s="352">
        <f t="shared" si="37"/>
        <v>6.0000000000000005E-2</v>
      </c>
      <c r="DX20" s="352">
        <f t="shared" si="37"/>
        <v>6.0000000000000213E-2</v>
      </c>
      <c r="DY20" s="352">
        <f t="shared" si="37"/>
        <v>5.999999999999997E-2</v>
      </c>
      <c r="DZ20" s="352">
        <f t="shared" si="37"/>
        <v>5.9999999999999901E-2</v>
      </c>
      <c r="EA20" s="352">
        <f t="shared" si="37"/>
        <v>6.0000000000000268E-2</v>
      </c>
      <c r="EB20" s="352">
        <f t="shared" si="37"/>
        <v>5.9999999999999866E-2</v>
      </c>
      <c r="EC20" s="352">
        <f t="shared" si="37"/>
        <v>6.0000000000000005E-2</v>
      </c>
      <c r="ED20" s="352">
        <f t="shared" si="37"/>
        <v>5.9999999999999991E-2</v>
      </c>
      <c r="EE20" s="352">
        <f t="shared" si="37"/>
        <v>6.0000000000000157E-2</v>
      </c>
      <c r="EF20" s="352">
        <f t="shared" si="37"/>
        <v>5.9999999999999991E-2</v>
      </c>
      <c r="EG20" s="352">
        <f t="shared" si="37"/>
        <v>6.0000000000000102E-2</v>
      </c>
      <c r="EH20" s="352">
        <f t="shared" si="37"/>
        <v>5.9999999999999984E-2</v>
      </c>
      <c r="EI20" s="352">
        <f t="shared" si="37"/>
        <v>6.0000000000000032E-2</v>
      </c>
      <c r="EJ20" s="352">
        <f t="shared" si="37"/>
        <v>6.0000000000000053E-2</v>
      </c>
      <c r="EK20" s="352">
        <f t="shared" si="37"/>
        <v>6.0000000000000143E-2</v>
      </c>
      <c r="EL20" s="352">
        <f t="shared" si="37"/>
        <v>6.0000000000000248E-2</v>
      </c>
      <c r="EM20" s="352">
        <f t="shared" si="37"/>
        <v>6.0000000000000032E-2</v>
      </c>
      <c r="EN20" s="352">
        <f t="shared" si="37"/>
        <v>6.000000000000006E-2</v>
      </c>
      <c r="EO20" s="352">
        <f t="shared" si="37"/>
        <v>5.999999999999997E-2</v>
      </c>
      <c r="EP20" s="352">
        <f t="shared" si="37"/>
        <v>6.0000000000000171E-2</v>
      </c>
      <c r="EQ20" s="352">
        <f t="shared" si="37"/>
        <v>5.9999999999999741E-2</v>
      </c>
      <c r="ER20" s="352">
        <f t="shared" si="37"/>
        <v>6.0000000000000261E-2</v>
      </c>
      <c r="ES20" s="352">
        <f t="shared" si="37"/>
        <v>6.0000000000000032E-2</v>
      </c>
      <c r="ET20" s="352">
        <f t="shared" si="37"/>
        <v>6.0000000000000039E-2</v>
      </c>
      <c r="EU20" s="352">
        <f t="shared" si="37"/>
        <v>5.9999999999999928E-2</v>
      </c>
      <c r="EV20" s="352">
        <f t="shared" si="37"/>
        <v>5.9999999999999984E-2</v>
      </c>
      <c r="EW20" s="352">
        <f t="shared" si="37"/>
        <v>6.0000000000000026E-2</v>
      </c>
      <c r="EX20" s="352">
        <f t="shared" si="37"/>
        <v>6.0000000000000067E-2</v>
      </c>
      <c r="EY20" s="352">
        <f t="shared" si="37"/>
        <v>6.0000000000000088E-2</v>
      </c>
      <c r="EZ20" s="352">
        <f t="shared" si="37"/>
        <v>6.0000000000000095E-2</v>
      </c>
      <c r="FA20" s="352">
        <f t="shared" si="37"/>
        <v>6.0000000000000019E-2</v>
      </c>
      <c r="FB20" s="352">
        <f t="shared" si="37"/>
        <v>5.9999999999999942E-2</v>
      </c>
      <c r="FC20" s="352">
        <f t="shared" ref="FC20:HN20" si="38">(FC19-FB19)/FB19</f>
        <v>6.0000000000000296E-2</v>
      </c>
      <c r="FD20" s="352">
        <f t="shared" si="38"/>
        <v>5.9999999999999901E-2</v>
      </c>
      <c r="FE20" s="352">
        <f t="shared" si="38"/>
        <v>6.0000000000000019E-2</v>
      </c>
      <c r="FF20" s="352">
        <f t="shared" si="38"/>
        <v>6.0000000000000102E-2</v>
      </c>
      <c r="FG20" s="352">
        <f t="shared" si="38"/>
        <v>5.9999999999999977E-2</v>
      </c>
      <c r="FH20" s="352">
        <f t="shared" si="38"/>
        <v>6.0000000000000053E-2</v>
      </c>
      <c r="FI20" s="352">
        <f t="shared" si="38"/>
        <v>6.0000000000000012E-2</v>
      </c>
      <c r="FJ20" s="352">
        <f t="shared" si="38"/>
        <v>6.0000000000000275E-2</v>
      </c>
      <c r="FK20" s="352">
        <f t="shared" si="38"/>
        <v>5.9999999999999873E-2</v>
      </c>
      <c r="FL20" s="352">
        <f t="shared" si="38"/>
        <v>6.0000000000000039E-2</v>
      </c>
      <c r="FM20" s="352">
        <f t="shared" si="38"/>
        <v>6.0000000000000171E-2</v>
      </c>
      <c r="FN20" s="352">
        <f t="shared" si="38"/>
        <v>5.9999999999999845E-2</v>
      </c>
      <c r="FO20" s="352">
        <f t="shared" si="38"/>
        <v>6.0000000000000123E-2</v>
      </c>
      <c r="FP20" s="352">
        <f t="shared" si="38"/>
        <v>5.999999999999988E-2</v>
      </c>
      <c r="FQ20" s="352">
        <f t="shared" si="38"/>
        <v>6.0000000000000171E-2</v>
      </c>
      <c r="FR20" s="352">
        <f t="shared" si="38"/>
        <v>6.0000000000000039E-2</v>
      </c>
      <c r="FS20" s="352">
        <f t="shared" si="38"/>
        <v>5.9999999999999859E-2</v>
      </c>
      <c r="FT20" s="352">
        <f t="shared" si="38"/>
        <v>6.0000000000000275E-2</v>
      </c>
      <c r="FU20" s="352">
        <f t="shared" si="38"/>
        <v>0.06</v>
      </c>
      <c r="FV20" s="352">
        <f t="shared" si="38"/>
        <v>5.999999999999997E-2</v>
      </c>
      <c r="FW20" s="352">
        <f t="shared" si="38"/>
        <v>6.0000000000000213E-2</v>
      </c>
      <c r="FX20" s="352">
        <f t="shared" si="38"/>
        <v>5.9999999999999977E-2</v>
      </c>
      <c r="FY20" s="352">
        <f t="shared" si="38"/>
        <v>6.0000000000000081E-2</v>
      </c>
      <c r="FZ20" s="352">
        <f t="shared" si="38"/>
        <v>6.0000000000000206E-2</v>
      </c>
      <c r="GA20" s="352">
        <f t="shared" si="38"/>
        <v>6.0000000000000137E-2</v>
      </c>
      <c r="GB20" s="352">
        <f t="shared" si="38"/>
        <v>6.0000000000000026E-2</v>
      </c>
      <c r="GC20" s="352">
        <f t="shared" si="38"/>
        <v>6.0000000000000261E-2</v>
      </c>
      <c r="GD20" s="352">
        <f t="shared" si="38"/>
        <v>5.999999999999988E-2</v>
      </c>
      <c r="GE20" s="352">
        <f t="shared" si="38"/>
        <v>6.0000000000000157E-2</v>
      </c>
      <c r="GF20" s="352">
        <f t="shared" si="38"/>
        <v>5.999999999999997E-2</v>
      </c>
      <c r="GG20" s="352">
        <f t="shared" si="38"/>
        <v>6.0000000000000067E-2</v>
      </c>
      <c r="GH20" s="352">
        <f t="shared" si="38"/>
        <v>0.06</v>
      </c>
      <c r="GI20" s="352">
        <f t="shared" si="38"/>
        <v>6.0000000000000164E-2</v>
      </c>
      <c r="GJ20" s="352">
        <f t="shared" si="38"/>
        <v>5.9999999999999894E-2</v>
      </c>
      <c r="GK20" s="352">
        <f t="shared" si="38"/>
        <v>6.0000000000000095E-2</v>
      </c>
      <c r="GL20" s="352">
        <f t="shared" si="38"/>
        <v>6.000000000000015E-2</v>
      </c>
      <c r="GM20" s="352">
        <f t="shared" si="38"/>
        <v>5.9999999999999949E-2</v>
      </c>
      <c r="GN20" s="352">
        <f t="shared" si="38"/>
        <v>5.9999999999999928E-2</v>
      </c>
      <c r="GO20" s="352">
        <f t="shared" si="38"/>
        <v>6.0000000000000171E-2</v>
      </c>
      <c r="GP20" s="352">
        <f t="shared" si="38"/>
        <v>5.9999999999999901E-2</v>
      </c>
      <c r="GQ20" s="352">
        <f t="shared" si="38"/>
        <v>6.000000000000015E-2</v>
      </c>
      <c r="GR20" s="352">
        <f t="shared" si="38"/>
        <v>6.0000000000000032E-2</v>
      </c>
      <c r="GS20" s="352">
        <f t="shared" si="38"/>
        <v>6.0000000000000026E-2</v>
      </c>
      <c r="GT20" s="352">
        <f t="shared" si="38"/>
        <v>6.0000000000000081E-2</v>
      </c>
      <c r="GU20" s="352">
        <f t="shared" si="38"/>
        <v>6.0000000000000116E-2</v>
      </c>
      <c r="GV20" s="352">
        <f t="shared" si="38"/>
        <v>5.9999999999999942E-2</v>
      </c>
      <c r="GW20" s="352">
        <f t="shared" si="38"/>
        <v>6.0000000000000012E-2</v>
      </c>
      <c r="GX20" s="352">
        <f t="shared" si="38"/>
        <v>6.0000000000000074E-2</v>
      </c>
      <c r="GY20" s="352">
        <f t="shared" si="38"/>
        <v>6.000000000000015E-2</v>
      </c>
      <c r="GZ20" s="352">
        <f t="shared" si="38"/>
        <v>5.9999999999999963E-2</v>
      </c>
      <c r="HA20" s="352">
        <f t="shared" si="38"/>
        <v>6.0000000000000255E-2</v>
      </c>
      <c r="HB20" s="352">
        <f t="shared" si="38"/>
        <v>6.0000000000000032E-2</v>
      </c>
      <c r="HC20" s="352">
        <f t="shared" si="38"/>
        <v>6.000000000000006E-2</v>
      </c>
      <c r="HD20" s="352">
        <f t="shared" si="38"/>
        <v>6.0000000000000095E-2</v>
      </c>
      <c r="HE20" s="352">
        <f t="shared" si="38"/>
        <v>6.0000000000000102E-2</v>
      </c>
      <c r="HF20" s="352">
        <f t="shared" si="38"/>
        <v>5.9999999999999949E-2</v>
      </c>
      <c r="HG20" s="352">
        <f t="shared" si="38"/>
        <v>6.0000000000000137E-2</v>
      </c>
      <c r="HH20" s="352">
        <f t="shared" si="38"/>
        <v>6.0000000000000102E-2</v>
      </c>
      <c r="HI20" s="352">
        <f t="shared" si="38"/>
        <v>5.999999999999997E-2</v>
      </c>
      <c r="HJ20" s="352">
        <f t="shared" si="38"/>
        <v>6.0000000000000268E-2</v>
      </c>
      <c r="HK20" s="352">
        <f t="shared" si="38"/>
        <v>6.0000000000000032E-2</v>
      </c>
      <c r="HL20" s="352">
        <f t="shared" si="38"/>
        <v>5.9999999999999824E-2</v>
      </c>
      <c r="HM20" s="352">
        <f t="shared" si="38"/>
        <v>6.0000000000000199E-2</v>
      </c>
      <c r="HN20" s="352">
        <f t="shared" si="38"/>
        <v>6.0000000000000039E-2</v>
      </c>
      <c r="HO20" s="352">
        <f t="shared" ref="HO20:IS20" si="39">(HO19-HN19)/HN19</f>
        <v>6.0000000000000102E-2</v>
      </c>
      <c r="HP20" s="352">
        <f t="shared" si="39"/>
        <v>5.9999999999999984E-2</v>
      </c>
      <c r="HQ20" s="352">
        <f t="shared" si="39"/>
        <v>5.9999999999999963E-2</v>
      </c>
      <c r="HR20" s="352">
        <f t="shared" si="39"/>
        <v>6.0000000000000053E-2</v>
      </c>
      <c r="HS20" s="352">
        <f t="shared" si="39"/>
        <v>6.0000000000000157E-2</v>
      </c>
      <c r="HT20" s="352">
        <f t="shared" si="39"/>
        <v>6.0000000000000116E-2</v>
      </c>
      <c r="HU20" s="352">
        <f t="shared" si="39"/>
        <v>6.0000000000000109E-2</v>
      </c>
      <c r="HV20" s="352">
        <f t="shared" si="39"/>
        <v>6.0000000000000255E-2</v>
      </c>
      <c r="HW20" s="352">
        <f t="shared" si="39"/>
        <v>5.9999999999999977E-2</v>
      </c>
      <c r="HX20" s="352">
        <f t="shared" si="39"/>
        <v>6.0000000000000081E-2</v>
      </c>
      <c r="HY20" s="352">
        <f t="shared" si="39"/>
        <v>5.9999999999999984E-2</v>
      </c>
      <c r="HZ20" s="352">
        <f t="shared" si="39"/>
        <v>5.9999999999999984E-2</v>
      </c>
      <c r="IA20" s="352">
        <f t="shared" si="39"/>
        <v>6.0000000000000109E-2</v>
      </c>
      <c r="IB20" s="352">
        <f t="shared" si="39"/>
        <v>6.0000000000000081E-2</v>
      </c>
      <c r="IC20" s="352">
        <f t="shared" si="39"/>
        <v>6.0000000000000116E-2</v>
      </c>
      <c r="ID20" s="352">
        <f t="shared" si="39"/>
        <v>6.000000000000013E-2</v>
      </c>
      <c r="IE20" s="352">
        <f t="shared" si="39"/>
        <v>6.0000000000000053E-2</v>
      </c>
      <c r="IF20" s="352">
        <f t="shared" si="39"/>
        <v>6.0000000000000171E-2</v>
      </c>
      <c r="IG20" s="352">
        <f t="shared" si="39"/>
        <v>6.000000000000013E-2</v>
      </c>
      <c r="IH20" s="352">
        <f t="shared" si="39"/>
        <v>6.0000000000000046E-2</v>
      </c>
      <c r="II20" s="352">
        <f t="shared" si="39"/>
        <v>6.0000000000000088E-2</v>
      </c>
      <c r="IJ20" s="352">
        <f t="shared" si="39"/>
        <v>5.9999999999999991E-2</v>
      </c>
      <c r="IK20" s="352">
        <f t="shared" si="39"/>
        <v>6.0000000000000081E-2</v>
      </c>
      <c r="IL20" s="352">
        <f t="shared" si="39"/>
        <v>5.9999999999999963E-2</v>
      </c>
      <c r="IM20" s="352">
        <f t="shared" si="39"/>
        <v>5.9999999999999984E-2</v>
      </c>
      <c r="IN20" s="352">
        <f t="shared" si="39"/>
        <v>6.0000000000000137E-2</v>
      </c>
      <c r="IO20" s="352">
        <f t="shared" si="39"/>
        <v>6.000000000000022E-2</v>
      </c>
      <c r="IP20" s="352">
        <f t="shared" si="39"/>
        <v>5.9999999999999817E-2</v>
      </c>
      <c r="IQ20" s="352">
        <f t="shared" si="39"/>
        <v>6.0000000000000081E-2</v>
      </c>
      <c r="IR20" s="352">
        <f t="shared" si="39"/>
        <v>6.0000000000000123E-2</v>
      </c>
      <c r="IS20" s="352">
        <f t="shared" si="39"/>
        <v>6.000000000000006E-2</v>
      </c>
      <c r="IT20" s="360"/>
      <c r="IU20" s="352">
        <f>(IU19-IS19)/IS19</f>
        <v>6.0000000000000067E-2</v>
      </c>
    </row>
    <row r="21" spans="1:255">
      <c r="A21" s="350" t="s">
        <v>1509</v>
      </c>
      <c r="B21" s="344" t="s">
        <v>1510</v>
      </c>
      <c r="C21" s="358">
        <f t="shared" ref="C21:BN21" si="40">C16-C19</f>
        <v>0.76467786899187318</v>
      </c>
      <c r="D21" s="358">
        <f t="shared" si="40"/>
        <v>0.81055854113138581</v>
      </c>
      <c r="E21" s="358">
        <f t="shared" si="40"/>
        <v>0.85919205359926898</v>
      </c>
      <c r="F21" s="358">
        <f t="shared" si="40"/>
        <v>0.910743576815225</v>
      </c>
      <c r="G21" s="358">
        <f t="shared" si="40"/>
        <v>0.96538819142413868</v>
      </c>
      <c r="H21" s="358">
        <f t="shared" si="40"/>
        <v>1.0233114829095871</v>
      </c>
      <c r="I21" s="358">
        <f t="shared" si="40"/>
        <v>1.0847101718841623</v>
      </c>
      <c r="J21" s="358">
        <f t="shared" si="40"/>
        <v>1.149792782197212</v>
      </c>
      <c r="K21" s="358">
        <f t="shared" si="40"/>
        <v>1.218780349129045</v>
      </c>
      <c r="L21" s="358">
        <f t="shared" si="40"/>
        <v>1.2919071700767875</v>
      </c>
      <c r="M21" s="358">
        <f t="shared" si="40"/>
        <v>1.3694216002813948</v>
      </c>
      <c r="N21" s="358">
        <f t="shared" si="40"/>
        <v>1.4515868962982785</v>
      </c>
      <c r="O21" s="358">
        <f t="shared" si="40"/>
        <v>1.5386821100761754</v>
      </c>
      <c r="P21" s="358">
        <f t="shared" si="40"/>
        <v>1.6310030366807462</v>
      </c>
      <c r="Q21" s="358">
        <f t="shared" si="40"/>
        <v>1.7288632188815907</v>
      </c>
      <c r="R21" s="358">
        <f t="shared" si="40"/>
        <v>1.8325950120144867</v>
      </c>
      <c r="S21" s="358">
        <f t="shared" si="40"/>
        <v>1.9425507127353558</v>
      </c>
      <c r="T21" s="358">
        <f t="shared" si="40"/>
        <v>2.0591037554994776</v>
      </c>
      <c r="U21" s="358">
        <f t="shared" si="40"/>
        <v>2.1826499808294462</v>
      </c>
      <c r="V21" s="358">
        <f t="shared" si="40"/>
        <v>2.3136089796792136</v>
      </c>
      <c r="W21" s="358">
        <f t="shared" si="40"/>
        <v>2.4524255184599664</v>
      </c>
      <c r="X21" s="358">
        <f t="shared" si="40"/>
        <v>2.5995710495675644</v>
      </c>
      <c r="Y21" s="358">
        <f t="shared" si="40"/>
        <v>2.7555453125416181</v>
      </c>
      <c r="Z21" s="358">
        <f t="shared" si="40"/>
        <v>2.9208780312941158</v>
      </c>
      <c r="AA21" s="358">
        <f t="shared" si="40"/>
        <v>3.0961307131717621</v>
      </c>
      <c r="AB21" s="358">
        <f t="shared" si="40"/>
        <v>3.2818985559620684</v>
      </c>
      <c r="AC21" s="358">
        <f t="shared" si="40"/>
        <v>3.4788124693197924</v>
      </c>
      <c r="AD21" s="358">
        <f t="shared" si="40"/>
        <v>3.6875412174789801</v>
      </c>
      <c r="AE21" s="358">
        <f t="shared" si="40"/>
        <v>3.9087936905277196</v>
      </c>
      <c r="AF21" s="358">
        <f t="shared" si="40"/>
        <v>4.143321311959383</v>
      </c>
      <c r="AG21" s="358">
        <f t="shared" si="40"/>
        <v>4.3919205906769463</v>
      </c>
      <c r="AH21" s="358">
        <f t="shared" si="40"/>
        <v>4.6554358261175626</v>
      </c>
      <c r="AI21" s="358">
        <f t="shared" si="40"/>
        <v>4.9347619756846193</v>
      </c>
      <c r="AJ21" s="358">
        <f t="shared" si="40"/>
        <v>5.2308476942256945</v>
      </c>
      <c r="AK21" s="358">
        <f t="shared" si="40"/>
        <v>5.5446985558792363</v>
      </c>
      <c r="AL21" s="358">
        <f t="shared" si="40"/>
        <v>5.8773804692319924</v>
      </c>
      <c r="AM21" s="358">
        <f t="shared" si="40"/>
        <v>6.2300232973859107</v>
      </c>
      <c r="AN21" s="358">
        <f t="shared" si="40"/>
        <v>6.6038246952290667</v>
      </c>
      <c r="AO21" s="358">
        <f t="shared" si="40"/>
        <v>7.0000541769428111</v>
      </c>
      <c r="AP21" s="358">
        <f t="shared" si="40"/>
        <v>7.4200574275593798</v>
      </c>
      <c r="AQ21" s="358">
        <f t="shared" si="40"/>
        <v>7.865260873212943</v>
      </c>
      <c r="AR21" s="358">
        <f t="shared" si="40"/>
        <v>8.3371765256057202</v>
      </c>
      <c r="AS21" s="358">
        <f t="shared" si="40"/>
        <v>8.8374071171420638</v>
      </c>
      <c r="AT21" s="358">
        <f t="shared" si="40"/>
        <v>9.3676515441705881</v>
      </c>
      <c r="AU21" s="358">
        <f t="shared" si="40"/>
        <v>9.9297106368208254</v>
      </c>
      <c r="AV21" s="358">
        <f t="shared" si="40"/>
        <v>10.525493275030072</v>
      </c>
      <c r="AW21" s="358">
        <f t="shared" si="40"/>
        <v>11.157022871531879</v>
      </c>
      <c r="AX21" s="358">
        <f t="shared" si="40"/>
        <v>11.82644424382379</v>
      </c>
      <c r="AY21" s="358">
        <f t="shared" si="40"/>
        <v>12.53603089845322</v>
      </c>
      <c r="AZ21" s="358">
        <f t="shared" si="40"/>
        <v>13.288192752360413</v>
      </c>
      <c r="BA21" s="358">
        <f t="shared" si="40"/>
        <v>14.085484317502036</v>
      </c>
      <c r="BB21" s="358">
        <f t="shared" si="40"/>
        <v>14.930613376552159</v>
      </c>
      <c r="BC21" s="358">
        <f t="shared" si="40"/>
        <v>15.82645017914529</v>
      </c>
      <c r="BD21" s="358">
        <f t="shared" si="40"/>
        <v>16.776037189894012</v>
      </c>
      <c r="BE21" s="358">
        <f t="shared" si="40"/>
        <v>17.782599421287653</v>
      </c>
      <c r="BF21" s="358">
        <f t="shared" si="40"/>
        <v>18.849555386564909</v>
      </c>
      <c r="BG21" s="358">
        <f t="shared" si="40"/>
        <v>19.980528709758808</v>
      </c>
      <c r="BH21" s="358">
        <f t="shared" si="40"/>
        <v>21.179360432344332</v>
      </c>
      <c r="BI21" s="358">
        <f t="shared" si="40"/>
        <v>22.450122058284997</v>
      </c>
      <c r="BJ21" s="358">
        <f t="shared" si="40"/>
        <v>23.797129381782092</v>
      </c>
      <c r="BK21" s="358">
        <f t="shared" si="40"/>
        <v>25.224957144689029</v>
      </c>
      <c r="BL21" s="358">
        <f t="shared" si="40"/>
        <v>26.738454573370369</v>
      </c>
      <c r="BM21" s="358">
        <f t="shared" si="40"/>
        <v>28.342761847772586</v>
      </c>
      <c r="BN21" s="358">
        <f t="shared" si="40"/>
        <v>30.043327558638943</v>
      </c>
      <c r="BO21" s="358">
        <f t="shared" ref="BO21:CN21" si="41">BO16-BO19</f>
        <v>31.845927212157285</v>
      </c>
      <c r="BP21" s="358">
        <f t="shared" si="41"/>
        <v>33.756682844886718</v>
      </c>
      <c r="BQ21" s="358">
        <f t="shared" si="41"/>
        <v>35.782083815579924</v>
      </c>
      <c r="BR21" s="358">
        <f t="shared" si="41"/>
        <v>37.929008844514726</v>
      </c>
      <c r="BS21" s="358">
        <f t="shared" si="41"/>
        <v>40.204749375185614</v>
      </c>
      <c r="BT21" s="358">
        <f t="shared" si="41"/>
        <v>42.617034337696737</v>
      </c>
      <c r="BU21" s="358">
        <f t="shared" si="41"/>
        <v>45.174056397958552</v>
      </c>
      <c r="BV21" s="358">
        <f t="shared" si="41"/>
        <v>47.88449978183607</v>
      </c>
      <c r="BW21" s="358">
        <f t="shared" si="41"/>
        <v>50.757569768746237</v>
      </c>
      <c r="BX21" s="358">
        <f t="shared" si="41"/>
        <v>53.803023954871009</v>
      </c>
      <c r="BY21" s="358">
        <f t="shared" si="41"/>
        <v>57.031205392163272</v>
      </c>
      <c r="BZ21" s="358">
        <f t="shared" si="41"/>
        <v>60.45307771569307</v>
      </c>
      <c r="CA21" s="358">
        <f t="shared" si="41"/>
        <v>64.080262378634657</v>
      </c>
      <c r="CB21" s="358">
        <f t="shared" si="41"/>
        <v>67.92507812135274</v>
      </c>
      <c r="CC21" s="358">
        <f t="shared" si="41"/>
        <v>72.000582808633908</v>
      </c>
      <c r="CD21" s="358">
        <f t="shared" si="41"/>
        <v>76.320617777151938</v>
      </c>
      <c r="CE21" s="358">
        <f t="shared" si="41"/>
        <v>80.899854843781071</v>
      </c>
      <c r="CF21" s="358">
        <f t="shared" si="41"/>
        <v>85.753846134407922</v>
      </c>
      <c r="CG21" s="358">
        <f t="shared" si="41"/>
        <v>90.899076902472416</v>
      </c>
      <c r="CH21" s="358">
        <f t="shared" si="41"/>
        <v>96.353021516620743</v>
      </c>
      <c r="CI21" s="358">
        <f t="shared" si="41"/>
        <v>102.13420280761801</v>
      </c>
      <c r="CJ21" s="358">
        <f t="shared" si="41"/>
        <v>108.26225497607513</v>
      </c>
      <c r="CK21" s="358">
        <f t="shared" si="41"/>
        <v>114.75799027463964</v>
      </c>
      <c r="CL21" s="358">
        <f t="shared" si="41"/>
        <v>121.64346969111801</v>
      </c>
      <c r="CM21" s="358">
        <f t="shared" si="41"/>
        <v>128.94207787258509</v>
      </c>
      <c r="CN21" s="358">
        <f t="shared" si="41"/>
        <v>136.67860254494022</v>
      </c>
      <c r="CO21" s="359"/>
      <c r="CP21" s="358">
        <f t="shared" ref="CP21:FA21" si="42">CP16-CP19</f>
        <v>144.87931869763662</v>
      </c>
      <c r="CQ21" s="358">
        <f t="shared" si="42"/>
        <v>153.57207781949484</v>
      </c>
      <c r="CR21" s="358">
        <f t="shared" si="42"/>
        <v>162.78640248866452</v>
      </c>
      <c r="CS21" s="358">
        <f t="shared" si="42"/>
        <v>172.55358663798444</v>
      </c>
      <c r="CT21" s="358">
        <f t="shared" si="42"/>
        <v>182.90680183626353</v>
      </c>
      <c r="CU21" s="358">
        <f t="shared" si="42"/>
        <v>193.88120994643936</v>
      </c>
      <c r="CV21" s="358">
        <f t="shared" si="42"/>
        <v>205.51408254322575</v>
      </c>
      <c r="CW21" s="358">
        <f t="shared" si="42"/>
        <v>217.84492749581926</v>
      </c>
      <c r="CX21" s="358">
        <f t="shared" si="42"/>
        <v>230.91562314556842</v>
      </c>
      <c r="CY21" s="358">
        <f t="shared" si="42"/>
        <v>244.77056053430255</v>
      </c>
      <c r="CZ21" s="358">
        <f t="shared" si="42"/>
        <v>259.45679416636074</v>
      </c>
      <c r="DA21" s="358">
        <f t="shared" si="42"/>
        <v>275.02420181634238</v>
      </c>
      <c r="DB21" s="358">
        <f t="shared" si="42"/>
        <v>291.52565392532296</v>
      </c>
      <c r="DC21" s="358">
        <f t="shared" si="42"/>
        <v>309.01719316084234</v>
      </c>
      <c r="DD21" s="358">
        <f t="shared" si="42"/>
        <v>327.55822475049285</v>
      </c>
      <c r="DE21" s="358">
        <f t="shared" si="42"/>
        <v>347.21171823552243</v>
      </c>
      <c r="DF21" s="358">
        <f t="shared" si="42"/>
        <v>368.04442132965391</v>
      </c>
      <c r="DG21" s="358">
        <f t="shared" si="42"/>
        <v>390.12708660943315</v>
      </c>
      <c r="DH21" s="358">
        <f t="shared" si="42"/>
        <v>413.53471180599911</v>
      </c>
      <c r="DI21" s="358">
        <f t="shared" si="42"/>
        <v>438.34679451435909</v>
      </c>
      <c r="DJ21" s="358">
        <f t="shared" si="42"/>
        <v>464.64760218522065</v>
      </c>
      <c r="DK21" s="358">
        <f t="shared" si="42"/>
        <v>492.5264583163339</v>
      </c>
      <c r="DL21" s="358">
        <f t="shared" si="42"/>
        <v>522.078045815314</v>
      </c>
      <c r="DM21" s="358">
        <f t="shared" si="42"/>
        <v>553.4027285642328</v>
      </c>
      <c r="DN21" s="358">
        <f t="shared" si="42"/>
        <v>586.60689227808689</v>
      </c>
      <c r="DO21" s="358">
        <f t="shared" si="42"/>
        <v>621.8033058147721</v>
      </c>
      <c r="DP21" s="358">
        <f t="shared" si="42"/>
        <v>659.11150416365831</v>
      </c>
      <c r="DQ21" s="358">
        <f t="shared" si="42"/>
        <v>698.65819441347776</v>
      </c>
      <c r="DR21" s="358">
        <f t="shared" si="42"/>
        <v>740.57768607828643</v>
      </c>
      <c r="DS21" s="358">
        <f t="shared" si="42"/>
        <v>785.01234724298388</v>
      </c>
      <c r="DT21" s="358">
        <f t="shared" si="42"/>
        <v>832.11308807756291</v>
      </c>
      <c r="DU21" s="358">
        <f t="shared" si="42"/>
        <v>882.03987336221667</v>
      </c>
      <c r="DV21" s="358">
        <f t="shared" si="42"/>
        <v>934.96226576394952</v>
      </c>
      <c r="DW21" s="358">
        <f t="shared" si="42"/>
        <v>991.06000170978677</v>
      </c>
      <c r="DX21" s="358">
        <f t="shared" si="42"/>
        <v>1050.523601812374</v>
      </c>
      <c r="DY21" s="358">
        <f t="shared" si="42"/>
        <v>1113.5550179211164</v>
      </c>
      <c r="DZ21" s="358">
        <f t="shared" si="42"/>
        <v>1180.3683189963836</v>
      </c>
      <c r="EA21" s="358">
        <f t="shared" si="42"/>
        <v>1251.1904181361665</v>
      </c>
      <c r="EB21" s="358">
        <f t="shared" si="42"/>
        <v>1326.2618432243366</v>
      </c>
      <c r="EC21" s="358">
        <f t="shared" si="42"/>
        <v>1405.8375538177966</v>
      </c>
      <c r="ED21" s="358">
        <f t="shared" si="42"/>
        <v>1490.1878070468647</v>
      </c>
      <c r="EE21" s="358">
        <f t="shared" si="42"/>
        <v>1579.5990754696768</v>
      </c>
      <c r="EF21" s="358">
        <f t="shared" si="42"/>
        <v>1674.3750199978572</v>
      </c>
      <c r="EG21" s="358">
        <f t="shared" si="42"/>
        <v>1774.8375211977291</v>
      </c>
      <c r="EH21" s="358">
        <f t="shared" si="42"/>
        <v>1881.3277724695927</v>
      </c>
      <c r="EI21" s="358">
        <f t="shared" si="42"/>
        <v>1994.2074388177684</v>
      </c>
      <c r="EJ21" s="358">
        <f t="shared" si="42"/>
        <v>2113.8598851468346</v>
      </c>
      <c r="EK21" s="358">
        <f t="shared" si="42"/>
        <v>2240.6914782556446</v>
      </c>
      <c r="EL21" s="358">
        <f t="shared" si="42"/>
        <v>2375.1329669509832</v>
      </c>
      <c r="EM21" s="358">
        <f t="shared" si="42"/>
        <v>2517.6409449680423</v>
      </c>
      <c r="EN21" s="358">
        <f t="shared" si="42"/>
        <v>2668.6994016661256</v>
      </c>
      <c r="EO21" s="358">
        <f t="shared" si="42"/>
        <v>2828.8213657660935</v>
      </c>
      <c r="EP21" s="358">
        <f t="shared" si="42"/>
        <v>2998.5506477120589</v>
      </c>
      <c r="EQ21" s="358">
        <f t="shared" si="42"/>
        <v>3178.4636865747825</v>
      </c>
      <c r="ER21" s="358">
        <f t="shared" si="42"/>
        <v>3369.1715077692697</v>
      </c>
      <c r="ES21" s="358">
        <f t="shared" si="42"/>
        <v>3571.3217982354263</v>
      </c>
      <c r="ET21" s="358">
        <f t="shared" si="42"/>
        <v>3785.6011061295512</v>
      </c>
      <c r="EU21" s="358">
        <f t="shared" si="42"/>
        <v>4012.7371724973245</v>
      </c>
      <c r="EV21" s="358">
        <f t="shared" si="42"/>
        <v>4253.5014028471642</v>
      </c>
      <c r="EW21" s="358">
        <f t="shared" si="42"/>
        <v>4508.7114870179939</v>
      </c>
      <c r="EX21" s="358">
        <f t="shared" si="42"/>
        <v>4779.2341762390733</v>
      </c>
      <c r="EY21" s="358">
        <f t="shared" si="42"/>
        <v>5065.9882268134188</v>
      </c>
      <c r="EZ21" s="358">
        <f t="shared" si="42"/>
        <v>5369.9475204222235</v>
      </c>
      <c r="FA21" s="358">
        <f t="shared" si="42"/>
        <v>5692.1443716475569</v>
      </c>
      <c r="FB21" s="358">
        <f t="shared" ref="FB21:HM21" si="43">FB16-FB19</f>
        <v>6033.673033946412</v>
      </c>
      <c r="FC21" s="358">
        <f t="shared" si="43"/>
        <v>6395.6934159831962</v>
      </c>
      <c r="FD21" s="358">
        <f t="shared" si="43"/>
        <v>6779.4350209421882</v>
      </c>
      <c r="FE21" s="358">
        <f t="shared" si="43"/>
        <v>7186.2011221987195</v>
      </c>
      <c r="FF21" s="358">
        <f t="shared" si="43"/>
        <v>7617.3731895306428</v>
      </c>
      <c r="FG21" s="358">
        <f t="shared" si="43"/>
        <v>8074.4155809024833</v>
      </c>
      <c r="FH21" s="358">
        <f t="shared" si="43"/>
        <v>8558.8805157566312</v>
      </c>
      <c r="FI21" s="358">
        <f t="shared" si="43"/>
        <v>9072.413346702031</v>
      </c>
      <c r="FJ21" s="358">
        <f t="shared" si="43"/>
        <v>9616.7581475041516</v>
      </c>
      <c r="FK21" s="358">
        <f t="shared" si="43"/>
        <v>10193.763636354404</v>
      </c>
      <c r="FL21" s="358">
        <f t="shared" si="43"/>
        <v>10805.389454535667</v>
      </c>
      <c r="FM21" s="358">
        <f t="shared" si="43"/>
        <v>11453.712821807807</v>
      </c>
      <c r="FN21" s="358">
        <f t="shared" si="43"/>
        <v>12140.935591116275</v>
      </c>
      <c r="FO21" s="358">
        <f t="shared" si="43"/>
        <v>12869.391726583253</v>
      </c>
      <c r="FP21" s="358">
        <f t="shared" si="43"/>
        <v>13641.555230178248</v>
      </c>
      <c r="FQ21" s="358">
        <f t="shared" si="43"/>
        <v>14460.048543988942</v>
      </c>
      <c r="FR21" s="358">
        <f t="shared" si="43"/>
        <v>15327.651456628279</v>
      </c>
      <c r="FS21" s="358">
        <f t="shared" si="43"/>
        <v>16247.310544025979</v>
      </c>
      <c r="FT21" s="358">
        <f t="shared" si="43"/>
        <v>17222.149176667539</v>
      </c>
      <c r="FU21" s="358">
        <f t="shared" si="43"/>
        <v>18255.478127267594</v>
      </c>
      <c r="FV21" s="358">
        <f t="shared" si="43"/>
        <v>19350.806814903648</v>
      </c>
      <c r="FW21" s="358">
        <f t="shared" si="43"/>
        <v>20511.855223797866</v>
      </c>
      <c r="FX21" s="358">
        <f t="shared" si="43"/>
        <v>21742.566537225743</v>
      </c>
      <c r="FY21" s="358">
        <f t="shared" si="43"/>
        <v>23047.120529459287</v>
      </c>
      <c r="FZ21" s="358">
        <f t="shared" si="43"/>
        <v>24429.947761226846</v>
      </c>
      <c r="GA21" s="358">
        <f t="shared" si="43"/>
        <v>25895.744626900465</v>
      </c>
      <c r="GB21" s="358">
        <f t="shared" si="43"/>
        <v>27449.489304514493</v>
      </c>
      <c r="GC21" s="358">
        <f t="shared" si="43"/>
        <v>29096.458662785364</v>
      </c>
      <c r="GD21" s="358">
        <f t="shared" si="43"/>
        <v>30842.246182552488</v>
      </c>
      <c r="GE21" s="358">
        <f t="shared" si="43"/>
        <v>32692.780953505644</v>
      </c>
      <c r="GF21" s="358">
        <f t="shared" si="43"/>
        <v>34654.347810715983</v>
      </c>
      <c r="GG21" s="358">
        <f t="shared" si="43"/>
        <v>36733.608679358942</v>
      </c>
      <c r="GH21" s="358">
        <f t="shared" si="43"/>
        <v>38937.625200120485</v>
      </c>
      <c r="GI21" s="358">
        <f t="shared" si="43"/>
        <v>41273.882712127714</v>
      </c>
      <c r="GJ21" s="358">
        <f t="shared" si="43"/>
        <v>43750.315674855374</v>
      </c>
      <c r="GK21" s="358">
        <f t="shared" si="43"/>
        <v>46375.334615346685</v>
      </c>
      <c r="GL21" s="358">
        <f t="shared" si="43"/>
        <v>49157.854692267501</v>
      </c>
      <c r="GM21" s="358">
        <f t="shared" si="43"/>
        <v>52107.325973803556</v>
      </c>
      <c r="GN21" s="358">
        <f t="shared" si="43"/>
        <v>55233.765532231773</v>
      </c>
      <c r="GO21" s="358">
        <f t="shared" si="43"/>
        <v>58547.791464165668</v>
      </c>
      <c r="GP21" s="358">
        <f t="shared" si="43"/>
        <v>62060.658952015612</v>
      </c>
      <c r="GQ21" s="358">
        <f t="shared" si="43"/>
        <v>65784.298489136563</v>
      </c>
      <c r="GR21" s="358">
        <f t="shared" si="43"/>
        <v>69731.356398484757</v>
      </c>
      <c r="GS21" s="358">
        <f t="shared" si="43"/>
        <v>73915.237782393844</v>
      </c>
      <c r="GT21" s="358">
        <f t="shared" si="43"/>
        <v>78350.152049337456</v>
      </c>
      <c r="GU21" s="358">
        <f t="shared" si="43"/>
        <v>83051.161172297725</v>
      </c>
      <c r="GV21" s="358">
        <f t="shared" si="43"/>
        <v>88034.230842635588</v>
      </c>
      <c r="GW21" s="358">
        <f t="shared" si="43"/>
        <v>93316.284693193738</v>
      </c>
      <c r="GX21" s="358">
        <f t="shared" si="43"/>
        <v>98915.26177478538</v>
      </c>
      <c r="GY21" s="358">
        <f t="shared" si="43"/>
        <v>104850.17748127249</v>
      </c>
      <c r="GZ21" s="358">
        <f t="shared" si="43"/>
        <v>111141.18813014886</v>
      </c>
      <c r="HA21" s="358">
        <f t="shared" si="43"/>
        <v>117809.6594179578</v>
      </c>
      <c r="HB21" s="358">
        <f t="shared" si="43"/>
        <v>124878.23898303526</v>
      </c>
      <c r="HC21" s="358">
        <f t="shared" si="43"/>
        <v>132370.9333220174</v>
      </c>
      <c r="HD21" s="358">
        <f t="shared" si="43"/>
        <v>140313.18932133846</v>
      </c>
      <c r="HE21" s="358">
        <f t="shared" si="43"/>
        <v>148731.98068061876</v>
      </c>
      <c r="HF21" s="358">
        <f t="shared" si="43"/>
        <v>157655.89952145587</v>
      </c>
      <c r="HG21" s="358">
        <f t="shared" si="43"/>
        <v>167115.25349274324</v>
      </c>
      <c r="HH21" s="358">
        <f t="shared" si="43"/>
        <v>177142.16870230786</v>
      </c>
      <c r="HI21" s="358">
        <f t="shared" si="43"/>
        <v>187770.69882444636</v>
      </c>
      <c r="HJ21" s="358">
        <f t="shared" si="43"/>
        <v>199036.94075391314</v>
      </c>
      <c r="HK21" s="358">
        <f t="shared" si="43"/>
        <v>210979.15719914797</v>
      </c>
      <c r="HL21" s="358">
        <f t="shared" si="43"/>
        <v>223637.90663109685</v>
      </c>
      <c r="HM21" s="358">
        <f t="shared" si="43"/>
        <v>237056.18102896266</v>
      </c>
      <c r="HN21" s="358">
        <f t="shared" ref="HN21:IS21" si="44">HN16-HN19</f>
        <v>251279.55189070042</v>
      </c>
      <c r="HO21" s="358">
        <f t="shared" si="44"/>
        <v>266356.32500414253</v>
      </c>
      <c r="HP21" s="358">
        <f t="shared" si="44"/>
        <v>282337.704504391</v>
      </c>
      <c r="HQ21" s="358">
        <f t="shared" si="44"/>
        <v>299277.96677465452</v>
      </c>
      <c r="HR21" s="358">
        <f t="shared" si="44"/>
        <v>317234.64478113386</v>
      </c>
      <c r="HS21" s="358">
        <f t="shared" si="44"/>
        <v>336268.72346800193</v>
      </c>
      <c r="HT21" s="358">
        <f t="shared" si="44"/>
        <v>356444.84687608201</v>
      </c>
      <c r="HU21" s="358">
        <f t="shared" si="44"/>
        <v>377831.53768864705</v>
      </c>
      <c r="HV21" s="358">
        <f t="shared" si="44"/>
        <v>400501.42994996591</v>
      </c>
      <c r="HW21" s="358">
        <f t="shared" si="44"/>
        <v>424531.51574696379</v>
      </c>
      <c r="HX21" s="358">
        <f t="shared" si="44"/>
        <v>450003.40669178171</v>
      </c>
      <c r="HY21" s="358">
        <f t="shared" si="44"/>
        <v>477003.61109328864</v>
      </c>
      <c r="HZ21" s="358">
        <f t="shared" si="44"/>
        <v>505623.82775888592</v>
      </c>
      <c r="IA21" s="358">
        <f t="shared" si="44"/>
        <v>535961.25742441916</v>
      </c>
      <c r="IB21" s="358">
        <f t="shared" si="44"/>
        <v>568118.9328698843</v>
      </c>
      <c r="IC21" s="358">
        <f t="shared" si="44"/>
        <v>602206.06884207739</v>
      </c>
      <c r="ID21" s="358">
        <f t="shared" si="44"/>
        <v>638338.43297260208</v>
      </c>
      <c r="IE21" s="358">
        <f t="shared" si="44"/>
        <v>676638.73895095848</v>
      </c>
      <c r="IF21" s="358">
        <f t="shared" si="44"/>
        <v>717237.06328801578</v>
      </c>
      <c r="IG21" s="358">
        <f t="shared" si="44"/>
        <v>760271.28708529682</v>
      </c>
      <c r="IH21" s="358">
        <f t="shared" si="44"/>
        <v>805887.56431041495</v>
      </c>
      <c r="II21" s="358">
        <f t="shared" si="44"/>
        <v>854240.81816903967</v>
      </c>
      <c r="IJ21" s="358">
        <f t="shared" si="44"/>
        <v>905495.26725918218</v>
      </c>
      <c r="IK21" s="358">
        <f t="shared" si="44"/>
        <v>959824.9832947331</v>
      </c>
      <c r="IL21" s="358">
        <f t="shared" si="44"/>
        <v>1017414.4822924172</v>
      </c>
      <c r="IM21" s="358">
        <f t="shared" si="44"/>
        <v>1078459.3512299622</v>
      </c>
      <c r="IN21" s="358">
        <f t="shared" si="44"/>
        <v>1143166.9123037599</v>
      </c>
      <c r="IO21" s="358">
        <f t="shared" si="44"/>
        <v>1211756.9270419856</v>
      </c>
      <c r="IP21" s="358">
        <f t="shared" si="44"/>
        <v>1284462.3426645049</v>
      </c>
      <c r="IQ21" s="358">
        <f t="shared" si="44"/>
        <v>1361530.0832243753</v>
      </c>
      <c r="IR21" s="358">
        <f t="shared" si="44"/>
        <v>1443221.8882178375</v>
      </c>
      <c r="IS21" s="358">
        <f t="shared" si="44"/>
        <v>1529815.2015109085</v>
      </c>
      <c r="IT21" s="359"/>
      <c r="IU21" s="358">
        <f>IU16-IU19</f>
        <v>1621604.1136015626</v>
      </c>
    </row>
    <row r="22" spans="1:255">
      <c r="A22" s="350" t="s">
        <v>1511</v>
      </c>
      <c r="C22" s="358"/>
      <c r="D22" s="352">
        <f t="shared" ref="D22:BO22" si="45">(D21-C21)/C21</f>
        <v>6.0000000000000317E-2</v>
      </c>
      <c r="E22" s="352">
        <f t="shared" si="45"/>
        <v>6.0000000000000019E-2</v>
      </c>
      <c r="F22" s="352">
        <f t="shared" si="45"/>
        <v>5.9999999999999859E-2</v>
      </c>
      <c r="G22" s="352">
        <f t="shared" si="45"/>
        <v>6.0000000000000192E-2</v>
      </c>
      <c r="H22" s="352">
        <f t="shared" si="45"/>
        <v>6.0000000000000074E-2</v>
      </c>
      <c r="I22" s="352">
        <f t="shared" si="45"/>
        <v>6.0000000000000012E-2</v>
      </c>
      <c r="J22" s="352">
        <f t="shared" si="45"/>
        <v>0.06</v>
      </c>
      <c r="K22" s="352">
        <f t="shared" si="45"/>
        <v>6.0000000000000192E-2</v>
      </c>
      <c r="L22" s="352">
        <f t="shared" si="45"/>
        <v>5.9999999999999817E-2</v>
      </c>
      <c r="M22" s="352">
        <f t="shared" si="45"/>
        <v>6.0000000000000081E-2</v>
      </c>
      <c r="N22" s="352">
        <f t="shared" si="45"/>
        <v>6.0000000000000019E-2</v>
      </c>
      <c r="O22" s="352">
        <f t="shared" si="45"/>
        <v>6.0000000000000102E-2</v>
      </c>
      <c r="P22" s="352">
        <f t="shared" si="45"/>
        <v>6.0000000000000185E-2</v>
      </c>
      <c r="Q22" s="352">
        <f t="shared" si="45"/>
        <v>5.9999999999999817E-2</v>
      </c>
      <c r="R22" s="352">
        <f t="shared" si="45"/>
        <v>6.0000000000000352E-2</v>
      </c>
      <c r="S22" s="352">
        <f t="shared" si="45"/>
        <v>5.9999999999999963E-2</v>
      </c>
      <c r="T22" s="352">
        <f t="shared" si="45"/>
        <v>6.0000000000000185E-2</v>
      </c>
      <c r="U22" s="352">
        <f t="shared" si="45"/>
        <v>5.9999999999999984E-2</v>
      </c>
      <c r="V22" s="352">
        <f t="shared" si="45"/>
        <v>6.0000000000000324E-2</v>
      </c>
      <c r="W22" s="352">
        <f t="shared" si="45"/>
        <v>5.9999999999999963E-2</v>
      </c>
      <c r="X22" s="352">
        <f t="shared" si="45"/>
        <v>0.06</v>
      </c>
      <c r="Y22" s="352">
        <f t="shared" si="45"/>
        <v>5.9999999999999935E-2</v>
      </c>
      <c r="Z22" s="352">
        <f t="shared" si="45"/>
        <v>6.0000000000000255E-2</v>
      </c>
      <c r="AA22" s="352">
        <f t="shared" si="45"/>
        <v>5.9999999999999783E-2</v>
      </c>
      <c r="AB22" s="352">
        <f t="shared" si="45"/>
        <v>6.0000000000000157E-2</v>
      </c>
      <c r="AC22" s="352">
        <f t="shared" si="45"/>
        <v>5.999999999999997E-2</v>
      </c>
      <c r="AD22" s="352">
        <f t="shared" si="45"/>
        <v>6.0000000000000053E-2</v>
      </c>
      <c r="AE22" s="352">
        <f t="shared" si="45"/>
        <v>6.0000000000000192E-2</v>
      </c>
      <c r="AF22" s="352">
        <f t="shared" si="45"/>
        <v>6.0000000000000053E-2</v>
      </c>
      <c r="AG22" s="352">
        <f t="shared" si="45"/>
        <v>6.0000000000000067E-2</v>
      </c>
      <c r="AH22" s="352">
        <f t="shared" si="45"/>
        <v>5.9999999999999887E-2</v>
      </c>
      <c r="AI22" s="352">
        <f t="shared" si="45"/>
        <v>6.0000000000000636E-2</v>
      </c>
      <c r="AJ22" s="352">
        <f t="shared" si="45"/>
        <v>5.9999999999999609E-2</v>
      </c>
      <c r="AK22" s="352">
        <f t="shared" si="45"/>
        <v>6.0000000000000026E-2</v>
      </c>
      <c r="AL22" s="352">
        <f t="shared" si="45"/>
        <v>6.0000000000000345E-2</v>
      </c>
      <c r="AM22" s="352">
        <f t="shared" si="45"/>
        <v>5.9999999999999776E-2</v>
      </c>
      <c r="AN22" s="352">
        <f t="shared" si="45"/>
        <v>6.000000000000022E-2</v>
      </c>
      <c r="AO22" s="352">
        <f t="shared" si="45"/>
        <v>6.000000000000006E-2</v>
      </c>
      <c r="AP22" s="352">
        <f t="shared" si="45"/>
        <v>6.0000000000000012E-2</v>
      </c>
      <c r="AQ22" s="352">
        <f t="shared" si="45"/>
        <v>6.0000000000000053E-2</v>
      </c>
      <c r="AR22" s="352">
        <f t="shared" si="45"/>
        <v>6.0000000000000081E-2</v>
      </c>
      <c r="AS22" s="352">
        <f t="shared" si="45"/>
        <v>6.0000000000000053E-2</v>
      </c>
      <c r="AT22" s="352">
        <f t="shared" si="45"/>
        <v>6.0000000000000046E-2</v>
      </c>
      <c r="AU22" s="352">
        <f t="shared" si="45"/>
        <v>6.000000000000022E-2</v>
      </c>
      <c r="AV22" s="352">
        <f t="shared" si="45"/>
        <v>5.9999999999999748E-2</v>
      </c>
      <c r="AW22" s="352">
        <f t="shared" si="45"/>
        <v>6.0000000000000213E-2</v>
      </c>
      <c r="AX22" s="352">
        <f t="shared" si="45"/>
        <v>5.9999999999999831E-2</v>
      </c>
      <c r="AY22" s="352">
        <f t="shared" si="45"/>
        <v>6.0000000000000185E-2</v>
      </c>
      <c r="AZ22" s="352">
        <f t="shared" si="45"/>
        <v>5.9999999999999991E-2</v>
      </c>
      <c r="BA22" s="352">
        <f t="shared" si="45"/>
        <v>5.9999999999999921E-2</v>
      </c>
      <c r="BB22" s="352">
        <f t="shared" si="45"/>
        <v>6.000000000000006E-2</v>
      </c>
      <c r="BC22" s="352">
        <f t="shared" si="45"/>
        <v>6.0000000000000074E-2</v>
      </c>
      <c r="BD22" s="352">
        <f t="shared" si="45"/>
        <v>6.0000000000000296E-2</v>
      </c>
      <c r="BE22" s="352">
        <f t="shared" si="45"/>
        <v>6.0000000000000012E-2</v>
      </c>
      <c r="BF22" s="352">
        <f t="shared" si="45"/>
        <v>5.9999999999999797E-2</v>
      </c>
      <c r="BG22" s="352">
        <f t="shared" si="45"/>
        <v>6.0000000000000248E-2</v>
      </c>
      <c r="BH22" s="352">
        <f t="shared" si="45"/>
        <v>5.9999999999999783E-2</v>
      </c>
      <c r="BI22" s="352">
        <f t="shared" si="45"/>
        <v>6.0000000000000234E-2</v>
      </c>
      <c r="BJ22" s="352">
        <f t="shared" si="45"/>
        <v>5.9999999999999803E-2</v>
      </c>
      <c r="BK22" s="352">
        <f t="shared" si="45"/>
        <v>6.0000000000000463E-2</v>
      </c>
      <c r="BL22" s="352">
        <f t="shared" si="45"/>
        <v>5.9999999999999942E-2</v>
      </c>
      <c r="BM22" s="352">
        <f t="shared" si="45"/>
        <v>5.9999999999999803E-2</v>
      </c>
      <c r="BN22" s="352">
        <f t="shared" si="45"/>
        <v>6.0000000000000067E-2</v>
      </c>
      <c r="BO22" s="352">
        <f t="shared" si="45"/>
        <v>6.0000000000000192E-2</v>
      </c>
      <c r="BP22" s="352">
        <f t="shared" ref="BP22:CN22" si="46">(BP21-BO21)/BO21</f>
        <v>5.999999999999988E-2</v>
      </c>
      <c r="BQ22" s="352">
        <f t="shared" si="46"/>
        <v>6.000000000000006E-2</v>
      </c>
      <c r="BR22" s="352">
        <f t="shared" si="46"/>
        <v>6.0000000000000199E-2</v>
      </c>
      <c r="BS22" s="352">
        <f t="shared" si="46"/>
        <v>6.0000000000000102E-2</v>
      </c>
      <c r="BT22" s="352">
        <f t="shared" si="46"/>
        <v>5.9999999999999651E-2</v>
      </c>
      <c r="BU22" s="352">
        <f t="shared" si="46"/>
        <v>6.0000000000000255E-2</v>
      </c>
      <c r="BV22" s="352">
        <f t="shared" si="46"/>
        <v>6.0000000000000109E-2</v>
      </c>
      <c r="BW22" s="352">
        <f t="shared" si="46"/>
        <v>6.000000000000006E-2</v>
      </c>
      <c r="BX22" s="352">
        <f t="shared" si="46"/>
        <v>5.9999999999999956E-2</v>
      </c>
      <c r="BY22" s="352">
        <f t="shared" si="46"/>
        <v>6.000000000000006E-2</v>
      </c>
      <c r="BZ22" s="352">
        <f t="shared" si="46"/>
        <v>6.0000000000000012E-2</v>
      </c>
      <c r="CA22" s="352">
        <f t="shared" si="46"/>
        <v>6.0000000000000053E-2</v>
      </c>
      <c r="CB22" s="352">
        <f t="shared" si="46"/>
        <v>6.000000000000006E-2</v>
      </c>
      <c r="CC22" s="352">
        <f t="shared" si="46"/>
        <v>6.0000000000000046E-2</v>
      </c>
      <c r="CD22" s="352">
        <f t="shared" si="46"/>
        <v>5.9999999999999935E-2</v>
      </c>
      <c r="CE22" s="352">
        <f t="shared" si="46"/>
        <v>6.0000000000000227E-2</v>
      </c>
      <c r="CF22" s="352">
        <f t="shared" si="46"/>
        <v>5.9999999999999838E-2</v>
      </c>
      <c r="CG22" s="352">
        <f t="shared" si="46"/>
        <v>6.0000000000000213E-2</v>
      </c>
      <c r="CH22" s="352">
        <f t="shared" si="46"/>
        <v>5.9999999999999797E-2</v>
      </c>
      <c r="CI22" s="352">
        <f t="shared" si="46"/>
        <v>6.0000000000000234E-2</v>
      </c>
      <c r="CJ22" s="352">
        <f t="shared" si="46"/>
        <v>6.0000000000000359E-2</v>
      </c>
      <c r="CK22" s="352">
        <f t="shared" si="46"/>
        <v>6.0000000000000039E-2</v>
      </c>
      <c r="CL22" s="352">
        <f t="shared" si="46"/>
        <v>5.9999999999999977E-2</v>
      </c>
      <c r="CM22" s="352">
        <f t="shared" si="46"/>
        <v>5.9999999999999942E-2</v>
      </c>
      <c r="CN22" s="352">
        <f t="shared" si="46"/>
        <v>6.0000000000000199E-2</v>
      </c>
      <c r="CO22" s="360"/>
      <c r="CP22" s="352">
        <f>(CP21-CN21)/CN21</f>
        <v>5.9999999999999915E-2</v>
      </c>
      <c r="CQ22" s="352">
        <f t="shared" ref="CQ22:FB22" si="47">(CQ21-CP21)/CP21</f>
        <v>6.0000000000000137E-2</v>
      </c>
      <c r="CR22" s="352">
        <f t="shared" si="47"/>
        <v>5.9999999999999963E-2</v>
      </c>
      <c r="CS22" s="352">
        <f t="shared" si="47"/>
        <v>6.0000000000000282E-2</v>
      </c>
      <c r="CT22" s="352">
        <f t="shared" si="47"/>
        <v>6.0000000000000123E-2</v>
      </c>
      <c r="CU22" s="352">
        <f t="shared" si="47"/>
        <v>6.0000000000000102E-2</v>
      </c>
      <c r="CV22" s="352">
        <f t="shared" si="47"/>
        <v>6.0000000000000192E-2</v>
      </c>
      <c r="CW22" s="352">
        <f t="shared" si="47"/>
        <v>5.9999999999999824E-2</v>
      </c>
      <c r="CX22" s="352">
        <f t="shared" si="47"/>
        <v>0.06</v>
      </c>
      <c r="CY22" s="352">
        <f t="shared" si="47"/>
        <v>6.0000000000000102E-2</v>
      </c>
      <c r="CZ22" s="352">
        <f t="shared" si="47"/>
        <v>6.000000000000015E-2</v>
      </c>
      <c r="DA22" s="352">
        <f t="shared" si="47"/>
        <v>6.0000000000000012E-2</v>
      </c>
      <c r="DB22" s="352">
        <f t="shared" si="47"/>
        <v>6.0000000000000109E-2</v>
      </c>
      <c r="DC22" s="352">
        <f t="shared" si="47"/>
        <v>6.0000000000000019E-2</v>
      </c>
      <c r="DD22" s="352">
        <f t="shared" si="47"/>
        <v>5.9999999999999921E-2</v>
      </c>
      <c r="DE22" s="352">
        <f t="shared" si="47"/>
        <v>0.06</v>
      </c>
      <c r="DF22" s="352">
        <f t="shared" si="47"/>
        <v>6.0000000000000414E-2</v>
      </c>
      <c r="DG22" s="352">
        <f t="shared" si="47"/>
        <v>0.06</v>
      </c>
      <c r="DH22" s="352">
        <f t="shared" si="47"/>
        <v>5.9999999999999921E-2</v>
      </c>
      <c r="DI22" s="352">
        <f t="shared" si="47"/>
        <v>6.0000000000000081E-2</v>
      </c>
      <c r="DJ22" s="352">
        <f t="shared" si="47"/>
        <v>6.0000000000000032E-2</v>
      </c>
      <c r="DK22" s="352">
        <f t="shared" si="47"/>
        <v>6.0000000000000032E-2</v>
      </c>
      <c r="DL22" s="352">
        <f t="shared" si="47"/>
        <v>6.000000000000013E-2</v>
      </c>
      <c r="DM22" s="352">
        <f t="shared" si="47"/>
        <v>5.9999999999999928E-2</v>
      </c>
      <c r="DN22" s="352">
        <f t="shared" si="47"/>
        <v>6.0000000000000213E-2</v>
      </c>
      <c r="DO22" s="352">
        <f t="shared" si="47"/>
        <v>0.06</v>
      </c>
      <c r="DP22" s="352">
        <f t="shared" si="47"/>
        <v>5.999999999999981E-2</v>
      </c>
      <c r="DQ22" s="352">
        <f t="shared" si="47"/>
        <v>5.9999999999999921E-2</v>
      </c>
      <c r="DR22" s="352">
        <f t="shared" si="47"/>
        <v>6.0000000000000012E-2</v>
      </c>
      <c r="DS22" s="352">
        <f t="shared" si="47"/>
        <v>6.0000000000000352E-2</v>
      </c>
      <c r="DT22" s="352">
        <f t="shared" si="47"/>
        <v>5.9999999999999991E-2</v>
      </c>
      <c r="DU22" s="352">
        <f t="shared" si="47"/>
        <v>5.9999999999999984E-2</v>
      </c>
      <c r="DV22" s="352">
        <f t="shared" si="47"/>
        <v>5.9999999999999831E-2</v>
      </c>
      <c r="DW22" s="352">
        <f t="shared" si="47"/>
        <v>6.0000000000000303E-2</v>
      </c>
      <c r="DX22" s="352">
        <f t="shared" si="47"/>
        <v>5.999999999999997E-2</v>
      </c>
      <c r="DY22" s="352">
        <f t="shared" si="47"/>
        <v>5.999999999999997E-2</v>
      </c>
      <c r="DZ22" s="352">
        <f t="shared" si="47"/>
        <v>6.0000000000000185E-2</v>
      </c>
      <c r="EA22" s="352">
        <f t="shared" si="47"/>
        <v>5.9999999999999949E-2</v>
      </c>
      <c r="EB22" s="352">
        <f t="shared" si="47"/>
        <v>6.0000000000000123E-2</v>
      </c>
      <c r="EC22" s="352">
        <f t="shared" si="47"/>
        <v>5.999999999999979E-2</v>
      </c>
      <c r="ED22" s="352">
        <f t="shared" si="47"/>
        <v>6.0000000000000241E-2</v>
      </c>
      <c r="EE22" s="352">
        <f t="shared" si="47"/>
        <v>6.0000000000000143E-2</v>
      </c>
      <c r="EF22" s="352">
        <f t="shared" si="47"/>
        <v>5.9999999999999859E-2</v>
      </c>
      <c r="EG22" s="352">
        <f t="shared" si="47"/>
        <v>6.0000000000000275E-2</v>
      </c>
      <c r="EH22" s="352">
        <f t="shared" si="47"/>
        <v>5.9999999999999921E-2</v>
      </c>
      <c r="EI22" s="352">
        <f t="shared" si="47"/>
        <v>6.0000000000000109E-2</v>
      </c>
      <c r="EJ22" s="352">
        <f t="shared" si="47"/>
        <v>6.0000000000000026E-2</v>
      </c>
      <c r="EK22" s="352">
        <f t="shared" si="47"/>
        <v>5.999999999999997E-2</v>
      </c>
      <c r="EL22" s="352">
        <f t="shared" si="47"/>
        <v>5.9999999999999991E-2</v>
      </c>
      <c r="EM22" s="352">
        <f t="shared" si="47"/>
        <v>6.0000000000000019E-2</v>
      </c>
      <c r="EN22" s="352">
        <f t="shared" si="47"/>
        <v>6.000000000000031E-2</v>
      </c>
      <c r="EO22" s="352">
        <f t="shared" si="47"/>
        <v>6.0000000000000157E-2</v>
      </c>
      <c r="EP22" s="352">
        <f t="shared" si="47"/>
        <v>5.9999999999999901E-2</v>
      </c>
      <c r="EQ22" s="352">
        <f t="shared" si="47"/>
        <v>6.0000000000000032E-2</v>
      </c>
      <c r="ER22" s="352">
        <f t="shared" si="47"/>
        <v>6.0000000000000088E-2</v>
      </c>
      <c r="ES22" s="352">
        <f t="shared" si="47"/>
        <v>6.0000000000000109E-2</v>
      </c>
      <c r="ET22" s="352">
        <f t="shared" si="47"/>
        <v>5.9999999999999824E-2</v>
      </c>
      <c r="EU22" s="352">
        <f t="shared" si="47"/>
        <v>6.000000000000006E-2</v>
      </c>
      <c r="EV22" s="352">
        <f t="shared" si="47"/>
        <v>6.0000000000000039E-2</v>
      </c>
      <c r="EW22" s="352">
        <f t="shared" si="47"/>
        <v>5.9999999999999977E-2</v>
      </c>
      <c r="EX22" s="352">
        <f t="shared" si="47"/>
        <v>5.9999999999999949E-2</v>
      </c>
      <c r="EY22" s="352">
        <f t="shared" si="47"/>
        <v>6.000000000000022E-2</v>
      </c>
      <c r="EZ22" s="352">
        <f t="shared" si="47"/>
        <v>5.9999999999999921E-2</v>
      </c>
      <c r="FA22" s="352">
        <f t="shared" si="47"/>
        <v>5.9999999999999991E-2</v>
      </c>
      <c r="FB22" s="352">
        <f t="shared" si="47"/>
        <v>6.0000000000000303E-2</v>
      </c>
      <c r="FC22" s="352">
        <f t="shared" ref="FC22:HN22" si="48">(FC21-FB21)/FB21</f>
        <v>5.9999999999999915E-2</v>
      </c>
      <c r="FD22" s="352">
        <f t="shared" si="48"/>
        <v>6.0000000000000026E-2</v>
      </c>
      <c r="FE22" s="352">
        <f t="shared" si="48"/>
        <v>6.0000000000000005E-2</v>
      </c>
      <c r="FF22" s="352">
        <f t="shared" si="48"/>
        <v>6.0000000000000012E-2</v>
      </c>
      <c r="FG22" s="352">
        <f t="shared" si="48"/>
        <v>6.0000000000000255E-2</v>
      </c>
      <c r="FH22" s="352">
        <f t="shared" si="48"/>
        <v>5.9999999999999866E-2</v>
      </c>
      <c r="FI22" s="352">
        <f t="shared" si="48"/>
        <v>6.0000000000000227E-2</v>
      </c>
      <c r="FJ22" s="352">
        <f t="shared" si="48"/>
        <v>5.9999999999999852E-2</v>
      </c>
      <c r="FK22" s="352">
        <f t="shared" si="48"/>
        <v>6.0000000000000379E-2</v>
      </c>
      <c r="FL22" s="352">
        <f t="shared" si="48"/>
        <v>5.9999999999999852E-2</v>
      </c>
      <c r="FM22" s="352">
        <f t="shared" si="48"/>
        <v>5.9999999999999984E-2</v>
      </c>
      <c r="FN22" s="352">
        <f t="shared" si="48"/>
        <v>5.9999999999999949E-2</v>
      </c>
      <c r="FO22" s="352">
        <f t="shared" si="48"/>
        <v>6.0000000000000171E-2</v>
      </c>
      <c r="FP22" s="352">
        <f t="shared" si="48"/>
        <v>5.999999999999997E-2</v>
      </c>
      <c r="FQ22" s="352">
        <f t="shared" si="48"/>
        <v>5.9999999999999901E-2</v>
      </c>
      <c r="FR22" s="352">
        <f t="shared" si="48"/>
        <v>6.0000000000000026E-2</v>
      </c>
      <c r="FS22" s="352">
        <f t="shared" si="48"/>
        <v>6.0000000000000227E-2</v>
      </c>
      <c r="FT22" s="352">
        <f t="shared" si="48"/>
        <v>6.0000000000000095E-2</v>
      </c>
      <c r="FU22" s="352">
        <f t="shared" si="48"/>
        <v>6.0000000000000137E-2</v>
      </c>
      <c r="FV22" s="352">
        <f t="shared" si="48"/>
        <v>5.9999999999999935E-2</v>
      </c>
      <c r="FW22" s="352">
        <f t="shared" si="48"/>
        <v>5.9999999999999935E-2</v>
      </c>
      <c r="FX22" s="352">
        <f t="shared" si="48"/>
        <v>6.0000000000000248E-2</v>
      </c>
      <c r="FY22" s="352">
        <f t="shared" si="48"/>
        <v>6.0000000000000005E-2</v>
      </c>
      <c r="FZ22" s="352">
        <f t="shared" si="48"/>
        <v>6.0000000000000046E-2</v>
      </c>
      <c r="GA22" s="352">
        <f t="shared" si="48"/>
        <v>6.0000000000000352E-2</v>
      </c>
      <c r="GB22" s="352">
        <f t="shared" si="48"/>
        <v>0.06</v>
      </c>
      <c r="GC22" s="352">
        <f t="shared" si="48"/>
        <v>6.0000000000000067E-2</v>
      </c>
      <c r="GD22" s="352">
        <f t="shared" si="48"/>
        <v>6.0000000000000067E-2</v>
      </c>
      <c r="GE22" s="352">
        <f t="shared" si="48"/>
        <v>6.000000000000022E-2</v>
      </c>
      <c r="GF22" s="352">
        <f t="shared" si="48"/>
        <v>0.06</v>
      </c>
      <c r="GG22" s="352">
        <f t="shared" si="48"/>
        <v>6.0000000000000012E-2</v>
      </c>
      <c r="GH22" s="352">
        <f t="shared" si="48"/>
        <v>6.0000000000000171E-2</v>
      </c>
      <c r="GI22" s="352">
        <f t="shared" si="48"/>
        <v>5.9999999999999991E-2</v>
      </c>
      <c r="GJ22" s="352">
        <f t="shared" si="48"/>
        <v>5.9999999999999935E-2</v>
      </c>
      <c r="GK22" s="352">
        <f t="shared" si="48"/>
        <v>5.9999999999999734E-2</v>
      </c>
      <c r="GL22" s="352">
        <f t="shared" si="48"/>
        <v>6.0000000000000338E-2</v>
      </c>
      <c r="GM22" s="352">
        <f t="shared" si="48"/>
        <v>6.0000000000000088E-2</v>
      </c>
      <c r="GN22" s="352">
        <f t="shared" si="48"/>
        <v>6.0000000000000081E-2</v>
      </c>
      <c r="GO22" s="352">
        <f t="shared" si="48"/>
        <v>5.999999999999979E-2</v>
      </c>
      <c r="GP22" s="352">
        <f t="shared" si="48"/>
        <v>6.0000000000000067E-2</v>
      </c>
      <c r="GQ22" s="352">
        <f t="shared" si="48"/>
        <v>6.0000000000000227E-2</v>
      </c>
      <c r="GR22" s="352">
        <f t="shared" si="48"/>
        <v>0.06</v>
      </c>
      <c r="GS22" s="352">
        <f t="shared" si="48"/>
        <v>6.0000000000000026E-2</v>
      </c>
      <c r="GT22" s="352">
        <f t="shared" si="48"/>
        <v>5.9999999999999741E-2</v>
      </c>
      <c r="GU22" s="352">
        <f t="shared" si="48"/>
        <v>6.0000000000000282E-2</v>
      </c>
      <c r="GV22" s="352">
        <f t="shared" si="48"/>
        <v>0.06</v>
      </c>
      <c r="GW22" s="352">
        <f t="shared" si="48"/>
        <v>6.0000000000000164E-2</v>
      </c>
      <c r="GX22" s="352">
        <f t="shared" si="48"/>
        <v>6.0000000000000185E-2</v>
      </c>
      <c r="GY22" s="352">
        <f t="shared" si="48"/>
        <v>5.999999999999988E-2</v>
      </c>
      <c r="GZ22" s="352">
        <f t="shared" si="48"/>
        <v>6.0000000000000199E-2</v>
      </c>
      <c r="HA22" s="352">
        <f t="shared" si="48"/>
        <v>6.0000000000000019E-2</v>
      </c>
      <c r="HB22" s="352">
        <f t="shared" si="48"/>
        <v>0.06</v>
      </c>
      <c r="HC22" s="352">
        <f t="shared" si="48"/>
        <v>6.0000000000000185E-2</v>
      </c>
      <c r="HD22" s="352">
        <f t="shared" si="48"/>
        <v>6.0000000000000116E-2</v>
      </c>
      <c r="HE22" s="352">
        <f t="shared" si="48"/>
        <v>5.9999999999999908E-2</v>
      </c>
      <c r="HF22" s="352">
        <f t="shared" si="48"/>
        <v>5.9999999999999908E-2</v>
      </c>
      <c r="HG22" s="352">
        <f t="shared" si="48"/>
        <v>6.000000000000015E-2</v>
      </c>
      <c r="HH22" s="352">
        <f t="shared" si="48"/>
        <v>6.0000000000000109E-2</v>
      </c>
      <c r="HI22" s="352">
        <f t="shared" si="48"/>
        <v>6.0000000000000171E-2</v>
      </c>
      <c r="HJ22" s="352">
        <f t="shared" si="48"/>
        <v>5.9999999999999984E-2</v>
      </c>
      <c r="HK22" s="352">
        <f t="shared" si="48"/>
        <v>6.0000000000000248E-2</v>
      </c>
      <c r="HL22" s="352">
        <f t="shared" si="48"/>
        <v>5.9999999999999991E-2</v>
      </c>
      <c r="HM22" s="352">
        <f t="shared" si="48"/>
        <v>0.06</v>
      </c>
      <c r="HN22" s="352">
        <f t="shared" si="48"/>
        <v>5.9999999999999984E-2</v>
      </c>
      <c r="HO22" s="352">
        <f t="shared" ref="HO22:IS22" si="49">(HO21-HN21)/HN21</f>
        <v>6.0000000000000372E-2</v>
      </c>
      <c r="HP22" s="352">
        <f t="shared" si="49"/>
        <v>5.9999999999999692E-2</v>
      </c>
      <c r="HQ22" s="352">
        <f t="shared" si="49"/>
        <v>6.0000000000000185E-2</v>
      </c>
      <c r="HR22" s="352">
        <f t="shared" si="49"/>
        <v>6.0000000000000241E-2</v>
      </c>
      <c r="HS22" s="352">
        <f t="shared" si="49"/>
        <v>6.000000000000013E-2</v>
      </c>
      <c r="HT22" s="352">
        <f t="shared" si="49"/>
        <v>5.9999999999999887E-2</v>
      </c>
      <c r="HU22" s="352">
        <f t="shared" si="49"/>
        <v>6.0000000000000324E-2</v>
      </c>
      <c r="HV22" s="352">
        <f t="shared" si="49"/>
        <v>6.0000000000000102E-2</v>
      </c>
      <c r="HW22" s="352">
        <f t="shared" si="49"/>
        <v>5.9999999999999817E-2</v>
      </c>
      <c r="HX22" s="352">
        <f t="shared" si="49"/>
        <v>6.0000000000000213E-2</v>
      </c>
      <c r="HY22" s="352">
        <f t="shared" si="49"/>
        <v>6.0000000000000053E-2</v>
      </c>
      <c r="HZ22" s="352">
        <f t="shared" si="49"/>
        <v>5.9999999999999928E-2</v>
      </c>
      <c r="IA22" s="352">
        <f t="shared" si="49"/>
        <v>6.0000000000000178E-2</v>
      </c>
      <c r="IB22" s="352">
        <f t="shared" si="49"/>
        <v>5.9999999999999977E-2</v>
      </c>
      <c r="IC22" s="352">
        <f t="shared" si="49"/>
        <v>6.000000000000006E-2</v>
      </c>
      <c r="ID22" s="352">
        <f t="shared" si="49"/>
        <v>6.0000000000000067E-2</v>
      </c>
      <c r="IE22" s="352">
        <f t="shared" si="49"/>
        <v>6.0000000000000421E-2</v>
      </c>
      <c r="IF22" s="352">
        <f t="shared" si="49"/>
        <v>5.9999999999999699E-2</v>
      </c>
      <c r="IG22" s="352">
        <f t="shared" si="49"/>
        <v>6.000000000000013E-2</v>
      </c>
      <c r="IH22" s="352">
        <f t="shared" si="49"/>
        <v>6.0000000000000421E-2</v>
      </c>
      <c r="II22" s="352">
        <f t="shared" si="49"/>
        <v>5.999999999999979E-2</v>
      </c>
      <c r="IJ22" s="352">
        <f t="shared" si="49"/>
        <v>6.0000000000000143E-2</v>
      </c>
      <c r="IK22" s="352">
        <f t="shared" si="49"/>
        <v>0.06</v>
      </c>
      <c r="IL22" s="352">
        <f t="shared" si="49"/>
        <v>6.0000000000000123E-2</v>
      </c>
      <c r="IM22" s="352">
        <f t="shared" si="49"/>
        <v>5.9999999999999956E-2</v>
      </c>
      <c r="IN22" s="352">
        <f t="shared" si="49"/>
        <v>6.0000000000000019E-2</v>
      </c>
      <c r="IO22" s="352">
        <f t="shared" si="49"/>
        <v>6.0000000000000012E-2</v>
      </c>
      <c r="IP22" s="352">
        <f t="shared" si="49"/>
        <v>6.0000000000000164E-2</v>
      </c>
      <c r="IQ22" s="352">
        <f t="shared" si="49"/>
        <v>6.0000000000000067E-2</v>
      </c>
      <c r="IR22" s="352">
        <f t="shared" si="49"/>
        <v>5.9999999999999831E-2</v>
      </c>
      <c r="IS22" s="352">
        <f t="shared" si="49"/>
        <v>6.0000000000000518E-2</v>
      </c>
      <c r="IT22" s="360"/>
      <c r="IU22" s="352">
        <f>(IU21-IS21)/IS21</f>
        <v>5.9999999999999679E-2</v>
      </c>
    </row>
    <row r="23" spans="1:255">
      <c r="A23" s="350" t="s">
        <v>1512</v>
      </c>
      <c r="B23" s="344" t="s">
        <v>1513</v>
      </c>
      <c r="C23" s="362">
        <f t="shared" ref="C23:BN23" si="50">C24/C14</f>
        <v>1.5727127320762384</v>
      </c>
      <c r="D23" s="362">
        <f t="shared" si="50"/>
        <v>1.5727127320762384</v>
      </c>
      <c r="E23" s="362">
        <f t="shared" si="50"/>
        <v>1.5727127320762384</v>
      </c>
      <c r="F23" s="362">
        <f t="shared" si="50"/>
        <v>1.5727127320762384</v>
      </c>
      <c r="G23" s="362">
        <f t="shared" si="50"/>
        <v>1.572712732076238</v>
      </c>
      <c r="H23" s="362">
        <f t="shared" si="50"/>
        <v>1.5727127320762382</v>
      </c>
      <c r="I23" s="362">
        <f t="shared" si="50"/>
        <v>1.5727127320762384</v>
      </c>
      <c r="J23" s="362">
        <f t="shared" si="50"/>
        <v>1.5727127320762384</v>
      </c>
      <c r="K23" s="362">
        <f t="shared" si="50"/>
        <v>1.5727127320762384</v>
      </c>
      <c r="L23" s="362">
        <f t="shared" si="50"/>
        <v>1.5727127320762382</v>
      </c>
      <c r="M23" s="362">
        <f t="shared" si="50"/>
        <v>1.5727127320762384</v>
      </c>
      <c r="N23" s="344">
        <f t="shared" si="50"/>
        <v>1.5727127320762384</v>
      </c>
      <c r="O23" s="344">
        <f t="shared" si="50"/>
        <v>1.5727127320762382</v>
      </c>
      <c r="P23" s="344">
        <f t="shared" si="50"/>
        <v>1.5727127320762382</v>
      </c>
      <c r="Q23" s="344">
        <f t="shared" si="50"/>
        <v>1.5727127320762382</v>
      </c>
      <c r="R23" s="344">
        <f t="shared" si="50"/>
        <v>1.5727127320762384</v>
      </c>
      <c r="S23" s="344">
        <f t="shared" si="50"/>
        <v>1.5727127320762384</v>
      </c>
      <c r="T23" s="344">
        <f t="shared" si="50"/>
        <v>1.5727127320762382</v>
      </c>
      <c r="U23" s="344">
        <f t="shared" si="50"/>
        <v>1.5727127320762382</v>
      </c>
      <c r="V23" s="344">
        <f t="shared" si="50"/>
        <v>1.5727127320762382</v>
      </c>
      <c r="W23" s="344">
        <f t="shared" si="50"/>
        <v>1.5727127320762384</v>
      </c>
      <c r="X23" s="344">
        <f t="shared" si="50"/>
        <v>1.572712732076238</v>
      </c>
      <c r="Y23" s="344">
        <f t="shared" si="50"/>
        <v>1.5727127320762384</v>
      </c>
      <c r="Z23" s="344">
        <f t="shared" si="50"/>
        <v>1.5727127320762382</v>
      </c>
      <c r="AA23" s="344">
        <f t="shared" si="50"/>
        <v>1.5727127320762386</v>
      </c>
      <c r="AB23" s="344">
        <f t="shared" si="50"/>
        <v>1.5727127320762384</v>
      </c>
      <c r="AC23" s="344">
        <f t="shared" si="50"/>
        <v>1.5727127320762382</v>
      </c>
      <c r="AD23" s="344">
        <f t="shared" si="50"/>
        <v>1.5727127320762382</v>
      </c>
      <c r="AE23" s="344">
        <f t="shared" si="50"/>
        <v>1.5727127320762384</v>
      </c>
      <c r="AF23" s="344">
        <f t="shared" si="50"/>
        <v>1.5727127320762382</v>
      </c>
      <c r="AG23" s="344">
        <f t="shared" si="50"/>
        <v>1.5727127320762384</v>
      </c>
      <c r="AH23" s="344">
        <f t="shared" si="50"/>
        <v>1.5727127320762382</v>
      </c>
      <c r="AI23" s="344">
        <f t="shared" si="50"/>
        <v>1.5727127320762384</v>
      </c>
      <c r="AJ23" s="344">
        <f t="shared" si="50"/>
        <v>1.5727127320762384</v>
      </c>
      <c r="AK23" s="344">
        <f t="shared" si="50"/>
        <v>1.5727127320762384</v>
      </c>
      <c r="AL23" s="344">
        <f t="shared" si="50"/>
        <v>1.5727127320762384</v>
      </c>
      <c r="AM23" s="344">
        <f t="shared" si="50"/>
        <v>1.5727127320762382</v>
      </c>
      <c r="AN23" s="344">
        <f t="shared" si="50"/>
        <v>1.5727127320762384</v>
      </c>
      <c r="AO23" s="344">
        <f t="shared" si="50"/>
        <v>1.5727127320762382</v>
      </c>
      <c r="AP23" s="344">
        <f t="shared" si="50"/>
        <v>1.5727127320762384</v>
      </c>
      <c r="AQ23" s="344">
        <f t="shared" si="50"/>
        <v>1.572712732076238</v>
      </c>
      <c r="AR23" s="344">
        <f t="shared" si="50"/>
        <v>1.5727127320762384</v>
      </c>
      <c r="AS23" s="344">
        <f t="shared" si="50"/>
        <v>1.5727127320762382</v>
      </c>
      <c r="AT23" s="344">
        <f t="shared" si="50"/>
        <v>1.5727127320762382</v>
      </c>
      <c r="AU23" s="344">
        <f t="shared" si="50"/>
        <v>1.5727127320762384</v>
      </c>
      <c r="AV23" s="344">
        <f t="shared" si="50"/>
        <v>1.5727127320762382</v>
      </c>
      <c r="AW23" s="344">
        <f t="shared" si="50"/>
        <v>1.5727127320762382</v>
      </c>
      <c r="AX23" s="344">
        <f t="shared" si="50"/>
        <v>1.5727127320762384</v>
      </c>
      <c r="AY23" s="344">
        <f t="shared" si="50"/>
        <v>1.5727127320762382</v>
      </c>
      <c r="AZ23" s="344">
        <f t="shared" si="50"/>
        <v>1.572712732076238</v>
      </c>
      <c r="BA23" s="344">
        <f t="shared" si="50"/>
        <v>1.5727127320762384</v>
      </c>
      <c r="BB23" s="344">
        <f t="shared" si="50"/>
        <v>1.5727127320762382</v>
      </c>
      <c r="BC23" s="344">
        <f t="shared" si="50"/>
        <v>1.5727127320762384</v>
      </c>
      <c r="BD23" s="344">
        <f t="shared" si="50"/>
        <v>1.5727127320762384</v>
      </c>
      <c r="BE23" s="344">
        <f t="shared" si="50"/>
        <v>1.5727127320762382</v>
      </c>
      <c r="BF23" s="344">
        <f t="shared" si="50"/>
        <v>1.5727127320762382</v>
      </c>
      <c r="BG23" s="344">
        <f t="shared" si="50"/>
        <v>1.5727127320762382</v>
      </c>
      <c r="BH23" s="344">
        <f t="shared" si="50"/>
        <v>1.5727127320762384</v>
      </c>
      <c r="BI23" s="344">
        <f t="shared" si="50"/>
        <v>1.5727127320762382</v>
      </c>
      <c r="BJ23" s="344">
        <f t="shared" si="50"/>
        <v>1.5727127320762384</v>
      </c>
      <c r="BK23" s="344">
        <f t="shared" si="50"/>
        <v>1.5727127320762384</v>
      </c>
      <c r="BL23" s="344">
        <f t="shared" si="50"/>
        <v>1.5727127320762382</v>
      </c>
      <c r="BM23" s="344">
        <f t="shared" si="50"/>
        <v>1.5727127320762382</v>
      </c>
      <c r="BN23" s="344">
        <f t="shared" si="50"/>
        <v>1.5727127320762382</v>
      </c>
      <c r="BO23" s="344">
        <f t="shared" ref="BO23:CN23" si="51">BO24/BO14</f>
        <v>1.5727127320762386</v>
      </c>
      <c r="BP23" s="344">
        <f t="shared" si="51"/>
        <v>1.5727127320762384</v>
      </c>
      <c r="BQ23" s="344">
        <f t="shared" si="51"/>
        <v>1.5727127320762382</v>
      </c>
      <c r="BR23" s="344">
        <f t="shared" si="51"/>
        <v>1.5727127320762384</v>
      </c>
      <c r="BS23" s="344">
        <f t="shared" si="51"/>
        <v>1.572712732076238</v>
      </c>
      <c r="BT23" s="344">
        <f t="shared" si="51"/>
        <v>1.5727127320762386</v>
      </c>
      <c r="BU23" s="344">
        <f t="shared" si="51"/>
        <v>1.5727127320762384</v>
      </c>
      <c r="BV23" s="344">
        <f t="shared" si="51"/>
        <v>1.5727127320762384</v>
      </c>
      <c r="BW23" s="344">
        <f t="shared" si="51"/>
        <v>1.5727127320762382</v>
      </c>
      <c r="BX23" s="344">
        <f t="shared" si="51"/>
        <v>1.5727127320762384</v>
      </c>
      <c r="BY23" s="344">
        <f t="shared" si="51"/>
        <v>1.572712732076238</v>
      </c>
      <c r="BZ23" s="344">
        <f t="shared" si="51"/>
        <v>1.5727127320762386</v>
      </c>
      <c r="CA23" s="344">
        <f t="shared" si="51"/>
        <v>1.572712732076238</v>
      </c>
      <c r="CB23" s="344">
        <f t="shared" si="51"/>
        <v>1.572712732076238</v>
      </c>
      <c r="CC23" s="344">
        <f t="shared" si="51"/>
        <v>1.5727127320762382</v>
      </c>
      <c r="CD23" s="344">
        <f t="shared" si="51"/>
        <v>1.5727127320762384</v>
      </c>
      <c r="CE23" s="344">
        <f t="shared" si="51"/>
        <v>1.5727127320762382</v>
      </c>
      <c r="CF23" s="344">
        <f t="shared" si="51"/>
        <v>1.5727127320762382</v>
      </c>
      <c r="CG23" s="344">
        <f t="shared" si="51"/>
        <v>1.572712732076238</v>
      </c>
      <c r="CH23" s="344">
        <f t="shared" si="51"/>
        <v>1.5727127320762384</v>
      </c>
      <c r="CI23" s="344">
        <f t="shared" si="51"/>
        <v>1.5727127320762382</v>
      </c>
      <c r="CJ23" s="344">
        <f t="shared" si="51"/>
        <v>1.5727127320762384</v>
      </c>
      <c r="CK23" s="344">
        <f t="shared" si="51"/>
        <v>1.5727127320762384</v>
      </c>
      <c r="CL23" s="344">
        <f t="shared" si="51"/>
        <v>1.5727127320762384</v>
      </c>
      <c r="CM23" s="344">
        <f t="shared" si="51"/>
        <v>1.5727127320762382</v>
      </c>
      <c r="CN23" s="344">
        <f t="shared" si="51"/>
        <v>1.572712732076238</v>
      </c>
      <c r="CO23" s="363"/>
      <c r="CP23" s="362">
        <f t="shared" ref="CP23:FA23" si="52">CP24/CP14</f>
        <v>1.5727127320762382</v>
      </c>
      <c r="CQ23" s="362">
        <f t="shared" si="52"/>
        <v>1.5727127320762382</v>
      </c>
      <c r="CR23" s="362">
        <f t="shared" si="52"/>
        <v>1.5727127320762384</v>
      </c>
      <c r="CS23" s="362">
        <f t="shared" si="52"/>
        <v>1.5727127320762384</v>
      </c>
      <c r="CT23" s="362">
        <f t="shared" si="52"/>
        <v>1.5727127320762382</v>
      </c>
      <c r="CU23" s="362">
        <f t="shared" si="52"/>
        <v>1.5727127320762386</v>
      </c>
      <c r="CV23" s="362">
        <f t="shared" si="52"/>
        <v>1.5727127320762384</v>
      </c>
      <c r="CW23" s="362">
        <f t="shared" si="52"/>
        <v>1.572712732076238</v>
      </c>
      <c r="CX23" s="362">
        <f t="shared" si="52"/>
        <v>1.5727127320762382</v>
      </c>
      <c r="CY23" s="362">
        <f t="shared" si="52"/>
        <v>1.5727127320762382</v>
      </c>
      <c r="CZ23" s="362">
        <f t="shared" si="52"/>
        <v>1.5727127320762384</v>
      </c>
      <c r="DA23" s="344">
        <f t="shared" si="52"/>
        <v>1.5727127320762384</v>
      </c>
      <c r="DB23" s="344">
        <f t="shared" si="52"/>
        <v>1.5727127320762382</v>
      </c>
      <c r="DC23" s="344">
        <f t="shared" si="52"/>
        <v>1.5727127320762384</v>
      </c>
      <c r="DD23" s="344">
        <f t="shared" si="52"/>
        <v>1.5727127320762382</v>
      </c>
      <c r="DE23" s="344">
        <f t="shared" si="52"/>
        <v>1.5727127320762384</v>
      </c>
      <c r="DF23" s="344">
        <f t="shared" si="52"/>
        <v>1.5727127320762384</v>
      </c>
      <c r="DG23" s="344">
        <f t="shared" si="52"/>
        <v>1.5727127320762382</v>
      </c>
      <c r="DH23" s="344">
        <f t="shared" si="52"/>
        <v>1.572712732076238</v>
      </c>
      <c r="DI23" s="344">
        <f t="shared" si="52"/>
        <v>1.572712732076238</v>
      </c>
      <c r="DJ23" s="344">
        <f t="shared" si="52"/>
        <v>1.572712732076238</v>
      </c>
      <c r="DK23" s="344">
        <f t="shared" si="52"/>
        <v>1.5727127320762382</v>
      </c>
      <c r="DL23" s="344">
        <f t="shared" si="52"/>
        <v>1.5727127320762384</v>
      </c>
      <c r="DM23" s="344">
        <f t="shared" si="52"/>
        <v>1.5727127320762384</v>
      </c>
      <c r="DN23" s="344">
        <f t="shared" si="52"/>
        <v>1.5727127320762382</v>
      </c>
      <c r="DO23" s="344">
        <f t="shared" si="52"/>
        <v>1.5727127320762384</v>
      </c>
      <c r="DP23" s="344">
        <f t="shared" si="52"/>
        <v>1.5727127320762384</v>
      </c>
      <c r="DQ23" s="344">
        <f t="shared" si="52"/>
        <v>1.5727127320762382</v>
      </c>
      <c r="DR23" s="344">
        <f t="shared" si="52"/>
        <v>1.5727127320762382</v>
      </c>
      <c r="DS23" s="344">
        <f t="shared" si="52"/>
        <v>1.5727127320762382</v>
      </c>
      <c r="DT23" s="344">
        <f t="shared" si="52"/>
        <v>1.5727127320762382</v>
      </c>
      <c r="DU23" s="344">
        <f t="shared" si="52"/>
        <v>1.5727127320762384</v>
      </c>
      <c r="DV23" s="344">
        <f t="shared" si="52"/>
        <v>1.5727127320762384</v>
      </c>
      <c r="DW23" s="344">
        <f t="shared" si="52"/>
        <v>1.572712732076238</v>
      </c>
      <c r="DX23" s="344">
        <f t="shared" si="52"/>
        <v>1.5727127320762384</v>
      </c>
      <c r="DY23" s="344">
        <f t="shared" si="52"/>
        <v>1.5727127320762384</v>
      </c>
      <c r="DZ23" s="344">
        <f t="shared" si="52"/>
        <v>1.5727127320762382</v>
      </c>
      <c r="EA23" s="344">
        <f t="shared" si="52"/>
        <v>1.5727127320762384</v>
      </c>
      <c r="EB23" s="344">
        <f t="shared" si="52"/>
        <v>1.5727127320762382</v>
      </c>
      <c r="EC23" s="344">
        <f t="shared" si="52"/>
        <v>1.5727127320762382</v>
      </c>
      <c r="ED23" s="344">
        <f t="shared" si="52"/>
        <v>1.5727127320762382</v>
      </c>
      <c r="EE23" s="344">
        <f t="shared" si="52"/>
        <v>1.5727127320762382</v>
      </c>
      <c r="EF23" s="344">
        <f t="shared" si="52"/>
        <v>1.5727127320762382</v>
      </c>
      <c r="EG23" s="344">
        <f t="shared" si="52"/>
        <v>1.5727127320762382</v>
      </c>
      <c r="EH23" s="344">
        <f t="shared" si="52"/>
        <v>1.5727127320762382</v>
      </c>
      <c r="EI23" s="344">
        <f t="shared" si="52"/>
        <v>1.5727127320762382</v>
      </c>
      <c r="EJ23" s="344">
        <f t="shared" si="52"/>
        <v>1.5727127320762382</v>
      </c>
      <c r="EK23" s="344">
        <f t="shared" si="52"/>
        <v>1.5727127320762382</v>
      </c>
      <c r="EL23" s="344">
        <f t="shared" si="52"/>
        <v>1.5727127320762384</v>
      </c>
      <c r="EM23" s="344">
        <f t="shared" si="52"/>
        <v>1.5727127320762384</v>
      </c>
      <c r="EN23" s="344">
        <f t="shared" si="52"/>
        <v>1.5727127320762382</v>
      </c>
      <c r="EO23" s="344">
        <f t="shared" si="52"/>
        <v>1.5727127320762382</v>
      </c>
      <c r="EP23" s="344">
        <f t="shared" si="52"/>
        <v>1.5727127320762386</v>
      </c>
      <c r="EQ23" s="344">
        <f t="shared" si="52"/>
        <v>1.5727127320762382</v>
      </c>
      <c r="ER23" s="344">
        <f t="shared" si="52"/>
        <v>1.5727127320762382</v>
      </c>
      <c r="ES23" s="344">
        <f t="shared" si="52"/>
        <v>1.5727127320762384</v>
      </c>
      <c r="ET23" s="344">
        <f t="shared" si="52"/>
        <v>1.5727127320762384</v>
      </c>
      <c r="EU23" s="344">
        <f t="shared" si="52"/>
        <v>1.5727127320762382</v>
      </c>
      <c r="EV23" s="344">
        <f t="shared" si="52"/>
        <v>1.5727127320762384</v>
      </c>
      <c r="EW23" s="344">
        <f t="shared" si="52"/>
        <v>1.5727127320762384</v>
      </c>
      <c r="EX23" s="344">
        <f t="shared" si="52"/>
        <v>1.5727127320762382</v>
      </c>
      <c r="EY23" s="344">
        <f t="shared" si="52"/>
        <v>1.5727127320762384</v>
      </c>
      <c r="EZ23" s="344">
        <f t="shared" si="52"/>
        <v>1.5727127320762384</v>
      </c>
      <c r="FA23" s="344">
        <f t="shared" si="52"/>
        <v>1.5727127320762384</v>
      </c>
      <c r="FB23" s="344">
        <f t="shared" ref="FB23:HM23" si="53">FB24/FB14</f>
        <v>1.5727127320762384</v>
      </c>
      <c r="FC23" s="344">
        <f t="shared" si="53"/>
        <v>1.5727127320762386</v>
      </c>
      <c r="FD23" s="344">
        <f t="shared" si="53"/>
        <v>1.5727127320762382</v>
      </c>
      <c r="FE23" s="344">
        <f t="shared" si="53"/>
        <v>1.5727127320762384</v>
      </c>
      <c r="FF23" s="344">
        <f t="shared" si="53"/>
        <v>1.5727127320762384</v>
      </c>
      <c r="FG23" s="344">
        <f t="shared" si="53"/>
        <v>1.5727127320762382</v>
      </c>
      <c r="FH23" s="344">
        <f t="shared" si="53"/>
        <v>1.5727127320762382</v>
      </c>
      <c r="FI23" s="344">
        <f t="shared" si="53"/>
        <v>1.5727127320762382</v>
      </c>
      <c r="FJ23" s="344">
        <f t="shared" si="53"/>
        <v>1.5727127320762386</v>
      </c>
      <c r="FK23" s="344">
        <f t="shared" si="53"/>
        <v>1.5727127320762382</v>
      </c>
      <c r="FL23" s="344">
        <f t="shared" si="53"/>
        <v>1.5727127320762382</v>
      </c>
      <c r="FM23" s="344">
        <f t="shared" si="53"/>
        <v>1.5727127320762384</v>
      </c>
      <c r="FN23" s="344">
        <f t="shared" si="53"/>
        <v>1.5727127320762382</v>
      </c>
      <c r="FO23" s="344">
        <f t="shared" si="53"/>
        <v>1.5727127320762384</v>
      </c>
      <c r="FP23" s="344">
        <f t="shared" si="53"/>
        <v>1.5727127320762382</v>
      </c>
      <c r="FQ23" s="344">
        <f t="shared" si="53"/>
        <v>1.5727127320762382</v>
      </c>
      <c r="FR23" s="344">
        <f t="shared" si="53"/>
        <v>1.5727127320762382</v>
      </c>
      <c r="FS23" s="344">
        <f t="shared" si="53"/>
        <v>1.572712732076238</v>
      </c>
      <c r="FT23" s="344">
        <f t="shared" si="53"/>
        <v>1.5727127320762384</v>
      </c>
      <c r="FU23" s="344">
        <f t="shared" si="53"/>
        <v>1.5727127320762382</v>
      </c>
      <c r="FV23" s="344">
        <f t="shared" si="53"/>
        <v>1.5727127320762382</v>
      </c>
      <c r="FW23" s="344">
        <f t="shared" si="53"/>
        <v>1.5727127320762382</v>
      </c>
      <c r="FX23" s="344">
        <f t="shared" si="53"/>
        <v>1.5727127320762382</v>
      </c>
      <c r="FY23" s="344">
        <f t="shared" si="53"/>
        <v>1.5727127320762382</v>
      </c>
      <c r="FZ23" s="344">
        <f t="shared" si="53"/>
        <v>1.5727127320762382</v>
      </c>
      <c r="GA23" s="344">
        <f t="shared" si="53"/>
        <v>1.5727127320762382</v>
      </c>
      <c r="GB23" s="344">
        <f t="shared" si="53"/>
        <v>1.5727127320762382</v>
      </c>
      <c r="GC23" s="344">
        <f t="shared" si="53"/>
        <v>1.5727127320762384</v>
      </c>
      <c r="GD23" s="344">
        <f t="shared" si="53"/>
        <v>1.5727127320762382</v>
      </c>
      <c r="GE23" s="344">
        <f t="shared" si="53"/>
        <v>1.5727127320762384</v>
      </c>
      <c r="GF23" s="344">
        <f t="shared" si="53"/>
        <v>1.5727127320762382</v>
      </c>
      <c r="GG23" s="344">
        <f t="shared" si="53"/>
        <v>1.5727127320762382</v>
      </c>
      <c r="GH23" s="344">
        <f t="shared" si="53"/>
        <v>1.5727127320762377</v>
      </c>
      <c r="GI23" s="344">
        <f t="shared" si="53"/>
        <v>1.5727127320762384</v>
      </c>
      <c r="GJ23" s="344">
        <f t="shared" si="53"/>
        <v>1.5727127320762382</v>
      </c>
      <c r="GK23" s="344">
        <f t="shared" si="53"/>
        <v>1.5727127320762382</v>
      </c>
      <c r="GL23" s="344">
        <f t="shared" si="53"/>
        <v>1.5727127320762384</v>
      </c>
      <c r="GM23" s="344">
        <f t="shared" si="53"/>
        <v>1.5727127320762384</v>
      </c>
      <c r="GN23" s="344">
        <f t="shared" si="53"/>
        <v>1.572712732076238</v>
      </c>
      <c r="GO23" s="344">
        <f t="shared" si="53"/>
        <v>1.5727127320762384</v>
      </c>
      <c r="GP23" s="344">
        <f t="shared" si="53"/>
        <v>1.572712732076238</v>
      </c>
      <c r="GQ23" s="344">
        <f t="shared" si="53"/>
        <v>1.5727127320762382</v>
      </c>
      <c r="GR23" s="344">
        <f t="shared" si="53"/>
        <v>1.5727127320762382</v>
      </c>
      <c r="GS23" s="344">
        <f t="shared" si="53"/>
        <v>1.5727127320762382</v>
      </c>
      <c r="GT23" s="344">
        <f t="shared" si="53"/>
        <v>1.5727127320762384</v>
      </c>
      <c r="GU23" s="344">
        <f t="shared" si="53"/>
        <v>1.5727127320762384</v>
      </c>
      <c r="GV23" s="344">
        <f t="shared" si="53"/>
        <v>1.5727127320762382</v>
      </c>
      <c r="GW23" s="344">
        <f t="shared" si="53"/>
        <v>1.5727127320762382</v>
      </c>
      <c r="GX23" s="344">
        <f t="shared" si="53"/>
        <v>1.572712732076238</v>
      </c>
      <c r="GY23" s="344">
        <f t="shared" si="53"/>
        <v>1.5727127320762384</v>
      </c>
      <c r="GZ23" s="344">
        <f t="shared" si="53"/>
        <v>1.5727127320762382</v>
      </c>
      <c r="HA23" s="344">
        <f t="shared" si="53"/>
        <v>1.5727127320762384</v>
      </c>
      <c r="HB23" s="344">
        <f t="shared" si="53"/>
        <v>1.5727127320762382</v>
      </c>
      <c r="HC23" s="344">
        <f t="shared" si="53"/>
        <v>1.5727127320762384</v>
      </c>
      <c r="HD23" s="344">
        <f t="shared" si="53"/>
        <v>1.5727127320762382</v>
      </c>
      <c r="HE23" s="344">
        <f t="shared" si="53"/>
        <v>1.5727127320762382</v>
      </c>
      <c r="HF23" s="344">
        <f t="shared" si="53"/>
        <v>1.5727127320762384</v>
      </c>
      <c r="HG23" s="344">
        <f t="shared" si="53"/>
        <v>1.5727127320762384</v>
      </c>
      <c r="HH23" s="344">
        <f t="shared" si="53"/>
        <v>1.5727127320762382</v>
      </c>
      <c r="HI23" s="344">
        <f t="shared" si="53"/>
        <v>1.5727127320762384</v>
      </c>
      <c r="HJ23" s="344">
        <f t="shared" si="53"/>
        <v>1.5727127320762386</v>
      </c>
      <c r="HK23" s="344">
        <f t="shared" si="53"/>
        <v>1.5727127320762384</v>
      </c>
      <c r="HL23" s="344">
        <f t="shared" si="53"/>
        <v>1.5727127320762382</v>
      </c>
      <c r="HM23" s="344">
        <f t="shared" si="53"/>
        <v>1.5727127320762382</v>
      </c>
      <c r="HN23" s="344">
        <f t="shared" ref="HN23:IS23" si="54">HN24/HN14</f>
        <v>1.5727127320762384</v>
      </c>
      <c r="HO23" s="344">
        <f t="shared" si="54"/>
        <v>1.5727127320762384</v>
      </c>
      <c r="HP23" s="344">
        <f t="shared" si="54"/>
        <v>1.5727127320762384</v>
      </c>
      <c r="HQ23" s="344">
        <f t="shared" si="54"/>
        <v>1.5727127320762382</v>
      </c>
      <c r="HR23" s="344">
        <f t="shared" si="54"/>
        <v>1.572712732076238</v>
      </c>
      <c r="HS23" s="344">
        <f t="shared" si="54"/>
        <v>1.5727127320762384</v>
      </c>
      <c r="HT23" s="344">
        <f t="shared" si="54"/>
        <v>1.5727127320762382</v>
      </c>
      <c r="HU23" s="344">
        <f t="shared" si="54"/>
        <v>1.5727127320762382</v>
      </c>
      <c r="HV23" s="344">
        <f t="shared" si="54"/>
        <v>1.5727127320762382</v>
      </c>
      <c r="HW23" s="344">
        <f t="shared" si="54"/>
        <v>1.5727127320762384</v>
      </c>
      <c r="HX23" s="344">
        <f t="shared" si="54"/>
        <v>1.5727127320762384</v>
      </c>
      <c r="HY23" s="344">
        <f t="shared" si="54"/>
        <v>1.5727127320762382</v>
      </c>
      <c r="HZ23" s="344">
        <f t="shared" si="54"/>
        <v>1.5727127320762382</v>
      </c>
      <c r="IA23" s="344">
        <f t="shared" si="54"/>
        <v>1.5727127320762382</v>
      </c>
      <c r="IB23" s="344">
        <f t="shared" si="54"/>
        <v>1.5727127320762382</v>
      </c>
      <c r="IC23" s="344">
        <f t="shared" si="54"/>
        <v>1.5727127320762384</v>
      </c>
      <c r="ID23" s="344">
        <f t="shared" si="54"/>
        <v>1.5727127320762382</v>
      </c>
      <c r="IE23" s="344">
        <f t="shared" si="54"/>
        <v>1.572712732076238</v>
      </c>
      <c r="IF23" s="344">
        <f t="shared" si="54"/>
        <v>1.5727127320762384</v>
      </c>
      <c r="IG23" s="344">
        <f t="shared" si="54"/>
        <v>1.5727127320762382</v>
      </c>
      <c r="IH23" s="344">
        <f t="shared" si="54"/>
        <v>1.5727127320762384</v>
      </c>
      <c r="II23" s="344">
        <f t="shared" si="54"/>
        <v>1.5727127320762382</v>
      </c>
      <c r="IJ23" s="344">
        <f t="shared" si="54"/>
        <v>1.5727127320762384</v>
      </c>
      <c r="IK23" s="344">
        <f t="shared" si="54"/>
        <v>1.5727127320762386</v>
      </c>
      <c r="IL23" s="344">
        <f t="shared" si="54"/>
        <v>1.5727127320762384</v>
      </c>
      <c r="IM23" s="344">
        <f t="shared" si="54"/>
        <v>1.572712732076238</v>
      </c>
      <c r="IN23" s="344">
        <f t="shared" si="54"/>
        <v>1.5727127320762382</v>
      </c>
      <c r="IO23" s="344">
        <f t="shared" si="54"/>
        <v>1.5727127320762384</v>
      </c>
      <c r="IP23" s="344">
        <f t="shared" si="54"/>
        <v>1.5727127320762382</v>
      </c>
      <c r="IQ23" s="344">
        <f t="shared" si="54"/>
        <v>1.5727127320762382</v>
      </c>
      <c r="IR23" s="344">
        <f t="shared" si="54"/>
        <v>1.5727127320762382</v>
      </c>
      <c r="IS23" s="362">
        <f t="shared" si="54"/>
        <v>1.5727127320762384</v>
      </c>
      <c r="IT23" s="363"/>
      <c r="IU23" s="362">
        <f>IU24/IU14</f>
        <v>1.5727127320762382</v>
      </c>
    </row>
    <row r="24" spans="1:255">
      <c r="A24" s="350" t="s">
        <v>1514</v>
      </c>
      <c r="B24" s="344" t="s">
        <v>1515</v>
      </c>
      <c r="C24" s="358">
        <f t="shared" ref="C24:BN24" si="55">(C19*(1+$C5))/($C6-$C5)</f>
        <v>31.45425464152477</v>
      </c>
      <c r="D24" s="358">
        <f t="shared" si="55"/>
        <v>33.341509920016257</v>
      </c>
      <c r="E24" s="358">
        <f t="shared" si="55"/>
        <v>35.342000515217237</v>
      </c>
      <c r="F24" s="358">
        <f t="shared" si="55"/>
        <v>37.462520546130271</v>
      </c>
      <c r="G24" s="358">
        <f t="shared" si="55"/>
        <v>39.710271778898083</v>
      </c>
      <c r="H24" s="358">
        <f t="shared" si="55"/>
        <v>42.092888085631969</v>
      </c>
      <c r="I24" s="358">
        <f t="shared" si="55"/>
        <v>44.6184613707699</v>
      </c>
      <c r="J24" s="358">
        <f t="shared" si="55"/>
        <v>47.295569053016095</v>
      </c>
      <c r="K24" s="358">
        <f t="shared" si="55"/>
        <v>50.133303196197069</v>
      </c>
      <c r="L24" s="358">
        <f t="shared" si="55"/>
        <v>53.141301387968888</v>
      </c>
      <c r="M24" s="358">
        <f t="shared" si="55"/>
        <v>56.329779471247029</v>
      </c>
      <c r="N24" s="358">
        <f t="shared" si="55"/>
        <v>59.709566239521848</v>
      </c>
      <c r="O24" s="358">
        <f t="shared" si="55"/>
        <v>63.292140213893155</v>
      </c>
      <c r="P24" s="358">
        <f t="shared" si="55"/>
        <v>67.089668626726748</v>
      </c>
      <c r="Q24" s="358">
        <f t="shared" si="55"/>
        <v>71.115048744330352</v>
      </c>
      <c r="R24" s="358">
        <f t="shared" si="55"/>
        <v>75.381951668990197</v>
      </c>
      <c r="S24" s="358">
        <f t="shared" si="55"/>
        <v>79.904868769129607</v>
      </c>
      <c r="T24" s="358">
        <f t="shared" si="55"/>
        <v>84.699160895277387</v>
      </c>
      <c r="U24" s="358">
        <f t="shared" si="55"/>
        <v>89.781110548994036</v>
      </c>
      <c r="V24" s="358">
        <f t="shared" si="55"/>
        <v>95.167977181933679</v>
      </c>
      <c r="W24" s="358">
        <f t="shared" si="55"/>
        <v>100.87805581284974</v>
      </c>
      <c r="X24" s="358">
        <f t="shared" si="55"/>
        <v>106.93073916162069</v>
      </c>
      <c r="Y24" s="358">
        <f t="shared" si="55"/>
        <v>113.34658351131797</v>
      </c>
      <c r="Z24" s="358">
        <f t="shared" si="55"/>
        <v>120.14737852199703</v>
      </c>
      <c r="AA24" s="358">
        <f t="shared" si="55"/>
        <v>127.35622123331689</v>
      </c>
      <c r="AB24" s="358">
        <f t="shared" si="55"/>
        <v>134.99759450731588</v>
      </c>
      <c r="AC24" s="358">
        <f t="shared" si="55"/>
        <v>143.09745017775484</v>
      </c>
      <c r="AD24" s="358">
        <f t="shared" si="55"/>
        <v>151.68329718842014</v>
      </c>
      <c r="AE24" s="358">
        <f t="shared" si="55"/>
        <v>160.78429501972539</v>
      </c>
      <c r="AF24" s="358">
        <f t="shared" si="55"/>
        <v>170.4313527209089</v>
      </c>
      <c r="AG24" s="358">
        <f t="shared" si="55"/>
        <v>180.65723388416347</v>
      </c>
      <c r="AH24" s="358">
        <f t="shared" si="55"/>
        <v>191.49666791721327</v>
      </c>
      <c r="AI24" s="358">
        <f t="shared" si="55"/>
        <v>202.98646799224611</v>
      </c>
      <c r="AJ24" s="358">
        <f t="shared" si="55"/>
        <v>215.16565607178089</v>
      </c>
      <c r="AK24" s="358">
        <f t="shared" si="55"/>
        <v>228.07559543608772</v>
      </c>
      <c r="AL24" s="358">
        <f t="shared" si="55"/>
        <v>241.760131162253</v>
      </c>
      <c r="AM24" s="358">
        <f t="shared" si="55"/>
        <v>256.26573903198818</v>
      </c>
      <c r="AN24" s="358">
        <f t="shared" si="55"/>
        <v>271.64168337390748</v>
      </c>
      <c r="AO24" s="358">
        <f t="shared" si="55"/>
        <v>287.94018437634196</v>
      </c>
      <c r="AP24" s="358">
        <f t="shared" si="55"/>
        <v>305.21659543892252</v>
      </c>
      <c r="AQ24" s="358">
        <f t="shared" si="55"/>
        <v>323.52959116525784</v>
      </c>
      <c r="AR24" s="358">
        <f t="shared" si="55"/>
        <v>342.94136663517338</v>
      </c>
      <c r="AS24" s="358">
        <f t="shared" si="55"/>
        <v>363.51784863328373</v>
      </c>
      <c r="AT24" s="358">
        <f t="shared" si="55"/>
        <v>385.32891955128082</v>
      </c>
      <c r="AU24" s="358">
        <f t="shared" si="55"/>
        <v>408.44865472435771</v>
      </c>
      <c r="AV24" s="358">
        <f t="shared" si="55"/>
        <v>432.95557400781911</v>
      </c>
      <c r="AW24" s="358">
        <f t="shared" si="55"/>
        <v>458.93290844828829</v>
      </c>
      <c r="AX24" s="358">
        <f t="shared" si="55"/>
        <v>486.46888295518562</v>
      </c>
      <c r="AY24" s="358">
        <f t="shared" si="55"/>
        <v>515.65701593249673</v>
      </c>
      <c r="AZ24" s="358">
        <f t="shared" si="55"/>
        <v>546.59643688844653</v>
      </c>
      <c r="BA24" s="358">
        <f t="shared" si="55"/>
        <v>579.39222310175353</v>
      </c>
      <c r="BB24" s="358">
        <f t="shared" si="55"/>
        <v>614.15575648785864</v>
      </c>
      <c r="BC24" s="358">
        <f t="shared" si="55"/>
        <v>651.0051018771303</v>
      </c>
      <c r="BD24" s="358">
        <f t="shared" si="55"/>
        <v>690.06540798975811</v>
      </c>
      <c r="BE24" s="358">
        <f t="shared" si="55"/>
        <v>731.46933246914352</v>
      </c>
      <c r="BF24" s="358">
        <f t="shared" si="55"/>
        <v>775.35749241729218</v>
      </c>
      <c r="BG24" s="358">
        <f t="shared" si="55"/>
        <v>821.87894196232969</v>
      </c>
      <c r="BH24" s="358">
        <f t="shared" si="55"/>
        <v>871.19167848006975</v>
      </c>
      <c r="BI24" s="358">
        <f t="shared" si="55"/>
        <v>923.46317918887371</v>
      </c>
      <c r="BJ24" s="358">
        <f t="shared" si="55"/>
        <v>978.87096994020624</v>
      </c>
      <c r="BK24" s="358">
        <f t="shared" si="55"/>
        <v>1037.6032281366188</v>
      </c>
      <c r="BL24" s="358">
        <f t="shared" si="55"/>
        <v>1099.8594218248159</v>
      </c>
      <c r="BM24" s="358">
        <f t="shared" si="55"/>
        <v>1165.8509871343049</v>
      </c>
      <c r="BN24" s="358">
        <f t="shared" si="55"/>
        <v>1235.8020463623632</v>
      </c>
      <c r="BO24" s="358">
        <f t="shared" ref="BO24:CN24" si="56">(BO19*(1+$C5))/($C6-$C5)</f>
        <v>1309.9501691441053</v>
      </c>
      <c r="BP24" s="358">
        <f t="shared" si="56"/>
        <v>1388.5471792927515</v>
      </c>
      <c r="BQ24" s="358">
        <f t="shared" si="56"/>
        <v>1471.8600100503163</v>
      </c>
      <c r="BR24" s="358">
        <f t="shared" si="56"/>
        <v>1560.1716106533356</v>
      </c>
      <c r="BS24" s="358">
        <f t="shared" si="56"/>
        <v>1653.7819072925354</v>
      </c>
      <c r="BT24" s="358">
        <f t="shared" si="56"/>
        <v>1753.0088217300881</v>
      </c>
      <c r="BU24" s="358">
        <f t="shared" si="56"/>
        <v>1858.1893510338932</v>
      </c>
      <c r="BV24" s="358">
        <f t="shared" si="56"/>
        <v>1969.680712095927</v>
      </c>
      <c r="BW24" s="358">
        <f t="shared" si="56"/>
        <v>2087.8615548216826</v>
      </c>
      <c r="BX24" s="358">
        <f t="shared" si="56"/>
        <v>2213.1332481109839</v>
      </c>
      <c r="BY24" s="358">
        <f t="shared" si="56"/>
        <v>2345.9212429976424</v>
      </c>
      <c r="BZ24" s="358">
        <f t="shared" si="56"/>
        <v>2486.6765175775017</v>
      </c>
      <c r="CA24" s="358">
        <f t="shared" si="56"/>
        <v>2635.8771086321512</v>
      </c>
      <c r="CB24" s="358">
        <f t="shared" si="56"/>
        <v>2794.0297351500803</v>
      </c>
      <c r="CC24" s="358">
        <f t="shared" si="56"/>
        <v>2961.6715192590855</v>
      </c>
      <c r="CD24" s="358">
        <f t="shared" si="56"/>
        <v>3139.3718104146315</v>
      </c>
      <c r="CE24" s="358">
        <f t="shared" si="56"/>
        <v>3327.7341190395086</v>
      </c>
      <c r="CF24" s="358">
        <f t="shared" si="56"/>
        <v>3527.3981661818793</v>
      </c>
      <c r="CG24" s="358">
        <f t="shared" si="56"/>
        <v>3739.0420561527922</v>
      </c>
      <c r="CH24" s="358">
        <f t="shared" si="56"/>
        <v>3963.3845795219609</v>
      </c>
      <c r="CI24" s="358">
        <f t="shared" si="56"/>
        <v>4201.1876542932787</v>
      </c>
      <c r="CJ24" s="358">
        <f t="shared" si="56"/>
        <v>4453.2589135508761</v>
      </c>
      <c r="CK24" s="358">
        <f t="shared" si="56"/>
        <v>4720.4544483639293</v>
      </c>
      <c r="CL24" s="358">
        <f t="shared" si="56"/>
        <v>5003.681715265765</v>
      </c>
      <c r="CM24" s="358">
        <f t="shared" si="56"/>
        <v>5303.9026181817107</v>
      </c>
      <c r="CN24" s="358">
        <f t="shared" si="56"/>
        <v>5622.1367752726128</v>
      </c>
      <c r="CO24" s="359"/>
      <c r="CP24" s="358">
        <f t="shared" ref="CP24:FA24" si="57">(CP19*(1+$C5))/($C6-$C5)</f>
        <v>5959.4649817889704</v>
      </c>
      <c r="CQ24" s="358">
        <f t="shared" si="57"/>
        <v>6317.0328806963089</v>
      </c>
      <c r="CR24" s="358">
        <f t="shared" si="57"/>
        <v>6696.0548535380885</v>
      </c>
      <c r="CS24" s="358">
        <f t="shared" si="57"/>
        <v>7097.8181447503748</v>
      </c>
      <c r="CT24" s="358">
        <f t="shared" si="57"/>
        <v>7523.6872334353975</v>
      </c>
      <c r="CU24" s="358">
        <f t="shared" si="57"/>
        <v>7975.1084674415242</v>
      </c>
      <c r="CV24" s="358">
        <f t="shared" si="57"/>
        <v>8453.6149754880153</v>
      </c>
      <c r="CW24" s="358">
        <f t="shared" si="57"/>
        <v>8960.8318740172945</v>
      </c>
      <c r="CX24" s="358">
        <f t="shared" si="57"/>
        <v>9498.4817864583329</v>
      </c>
      <c r="CY24" s="358">
        <f t="shared" si="57"/>
        <v>10068.390693645833</v>
      </c>
      <c r="CZ24" s="358">
        <f t="shared" si="57"/>
        <v>10672.494135264586</v>
      </c>
      <c r="DA24" s="358">
        <f t="shared" si="57"/>
        <v>11312.843783380462</v>
      </c>
      <c r="DB24" s="358">
        <f t="shared" si="57"/>
        <v>11991.614410383288</v>
      </c>
      <c r="DC24" s="358">
        <f t="shared" si="57"/>
        <v>12711.111275006289</v>
      </c>
      <c r="DD24" s="358">
        <f t="shared" si="57"/>
        <v>13473.777951506663</v>
      </c>
      <c r="DE24" s="358">
        <f t="shared" si="57"/>
        <v>14282.204628597066</v>
      </c>
      <c r="DF24" s="358">
        <f t="shared" si="57"/>
        <v>15139.136906312891</v>
      </c>
      <c r="DG24" s="358">
        <f t="shared" si="57"/>
        <v>16047.485120691665</v>
      </c>
      <c r="DH24" s="358">
        <f t="shared" si="57"/>
        <v>17010.334227933163</v>
      </c>
      <c r="DI24" s="358">
        <f t="shared" si="57"/>
        <v>18030.954281609153</v>
      </c>
      <c r="DJ24" s="358">
        <f t="shared" si="57"/>
        <v>19112.811538505703</v>
      </c>
      <c r="DK24" s="358">
        <f t="shared" si="57"/>
        <v>20259.580230816049</v>
      </c>
      <c r="DL24" s="358">
        <f t="shared" si="57"/>
        <v>21475.155044665014</v>
      </c>
      <c r="DM24" s="358">
        <f t="shared" si="57"/>
        <v>22763.664347344918</v>
      </c>
      <c r="DN24" s="358">
        <f t="shared" si="57"/>
        <v>24129.484208185608</v>
      </c>
      <c r="DO24" s="358">
        <f t="shared" si="57"/>
        <v>25577.253260676749</v>
      </c>
      <c r="DP24" s="358">
        <f t="shared" si="57"/>
        <v>27111.888456317356</v>
      </c>
      <c r="DQ24" s="358">
        <f t="shared" si="57"/>
        <v>28738.601763696392</v>
      </c>
      <c r="DR24" s="358">
        <f t="shared" si="57"/>
        <v>30462.917869518176</v>
      </c>
      <c r="DS24" s="358">
        <f t="shared" si="57"/>
        <v>32290.692941689271</v>
      </c>
      <c r="DT24" s="358">
        <f t="shared" si="57"/>
        <v>34228.134518190629</v>
      </c>
      <c r="DU24" s="358">
        <f t="shared" si="57"/>
        <v>36281.82258928207</v>
      </c>
      <c r="DV24" s="358">
        <f t="shared" si="57"/>
        <v>38458.731944638996</v>
      </c>
      <c r="DW24" s="358">
        <f t="shared" si="57"/>
        <v>40766.255861317331</v>
      </c>
      <c r="DX24" s="358">
        <f t="shared" si="57"/>
        <v>43212.231212996383</v>
      </c>
      <c r="DY24" s="358">
        <f t="shared" si="57"/>
        <v>45804.965085776166</v>
      </c>
      <c r="DZ24" s="358">
        <f t="shared" si="57"/>
        <v>48553.262990922733</v>
      </c>
      <c r="EA24" s="358">
        <f t="shared" si="57"/>
        <v>51466.458770378107</v>
      </c>
      <c r="EB24" s="358">
        <f t="shared" si="57"/>
        <v>54554.446296600785</v>
      </c>
      <c r="EC24" s="358">
        <f t="shared" si="57"/>
        <v>57827.71307439683</v>
      </c>
      <c r="ED24" s="358">
        <f t="shared" si="57"/>
        <v>61297.375858860636</v>
      </c>
      <c r="EE24" s="358">
        <f t="shared" si="57"/>
        <v>64975.218410392285</v>
      </c>
      <c r="EF24" s="358">
        <f t="shared" si="57"/>
        <v>68873.731515015825</v>
      </c>
      <c r="EG24" s="358">
        <f t="shared" si="57"/>
        <v>73006.155405916783</v>
      </c>
      <c r="EH24" s="358">
        <f t="shared" si="57"/>
        <v>77386.524730271791</v>
      </c>
      <c r="EI24" s="358">
        <f t="shared" si="57"/>
        <v>82029.716214088097</v>
      </c>
      <c r="EJ24" s="358">
        <f t="shared" si="57"/>
        <v>86951.49918693339</v>
      </c>
      <c r="EK24" s="358">
        <f t="shared" si="57"/>
        <v>92168.5891381494</v>
      </c>
      <c r="EL24" s="358">
        <f t="shared" si="57"/>
        <v>97698.704486438393</v>
      </c>
      <c r="EM24" s="358">
        <f t="shared" si="57"/>
        <v>103560.6267556247</v>
      </c>
      <c r="EN24" s="358">
        <f t="shared" si="57"/>
        <v>109774.26436096217</v>
      </c>
      <c r="EO24" s="358">
        <f t="shared" si="57"/>
        <v>116360.72022261992</v>
      </c>
      <c r="EP24" s="358">
        <f t="shared" si="57"/>
        <v>123342.36343597714</v>
      </c>
      <c r="EQ24" s="358">
        <f t="shared" si="57"/>
        <v>130742.90524213573</v>
      </c>
      <c r="ER24" s="358">
        <f t="shared" si="57"/>
        <v>138587.47955666389</v>
      </c>
      <c r="ES24" s="358">
        <f t="shared" si="57"/>
        <v>146902.72833006375</v>
      </c>
      <c r="ET24" s="358">
        <f t="shared" si="57"/>
        <v>155716.89202986757</v>
      </c>
      <c r="EU24" s="358">
        <f t="shared" si="57"/>
        <v>165059.90555165961</v>
      </c>
      <c r="EV24" s="358">
        <f t="shared" si="57"/>
        <v>174963.49988475919</v>
      </c>
      <c r="EW24" s="358">
        <f t="shared" si="57"/>
        <v>185461.30987784476</v>
      </c>
      <c r="EX24" s="358">
        <f t="shared" si="57"/>
        <v>196588.98847051544</v>
      </c>
      <c r="EY24" s="358">
        <f t="shared" si="57"/>
        <v>208384.3277787464</v>
      </c>
      <c r="EZ24" s="358">
        <f t="shared" si="57"/>
        <v>220887.38744547119</v>
      </c>
      <c r="FA24" s="358">
        <f t="shared" si="57"/>
        <v>234140.63069219948</v>
      </c>
      <c r="FB24" s="358">
        <f t="shared" ref="FB24:HM24" si="58">(FB19*(1+$C5))/($C6-$C5)</f>
        <v>248189.06853373145</v>
      </c>
      <c r="FC24" s="358">
        <f t="shared" si="58"/>
        <v>263080.41264575539</v>
      </c>
      <c r="FD24" s="358">
        <f t="shared" si="58"/>
        <v>278865.23740450066</v>
      </c>
      <c r="FE24" s="358">
        <f t="shared" si="58"/>
        <v>295597.15164877073</v>
      </c>
      <c r="FF24" s="358">
        <f t="shared" si="58"/>
        <v>313332.980747697</v>
      </c>
      <c r="FG24" s="358">
        <f t="shared" si="58"/>
        <v>332132.95959255879</v>
      </c>
      <c r="FH24" s="358">
        <f t="shared" si="58"/>
        <v>352060.93716811232</v>
      </c>
      <c r="FI24" s="358">
        <f t="shared" si="58"/>
        <v>373184.59339819913</v>
      </c>
      <c r="FJ24" s="358">
        <f t="shared" si="58"/>
        <v>395575.66900209116</v>
      </c>
      <c r="FK24" s="358">
        <f t="shared" si="58"/>
        <v>419310.20914221654</v>
      </c>
      <c r="FL24" s="358">
        <f t="shared" si="58"/>
        <v>444468.82169074955</v>
      </c>
      <c r="FM24" s="358">
        <f t="shared" si="58"/>
        <v>471136.95099219464</v>
      </c>
      <c r="FN24" s="358">
        <f t="shared" si="58"/>
        <v>499405.16805172624</v>
      </c>
      <c r="FO24" s="358">
        <f t="shared" si="58"/>
        <v>529369.4781348299</v>
      </c>
      <c r="FP24" s="358">
        <f t="shared" si="58"/>
        <v>561131.6468229196</v>
      </c>
      <c r="FQ24" s="358">
        <f t="shared" si="58"/>
        <v>594799.54563229484</v>
      </c>
      <c r="FR24" s="358">
        <f t="shared" si="58"/>
        <v>630487.51837023254</v>
      </c>
      <c r="FS24" s="358">
        <f t="shared" si="58"/>
        <v>668316.76947244641</v>
      </c>
      <c r="FT24" s="358">
        <f t="shared" si="58"/>
        <v>708415.77564079338</v>
      </c>
      <c r="FU24" s="358">
        <f t="shared" si="58"/>
        <v>750920.72217924101</v>
      </c>
      <c r="FV24" s="358">
        <f t="shared" si="58"/>
        <v>795975.96550999547</v>
      </c>
      <c r="FW24" s="358">
        <f t="shared" si="58"/>
        <v>843734.52344059525</v>
      </c>
      <c r="FX24" s="358">
        <f t="shared" si="58"/>
        <v>894358.59484703105</v>
      </c>
      <c r="FY24" s="358">
        <f t="shared" si="58"/>
        <v>948020.11053785298</v>
      </c>
      <c r="FZ24" s="358">
        <f t="shared" si="58"/>
        <v>1004901.3171701243</v>
      </c>
      <c r="GA24" s="358">
        <f t="shared" si="58"/>
        <v>1065195.3962003319</v>
      </c>
      <c r="GB24" s="358">
        <f t="shared" si="58"/>
        <v>1129107.1199723519</v>
      </c>
      <c r="GC24" s="358">
        <f t="shared" si="58"/>
        <v>1196853.5471706933</v>
      </c>
      <c r="GD24" s="358">
        <f t="shared" si="58"/>
        <v>1268664.7600009348</v>
      </c>
      <c r="GE24" s="358">
        <f t="shared" si="58"/>
        <v>1344784.6456009911</v>
      </c>
      <c r="GF24" s="358">
        <f t="shared" si="58"/>
        <v>1425471.7243370505</v>
      </c>
      <c r="GG24" s="358">
        <f t="shared" si="58"/>
        <v>1511000.0277972736</v>
      </c>
      <c r="GH24" s="358">
        <f t="shared" si="58"/>
        <v>1601660.0294651098</v>
      </c>
      <c r="GI24" s="358">
        <f t="shared" si="58"/>
        <v>1697759.631233017</v>
      </c>
      <c r="GJ24" s="358">
        <f t="shared" si="58"/>
        <v>1799625.2091069978</v>
      </c>
      <c r="GK24" s="358">
        <f t="shared" si="58"/>
        <v>1907602.7216534177</v>
      </c>
      <c r="GL24" s="358">
        <f t="shared" si="58"/>
        <v>2022058.8849526232</v>
      </c>
      <c r="GM24" s="358">
        <f t="shared" si="58"/>
        <v>2143382.4180497807</v>
      </c>
      <c r="GN24" s="358">
        <f t="shared" si="58"/>
        <v>2271985.3631327669</v>
      </c>
      <c r="GO24" s="358">
        <f t="shared" si="58"/>
        <v>2408304.4849207336</v>
      </c>
      <c r="GP24" s="358">
        <f t="shared" si="58"/>
        <v>2552802.754015977</v>
      </c>
      <c r="GQ24" s="358">
        <f t="shared" si="58"/>
        <v>2705970.9192569363</v>
      </c>
      <c r="GR24" s="358">
        <f t="shared" si="58"/>
        <v>2868329.1744123525</v>
      </c>
      <c r="GS24" s="358">
        <f t="shared" si="58"/>
        <v>3040428.9248770936</v>
      </c>
      <c r="GT24" s="358">
        <f t="shared" si="58"/>
        <v>3222854.6603697198</v>
      </c>
      <c r="GU24" s="358">
        <f t="shared" si="58"/>
        <v>3416225.9399919035</v>
      </c>
      <c r="GV24" s="358">
        <f t="shared" si="58"/>
        <v>3621199.496391417</v>
      </c>
      <c r="GW24" s="358">
        <f t="shared" si="58"/>
        <v>3838471.4661749024</v>
      </c>
      <c r="GX24" s="358">
        <f t="shared" si="58"/>
        <v>4068779.7541453964</v>
      </c>
      <c r="GY24" s="358">
        <f t="shared" si="58"/>
        <v>4312906.5393941216</v>
      </c>
      <c r="GZ24" s="358">
        <f t="shared" si="58"/>
        <v>4571680.9317577686</v>
      </c>
      <c r="HA24" s="358">
        <f t="shared" si="58"/>
        <v>4845981.7876632353</v>
      </c>
      <c r="HB24" s="358">
        <f t="shared" si="58"/>
        <v>5136740.6949230293</v>
      </c>
      <c r="HC24" s="358">
        <f t="shared" si="58"/>
        <v>5444945.1366184121</v>
      </c>
      <c r="HD24" s="358">
        <f t="shared" si="58"/>
        <v>5771641.8448155168</v>
      </c>
      <c r="HE24" s="358">
        <f t="shared" si="58"/>
        <v>6117940.3555044476</v>
      </c>
      <c r="HF24" s="358">
        <f t="shared" si="58"/>
        <v>6485016.7768347161</v>
      </c>
      <c r="HG24" s="358">
        <f t="shared" si="58"/>
        <v>6874117.7834447995</v>
      </c>
      <c r="HH24" s="358">
        <f t="shared" si="58"/>
        <v>7286564.8504514871</v>
      </c>
      <c r="HI24" s="358">
        <f t="shared" si="58"/>
        <v>7723758.7414785773</v>
      </c>
      <c r="HJ24" s="358">
        <f t="shared" si="58"/>
        <v>8187184.2659672936</v>
      </c>
      <c r="HK24" s="358">
        <f t="shared" si="58"/>
        <v>8678415.3219253309</v>
      </c>
      <c r="HL24" s="358">
        <f t="shared" si="58"/>
        <v>9199120.2412408497</v>
      </c>
      <c r="HM24" s="358">
        <f t="shared" si="58"/>
        <v>9751067.4557153024</v>
      </c>
      <c r="HN24" s="358">
        <f t="shared" ref="HN24:IS24" si="59">(HN19*(1+$C5))/($C6-$C5)</f>
        <v>10336131.503058221</v>
      </c>
      <c r="HO24" s="358">
        <f t="shared" si="59"/>
        <v>10956299.393241717</v>
      </c>
      <c r="HP24" s="358">
        <f t="shared" si="59"/>
        <v>11613677.356836218</v>
      </c>
      <c r="HQ24" s="358">
        <f t="shared" si="59"/>
        <v>12310497.99824639</v>
      </c>
      <c r="HR24" s="358">
        <f t="shared" si="59"/>
        <v>13049127.878141174</v>
      </c>
      <c r="HS24" s="358">
        <f t="shared" si="59"/>
        <v>13832075.550829649</v>
      </c>
      <c r="HT24" s="358">
        <f t="shared" si="59"/>
        <v>14662000.083879428</v>
      </c>
      <c r="HU24" s="358">
        <f t="shared" si="59"/>
        <v>15541720.088912195</v>
      </c>
      <c r="HV24" s="358">
        <f t="shared" si="59"/>
        <v>16474223.294246929</v>
      </c>
      <c r="HW24" s="358">
        <f t="shared" si="59"/>
        <v>17462676.691901747</v>
      </c>
      <c r="HX24" s="358">
        <f t="shared" si="59"/>
        <v>18510437.293415852</v>
      </c>
      <c r="HY24" s="358">
        <f t="shared" si="59"/>
        <v>19621063.531020802</v>
      </c>
      <c r="HZ24" s="358">
        <f t="shared" si="59"/>
        <v>20798327.342882052</v>
      </c>
      <c r="IA24" s="358">
        <f t="shared" si="59"/>
        <v>22046226.983454976</v>
      </c>
      <c r="IB24" s="358">
        <f t="shared" si="59"/>
        <v>23369000.602462277</v>
      </c>
      <c r="IC24" s="358">
        <f t="shared" si="59"/>
        <v>24771140.638610017</v>
      </c>
      <c r="ID24" s="358">
        <f t="shared" si="59"/>
        <v>26257409.076926619</v>
      </c>
      <c r="IE24" s="358">
        <f t="shared" si="59"/>
        <v>27832853.621542215</v>
      </c>
      <c r="IF24" s="358">
        <f t="shared" si="59"/>
        <v>29502824.838834759</v>
      </c>
      <c r="IG24" s="358">
        <f t="shared" si="59"/>
        <v>31272994.329164844</v>
      </c>
      <c r="IH24" s="358">
        <f t="shared" si="59"/>
        <v>33149373.988914739</v>
      </c>
      <c r="II24" s="358">
        <f t="shared" si="59"/>
        <v>35138336.42824962</v>
      </c>
      <c r="IJ24" s="358">
        <f t="shared" si="59"/>
        <v>37246636.613944605</v>
      </c>
      <c r="IK24" s="358">
        <f t="shared" si="59"/>
        <v>39481434.810781285</v>
      </c>
      <c r="IL24" s="358">
        <f t="shared" si="59"/>
        <v>41850320.899428159</v>
      </c>
      <c r="IM24" s="358">
        <f t="shared" si="59"/>
        <v>44361340.153393842</v>
      </c>
      <c r="IN24" s="358">
        <f t="shared" si="59"/>
        <v>47023020.562597483</v>
      </c>
      <c r="IO24" s="358">
        <f t="shared" si="59"/>
        <v>49844401.79635334</v>
      </c>
      <c r="IP24" s="358">
        <f t="shared" si="59"/>
        <v>52835065.904134534</v>
      </c>
      <c r="IQ24" s="358">
        <f t="shared" si="59"/>
        <v>56005169.858382612</v>
      </c>
      <c r="IR24" s="358">
        <f t="shared" si="59"/>
        <v>59365480.049885571</v>
      </c>
      <c r="IS24" s="358">
        <f t="shared" si="59"/>
        <v>62927408.852878712</v>
      </c>
      <c r="IT24" s="359"/>
      <c r="IU24" s="358">
        <f>(IU19*(1+$C5))/($C6-$C5)</f>
        <v>66703053.384051435</v>
      </c>
    </row>
    <row r="25" spans="1:255">
      <c r="A25" s="350" t="s">
        <v>1516</v>
      </c>
      <c r="B25" s="344" t="s">
        <v>1517</v>
      </c>
      <c r="C25" s="353">
        <f>((M24/C24)^(1/10))-1</f>
        <v>6.0000000000000053E-2</v>
      </c>
      <c r="D25" s="364" t="str">
        <f>IF(ROUND(C25,3)=ROUND(D17,3),"OK", "FALSE")</f>
        <v>OK</v>
      </c>
      <c r="E25" s="344" t="s">
        <v>1518</v>
      </c>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c r="BT25" s="358"/>
      <c r="BU25" s="358"/>
      <c r="BV25" s="358"/>
      <c r="BW25" s="358"/>
      <c r="BX25" s="358"/>
      <c r="BY25" s="358"/>
      <c r="BZ25" s="358"/>
      <c r="CA25" s="358"/>
      <c r="CB25" s="358"/>
      <c r="CC25" s="358"/>
      <c r="CD25" s="358"/>
      <c r="CE25" s="358"/>
      <c r="CF25" s="358"/>
      <c r="CG25" s="358"/>
      <c r="CH25" s="358"/>
      <c r="CI25" s="358"/>
      <c r="CJ25" s="358"/>
      <c r="CK25" s="358"/>
      <c r="CL25" s="358"/>
      <c r="CM25" s="358"/>
      <c r="CN25" s="358"/>
      <c r="CO25" s="359"/>
      <c r="CP25" s="358"/>
      <c r="CQ25" s="358"/>
      <c r="CR25" s="358"/>
      <c r="CS25" s="358"/>
      <c r="CT25" s="358"/>
      <c r="CU25" s="358"/>
      <c r="CV25" s="358"/>
      <c r="CW25" s="358"/>
      <c r="CX25" s="358"/>
      <c r="CY25" s="358"/>
      <c r="CZ25" s="358"/>
      <c r="DA25" s="358"/>
      <c r="DB25" s="358"/>
      <c r="DC25" s="358"/>
      <c r="DD25" s="358"/>
      <c r="DE25" s="358"/>
      <c r="DF25" s="358"/>
      <c r="DG25" s="358"/>
      <c r="DH25" s="358"/>
      <c r="DI25" s="358"/>
      <c r="DJ25" s="358"/>
      <c r="DK25" s="358"/>
      <c r="DL25" s="358"/>
      <c r="DM25" s="358"/>
      <c r="DN25" s="358"/>
      <c r="DO25" s="358"/>
      <c r="DP25" s="358"/>
      <c r="DQ25" s="358"/>
      <c r="DR25" s="358"/>
      <c r="DS25" s="358"/>
      <c r="DT25" s="358"/>
      <c r="DU25" s="358"/>
      <c r="DV25" s="358"/>
      <c r="DW25" s="358"/>
      <c r="DX25" s="358"/>
      <c r="DY25" s="358"/>
      <c r="DZ25" s="358"/>
      <c r="EA25" s="358"/>
      <c r="EB25" s="358"/>
      <c r="EC25" s="358"/>
      <c r="ED25" s="358"/>
      <c r="EE25" s="358"/>
      <c r="EF25" s="358"/>
      <c r="EG25" s="358"/>
      <c r="EH25" s="358"/>
      <c r="EI25" s="358"/>
      <c r="EJ25" s="358"/>
      <c r="EK25" s="358"/>
      <c r="EL25" s="358"/>
      <c r="EM25" s="358"/>
      <c r="EN25" s="358"/>
      <c r="EO25" s="358"/>
      <c r="EP25" s="358"/>
      <c r="EQ25" s="358"/>
      <c r="ER25" s="358"/>
      <c r="ES25" s="358"/>
      <c r="ET25" s="358"/>
      <c r="EU25" s="358"/>
      <c r="EV25" s="358"/>
      <c r="EW25" s="358"/>
      <c r="EX25" s="358"/>
      <c r="EY25" s="358"/>
      <c r="EZ25" s="358"/>
      <c r="FA25" s="358"/>
      <c r="FB25" s="358"/>
      <c r="FC25" s="358"/>
      <c r="FD25" s="358"/>
      <c r="FE25" s="358"/>
      <c r="FF25" s="358"/>
      <c r="FG25" s="358"/>
      <c r="FH25" s="358"/>
      <c r="FI25" s="358"/>
      <c r="FJ25" s="358"/>
      <c r="FK25" s="358"/>
      <c r="FL25" s="358"/>
      <c r="FM25" s="358"/>
      <c r="FN25" s="358"/>
      <c r="FO25" s="358"/>
      <c r="FP25" s="358"/>
      <c r="FQ25" s="358"/>
      <c r="FR25" s="358"/>
      <c r="FS25" s="358"/>
      <c r="FT25" s="358"/>
      <c r="FU25" s="358"/>
      <c r="FV25" s="358"/>
      <c r="FW25" s="358"/>
      <c r="FX25" s="358"/>
      <c r="FY25" s="358"/>
      <c r="FZ25" s="358"/>
      <c r="GA25" s="358"/>
      <c r="GB25" s="358"/>
      <c r="GC25" s="358"/>
      <c r="GD25" s="358"/>
      <c r="GE25" s="358"/>
      <c r="GF25" s="358"/>
      <c r="GG25" s="358"/>
      <c r="GH25" s="358"/>
      <c r="GI25" s="358"/>
      <c r="GJ25" s="358"/>
      <c r="GK25" s="358"/>
      <c r="GL25" s="358"/>
      <c r="GM25" s="358"/>
      <c r="GN25" s="358"/>
      <c r="GO25" s="358"/>
      <c r="GP25" s="358"/>
      <c r="GQ25" s="358"/>
      <c r="GR25" s="358"/>
      <c r="GS25" s="358"/>
      <c r="GT25" s="358"/>
      <c r="GU25" s="358"/>
      <c r="GV25" s="358"/>
      <c r="IT25" s="359"/>
    </row>
    <row r="26" spans="1:255">
      <c r="A26" s="350" t="s">
        <v>1519</v>
      </c>
      <c r="B26" s="344" t="s">
        <v>1520</v>
      </c>
      <c r="C26" s="365">
        <f t="shared" ref="C26:BN26" si="60">C24/C16</f>
        <v>14.978216495964176</v>
      </c>
      <c r="D26" s="365">
        <f t="shared" si="60"/>
        <v>14.978216495964174</v>
      </c>
      <c r="E26" s="365">
        <f t="shared" si="60"/>
        <v>14.978216495964174</v>
      </c>
      <c r="F26" s="365">
        <f t="shared" si="60"/>
        <v>14.978216495964174</v>
      </c>
      <c r="G26" s="365">
        <f t="shared" si="60"/>
        <v>14.978216495964173</v>
      </c>
      <c r="H26" s="365">
        <f t="shared" si="60"/>
        <v>14.978216495964173</v>
      </c>
      <c r="I26" s="365">
        <f t="shared" si="60"/>
        <v>14.978216495964174</v>
      </c>
      <c r="J26" s="365">
        <f t="shared" si="60"/>
        <v>14.978216495964174</v>
      </c>
      <c r="K26" s="365">
        <f t="shared" si="60"/>
        <v>14.978216495964176</v>
      </c>
      <c r="L26" s="365">
        <f t="shared" si="60"/>
        <v>14.978216495964174</v>
      </c>
      <c r="M26" s="365">
        <f t="shared" si="60"/>
        <v>14.978216495964176</v>
      </c>
      <c r="N26" s="344">
        <f t="shared" si="60"/>
        <v>14.978216495964174</v>
      </c>
      <c r="O26" s="344">
        <f t="shared" si="60"/>
        <v>14.978216495964174</v>
      </c>
      <c r="P26" s="344">
        <f t="shared" si="60"/>
        <v>14.978216495964174</v>
      </c>
      <c r="Q26" s="344">
        <f t="shared" si="60"/>
        <v>14.978216495964174</v>
      </c>
      <c r="R26" s="344">
        <f t="shared" si="60"/>
        <v>14.978216495964176</v>
      </c>
      <c r="S26" s="344">
        <f t="shared" si="60"/>
        <v>14.978216495964174</v>
      </c>
      <c r="T26" s="344">
        <f t="shared" si="60"/>
        <v>14.978216495964174</v>
      </c>
      <c r="U26" s="344">
        <f t="shared" si="60"/>
        <v>14.978216495964174</v>
      </c>
      <c r="V26" s="344">
        <f t="shared" si="60"/>
        <v>14.978216495964173</v>
      </c>
      <c r="W26" s="344">
        <f t="shared" si="60"/>
        <v>14.978216495964176</v>
      </c>
      <c r="X26" s="344">
        <f t="shared" si="60"/>
        <v>14.978216495964173</v>
      </c>
      <c r="Y26" s="344">
        <f t="shared" si="60"/>
        <v>14.978216495964176</v>
      </c>
      <c r="Z26" s="344">
        <f t="shared" si="60"/>
        <v>14.978216495964173</v>
      </c>
      <c r="AA26" s="344">
        <f t="shared" si="60"/>
        <v>14.978216495964176</v>
      </c>
      <c r="AB26" s="344">
        <f t="shared" si="60"/>
        <v>14.978216495964174</v>
      </c>
      <c r="AC26" s="344">
        <f t="shared" si="60"/>
        <v>14.978216495964174</v>
      </c>
      <c r="AD26" s="344">
        <f t="shared" si="60"/>
        <v>14.978216495964174</v>
      </c>
      <c r="AE26" s="344">
        <f t="shared" si="60"/>
        <v>14.978216495964176</v>
      </c>
      <c r="AF26" s="344">
        <f t="shared" si="60"/>
        <v>14.978216495964174</v>
      </c>
      <c r="AG26" s="344">
        <f t="shared" si="60"/>
        <v>14.978216495964176</v>
      </c>
      <c r="AH26" s="344">
        <f t="shared" si="60"/>
        <v>14.978216495964174</v>
      </c>
      <c r="AI26" s="344">
        <f t="shared" si="60"/>
        <v>14.978216495964174</v>
      </c>
      <c r="AJ26" s="344">
        <f t="shared" si="60"/>
        <v>14.978216495964176</v>
      </c>
      <c r="AK26" s="344">
        <f t="shared" si="60"/>
        <v>14.978216495964176</v>
      </c>
      <c r="AL26" s="344">
        <f t="shared" si="60"/>
        <v>14.978216495964174</v>
      </c>
      <c r="AM26" s="344">
        <f t="shared" si="60"/>
        <v>14.978216495964174</v>
      </c>
      <c r="AN26" s="344">
        <f t="shared" si="60"/>
        <v>14.978216495964174</v>
      </c>
      <c r="AO26" s="344">
        <f t="shared" si="60"/>
        <v>14.978216495964174</v>
      </c>
      <c r="AP26" s="344">
        <f t="shared" si="60"/>
        <v>14.978216495964174</v>
      </c>
      <c r="AQ26" s="344">
        <f t="shared" si="60"/>
        <v>14.978216495964174</v>
      </c>
      <c r="AR26" s="344">
        <f t="shared" si="60"/>
        <v>14.978216495964174</v>
      </c>
      <c r="AS26" s="344">
        <f t="shared" si="60"/>
        <v>14.978216495964173</v>
      </c>
      <c r="AT26" s="344">
        <f t="shared" si="60"/>
        <v>14.978216495964176</v>
      </c>
      <c r="AU26" s="344">
        <f t="shared" si="60"/>
        <v>14.978216495964174</v>
      </c>
      <c r="AV26" s="344">
        <f t="shared" si="60"/>
        <v>14.978216495964174</v>
      </c>
      <c r="AW26" s="344">
        <f t="shared" si="60"/>
        <v>14.978216495964174</v>
      </c>
      <c r="AX26" s="344">
        <f t="shared" si="60"/>
        <v>14.978216495964174</v>
      </c>
      <c r="AY26" s="344">
        <f t="shared" si="60"/>
        <v>14.978216495964174</v>
      </c>
      <c r="AZ26" s="344">
        <f t="shared" si="60"/>
        <v>14.978216495964173</v>
      </c>
      <c r="BA26" s="344">
        <f t="shared" si="60"/>
        <v>14.978216495964178</v>
      </c>
      <c r="BB26" s="344">
        <f t="shared" si="60"/>
        <v>14.978216495964174</v>
      </c>
      <c r="BC26" s="344">
        <f t="shared" si="60"/>
        <v>14.978216495964176</v>
      </c>
      <c r="BD26" s="344">
        <f t="shared" si="60"/>
        <v>14.978216495964174</v>
      </c>
      <c r="BE26" s="344">
        <f t="shared" si="60"/>
        <v>14.978216495964173</v>
      </c>
      <c r="BF26" s="344">
        <f t="shared" si="60"/>
        <v>14.978216495964174</v>
      </c>
      <c r="BG26" s="344">
        <f t="shared" si="60"/>
        <v>14.978216495964174</v>
      </c>
      <c r="BH26" s="344">
        <f t="shared" si="60"/>
        <v>14.978216495964178</v>
      </c>
      <c r="BI26" s="344">
        <f t="shared" si="60"/>
        <v>14.978216495964173</v>
      </c>
      <c r="BJ26" s="344">
        <f t="shared" si="60"/>
        <v>14.978216495964176</v>
      </c>
      <c r="BK26" s="344">
        <f t="shared" si="60"/>
        <v>14.978216495964174</v>
      </c>
      <c r="BL26" s="344">
        <f t="shared" si="60"/>
        <v>14.978216495964174</v>
      </c>
      <c r="BM26" s="344">
        <f t="shared" si="60"/>
        <v>14.978216495964176</v>
      </c>
      <c r="BN26" s="344">
        <f t="shared" si="60"/>
        <v>14.978216495964174</v>
      </c>
      <c r="BO26" s="344">
        <f t="shared" ref="BO26:CN26" si="61">BO24/BO16</f>
        <v>14.978216495964176</v>
      </c>
      <c r="BP26" s="344">
        <f t="shared" si="61"/>
        <v>14.978216495964176</v>
      </c>
      <c r="BQ26" s="344">
        <f t="shared" si="61"/>
        <v>14.978216495964174</v>
      </c>
      <c r="BR26" s="344">
        <f t="shared" si="61"/>
        <v>14.978216495964174</v>
      </c>
      <c r="BS26" s="344">
        <f t="shared" si="61"/>
        <v>14.978216495964171</v>
      </c>
      <c r="BT26" s="344">
        <f t="shared" si="61"/>
        <v>14.978216495964176</v>
      </c>
      <c r="BU26" s="344">
        <f t="shared" si="61"/>
        <v>14.978216495964176</v>
      </c>
      <c r="BV26" s="344">
        <f t="shared" si="61"/>
        <v>14.978216495964174</v>
      </c>
      <c r="BW26" s="344">
        <f t="shared" si="61"/>
        <v>14.978216495964174</v>
      </c>
      <c r="BX26" s="344">
        <f t="shared" si="61"/>
        <v>14.978216495964174</v>
      </c>
      <c r="BY26" s="344">
        <f t="shared" si="61"/>
        <v>14.978216495964173</v>
      </c>
      <c r="BZ26" s="344">
        <f t="shared" si="61"/>
        <v>14.978216495964176</v>
      </c>
      <c r="CA26" s="344">
        <f t="shared" si="61"/>
        <v>14.978216495964173</v>
      </c>
      <c r="CB26" s="344">
        <f t="shared" si="61"/>
        <v>14.978216495964173</v>
      </c>
      <c r="CC26" s="344">
        <f t="shared" si="61"/>
        <v>14.978216495964174</v>
      </c>
      <c r="CD26" s="344">
        <f t="shared" si="61"/>
        <v>14.978216495964176</v>
      </c>
      <c r="CE26" s="344">
        <f t="shared" si="61"/>
        <v>14.978216495964173</v>
      </c>
      <c r="CF26" s="344">
        <f t="shared" si="61"/>
        <v>14.978216495964174</v>
      </c>
      <c r="CG26" s="344">
        <f t="shared" si="61"/>
        <v>14.978216495964173</v>
      </c>
      <c r="CH26" s="344">
        <f t="shared" si="61"/>
        <v>14.978216495964176</v>
      </c>
      <c r="CI26" s="344">
        <f t="shared" si="61"/>
        <v>14.978216495964174</v>
      </c>
      <c r="CJ26" s="344">
        <f t="shared" si="61"/>
        <v>14.978216495964174</v>
      </c>
      <c r="CK26" s="344">
        <f t="shared" si="61"/>
        <v>14.978216495964176</v>
      </c>
      <c r="CL26" s="344">
        <f t="shared" si="61"/>
        <v>14.978216495964174</v>
      </c>
      <c r="CM26" s="344">
        <f t="shared" si="61"/>
        <v>14.978216495964174</v>
      </c>
      <c r="CN26" s="344">
        <f t="shared" si="61"/>
        <v>14.978216495964173</v>
      </c>
      <c r="CO26" s="363"/>
      <c r="CP26" s="365">
        <f t="shared" ref="CP26:FA26" si="62">CP24/CP16</f>
        <v>14.978216495964174</v>
      </c>
      <c r="CQ26" s="365">
        <f t="shared" si="62"/>
        <v>14.978216495964174</v>
      </c>
      <c r="CR26" s="365">
        <f t="shared" si="62"/>
        <v>14.978216495964174</v>
      </c>
      <c r="CS26" s="365">
        <f t="shared" si="62"/>
        <v>14.978216495964176</v>
      </c>
      <c r="CT26" s="365">
        <f t="shared" si="62"/>
        <v>14.978216495964174</v>
      </c>
      <c r="CU26" s="365">
        <f t="shared" si="62"/>
        <v>14.978216495964176</v>
      </c>
      <c r="CV26" s="365">
        <f t="shared" si="62"/>
        <v>14.978216495964174</v>
      </c>
      <c r="CW26" s="365">
        <f t="shared" si="62"/>
        <v>14.978216495964174</v>
      </c>
      <c r="CX26" s="365">
        <f t="shared" si="62"/>
        <v>14.978216495964174</v>
      </c>
      <c r="CY26" s="365">
        <f t="shared" si="62"/>
        <v>14.978216495964174</v>
      </c>
      <c r="CZ26" s="365">
        <f t="shared" si="62"/>
        <v>14.978216495964174</v>
      </c>
      <c r="DA26" s="344">
        <f t="shared" si="62"/>
        <v>14.978216495964176</v>
      </c>
      <c r="DB26" s="344">
        <f t="shared" si="62"/>
        <v>14.978216495964174</v>
      </c>
      <c r="DC26" s="344">
        <f t="shared" si="62"/>
        <v>14.978216495964176</v>
      </c>
      <c r="DD26" s="344">
        <f t="shared" si="62"/>
        <v>14.978216495964174</v>
      </c>
      <c r="DE26" s="344">
        <f t="shared" si="62"/>
        <v>14.978216495964176</v>
      </c>
      <c r="DF26" s="344">
        <f t="shared" si="62"/>
        <v>14.978216495964174</v>
      </c>
      <c r="DG26" s="344">
        <f t="shared" si="62"/>
        <v>14.978216495964174</v>
      </c>
      <c r="DH26" s="344">
        <f t="shared" si="62"/>
        <v>14.978216495964173</v>
      </c>
      <c r="DI26" s="344">
        <f t="shared" si="62"/>
        <v>14.978216495964173</v>
      </c>
      <c r="DJ26" s="344">
        <f t="shared" si="62"/>
        <v>14.978216495964173</v>
      </c>
      <c r="DK26" s="344">
        <f t="shared" si="62"/>
        <v>14.978216495964174</v>
      </c>
      <c r="DL26" s="344">
        <f t="shared" si="62"/>
        <v>14.978216495964176</v>
      </c>
      <c r="DM26" s="344">
        <f t="shared" si="62"/>
        <v>14.978216495964176</v>
      </c>
      <c r="DN26" s="344">
        <f t="shared" si="62"/>
        <v>14.978216495964173</v>
      </c>
      <c r="DO26" s="344">
        <f t="shared" si="62"/>
        <v>14.978216495964174</v>
      </c>
      <c r="DP26" s="344">
        <f t="shared" si="62"/>
        <v>14.978216495964176</v>
      </c>
      <c r="DQ26" s="344">
        <f t="shared" si="62"/>
        <v>14.978216495964174</v>
      </c>
      <c r="DR26" s="344">
        <f t="shared" si="62"/>
        <v>14.978216495964174</v>
      </c>
      <c r="DS26" s="344">
        <f t="shared" si="62"/>
        <v>14.978216495964174</v>
      </c>
      <c r="DT26" s="344">
        <f t="shared" si="62"/>
        <v>14.978216495964174</v>
      </c>
      <c r="DU26" s="344">
        <f t="shared" si="62"/>
        <v>14.978216495964174</v>
      </c>
      <c r="DV26" s="344">
        <f t="shared" si="62"/>
        <v>14.978216495964176</v>
      </c>
      <c r="DW26" s="344">
        <f t="shared" si="62"/>
        <v>14.978216495964173</v>
      </c>
      <c r="DX26" s="344">
        <f t="shared" si="62"/>
        <v>14.978216495964176</v>
      </c>
      <c r="DY26" s="344">
        <f t="shared" si="62"/>
        <v>14.978216495964176</v>
      </c>
      <c r="DZ26" s="344">
        <f t="shared" si="62"/>
        <v>14.978216495964174</v>
      </c>
      <c r="EA26" s="344">
        <f t="shared" si="62"/>
        <v>14.978216495964176</v>
      </c>
      <c r="EB26" s="344">
        <f t="shared" si="62"/>
        <v>14.978216495964174</v>
      </c>
      <c r="EC26" s="344">
        <f t="shared" si="62"/>
        <v>14.978216495964174</v>
      </c>
      <c r="ED26" s="344">
        <f t="shared" si="62"/>
        <v>14.978216495964173</v>
      </c>
      <c r="EE26" s="344">
        <f t="shared" si="62"/>
        <v>14.978216495964173</v>
      </c>
      <c r="EF26" s="344">
        <f t="shared" si="62"/>
        <v>14.978216495964174</v>
      </c>
      <c r="EG26" s="344">
        <f t="shared" si="62"/>
        <v>14.978216495964173</v>
      </c>
      <c r="EH26" s="344">
        <f t="shared" si="62"/>
        <v>14.978216495964174</v>
      </c>
      <c r="EI26" s="344">
        <f t="shared" si="62"/>
        <v>14.978216495964173</v>
      </c>
      <c r="EJ26" s="344">
        <f t="shared" si="62"/>
        <v>14.978216495964174</v>
      </c>
      <c r="EK26" s="344">
        <f t="shared" si="62"/>
        <v>14.978216495964174</v>
      </c>
      <c r="EL26" s="344">
        <f t="shared" si="62"/>
        <v>14.978216495964176</v>
      </c>
      <c r="EM26" s="344">
        <f t="shared" si="62"/>
        <v>14.978216495964176</v>
      </c>
      <c r="EN26" s="344">
        <f t="shared" si="62"/>
        <v>14.978216495964173</v>
      </c>
      <c r="EO26" s="344">
        <f t="shared" si="62"/>
        <v>14.978216495964174</v>
      </c>
      <c r="EP26" s="344">
        <f t="shared" si="62"/>
        <v>14.978216495964176</v>
      </c>
      <c r="EQ26" s="344">
        <f t="shared" si="62"/>
        <v>14.978216495964174</v>
      </c>
      <c r="ER26" s="344">
        <f t="shared" si="62"/>
        <v>14.978216495964173</v>
      </c>
      <c r="ES26" s="344">
        <f t="shared" si="62"/>
        <v>14.978216495964174</v>
      </c>
      <c r="ET26" s="344">
        <f t="shared" si="62"/>
        <v>14.978216495964174</v>
      </c>
      <c r="EU26" s="344">
        <f t="shared" si="62"/>
        <v>14.978216495964174</v>
      </c>
      <c r="EV26" s="344">
        <f t="shared" si="62"/>
        <v>14.978216495964174</v>
      </c>
      <c r="EW26" s="344">
        <f t="shared" si="62"/>
        <v>14.978216495964176</v>
      </c>
      <c r="EX26" s="344">
        <f t="shared" si="62"/>
        <v>14.978216495964174</v>
      </c>
      <c r="EY26" s="344">
        <f t="shared" si="62"/>
        <v>14.978216495964176</v>
      </c>
      <c r="EZ26" s="344">
        <f t="shared" si="62"/>
        <v>14.978216495964176</v>
      </c>
      <c r="FA26" s="344">
        <f t="shared" si="62"/>
        <v>14.978216495964176</v>
      </c>
      <c r="FB26" s="344">
        <f t="shared" ref="FB26:HM26" si="63">FB24/FB16</f>
        <v>14.978216495964176</v>
      </c>
      <c r="FC26" s="344">
        <f t="shared" si="63"/>
        <v>14.978216495964176</v>
      </c>
      <c r="FD26" s="344">
        <f t="shared" si="63"/>
        <v>14.978216495964174</v>
      </c>
      <c r="FE26" s="344">
        <f t="shared" si="63"/>
        <v>14.978216495964176</v>
      </c>
      <c r="FF26" s="344">
        <f t="shared" si="63"/>
        <v>14.978216495964176</v>
      </c>
      <c r="FG26" s="344">
        <f t="shared" si="63"/>
        <v>14.978216495964173</v>
      </c>
      <c r="FH26" s="344">
        <f t="shared" si="63"/>
        <v>14.978216495964173</v>
      </c>
      <c r="FI26" s="344">
        <f t="shared" si="63"/>
        <v>14.978216495964174</v>
      </c>
      <c r="FJ26" s="344">
        <f t="shared" si="63"/>
        <v>14.978216495964176</v>
      </c>
      <c r="FK26" s="344">
        <f t="shared" si="63"/>
        <v>14.978216495964173</v>
      </c>
      <c r="FL26" s="344">
        <f t="shared" si="63"/>
        <v>14.978216495964174</v>
      </c>
      <c r="FM26" s="344">
        <f t="shared" si="63"/>
        <v>14.978216495964176</v>
      </c>
      <c r="FN26" s="344">
        <f t="shared" si="63"/>
        <v>14.978216495964176</v>
      </c>
      <c r="FO26" s="344">
        <f t="shared" si="63"/>
        <v>14.978216495964176</v>
      </c>
      <c r="FP26" s="344">
        <f t="shared" si="63"/>
        <v>14.978216495964174</v>
      </c>
      <c r="FQ26" s="344">
        <f t="shared" si="63"/>
        <v>14.978216495964174</v>
      </c>
      <c r="FR26" s="344">
        <f t="shared" si="63"/>
        <v>14.978216495964174</v>
      </c>
      <c r="FS26" s="344">
        <f t="shared" si="63"/>
        <v>14.978216495964173</v>
      </c>
      <c r="FT26" s="344">
        <f t="shared" si="63"/>
        <v>14.978216495964174</v>
      </c>
      <c r="FU26" s="344">
        <f t="shared" si="63"/>
        <v>14.978216495964174</v>
      </c>
      <c r="FV26" s="344">
        <f t="shared" si="63"/>
        <v>14.978216495964174</v>
      </c>
      <c r="FW26" s="344">
        <f t="shared" si="63"/>
        <v>14.978216495964174</v>
      </c>
      <c r="FX26" s="344">
        <f t="shared" si="63"/>
        <v>14.978216495964174</v>
      </c>
      <c r="FY26" s="344">
        <f t="shared" si="63"/>
        <v>14.978216495964174</v>
      </c>
      <c r="FZ26" s="344">
        <f t="shared" si="63"/>
        <v>14.978216495964174</v>
      </c>
      <c r="GA26" s="344">
        <f t="shared" si="63"/>
        <v>14.978216495964173</v>
      </c>
      <c r="GB26" s="344">
        <f t="shared" si="63"/>
        <v>14.978216495964174</v>
      </c>
      <c r="GC26" s="344">
        <f t="shared" si="63"/>
        <v>14.978216495964174</v>
      </c>
      <c r="GD26" s="344">
        <f t="shared" si="63"/>
        <v>14.978216495964174</v>
      </c>
      <c r="GE26" s="344">
        <f t="shared" si="63"/>
        <v>14.978216495964174</v>
      </c>
      <c r="GF26" s="344">
        <f t="shared" si="63"/>
        <v>14.978216495964174</v>
      </c>
      <c r="GG26" s="344">
        <f t="shared" si="63"/>
        <v>14.978216495964174</v>
      </c>
      <c r="GH26" s="344">
        <f t="shared" si="63"/>
        <v>14.978216495964171</v>
      </c>
      <c r="GI26" s="344">
        <f t="shared" si="63"/>
        <v>14.978216495964174</v>
      </c>
      <c r="GJ26" s="344">
        <f t="shared" si="63"/>
        <v>14.978216495964174</v>
      </c>
      <c r="GK26" s="344">
        <f t="shared" si="63"/>
        <v>14.978216495964176</v>
      </c>
      <c r="GL26" s="344">
        <f t="shared" si="63"/>
        <v>14.978216495964176</v>
      </c>
      <c r="GM26" s="344">
        <f t="shared" si="63"/>
        <v>14.978216495964176</v>
      </c>
      <c r="GN26" s="344">
        <f t="shared" si="63"/>
        <v>14.978216495964173</v>
      </c>
      <c r="GO26" s="344">
        <f t="shared" si="63"/>
        <v>14.978216495964176</v>
      </c>
      <c r="GP26" s="344">
        <f t="shared" si="63"/>
        <v>14.978216495964173</v>
      </c>
      <c r="GQ26" s="344">
        <f t="shared" si="63"/>
        <v>14.978216495964174</v>
      </c>
      <c r="GR26" s="344">
        <f t="shared" si="63"/>
        <v>14.978216495964174</v>
      </c>
      <c r="GS26" s="344">
        <f t="shared" si="63"/>
        <v>14.978216495964174</v>
      </c>
      <c r="GT26" s="344">
        <f t="shared" si="63"/>
        <v>14.978216495964178</v>
      </c>
      <c r="GU26" s="344">
        <f t="shared" si="63"/>
        <v>14.978216495964176</v>
      </c>
      <c r="GV26" s="344">
        <f t="shared" si="63"/>
        <v>14.978216495964174</v>
      </c>
      <c r="GW26" s="344">
        <f t="shared" si="63"/>
        <v>14.978216495964174</v>
      </c>
      <c r="GX26" s="344">
        <f t="shared" si="63"/>
        <v>14.978216495964173</v>
      </c>
      <c r="GY26" s="344">
        <f t="shared" si="63"/>
        <v>14.978216495964176</v>
      </c>
      <c r="GZ26" s="344">
        <f t="shared" si="63"/>
        <v>14.978216495964174</v>
      </c>
      <c r="HA26" s="344">
        <f t="shared" si="63"/>
        <v>14.978216495964174</v>
      </c>
      <c r="HB26" s="344">
        <f t="shared" si="63"/>
        <v>14.978216495964174</v>
      </c>
      <c r="HC26" s="344">
        <f t="shared" si="63"/>
        <v>14.978216495964176</v>
      </c>
      <c r="HD26" s="344">
        <f t="shared" si="63"/>
        <v>14.978216495964174</v>
      </c>
      <c r="HE26" s="344">
        <f t="shared" si="63"/>
        <v>14.978216495964173</v>
      </c>
      <c r="HF26" s="344">
        <f t="shared" si="63"/>
        <v>14.978216495964178</v>
      </c>
      <c r="HG26" s="344">
        <f t="shared" si="63"/>
        <v>14.978216495964176</v>
      </c>
      <c r="HH26" s="344">
        <f t="shared" si="63"/>
        <v>14.978216495964174</v>
      </c>
      <c r="HI26" s="344">
        <f t="shared" si="63"/>
        <v>14.978216495964176</v>
      </c>
      <c r="HJ26" s="344">
        <f t="shared" si="63"/>
        <v>14.978216495964176</v>
      </c>
      <c r="HK26" s="344">
        <f t="shared" si="63"/>
        <v>14.978216495964174</v>
      </c>
      <c r="HL26" s="344">
        <f t="shared" si="63"/>
        <v>14.978216495964174</v>
      </c>
      <c r="HM26" s="344">
        <f t="shared" si="63"/>
        <v>14.978216495964174</v>
      </c>
      <c r="HN26" s="344">
        <f t="shared" ref="HN26:IS26" si="64">HN24/HN16</f>
        <v>14.978216495964176</v>
      </c>
      <c r="HO26" s="344">
        <f t="shared" si="64"/>
        <v>14.978216495964176</v>
      </c>
      <c r="HP26" s="344">
        <f t="shared" si="64"/>
        <v>14.978216495964176</v>
      </c>
      <c r="HQ26" s="344">
        <f t="shared" si="64"/>
        <v>14.978216495964174</v>
      </c>
      <c r="HR26" s="344">
        <f t="shared" si="64"/>
        <v>14.978216495964173</v>
      </c>
      <c r="HS26" s="344">
        <f t="shared" si="64"/>
        <v>14.978216495964176</v>
      </c>
      <c r="HT26" s="344">
        <f t="shared" si="64"/>
        <v>14.978216495964174</v>
      </c>
      <c r="HU26" s="344">
        <f t="shared" si="64"/>
        <v>14.978216495964173</v>
      </c>
      <c r="HV26" s="344">
        <f t="shared" si="64"/>
        <v>14.978216495964173</v>
      </c>
      <c r="HW26" s="344">
        <f t="shared" si="64"/>
        <v>14.978216495964176</v>
      </c>
      <c r="HX26" s="344">
        <f t="shared" si="64"/>
        <v>14.978216495964174</v>
      </c>
      <c r="HY26" s="344">
        <f t="shared" si="64"/>
        <v>14.978216495964173</v>
      </c>
      <c r="HZ26" s="344">
        <f t="shared" si="64"/>
        <v>14.978216495964174</v>
      </c>
      <c r="IA26" s="344">
        <f t="shared" si="64"/>
        <v>14.978216495964174</v>
      </c>
      <c r="IB26" s="344">
        <f t="shared" si="64"/>
        <v>14.978216495964174</v>
      </c>
      <c r="IC26" s="344">
        <f t="shared" si="64"/>
        <v>14.978216495964174</v>
      </c>
      <c r="ID26" s="344">
        <f t="shared" si="64"/>
        <v>14.978216495964174</v>
      </c>
      <c r="IE26" s="344">
        <f t="shared" si="64"/>
        <v>14.978216495964171</v>
      </c>
      <c r="IF26" s="344">
        <f t="shared" si="64"/>
        <v>14.978216495964176</v>
      </c>
      <c r="IG26" s="344">
        <f t="shared" si="64"/>
        <v>14.978216495964174</v>
      </c>
      <c r="IH26" s="344">
        <f t="shared" si="64"/>
        <v>14.978216495964174</v>
      </c>
      <c r="II26" s="344">
        <f t="shared" si="64"/>
        <v>14.978216495964173</v>
      </c>
      <c r="IJ26" s="344">
        <f t="shared" si="64"/>
        <v>14.978216495964176</v>
      </c>
      <c r="IK26" s="344">
        <f t="shared" si="64"/>
        <v>14.978216495964176</v>
      </c>
      <c r="IL26" s="344">
        <f t="shared" si="64"/>
        <v>14.978216495964174</v>
      </c>
      <c r="IM26" s="344">
        <f t="shared" si="64"/>
        <v>14.978216495964173</v>
      </c>
      <c r="IN26" s="344">
        <f t="shared" si="64"/>
        <v>14.978216495964174</v>
      </c>
      <c r="IO26" s="344">
        <f t="shared" si="64"/>
        <v>14.978216495964176</v>
      </c>
      <c r="IP26" s="344">
        <f t="shared" si="64"/>
        <v>14.978216495964174</v>
      </c>
      <c r="IQ26" s="344">
        <f t="shared" si="64"/>
        <v>14.978216495964174</v>
      </c>
      <c r="IR26" s="344">
        <f t="shared" si="64"/>
        <v>14.978216495964174</v>
      </c>
      <c r="IS26" s="365">
        <f t="shared" si="64"/>
        <v>14.978216495964174</v>
      </c>
      <c r="IT26" s="363"/>
      <c r="IU26" s="365">
        <f>IU24/IU16</f>
        <v>14.978216495964174</v>
      </c>
    </row>
    <row r="27" spans="1:255">
      <c r="A27" s="354"/>
      <c r="CO27" s="363"/>
      <c r="IT27" s="363"/>
    </row>
    <row r="28" spans="1:255" ht="26.25" thickBot="1">
      <c r="A28" s="355" t="s">
        <v>1521</v>
      </c>
      <c r="B28" s="356" t="s">
        <v>1522</v>
      </c>
      <c r="C28" s="356"/>
      <c r="D28" s="366">
        <f t="shared" ref="D28:BO28" si="65">1/((1+$C6)^D13)</f>
        <v>0.90497737556561086</v>
      </c>
      <c r="E28" s="366">
        <f t="shared" si="65"/>
        <v>0.81898405028562071</v>
      </c>
      <c r="F28" s="366">
        <f t="shared" si="65"/>
        <v>0.74116203645757528</v>
      </c>
      <c r="G28" s="366">
        <f t="shared" si="65"/>
        <v>0.67073487462224002</v>
      </c>
      <c r="H28" s="366">
        <f t="shared" si="65"/>
        <v>0.60699988653596382</v>
      </c>
      <c r="I28" s="366">
        <f t="shared" si="65"/>
        <v>0.54932116428594002</v>
      </c>
      <c r="J28" s="366">
        <f t="shared" si="65"/>
        <v>0.49712322559813582</v>
      </c>
      <c r="K28" s="366">
        <f t="shared" si="65"/>
        <v>0.44988527203451206</v>
      </c>
      <c r="L28" s="366">
        <f t="shared" si="65"/>
        <v>0.40713599279141366</v>
      </c>
      <c r="M28" s="366">
        <f t="shared" si="65"/>
        <v>0.36844886225467294</v>
      </c>
      <c r="N28" s="366">
        <f t="shared" si="65"/>
        <v>0.33343788439336919</v>
      </c>
      <c r="O28" s="366">
        <f t="shared" si="65"/>
        <v>0.30175374153246082</v>
      </c>
      <c r="P28" s="366">
        <f t="shared" si="65"/>
        <v>0.27308030907915004</v>
      </c>
      <c r="Q28" s="366">
        <f t="shared" si="65"/>
        <v>0.24713150142909504</v>
      </c>
      <c r="R28" s="366">
        <f t="shared" si="65"/>
        <v>0.22364841758289142</v>
      </c>
      <c r="S28" s="366">
        <f t="shared" si="65"/>
        <v>0.20239675799356693</v>
      </c>
      <c r="T28" s="366">
        <f t="shared" si="65"/>
        <v>0.18316448687200629</v>
      </c>
      <c r="U28" s="366">
        <f t="shared" si="65"/>
        <v>0.16575971662625003</v>
      </c>
      <c r="V28" s="366">
        <f t="shared" si="65"/>
        <v>0.1500087933269231</v>
      </c>
      <c r="W28" s="366">
        <f t="shared" si="65"/>
        <v>0.13575456409676298</v>
      </c>
      <c r="X28" s="366">
        <f t="shared" si="65"/>
        <v>0.12285480913734205</v>
      </c>
      <c r="Y28" s="366">
        <f t="shared" si="65"/>
        <v>0.11118082274872583</v>
      </c>
      <c r="Z28" s="366">
        <f t="shared" si="65"/>
        <v>0.10061612918436728</v>
      </c>
      <c r="AA28" s="366">
        <f t="shared" si="65"/>
        <v>9.1055320528839162E-2</v>
      </c>
      <c r="AB28" s="366">
        <f t="shared" si="65"/>
        <v>8.2403005003474361E-2</v>
      </c>
      <c r="AC28" s="366">
        <f t="shared" si="65"/>
        <v>7.4572855206764127E-2</v>
      </c>
      <c r="AD28" s="366">
        <f t="shared" si="65"/>
        <v>6.7486746793451707E-2</v>
      </c>
      <c r="AE28" s="366">
        <f t="shared" si="65"/>
        <v>6.1073978998598823E-2</v>
      </c>
      <c r="AF28" s="366">
        <f t="shared" si="65"/>
        <v>5.5270569229501187E-2</v>
      </c>
      <c r="AG28" s="366">
        <f t="shared" si="65"/>
        <v>5.0018614687331396E-2</v>
      </c>
      <c r="AH28" s="366">
        <f t="shared" si="65"/>
        <v>4.5265714649168676E-2</v>
      </c>
      <c r="AI28" s="366">
        <f t="shared" si="65"/>
        <v>4.0964447646306502E-2</v>
      </c>
      <c r="AJ28" s="366">
        <f t="shared" si="65"/>
        <v>3.7071898322449323E-2</v>
      </c>
      <c r="AK28" s="366">
        <f t="shared" si="65"/>
        <v>3.3549229251085361E-2</v>
      </c>
      <c r="AL28" s="366">
        <f t="shared" si="65"/>
        <v>3.0361293439896256E-2</v>
      </c>
      <c r="AM28" s="366">
        <f t="shared" si="65"/>
        <v>2.7476283656014705E-2</v>
      </c>
      <c r="AN28" s="366">
        <f t="shared" si="65"/>
        <v>2.4865415073316476E-2</v>
      </c>
      <c r="AO28" s="366">
        <f t="shared" si="65"/>
        <v>2.2502638075399525E-2</v>
      </c>
      <c r="AP28" s="366">
        <f t="shared" si="65"/>
        <v>2.0364378348777853E-2</v>
      </c>
      <c r="AQ28" s="366">
        <f t="shared" si="65"/>
        <v>1.8429301673102128E-2</v>
      </c>
      <c r="AR28" s="366">
        <f t="shared" si="65"/>
        <v>1.6678101061630885E-2</v>
      </c>
      <c r="AS28" s="366">
        <f t="shared" si="65"/>
        <v>1.5093304128172745E-2</v>
      </c>
      <c r="AT28" s="366">
        <f t="shared" si="65"/>
        <v>1.3659098758527373E-2</v>
      </c>
      <c r="AU28" s="366">
        <f t="shared" si="65"/>
        <v>1.2361175347083595E-2</v>
      </c>
      <c r="AV28" s="366">
        <f t="shared" si="65"/>
        <v>1.1186584024510039E-2</v>
      </c>
      <c r="AW28" s="366">
        <f t="shared" si="65"/>
        <v>1.0123605452045286E-2</v>
      </c>
      <c r="AX28" s="366">
        <f t="shared" si="65"/>
        <v>9.1616338932536505E-3</v>
      </c>
      <c r="AY28" s="366">
        <f t="shared" si="65"/>
        <v>8.2910713966096415E-3</v>
      </c>
      <c r="AZ28" s="366">
        <f t="shared" si="65"/>
        <v>7.5032320331308968E-3</v>
      </c>
      <c r="BA28" s="366">
        <f t="shared" si="65"/>
        <v>6.7902552336026201E-3</v>
      </c>
      <c r="BB28" s="366">
        <f t="shared" si="65"/>
        <v>6.1450273607263541E-3</v>
      </c>
      <c r="BC28" s="366">
        <f t="shared" si="65"/>
        <v>5.5611107336890073E-3</v>
      </c>
      <c r="BD28" s="366">
        <f t="shared" si="65"/>
        <v>5.0326793970036261E-3</v>
      </c>
      <c r="BE28" s="366">
        <f t="shared" si="65"/>
        <v>4.5544609927634623E-3</v>
      </c>
      <c r="BF28" s="366">
        <f t="shared" si="65"/>
        <v>4.1216841563470252E-3</v>
      </c>
      <c r="BG28" s="366">
        <f t="shared" si="65"/>
        <v>3.7300309107212897E-3</v>
      </c>
      <c r="BH28" s="366">
        <f t="shared" si="65"/>
        <v>3.3755935843631582E-3</v>
      </c>
      <c r="BI28" s="366">
        <f t="shared" si="65"/>
        <v>3.0548358229530843E-3</v>
      </c>
      <c r="BJ28" s="366">
        <f t="shared" si="65"/>
        <v>2.7645573058398955E-3</v>
      </c>
      <c r="BK28" s="366">
        <f t="shared" si="65"/>
        <v>2.501861815239724E-3</v>
      </c>
      <c r="BL28" s="366">
        <f t="shared" si="65"/>
        <v>2.264128339583461E-3</v>
      </c>
      <c r="BM28" s="366">
        <f t="shared" si="65"/>
        <v>2.0489849226999644E-3</v>
      </c>
      <c r="BN28" s="366">
        <f t="shared" si="65"/>
        <v>1.8542849979185196E-3</v>
      </c>
      <c r="BO28" s="366">
        <f t="shared" si="65"/>
        <v>1.6780859709669865E-3</v>
      </c>
      <c r="BP28" s="366">
        <f t="shared" ref="BP28:CN28" si="66">1/((1+$C6)^BP13)</f>
        <v>1.5186298379791733E-3</v>
      </c>
      <c r="BQ28" s="366">
        <f t="shared" si="66"/>
        <v>1.3743256452300211E-3</v>
      </c>
      <c r="BR28" s="366">
        <f t="shared" si="66"/>
        <v>1.2437336155927793E-3</v>
      </c>
      <c r="BS28" s="366">
        <f t="shared" si="66"/>
        <v>1.1255507833418817E-3</v>
      </c>
      <c r="BT28" s="366">
        <f t="shared" si="66"/>
        <v>1.0185979939745535E-3</v>
      </c>
      <c r="BU28" s="366">
        <f t="shared" si="66"/>
        <v>9.2180813934348714E-4</v>
      </c>
      <c r="BV28" s="366">
        <f t="shared" si="66"/>
        <v>8.3421551071808796E-4</v>
      </c>
      <c r="BW28" s="366">
        <f t="shared" si="66"/>
        <v>7.5494616354578102E-4</v>
      </c>
      <c r="BX28" s="366">
        <f t="shared" si="66"/>
        <v>6.8320919777898747E-4</v>
      </c>
      <c r="BY28" s="366">
        <f t="shared" si="66"/>
        <v>6.1828886676831428E-4</v>
      </c>
      <c r="BZ28" s="366">
        <f t="shared" si="66"/>
        <v>5.5953743598942483E-4</v>
      </c>
      <c r="CA28" s="366">
        <f t="shared" si="66"/>
        <v>5.063687203524206E-4</v>
      </c>
      <c r="CB28" s="366">
        <f t="shared" si="66"/>
        <v>4.5825223561305026E-4</v>
      </c>
      <c r="CC28" s="366">
        <f t="shared" si="66"/>
        <v>4.1470790553217214E-4</v>
      </c>
      <c r="CD28" s="366">
        <f t="shared" si="66"/>
        <v>3.753012719748164E-4</v>
      </c>
      <c r="CE28" s="366">
        <f t="shared" si="66"/>
        <v>3.3963916015820498E-4</v>
      </c>
      <c r="CF28" s="366">
        <f t="shared" si="66"/>
        <v>3.0736575579928051E-4</v>
      </c>
      <c r="CG28" s="366">
        <f t="shared" si="66"/>
        <v>2.781590550219733E-4</v>
      </c>
      <c r="CH28" s="366">
        <f t="shared" si="66"/>
        <v>2.5172765160359577E-4</v>
      </c>
      <c r="CI28" s="366">
        <f t="shared" si="66"/>
        <v>2.2780782950551653E-4</v>
      </c>
      <c r="CJ28" s="366">
        <f t="shared" si="66"/>
        <v>2.0616093167920041E-4</v>
      </c>
      <c r="CK28" s="366">
        <f t="shared" si="66"/>
        <v>1.8657097889520399E-4</v>
      </c>
      <c r="CL28" s="366">
        <f t="shared" si="66"/>
        <v>1.6884251483728873E-4</v>
      </c>
      <c r="CM28" s="366">
        <f t="shared" si="66"/>
        <v>1.5279865596134725E-4</v>
      </c>
      <c r="CN28" s="366">
        <f t="shared" si="66"/>
        <v>1.3827932666185273E-4</v>
      </c>
      <c r="CO28" s="367"/>
      <c r="CP28" s="366">
        <f t="shared" ref="CP28:FA28" si="67">1/((1+$C6)^CP13)</f>
        <v>1.2513966213742326E-4</v>
      </c>
      <c r="CQ28" s="366">
        <f t="shared" si="67"/>
        <v>1.1324856302029256E-4</v>
      </c>
      <c r="CR28" s="366">
        <f t="shared" si="67"/>
        <v>1.0248738734868104E-4</v>
      </c>
      <c r="CS28" s="366">
        <f t="shared" si="67"/>
        <v>9.2748766831385554E-5</v>
      </c>
      <c r="CT28" s="366">
        <f t="shared" si="67"/>
        <v>8.3935535594014074E-5</v>
      </c>
      <c r="CU28" s="366">
        <f t="shared" si="67"/>
        <v>7.5959760718564756E-5</v>
      </c>
      <c r="CV28" s="366">
        <f t="shared" si="67"/>
        <v>6.8741864903678528E-5</v>
      </c>
      <c r="CW28" s="366">
        <f t="shared" si="67"/>
        <v>6.220983249201677E-5</v>
      </c>
      <c r="CX28" s="366">
        <f t="shared" si="67"/>
        <v>5.6298490943001606E-5</v>
      </c>
      <c r="CY28" s="366">
        <f t="shared" si="67"/>
        <v>5.0948860581901904E-5</v>
      </c>
      <c r="CZ28" s="366">
        <f t="shared" si="67"/>
        <v>4.6107566137467782E-5</v>
      </c>
      <c r="DA28" s="366">
        <f t="shared" si="67"/>
        <v>4.1726304196803421E-5</v>
      </c>
      <c r="DB28" s="366">
        <f t="shared" si="67"/>
        <v>3.7761361264075492E-5</v>
      </c>
      <c r="DC28" s="366">
        <f t="shared" si="67"/>
        <v>3.417317761454796E-5</v>
      </c>
      <c r="DD28" s="366">
        <f t="shared" si="67"/>
        <v>3.0925952592351089E-5</v>
      </c>
      <c r="DE28" s="366">
        <f t="shared" si="67"/>
        <v>2.798728741389239E-5</v>
      </c>
      <c r="DF28" s="366">
        <f t="shared" si="67"/>
        <v>2.5327861913024788E-5</v>
      </c>
      <c r="DG28" s="366">
        <f t="shared" si="67"/>
        <v>2.2921142002737368E-5</v>
      </c>
      <c r="DH28" s="366">
        <f t="shared" si="67"/>
        <v>2.074311493460395E-5</v>
      </c>
      <c r="DI28" s="366">
        <f t="shared" si="67"/>
        <v>1.8772049714573708E-5</v>
      </c>
      <c r="DJ28" s="366">
        <f t="shared" si="67"/>
        <v>1.6988280284682092E-5</v>
      </c>
      <c r="DK28" s="366">
        <f t="shared" si="67"/>
        <v>1.5374009307404604E-5</v>
      </c>
      <c r="DL28" s="366">
        <f t="shared" si="67"/>
        <v>1.3913130594936299E-5</v>
      </c>
      <c r="DM28" s="366">
        <f t="shared" si="67"/>
        <v>1.2591068411707057E-5</v>
      </c>
      <c r="DN28" s="366">
        <f t="shared" si="67"/>
        <v>1.1394632046793715E-5</v>
      </c>
      <c r="DO28" s="366">
        <f t="shared" si="67"/>
        <v>1.0311884205243181E-5</v>
      </c>
      <c r="DP28" s="366">
        <f t="shared" si="67"/>
        <v>9.3320219051974484E-6</v>
      </c>
      <c r="DQ28" s="366">
        <f t="shared" si="67"/>
        <v>8.445268692486378E-6</v>
      </c>
      <c r="DR28" s="366">
        <f t="shared" si="67"/>
        <v>7.6427770972727397E-6</v>
      </c>
      <c r="DS28" s="366">
        <f t="shared" si="67"/>
        <v>6.9165403595228431E-6</v>
      </c>
      <c r="DT28" s="366">
        <f t="shared" si="67"/>
        <v>6.2593125425546087E-6</v>
      </c>
      <c r="DU28" s="366">
        <f t="shared" si="67"/>
        <v>5.6645362376059807E-6</v>
      </c>
      <c r="DV28" s="366">
        <f t="shared" si="67"/>
        <v>5.1262771381049595E-6</v>
      </c>
      <c r="DW28" s="366">
        <f t="shared" si="67"/>
        <v>4.6391648308642176E-6</v>
      </c>
      <c r="DX28" s="366">
        <f t="shared" si="67"/>
        <v>4.1983392134517794E-6</v>
      </c>
      <c r="DY28" s="366">
        <f t="shared" si="67"/>
        <v>3.799402003123783E-6</v>
      </c>
      <c r="DZ28" s="366">
        <f t="shared" si="67"/>
        <v>3.4383728535056851E-6</v>
      </c>
      <c r="EA28" s="366">
        <f t="shared" si="67"/>
        <v>3.1116496411816153E-6</v>
      </c>
      <c r="EB28" s="366">
        <f t="shared" si="67"/>
        <v>2.8159725259562134E-6</v>
      </c>
      <c r="EC28" s="366">
        <f t="shared" si="67"/>
        <v>2.5483914262047182E-6</v>
      </c>
      <c r="ED28" s="366">
        <f t="shared" si="67"/>
        <v>2.30623658480065E-6</v>
      </c>
      <c r="EE28" s="366">
        <f t="shared" si="67"/>
        <v>2.0870919319462895E-6</v>
      </c>
      <c r="EF28" s="366">
        <f t="shared" si="67"/>
        <v>1.8887709791369132E-6</v>
      </c>
      <c r="EG28" s="366">
        <f t="shared" si="67"/>
        <v>1.7092950037438132E-6</v>
      </c>
      <c r="EH28" s="366">
        <f t="shared" si="67"/>
        <v>1.5468733065554867E-6</v>
      </c>
      <c r="EI28" s="366">
        <f t="shared" si="67"/>
        <v>1.3998853452990831E-6</v>
      </c>
      <c r="EJ28" s="366">
        <f t="shared" si="67"/>
        <v>1.2668645658815233E-6</v>
      </c>
      <c r="EK28" s="366">
        <f t="shared" si="67"/>
        <v>1.1464837700285278E-6</v>
      </c>
      <c r="EL28" s="366">
        <f t="shared" si="67"/>
        <v>1.0375418733289844E-6</v>
      </c>
      <c r="EM28" s="366">
        <f t="shared" si="67"/>
        <v>9.3895192156469178E-7</v>
      </c>
      <c r="EN28" s="366">
        <f t="shared" si="67"/>
        <v>8.4973024575990207E-7</v>
      </c>
      <c r="EO28" s="366">
        <f t="shared" si="67"/>
        <v>7.6898664774651768E-7</v>
      </c>
      <c r="EP28" s="366">
        <f t="shared" si="67"/>
        <v>6.959155183226404E-7</v>
      </c>
      <c r="EQ28" s="366">
        <f t="shared" si="67"/>
        <v>6.2978779938700479E-7</v>
      </c>
      <c r="ER28" s="366">
        <f t="shared" si="67"/>
        <v>5.6994370985249312E-7</v>
      </c>
      <c r="ES28" s="366">
        <f t="shared" si="67"/>
        <v>5.1578616276243732E-7</v>
      </c>
      <c r="ET28" s="366">
        <f t="shared" si="67"/>
        <v>4.6677480792980745E-7</v>
      </c>
      <c r="EU28" s="366">
        <f t="shared" si="67"/>
        <v>4.2242064066045926E-7</v>
      </c>
      <c r="EV28" s="366">
        <f t="shared" si="67"/>
        <v>3.8228112276964638E-7</v>
      </c>
      <c r="EW28" s="366">
        <f t="shared" si="67"/>
        <v>3.4595576721234963E-7</v>
      </c>
      <c r="EX28" s="366">
        <f t="shared" si="67"/>
        <v>3.1308214227361952E-7</v>
      </c>
      <c r="EY28" s="366">
        <f t="shared" si="67"/>
        <v>2.8333225545123945E-7</v>
      </c>
      <c r="EZ28" s="366">
        <f t="shared" si="67"/>
        <v>2.564092809513479E-7</v>
      </c>
      <c r="FA28" s="366">
        <f t="shared" si="67"/>
        <v>2.3204459814601618E-7</v>
      </c>
      <c r="FB28" s="366">
        <f t="shared" ref="FB28:HM28" si="68">1/((1+$C6)^FB13)</f>
        <v>2.0999511144435857E-7</v>
      </c>
      <c r="FC28" s="366">
        <f t="shared" si="68"/>
        <v>1.900408248365236E-7</v>
      </c>
      <c r="FD28" s="366">
        <f t="shared" si="68"/>
        <v>1.7198264691088105E-7</v>
      </c>
      <c r="FE28" s="366">
        <f t="shared" si="68"/>
        <v>1.5564040444423624E-7</v>
      </c>
      <c r="FF28" s="366">
        <f t="shared" si="68"/>
        <v>1.4085104474591516E-7</v>
      </c>
      <c r="FG28" s="366">
        <f t="shared" si="68"/>
        <v>1.274670088198327E-7</v>
      </c>
      <c r="FH28" s="366">
        <f t="shared" si="68"/>
        <v>1.1535475911297078E-7</v>
      </c>
      <c r="FI28" s="366">
        <f t="shared" si="68"/>
        <v>1.0439344716105954E-7</v>
      </c>
      <c r="FJ28" s="366">
        <f t="shared" si="68"/>
        <v>9.447370783806292E-8</v>
      </c>
      <c r="FK28" s="366">
        <f t="shared" si="68"/>
        <v>8.5496568179242477E-8</v>
      </c>
      <c r="FL28" s="366">
        <f t="shared" si="68"/>
        <v>7.7372459890717147E-8</v>
      </c>
      <c r="FM28" s="366">
        <f t="shared" si="68"/>
        <v>7.0020325692956703E-8</v>
      </c>
      <c r="FN28" s="366">
        <f t="shared" si="68"/>
        <v>6.3366810581861263E-8</v>
      </c>
      <c r="FO28" s="366">
        <f t="shared" si="68"/>
        <v>5.7345529938335993E-8</v>
      </c>
      <c r="FP28" s="366">
        <f t="shared" si="68"/>
        <v>5.1896407184014478E-8</v>
      </c>
      <c r="FQ28" s="366">
        <f t="shared" si="68"/>
        <v>4.6965074374673729E-8</v>
      </c>
      <c r="FR28" s="366">
        <f t="shared" si="68"/>
        <v>4.2502329750835953E-8</v>
      </c>
      <c r="FS28" s="366">
        <f t="shared" si="68"/>
        <v>3.8463646833335709E-8</v>
      </c>
      <c r="FT28" s="366">
        <f t="shared" si="68"/>
        <v>3.4808730165914667E-8</v>
      </c>
      <c r="FU28" s="366">
        <f t="shared" si="68"/>
        <v>3.1501113272320965E-8</v>
      </c>
      <c r="FV28" s="366">
        <f t="shared" si="68"/>
        <v>2.8507794816580058E-8</v>
      </c>
      <c r="FW28" s="366">
        <f t="shared" si="68"/>
        <v>2.579890933627154E-8</v>
      </c>
      <c r="FX28" s="366">
        <f t="shared" si="68"/>
        <v>2.334742926359416E-8</v>
      </c>
      <c r="FY28" s="366">
        <f t="shared" si="68"/>
        <v>2.1128895261171187E-8</v>
      </c>
      <c r="FZ28" s="366">
        <f t="shared" si="68"/>
        <v>1.912117218205537E-8</v>
      </c>
      <c r="GA28" s="366">
        <f t="shared" si="68"/>
        <v>1.7304228219054635E-8</v>
      </c>
      <c r="GB28" s="366">
        <f t="shared" si="68"/>
        <v>1.5659935039868446E-8</v>
      </c>
      <c r="GC28" s="366">
        <f t="shared" si="68"/>
        <v>1.4171886913908094E-8</v>
      </c>
      <c r="GD28" s="366">
        <f t="shared" si="68"/>
        <v>1.2825237026161172E-8</v>
      </c>
      <c r="GE28" s="366">
        <f t="shared" si="68"/>
        <v>1.1606549344942239E-8</v>
      </c>
      <c r="GF28" s="366">
        <f t="shared" si="68"/>
        <v>1.0503664565558585E-8</v>
      </c>
      <c r="GG28" s="366">
        <f t="shared" si="68"/>
        <v>9.505578792360713E-9</v>
      </c>
      <c r="GH28" s="366">
        <f t="shared" si="68"/>
        <v>8.6023337487427247E-9</v>
      </c>
      <c r="GI28" s="366">
        <f t="shared" si="68"/>
        <v>7.7849174196766747E-9</v>
      </c>
      <c r="GJ28" s="366">
        <f t="shared" si="68"/>
        <v>7.0451741354540046E-9</v>
      </c>
      <c r="GK28" s="366">
        <f t="shared" si="68"/>
        <v>6.3757231995058859E-9</v>
      </c>
      <c r="GL28" s="366">
        <f t="shared" si="68"/>
        <v>5.7698852484216157E-9</v>
      </c>
      <c r="GM28" s="366">
        <f t="shared" si="68"/>
        <v>5.2216156094313267E-9</v>
      </c>
      <c r="GN28" s="366">
        <f t="shared" si="68"/>
        <v>4.7254439904355904E-9</v>
      </c>
      <c r="GO28" s="366">
        <f t="shared" si="68"/>
        <v>4.2764199008466876E-9</v>
      </c>
      <c r="GP28" s="366">
        <f t="shared" si="68"/>
        <v>3.8700632586847855E-9</v>
      </c>
      <c r="GQ28" s="366">
        <f t="shared" si="68"/>
        <v>3.5023196911174528E-9</v>
      </c>
      <c r="GR28" s="366">
        <f t="shared" si="68"/>
        <v>3.1695200824592332E-9</v>
      </c>
      <c r="GS28" s="366">
        <f t="shared" si="68"/>
        <v>2.8683439660264553E-9</v>
      </c>
      <c r="GT28" s="366">
        <f t="shared" si="68"/>
        <v>2.5957863945940768E-9</v>
      </c>
      <c r="GU28" s="366">
        <f t="shared" si="68"/>
        <v>2.3491279589086669E-9</v>
      </c>
      <c r="GV28" s="366">
        <f t="shared" si="68"/>
        <v>2.1259076551209658E-9</v>
      </c>
      <c r="GW28" s="366">
        <f t="shared" si="68"/>
        <v>1.9238983304262137E-9</v>
      </c>
      <c r="GX28" s="366">
        <f t="shared" si="68"/>
        <v>1.7410844619241749E-9</v>
      </c>
      <c r="GY28" s="366">
        <f t="shared" si="68"/>
        <v>1.5756420469902036E-9</v>
      </c>
      <c r="GZ28" s="366">
        <f t="shared" si="68"/>
        <v>1.4259204045160212E-9</v>
      </c>
      <c r="HA28" s="366">
        <f t="shared" si="68"/>
        <v>1.2904257054443629E-9</v>
      </c>
      <c r="HB28" s="366">
        <f t="shared" si="68"/>
        <v>1.1678060682754415E-9</v>
      </c>
      <c r="HC28" s="366">
        <f t="shared" si="68"/>
        <v>1.0568380708375035E-9</v>
      </c>
      <c r="HD28" s="366">
        <f t="shared" si="68"/>
        <v>9.5641454374434737E-10</v>
      </c>
      <c r="HE28" s="366">
        <f t="shared" si="68"/>
        <v>8.6553352375054068E-10</v>
      </c>
      <c r="HF28" s="366">
        <f t="shared" si="68"/>
        <v>7.8328825678781965E-10</v>
      </c>
      <c r="HG28" s="366">
        <f t="shared" si="68"/>
        <v>7.088581509392033E-10</v>
      </c>
      <c r="HH28" s="366">
        <f t="shared" si="68"/>
        <v>6.4150058908525182E-10</v>
      </c>
      <c r="HI28" s="366">
        <f t="shared" si="68"/>
        <v>5.8054351953416435E-10</v>
      </c>
      <c r="HJ28" s="366">
        <f t="shared" si="68"/>
        <v>5.2537875070965098E-10</v>
      </c>
      <c r="HK28" s="366">
        <f t="shared" si="68"/>
        <v>4.7545588299515935E-10</v>
      </c>
      <c r="HL28" s="366">
        <f t="shared" si="68"/>
        <v>4.3027681719018945E-10</v>
      </c>
      <c r="HM28" s="366">
        <f t="shared" si="68"/>
        <v>3.8939078478750177E-10</v>
      </c>
      <c r="HN28" s="366">
        <f t="shared" ref="HN28:IS28" si="69">1/((1+$C6)^HN13)</f>
        <v>3.5238985048642693E-10</v>
      </c>
      <c r="HO28" s="366">
        <f t="shared" si="69"/>
        <v>3.189048420691647E-10</v>
      </c>
      <c r="HP28" s="366">
        <f t="shared" si="69"/>
        <v>2.8860166703091823E-10</v>
      </c>
      <c r="HQ28" s="366">
        <f t="shared" si="69"/>
        <v>2.6117797921350067E-10</v>
      </c>
      <c r="HR28" s="366">
        <f t="shared" si="69"/>
        <v>2.3636016218416347E-10</v>
      </c>
      <c r="HS28" s="366">
        <f t="shared" si="69"/>
        <v>2.1390059926168639E-10</v>
      </c>
      <c r="HT28" s="366">
        <f t="shared" si="69"/>
        <v>1.9357520295175239E-10</v>
      </c>
      <c r="HU28" s="366">
        <f t="shared" si="69"/>
        <v>1.7518117914185742E-10</v>
      </c>
      <c r="HV28" s="366">
        <f t="shared" si="69"/>
        <v>1.5853500374828725E-10</v>
      </c>
      <c r="HW28" s="366">
        <f t="shared" si="69"/>
        <v>1.4347059162740927E-10</v>
      </c>
      <c r="HX28" s="366">
        <f t="shared" si="69"/>
        <v>1.2983763948181831E-10</v>
      </c>
      <c r="HY28" s="366">
        <f t="shared" si="69"/>
        <v>1.175001262278899E-10</v>
      </c>
      <c r="HZ28" s="366">
        <f t="shared" si="69"/>
        <v>1.0633495586234378E-10</v>
      </c>
      <c r="IA28" s="366">
        <f t="shared" si="69"/>
        <v>9.6230729287188954E-11</v>
      </c>
      <c r="IB28" s="366">
        <f t="shared" si="69"/>
        <v>8.7086632839085022E-11</v>
      </c>
      <c r="IC28" s="366">
        <f t="shared" si="69"/>
        <v>7.8811432433561105E-11</v>
      </c>
      <c r="ID28" s="366">
        <f t="shared" si="69"/>
        <v>7.1322563288290582E-11</v>
      </c>
      <c r="IE28" s="366">
        <f t="shared" si="69"/>
        <v>6.454530614324941E-11</v>
      </c>
      <c r="IF28" s="366">
        <f t="shared" si="69"/>
        <v>5.8412041758596745E-11</v>
      </c>
      <c r="IG28" s="366">
        <f t="shared" si="69"/>
        <v>5.2861576252123743E-11</v>
      </c>
      <c r="IH28" s="366">
        <f t="shared" si="69"/>
        <v>4.7838530544908373E-11</v>
      </c>
      <c r="II28" s="366">
        <f t="shared" si="69"/>
        <v>4.329278782344648E-11</v>
      </c>
      <c r="IJ28" s="366">
        <f t="shared" si="69"/>
        <v>3.9178993505381441E-11</v>
      </c>
      <c r="IK28" s="366">
        <f t="shared" si="69"/>
        <v>3.5456102719802215E-11</v>
      </c>
      <c r="IL28" s="366">
        <f t="shared" si="69"/>
        <v>3.2086970787151318E-11</v>
      </c>
      <c r="IM28" s="366">
        <f t="shared" si="69"/>
        <v>2.9037982612806623E-11</v>
      </c>
      <c r="IN28" s="366">
        <f t="shared" si="69"/>
        <v>2.6278717296657578E-11</v>
      </c>
      <c r="IO28" s="366">
        <f t="shared" si="69"/>
        <v>2.3781644612359794E-11</v>
      </c>
      <c r="IP28" s="366">
        <f t="shared" si="69"/>
        <v>2.1521850327927416E-11</v>
      </c>
      <c r="IQ28" s="366">
        <f t="shared" si="69"/>
        <v>1.9476787627083639E-11</v>
      </c>
      <c r="IR28" s="366">
        <f t="shared" si="69"/>
        <v>1.762605215120691E-11</v>
      </c>
      <c r="IS28" s="366">
        <f t="shared" si="69"/>
        <v>1.595117841738182E-11</v>
      </c>
      <c r="IT28" s="367"/>
      <c r="IU28" s="368">
        <f>1/((1+$C6)^IU13)</f>
        <v>1.4435455581341012E-11</v>
      </c>
    </row>
    <row r="31" spans="1:255" ht="13.5" thickBot="1"/>
    <row r="32" spans="1:255">
      <c r="A32" s="369" t="s">
        <v>1523</v>
      </c>
      <c r="B32" s="370" t="s">
        <v>1524</v>
      </c>
      <c r="C32" s="346"/>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c r="IN32" s="371"/>
      <c r="IO32" s="371"/>
      <c r="IP32" s="371"/>
      <c r="IQ32" s="371"/>
      <c r="IR32" s="371"/>
      <c r="IS32" s="371"/>
      <c r="IT32" s="371"/>
      <c r="IU32" s="371"/>
    </row>
    <row r="33" spans="1:255" ht="25.5">
      <c r="A33" s="347" t="s">
        <v>1525</v>
      </c>
      <c r="B33" s="372" t="s">
        <v>1526</v>
      </c>
      <c r="D33" s="373">
        <f t="shared" ref="D33:BO33" si="70">D28*D19</f>
        <v>1.2809424967136784</v>
      </c>
      <c r="E33" s="373">
        <f t="shared" si="70"/>
        <v>1.2287774176619903</v>
      </c>
      <c r="F33" s="373">
        <f t="shared" si="70"/>
        <v>1.1787367083454388</v>
      </c>
      <c r="G33" s="373">
        <f t="shared" si="70"/>
        <v>1.1307338559693798</v>
      </c>
      <c r="H33" s="373">
        <f t="shared" si="70"/>
        <v>1.0846858708846541</v>
      </c>
      <c r="I33" s="373">
        <f t="shared" si="70"/>
        <v>1.040513143111071</v>
      </c>
      <c r="J33" s="373">
        <f t="shared" si="70"/>
        <v>0.99813930470383283</v>
      </c>
      <c r="K33" s="373">
        <f t="shared" si="70"/>
        <v>0.95749109772494378</v>
      </c>
      <c r="L33" s="373">
        <f t="shared" si="70"/>
        <v>0.91849824759134902</v>
      </c>
      <c r="M33" s="373">
        <f t="shared" si="70"/>
        <v>0.8810933415808414</v>
      </c>
      <c r="N33" s="373">
        <f t="shared" si="70"/>
        <v>0.84521171228569403</v>
      </c>
      <c r="O33" s="373">
        <f t="shared" si="70"/>
        <v>0.810791325812521</v>
      </c>
      <c r="P33" s="373">
        <f t="shared" si="70"/>
        <v>0.77777267453508803</v>
      </c>
      <c r="Q33" s="373">
        <f t="shared" si="70"/>
        <v>0.74609867421465448</v>
      </c>
      <c r="R33" s="373">
        <f t="shared" si="70"/>
        <v>0.71571456530998534</v>
      </c>
      <c r="S33" s="373">
        <f t="shared" si="70"/>
        <v>0.68656781830641156</v>
      </c>
      <c r="T33" s="373">
        <f t="shared" si="70"/>
        <v>0.65860804290026809</v>
      </c>
      <c r="U33" s="373">
        <f t="shared" si="70"/>
        <v>0.63178690088170519</v>
      </c>
      <c r="V33" s="373">
        <f t="shared" si="70"/>
        <v>0.60605802256525565</v>
      </c>
      <c r="W33" s="373">
        <f t="shared" si="70"/>
        <v>0.58137692662368423</v>
      </c>
      <c r="X33" s="373">
        <f t="shared" si="70"/>
        <v>0.55770094318652053</v>
      </c>
      <c r="Y33" s="373">
        <f t="shared" si="70"/>
        <v>0.5349891400703275</v>
      </c>
      <c r="Z33" s="373">
        <f t="shared" si="70"/>
        <v>0.51320225201316483</v>
      </c>
      <c r="AA33" s="373">
        <f t="shared" si="70"/>
        <v>0.49230261279090931</v>
      </c>
      <c r="AB33" s="373">
        <f t="shared" si="70"/>
        <v>0.47225409009806685</v>
      </c>
      <c r="AC33" s="373">
        <f t="shared" si="70"/>
        <v>0.45302202308049849</v>
      </c>
      <c r="AD33" s="373">
        <f t="shared" si="70"/>
        <v>0.43457316241206201</v>
      </c>
      <c r="AE33" s="373">
        <f t="shared" si="70"/>
        <v>0.41687561281157087</v>
      </c>
      <c r="AF33" s="373">
        <f t="shared" si="70"/>
        <v>0.39989877790069234</v>
      </c>
      <c r="AG33" s="373">
        <f t="shared" si="70"/>
        <v>0.38361330730745152</v>
      </c>
      <c r="AH33" s="373">
        <f t="shared" si="70"/>
        <v>0.36799104592389015</v>
      </c>
      <c r="AI33" s="373">
        <f t="shared" si="70"/>
        <v>0.35300498523015716</v>
      </c>
      <c r="AJ33" s="373">
        <f t="shared" si="70"/>
        <v>0.33862921660087475</v>
      </c>
      <c r="AK33" s="373">
        <f t="shared" si="70"/>
        <v>0.32483888651305631</v>
      </c>
      <c r="AL33" s="373">
        <f t="shared" si="70"/>
        <v>0.31161015357813548</v>
      </c>
      <c r="AM33" s="373">
        <f t="shared" si="70"/>
        <v>0.29892014732382222</v>
      </c>
      <c r="AN33" s="373">
        <f t="shared" si="70"/>
        <v>0.28674692865452633</v>
      </c>
      <c r="AO33" s="373">
        <f t="shared" si="70"/>
        <v>0.27506945192198906</v>
      </c>
      <c r="AP33" s="373">
        <f t="shared" si="70"/>
        <v>0.26386752854055068</v>
      </c>
      <c r="AQ33" s="373">
        <f t="shared" si="70"/>
        <v>0.25312179208414815</v>
      </c>
      <c r="AR33" s="373">
        <f t="shared" si="70"/>
        <v>0.24281366480470323</v>
      </c>
      <c r="AS33" s="373">
        <f t="shared" si="70"/>
        <v>0.2329253255140139</v>
      </c>
      <c r="AT33" s="373">
        <f t="shared" si="70"/>
        <v>0.22343967877362422</v>
      </c>
      <c r="AU33" s="373">
        <f t="shared" si="70"/>
        <v>0.21434032533940425</v>
      </c>
      <c r="AV33" s="373">
        <f t="shared" si="70"/>
        <v>0.2056115338097452</v>
      </c>
      <c r="AW33" s="373">
        <f t="shared" si="70"/>
        <v>0.1972382134283529</v>
      </c>
      <c r="AX33" s="373">
        <f t="shared" si="70"/>
        <v>0.18920588799461907</v>
      </c>
      <c r="AY33" s="373">
        <f t="shared" si="70"/>
        <v>0.1815006708364672</v>
      </c>
      <c r="AZ33" s="373">
        <f t="shared" si="70"/>
        <v>0.17410924080240295</v>
      </c>
      <c r="BA33" s="373">
        <f t="shared" si="70"/>
        <v>0.16701881923126435</v>
      </c>
      <c r="BB33" s="373">
        <f t="shared" si="70"/>
        <v>0.16021714785985541</v>
      </c>
      <c r="BC33" s="373">
        <f t="shared" si="70"/>
        <v>0.15369246763026853</v>
      </c>
      <c r="BD33" s="373">
        <f t="shared" si="70"/>
        <v>0.1474334983602576</v>
      </c>
      <c r="BE33" s="373">
        <f t="shared" si="70"/>
        <v>0.14142941924151406</v>
      </c>
      <c r="BF33" s="373">
        <f t="shared" si="70"/>
        <v>0.13566985013213118</v>
      </c>
      <c r="BG33" s="373">
        <f t="shared" si="70"/>
        <v>0.13014483361091311</v>
      </c>
      <c r="BH33" s="373">
        <f t="shared" si="70"/>
        <v>0.12484481776250494</v>
      </c>
      <c r="BI33" s="373">
        <f t="shared" si="70"/>
        <v>0.11976063966357939</v>
      </c>
      <c r="BJ33" s="373">
        <f t="shared" si="70"/>
        <v>0.11488350954153317</v>
      </c>
      <c r="BK33" s="373">
        <f t="shared" si="70"/>
        <v>0.11020499557830332</v>
      </c>
      <c r="BL33" s="373">
        <f t="shared" si="70"/>
        <v>0.10571700933303306</v>
      </c>
      <c r="BM33" s="373">
        <f t="shared" si="70"/>
        <v>0.10141179175838465</v>
      </c>
      <c r="BN33" s="373">
        <f t="shared" si="70"/>
        <v>9.7281899786323733E-2</v>
      </c>
      <c r="BO33" s="373">
        <f t="shared" si="70"/>
        <v>9.3320193460183887E-2</v>
      </c>
      <c r="BP33" s="373">
        <f t="shared" ref="BP33:CN33" si="71">BP28*BP19</f>
        <v>8.951982359076463E-2</v>
      </c>
      <c r="BQ33" s="373">
        <f t="shared" si="71"/>
        <v>8.5874219915122632E-2</v>
      </c>
      <c r="BR33" s="373">
        <f t="shared" si="71"/>
        <v>8.2377079737583708E-2</v>
      </c>
      <c r="BS33" s="373">
        <f t="shared" si="71"/>
        <v>7.9022357033338209E-2</v>
      </c>
      <c r="BT33" s="373">
        <f t="shared" si="71"/>
        <v>7.580425199578146E-2</v>
      </c>
      <c r="BU33" s="373">
        <f t="shared" si="71"/>
        <v>7.2717201009527888E-2</v>
      </c>
      <c r="BV33" s="373">
        <f t="shared" si="71"/>
        <v>6.9755867031764326E-2</v>
      </c>
      <c r="BW33" s="373">
        <f t="shared" si="71"/>
        <v>6.6915130365312395E-2</v>
      </c>
      <c r="BX33" s="373">
        <f t="shared" si="71"/>
        <v>6.4190079807449008E-2</v>
      </c>
      <c r="BY33" s="373">
        <f t="shared" si="71"/>
        <v>6.1576004159181831E-2</v>
      </c>
      <c r="BZ33" s="373">
        <f t="shared" si="71"/>
        <v>5.9068384080301142E-2</v>
      </c>
      <c r="CA33" s="373">
        <f t="shared" si="71"/>
        <v>5.666288427612598E-2</v>
      </c>
      <c r="CB33" s="373">
        <f t="shared" si="71"/>
        <v>5.4355346002437584E-2</v>
      </c>
      <c r="CC33" s="373">
        <f t="shared" si="71"/>
        <v>5.2141779875641475E-2</v>
      </c>
      <c r="CD33" s="373">
        <f t="shared" si="71"/>
        <v>5.0018358975728483E-2</v>
      </c>
      <c r="CE33" s="373">
        <f t="shared" si="71"/>
        <v>4.7981412230110591E-2</v>
      </c>
      <c r="CF33" s="373">
        <f t="shared" si="71"/>
        <v>4.6027418066893415E-2</v>
      </c>
      <c r="CG33" s="373">
        <f t="shared" si="71"/>
        <v>4.4152998326612687E-2</v>
      </c>
      <c r="CH33" s="373">
        <f t="shared" si="71"/>
        <v>4.2354912421909016E-2</v>
      </c>
      <c r="CI33" s="373">
        <f t="shared" si="71"/>
        <v>4.063005173504395E-2</v>
      </c>
      <c r="CJ33" s="373">
        <f t="shared" si="71"/>
        <v>3.8975434243571562E-2</v>
      </c>
      <c r="CK33" s="373">
        <f t="shared" si="71"/>
        <v>3.7388199364874079E-2</v>
      </c>
      <c r="CL33" s="373">
        <f t="shared" si="71"/>
        <v>3.586560301064845E-2</v>
      </c>
      <c r="CM33" s="373">
        <f t="shared" si="71"/>
        <v>3.4405012842793986E-2</v>
      </c>
      <c r="CN33" s="373">
        <f t="shared" si="71"/>
        <v>3.3003903722499207E-2</v>
      </c>
      <c r="CO33" s="374"/>
      <c r="CP33" s="373">
        <f t="shared" ref="CP33:FA33" si="72">CP28*CP19</f>
        <v>3.1659853344659872E-2</v>
      </c>
      <c r="CQ33" s="373">
        <f t="shared" si="72"/>
        <v>3.037053805008097E-2</v>
      </c>
      <c r="CR33" s="373">
        <f t="shared" si="72"/>
        <v>2.9133728808222469E-2</v>
      </c>
      <c r="CS33" s="373">
        <f t="shared" si="72"/>
        <v>2.7947287363543728E-2</v>
      </c>
      <c r="CT33" s="373">
        <f t="shared" si="72"/>
        <v>2.6809162538784029E-2</v>
      </c>
      <c r="CU33" s="373">
        <f t="shared" si="72"/>
        <v>2.5717386688788299E-2</v>
      </c>
      <c r="CV33" s="373">
        <f t="shared" si="72"/>
        <v>2.4670072298747153E-2</v>
      </c>
      <c r="CW33" s="373">
        <f t="shared" si="72"/>
        <v>2.3665408720970119E-2</v>
      </c>
      <c r="CX33" s="373">
        <f t="shared" si="72"/>
        <v>2.2701659044550525E-2</v>
      </c>
      <c r="CY33" s="373">
        <f t="shared" si="72"/>
        <v>2.1777157092510005E-2</v>
      </c>
      <c r="CZ33" s="373">
        <f t="shared" si="72"/>
        <v>2.0890304541231319E-2</v>
      </c>
      <c r="DA33" s="373">
        <f t="shared" si="72"/>
        <v>2.0039568157199275E-2</v>
      </c>
      <c r="DB33" s="373">
        <f t="shared" si="72"/>
        <v>1.9223477146272604E-2</v>
      </c>
      <c r="DC33" s="373">
        <f t="shared" si="72"/>
        <v>1.8440620610904044E-2</v>
      </c>
      <c r="DD33" s="373">
        <f t="shared" si="72"/>
        <v>1.7689645110912471E-2</v>
      </c>
      <c r="DE33" s="373">
        <f t="shared" si="72"/>
        <v>1.6969252323590249E-2</v>
      </c>
      <c r="DF33" s="373">
        <f t="shared" si="72"/>
        <v>1.6278196799100149E-2</v>
      </c>
      <c r="DG33" s="373">
        <f t="shared" si="72"/>
        <v>1.5615283807281593E-2</v>
      </c>
      <c r="DH33" s="373">
        <f t="shared" si="72"/>
        <v>1.4979367272143426E-2</v>
      </c>
      <c r="DI33" s="373">
        <f t="shared" si="72"/>
        <v>1.4369347790472425E-2</v>
      </c>
      <c r="DJ33" s="373">
        <f t="shared" si="72"/>
        <v>1.3784170731131921E-2</v>
      </c>
      <c r="DK33" s="373">
        <f t="shared" si="72"/>
        <v>1.3222824411764558E-2</v>
      </c>
      <c r="DL33" s="373">
        <f t="shared" si="72"/>
        <v>1.2684338349747E-2</v>
      </c>
      <c r="DM33" s="373">
        <f t="shared" si="72"/>
        <v>1.2167781584372688E-2</v>
      </c>
      <c r="DN33" s="373">
        <f t="shared" si="72"/>
        <v>1.1672261067362034E-2</v>
      </c>
      <c r="DO33" s="373">
        <f t="shared" si="72"/>
        <v>1.1196920118917427E-2</v>
      </c>
      <c r="DP33" s="373">
        <f t="shared" si="72"/>
        <v>1.0740936946653823E-2</v>
      </c>
      <c r="DQ33" s="373">
        <f t="shared" si="72"/>
        <v>1.0303523224844388E-2</v>
      </c>
      <c r="DR33" s="373">
        <f t="shared" si="72"/>
        <v>9.8839227315249342E-3</v>
      </c>
      <c r="DS33" s="373">
        <f t="shared" si="72"/>
        <v>9.4814100411008441E-3</v>
      </c>
      <c r="DT33" s="373">
        <f t="shared" si="72"/>
        <v>9.0952892701962849E-3</v>
      </c>
      <c r="DU33" s="373">
        <f t="shared" si="72"/>
        <v>8.7248928745774328E-3</v>
      </c>
      <c r="DV33" s="373">
        <f t="shared" si="72"/>
        <v>8.369580495069754E-3</v>
      </c>
      <c r="DW33" s="373">
        <f t="shared" si="72"/>
        <v>8.028737850474154E-3</v>
      </c>
      <c r="DX33" s="373">
        <f t="shared" si="72"/>
        <v>7.7017756755679663E-3</v>
      </c>
      <c r="DY33" s="373">
        <f t="shared" si="72"/>
        <v>7.3881287023547923E-3</v>
      </c>
      <c r="DZ33" s="373">
        <f t="shared" si="72"/>
        <v>7.0872546828018796E-3</v>
      </c>
      <c r="EA33" s="373">
        <f t="shared" si="72"/>
        <v>6.7986334513755603E-3</v>
      </c>
      <c r="EB33" s="373">
        <f t="shared" si="72"/>
        <v>6.5217660257539311E-3</v>
      </c>
      <c r="EC33" s="373">
        <f t="shared" si="72"/>
        <v>6.2561737441621428E-3</v>
      </c>
      <c r="ED33" s="373">
        <f t="shared" si="72"/>
        <v>6.0013974378387977E-3</v>
      </c>
      <c r="EE33" s="373">
        <f t="shared" si="72"/>
        <v>5.756996637202829E-3</v>
      </c>
      <c r="EF33" s="373">
        <f t="shared" si="72"/>
        <v>5.5225488103484146E-3</v>
      </c>
      <c r="EG33" s="373">
        <f t="shared" si="72"/>
        <v>5.2976486325514213E-3</v>
      </c>
      <c r="EH33" s="373">
        <f t="shared" si="72"/>
        <v>5.0819072855244393E-3</v>
      </c>
      <c r="EI33" s="373">
        <f t="shared" si="72"/>
        <v>4.8749517852089653E-3</v>
      </c>
      <c r="EJ33" s="373">
        <f t="shared" si="72"/>
        <v>4.6764243369425374E-3</v>
      </c>
      <c r="EK33" s="373">
        <f t="shared" si="72"/>
        <v>4.485981716886054E-3</v>
      </c>
      <c r="EL33" s="373">
        <f t="shared" si="72"/>
        <v>4.3032946786418268E-3</v>
      </c>
      <c r="EM33" s="373">
        <f t="shared" si="72"/>
        <v>4.1280473840365033E-3</v>
      </c>
      <c r="EN33" s="373">
        <f t="shared" si="72"/>
        <v>3.959936857084791E-3</v>
      </c>
      <c r="EO33" s="373">
        <f t="shared" si="72"/>
        <v>3.7986724601899351E-3</v>
      </c>
      <c r="EP33" s="373">
        <f t="shared" si="72"/>
        <v>3.6439753916754133E-3</v>
      </c>
      <c r="EQ33" s="373">
        <f t="shared" si="72"/>
        <v>3.4955782037791277E-3</v>
      </c>
      <c r="ER33" s="373">
        <f t="shared" si="72"/>
        <v>3.3532243402768116E-3</v>
      </c>
      <c r="ES33" s="373">
        <f t="shared" si="72"/>
        <v>3.216667692935223E-3</v>
      </c>
      <c r="ET33" s="373">
        <f t="shared" si="72"/>
        <v>3.0856721760283584E-3</v>
      </c>
      <c r="EU33" s="373">
        <f t="shared" si="72"/>
        <v>2.9600113181810495E-3</v>
      </c>
      <c r="EV33" s="373">
        <f t="shared" si="72"/>
        <v>2.8394678708343101E-3</v>
      </c>
      <c r="EW33" s="373">
        <f t="shared" si="72"/>
        <v>2.723833432655537E-3</v>
      </c>
      <c r="EX33" s="373">
        <f t="shared" si="72"/>
        <v>2.612908089244225E-3</v>
      </c>
      <c r="EY33" s="373">
        <f t="shared" si="72"/>
        <v>2.5065000675102982E-3</v>
      </c>
      <c r="EZ33" s="373">
        <f t="shared" si="72"/>
        <v>2.4044254041275261E-3</v>
      </c>
      <c r="FA33" s="373">
        <f t="shared" si="72"/>
        <v>2.3065076274888484E-3</v>
      </c>
      <c r="FB33" s="373">
        <f t="shared" ref="FB33:HM33" si="73">FB28*FB19</f>
        <v>2.2125774526137371E-3</v>
      </c>
      <c r="FC33" s="373">
        <f t="shared" si="73"/>
        <v>2.1224724884801468E-3</v>
      </c>
      <c r="FD33" s="373">
        <f t="shared" si="73"/>
        <v>2.0360369572750719E-3</v>
      </c>
      <c r="FE33" s="373">
        <f t="shared" si="73"/>
        <v>1.9531214250783498E-3</v>
      </c>
      <c r="FF33" s="373">
        <f t="shared" si="73"/>
        <v>1.8735825435140733E-3</v>
      </c>
      <c r="FG33" s="373">
        <f t="shared" si="73"/>
        <v>1.7972828019230021E-3</v>
      </c>
      <c r="FH33" s="373">
        <f t="shared" si="73"/>
        <v>1.7240902896274956E-3</v>
      </c>
      <c r="FI33" s="373">
        <f t="shared" si="73"/>
        <v>1.6538784678779596E-3</v>
      </c>
      <c r="FJ33" s="373">
        <f t="shared" si="73"/>
        <v>1.5865259510865497E-3</v>
      </c>
      <c r="FK33" s="373">
        <f t="shared" si="73"/>
        <v>1.521916296969903E-3</v>
      </c>
      <c r="FL33" s="373">
        <f t="shared" si="73"/>
        <v>1.4599378052380966E-3</v>
      </c>
      <c r="FM33" s="373">
        <f t="shared" si="73"/>
        <v>1.4004833244817944E-3</v>
      </c>
      <c r="FN33" s="373">
        <f t="shared" si="73"/>
        <v>1.343450066923712E-3</v>
      </c>
      <c r="FO33" s="373">
        <f t="shared" si="73"/>
        <v>1.2887394307141494E-3</v>
      </c>
      <c r="FP33" s="373">
        <f t="shared" si="73"/>
        <v>1.2362568294633468E-3</v>
      </c>
      <c r="FQ33" s="373">
        <f t="shared" si="73"/>
        <v>1.1859115287159707E-3</v>
      </c>
      <c r="FR33" s="373">
        <f t="shared" si="73"/>
        <v>1.1376164890850035E-3</v>
      </c>
      <c r="FS33" s="373">
        <f t="shared" si="73"/>
        <v>1.0912882157738497E-3</v>
      </c>
      <c r="FT33" s="373">
        <f t="shared" si="73"/>
        <v>1.0468466142264986E-3</v>
      </c>
      <c r="FU33" s="373">
        <f t="shared" si="73"/>
        <v>1.0042148516561885E-3</v>
      </c>
      <c r="FV33" s="373">
        <f t="shared" si="73"/>
        <v>9.6331922421317637E-4</v>
      </c>
      <c r="FW33" s="373">
        <f t="shared" si="73"/>
        <v>9.2408902956196096E-4</v>
      </c>
      <c r="FX33" s="373">
        <f t="shared" si="73"/>
        <v>8.8645644464767316E-4</v>
      </c>
      <c r="FY33" s="373">
        <f t="shared" si="73"/>
        <v>8.5035640844030201E-4</v>
      </c>
      <c r="FZ33" s="373">
        <f t="shared" si="73"/>
        <v>8.1572650945404548E-4</v>
      </c>
      <c r="GA33" s="373">
        <f t="shared" si="73"/>
        <v>7.8250687784731977E-4</v>
      </c>
      <c r="GB33" s="373">
        <f t="shared" si="73"/>
        <v>7.5064008191688583E-4</v>
      </c>
      <c r="GC33" s="373">
        <f t="shared" si="73"/>
        <v>7.2007102880714848E-4</v>
      </c>
      <c r="GD33" s="373">
        <f t="shared" si="73"/>
        <v>6.9074686926296597E-4</v>
      </c>
      <c r="GE33" s="373">
        <f t="shared" si="73"/>
        <v>6.6261690626130687E-4</v>
      </c>
      <c r="GF33" s="373">
        <f t="shared" si="73"/>
        <v>6.3563250736378739E-4</v>
      </c>
      <c r="GG33" s="373">
        <f t="shared" si="73"/>
        <v>6.0974702063856551E-4</v>
      </c>
      <c r="GH33" s="373">
        <f t="shared" si="73"/>
        <v>5.8491569400622562E-4</v>
      </c>
      <c r="GI33" s="373">
        <f t="shared" si="73"/>
        <v>5.6109559787022561E-4</v>
      </c>
      <c r="GJ33" s="373">
        <f t="shared" si="73"/>
        <v>5.3824555089813497E-4</v>
      </c>
      <c r="GK33" s="373">
        <f t="shared" si="73"/>
        <v>5.1632604882536021E-4</v>
      </c>
      <c r="GL33" s="373">
        <f t="shared" si="73"/>
        <v>4.9529919615826415E-4</v>
      </c>
      <c r="GM33" s="373">
        <f t="shared" si="73"/>
        <v>4.7512864065860636E-4</v>
      </c>
      <c r="GN33" s="373">
        <f t="shared" si="73"/>
        <v>4.5577951049603869E-4</v>
      </c>
      <c r="GO33" s="373">
        <f t="shared" si="73"/>
        <v>4.3721835396000092E-4</v>
      </c>
      <c r="GP33" s="373">
        <f t="shared" si="73"/>
        <v>4.1941308162678822E-4</v>
      </c>
      <c r="GQ33" s="373">
        <f t="shared" si="73"/>
        <v>4.0233291088180595E-4</v>
      </c>
      <c r="GR33" s="373">
        <f t="shared" si="73"/>
        <v>3.859483127010989E-4</v>
      </c>
      <c r="GS33" s="373">
        <f t="shared" si="73"/>
        <v>3.7023096060014916E-4</v>
      </c>
      <c r="GT33" s="373">
        <f t="shared" si="73"/>
        <v>3.5515368166168151E-4</v>
      </c>
      <c r="GU33" s="373">
        <f t="shared" si="73"/>
        <v>3.4069040955781219E-4</v>
      </c>
      <c r="GV33" s="373">
        <f t="shared" si="73"/>
        <v>3.2681613948532212E-4</v>
      </c>
      <c r="GW33" s="373">
        <f t="shared" si="73"/>
        <v>3.1350688493614619E-4</v>
      </c>
      <c r="GX33" s="373">
        <f t="shared" si="73"/>
        <v>3.0073963622833928E-4</v>
      </c>
      <c r="GY33" s="373">
        <f t="shared" si="73"/>
        <v>2.8849232072582779E-4</v>
      </c>
      <c r="GZ33" s="373">
        <f t="shared" si="73"/>
        <v>2.7674376467816961E-4</v>
      </c>
      <c r="HA33" s="373">
        <f t="shared" si="73"/>
        <v>2.6547365661435274E-4</v>
      </c>
      <c r="HB33" s="373">
        <f t="shared" si="73"/>
        <v>2.5466251222734291E-4</v>
      </c>
      <c r="HC33" s="373">
        <f t="shared" si="73"/>
        <v>2.4429164068867285E-4</v>
      </c>
      <c r="HD33" s="373">
        <f t="shared" si="73"/>
        <v>2.3434311233483556E-4</v>
      </c>
      <c r="HE33" s="373">
        <f t="shared" si="73"/>
        <v>2.2479972766961605E-4</v>
      </c>
      <c r="HF33" s="373">
        <f t="shared" si="73"/>
        <v>2.1564498762877197E-4</v>
      </c>
      <c r="HG33" s="373">
        <f t="shared" si="73"/>
        <v>2.0686306505565458E-4</v>
      </c>
      <c r="HH33" s="373">
        <f t="shared" si="73"/>
        <v>1.9843877733845597E-4</v>
      </c>
      <c r="HI33" s="373">
        <f t="shared" si="73"/>
        <v>1.9035756016177671E-4</v>
      </c>
      <c r="HJ33" s="373">
        <f t="shared" si="73"/>
        <v>1.8260544232713427E-4</v>
      </c>
      <c r="HK33" s="373">
        <f t="shared" si="73"/>
        <v>1.7516902159887997E-4</v>
      </c>
      <c r="HL33" s="373">
        <f t="shared" si="73"/>
        <v>1.6803544153376718E-4</v>
      </c>
      <c r="HM33" s="373">
        <f t="shared" si="73"/>
        <v>1.6119236925411152E-4</v>
      </c>
      <c r="HN33" s="373">
        <f t="shared" ref="HN33:IS33" si="74">HN28*HN19</f>
        <v>1.5462797412611604E-4</v>
      </c>
      <c r="HO33" s="373">
        <f t="shared" si="74"/>
        <v>1.483309073065005E-4</v>
      </c>
      <c r="HP33" s="373">
        <f t="shared" si="74"/>
        <v>1.4229028212207285E-4</v>
      </c>
      <c r="HQ33" s="373">
        <f t="shared" si="74"/>
        <v>1.3649565524832328E-4</v>
      </c>
      <c r="HR33" s="373">
        <f t="shared" si="74"/>
        <v>1.3093700865450015E-4</v>
      </c>
      <c r="HS33" s="373">
        <f t="shared" si="74"/>
        <v>1.2560473228395491E-4</v>
      </c>
      <c r="HT33" s="373">
        <f t="shared" si="74"/>
        <v>1.2048960743981196E-4</v>
      </c>
      <c r="HU33" s="373">
        <f t="shared" si="74"/>
        <v>1.1558279084724047E-4</v>
      </c>
      <c r="HV33" s="373">
        <f t="shared" si="74"/>
        <v>1.1087579936477369E-4</v>
      </c>
      <c r="HW33" s="373">
        <f t="shared" si="74"/>
        <v>1.0636049531824443E-4</v>
      </c>
      <c r="HX33" s="373">
        <f t="shared" si="74"/>
        <v>1.0202907243198108E-4</v>
      </c>
      <c r="HY33" s="373">
        <f t="shared" si="74"/>
        <v>9.787404233294114E-5</v>
      </c>
      <c r="HZ33" s="373">
        <f t="shared" si="74"/>
        <v>9.3888221604450305E-5</v>
      </c>
      <c r="IA33" s="373">
        <f t="shared" si="74"/>
        <v>9.0064719367165022E-5</v>
      </c>
      <c r="IB33" s="373">
        <f t="shared" si="74"/>
        <v>8.6396925365787256E-5</v>
      </c>
      <c r="IC33" s="373">
        <f t="shared" si="74"/>
        <v>8.287849854093621E-5</v>
      </c>
      <c r="ID33" s="373">
        <f t="shared" si="74"/>
        <v>7.9503356066418443E-5</v>
      </c>
      <c r="IE33" s="373">
        <f t="shared" si="74"/>
        <v>7.6265662832944404E-5</v>
      </c>
      <c r="IF33" s="373">
        <f t="shared" si="74"/>
        <v>7.3159821360109574E-5</v>
      </c>
      <c r="IG33" s="373">
        <f t="shared" si="74"/>
        <v>7.0180462119200134E-5</v>
      </c>
      <c r="IH33" s="373">
        <f t="shared" si="74"/>
        <v>6.7322434250092445E-5</v>
      </c>
      <c r="II33" s="373">
        <f t="shared" si="74"/>
        <v>6.4580796656197264E-5</v>
      </c>
      <c r="IJ33" s="373">
        <f t="shared" si="74"/>
        <v>6.1950809462053499E-5</v>
      </c>
      <c r="IK33" s="373">
        <f t="shared" si="74"/>
        <v>5.9427925818802466E-5</v>
      </c>
      <c r="IL33" s="373">
        <f t="shared" si="74"/>
        <v>5.7007784043376106E-5</v>
      </c>
      <c r="IM33" s="373">
        <f t="shared" si="74"/>
        <v>5.4686200077808757E-5</v>
      </c>
      <c r="IN33" s="373">
        <f t="shared" si="74"/>
        <v>5.2459160255635558E-5</v>
      </c>
      <c r="IO33" s="373">
        <f t="shared" si="74"/>
        <v>5.0322814362872117E-5</v>
      </c>
      <c r="IP33" s="373">
        <f t="shared" si="74"/>
        <v>4.8273468981578673E-5</v>
      </c>
      <c r="IQ33" s="373">
        <f t="shared" si="74"/>
        <v>4.6307581104500825E-5</v>
      </c>
      <c r="IR33" s="373">
        <f t="shared" si="74"/>
        <v>4.4421752009747395E-5</v>
      </c>
      <c r="IS33" s="373">
        <f t="shared" si="74"/>
        <v>4.2612721384916061E-5</v>
      </c>
      <c r="IT33" s="374"/>
      <c r="IU33" s="375">
        <f>IU28*IU19</f>
        <v>4.0877361690507712E-5</v>
      </c>
    </row>
    <row r="34" spans="1:255" ht="26.25" thickBot="1">
      <c r="A34" s="355" t="s">
        <v>1527</v>
      </c>
      <c r="B34" s="376" t="s">
        <v>1528</v>
      </c>
      <c r="C34" s="356"/>
      <c r="D34" s="377">
        <f>SUM(D33:IU33)</f>
        <v>31.453291752560524</v>
      </c>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6"/>
      <c r="FU34" s="356"/>
      <c r="FV34" s="356"/>
      <c r="FW34" s="356"/>
      <c r="FX34" s="356"/>
      <c r="FY34" s="356"/>
      <c r="FZ34" s="356"/>
      <c r="GA34" s="356"/>
      <c r="GB34" s="356"/>
      <c r="GC34" s="356"/>
      <c r="GD34" s="356"/>
      <c r="GE34" s="356"/>
      <c r="GF34" s="356"/>
      <c r="GG34" s="356"/>
      <c r="GH34" s="356"/>
      <c r="GI34" s="356"/>
      <c r="GJ34" s="356"/>
      <c r="GK34" s="356"/>
      <c r="GL34" s="356"/>
      <c r="GM34" s="356"/>
      <c r="GN34" s="356"/>
      <c r="GO34" s="356"/>
      <c r="GP34" s="356"/>
      <c r="GQ34" s="356"/>
      <c r="GR34" s="356"/>
      <c r="GS34" s="356"/>
      <c r="GT34" s="356"/>
      <c r="GU34" s="356"/>
      <c r="GV34" s="356"/>
      <c r="GW34" s="356"/>
      <c r="GX34" s="356"/>
      <c r="GY34" s="356"/>
      <c r="GZ34" s="356"/>
      <c r="HA34" s="356"/>
      <c r="HB34" s="356"/>
      <c r="HC34" s="356"/>
      <c r="HD34" s="356"/>
      <c r="HE34" s="356"/>
      <c r="HF34" s="356"/>
      <c r="HG34" s="356"/>
      <c r="HH34" s="356"/>
      <c r="HI34" s="356"/>
      <c r="HJ34" s="356"/>
      <c r="HK34" s="356"/>
      <c r="HL34" s="356"/>
      <c r="HM34" s="356"/>
      <c r="HN34" s="356"/>
      <c r="HO34" s="356"/>
      <c r="HP34" s="356"/>
      <c r="HQ34" s="356"/>
      <c r="HR34" s="356"/>
      <c r="HS34" s="356"/>
      <c r="HT34" s="356"/>
      <c r="HU34" s="356"/>
      <c r="HV34" s="356"/>
      <c r="HW34" s="356"/>
      <c r="HX34" s="356"/>
      <c r="HY34" s="356"/>
      <c r="HZ34" s="356"/>
      <c r="IA34" s="356"/>
      <c r="IB34" s="356"/>
      <c r="IC34" s="356"/>
      <c r="ID34" s="356"/>
      <c r="IE34" s="356"/>
      <c r="IF34" s="356"/>
      <c r="IG34" s="356"/>
      <c r="IH34" s="356"/>
      <c r="II34" s="356"/>
      <c r="IJ34" s="356"/>
      <c r="IK34" s="356"/>
      <c r="IL34" s="356"/>
      <c r="IM34" s="356"/>
      <c r="IN34" s="356"/>
      <c r="IO34" s="356"/>
      <c r="IP34" s="356"/>
      <c r="IQ34" s="356"/>
      <c r="IR34" s="356"/>
      <c r="IS34" s="356"/>
      <c r="IT34" s="356"/>
      <c r="IU34" s="356"/>
    </row>
    <row r="35" spans="1:255">
      <c r="A35" s="350"/>
      <c r="B35" s="378"/>
      <c r="D35" s="358"/>
    </row>
    <row r="36" spans="1:255">
      <c r="A36" s="350"/>
      <c r="B36" s="378"/>
      <c r="D36" s="358"/>
    </row>
    <row r="37" spans="1:255" ht="13.5" thickBot="1"/>
    <row r="38" spans="1:255">
      <c r="A38" s="369" t="s">
        <v>1529</v>
      </c>
      <c r="B38" s="370" t="s">
        <v>1530</v>
      </c>
      <c r="C38" s="346"/>
      <c r="D38" s="346"/>
      <c r="E38" s="346"/>
      <c r="F38" s="346"/>
      <c r="G38" s="346"/>
      <c r="H38" s="346"/>
      <c r="I38" s="346"/>
      <c r="J38" s="346"/>
      <c r="K38" s="346"/>
      <c r="L38" s="346"/>
      <c r="M38" s="346"/>
    </row>
    <row r="39" spans="1:255" ht="25.5">
      <c r="A39" s="347" t="s">
        <v>1525</v>
      </c>
      <c r="B39" s="372" t="s">
        <v>1531</v>
      </c>
      <c r="D39" s="358">
        <f t="shared" ref="D39:M39" si="75">D28*D19</f>
        <v>1.2809424967136784</v>
      </c>
      <c r="E39" s="358">
        <f t="shared" si="75"/>
        <v>1.2287774176619903</v>
      </c>
      <c r="F39" s="358">
        <f t="shared" si="75"/>
        <v>1.1787367083454388</v>
      </c>
      <c r="G39" s="358">
        <f t="shared" si="75"/>
        <v>1.1307338559693798</v>
      </c>
      <c r="H39" s="358">
        <f t="shared" si="75"/>
        <v>1.0846858708846541</v>
      </c>
      <c r="I39" s="358">
        <f t="shared" si="75"/>
        <v>1.040513143111071</v>
      </c>
      <c r="J39" s="358">
        <f t="shared" si="75"/>
        <v>0.99813930470383283</v>
      </c>
      <c r="K39" s="358">
        <f t="shared" si="75"/>
        <v>0.95749109772494378</v>
      </c>
      <c r="L39" s="358">
        <f t="shared" si="75"/>
        <v>0.91849824759134902</v>
      </c>
      <c r="M39" s="358">
        <f t="shared" si="75"/>
        <v>0.8810933415808414</v>
      </c>
    </row>
    <row r="40" spans="1:255" ht="38.25">
      <c r="A40" s="350" t="s">
        <v>1532</v>
      </c>
      <c r="B40" s="378" t="s">
        <v>1533</v>
      </c>
      <c r="D40" s="379" t="s">
        <v>1534</v>
      </c>
      <c r="E40" s="379" t="s">
        <v>1534</v>
      </c>
      <c r="F40" s="379" t="s">
        <v>1534</v>
      </c>
      <c r="G40" s="379" t="s">
        <v>1534</v>
      </c>
      <c r="H40" s="379" t="s">
        <v>1534</v>
      </c>
      <c r="I40" s="379" t="s">
        <v>1534</v>
      </c>
      <c r="J40" s="379" t="s">
        <v>1534</v>
      </c>
      <c r="K40" s="379" t="s">
        <v>1534</v>
      </c>
      <c r="L40" s="379" t="s">
        <v>1534</v>
      </c>
      <c r="M40" s="365">
        <f>M28*M24</f>
        <v>20.754643157237599</v>
      </c>
    </row>
    <row r="41" spans="1:255" ht="25.5">
      <c r="A41" s="350" t="s">
        <v>1535</v>
      </c>
      <c r="B41" s="378" t="s">
        <v>1536</v>
      </c>
      <c r="D41" s="358">
        <f>SUM(D39:M39)</f>
        <v>10.699611484287182</v>
      </c>
    </row>
    <row r="42" spans="1:255" ht="38.25">
      <c r="A42" s="350" t="s">
        <v>1532</v>
      </c>
      <c r="B42" s="378" t="s">
        <v>1537</v>
      </c>
      <c r="D42" s="358">
        <f>M40</f>
        <v>20.754643157237599</v>
      </c>
    </row>
    <row r="43" spans="1:255" ht="39" thickBot="1">
      <c r="A43" s="355" t="s">
        <v>1538</v>
      </c>
      <c r="B43" s="376" t="s">
        <v>1528</v>
      </c>
      <c r="C43" s="356"/>
      <c r="D43" s="377">
        <f>D41+D42</f>
        <v>31.454254641524781</v>
      </c>
      <c r="E43" s="356"/>
      <c r="F43" s="356"/>
      <c r="G43" s="356"/>
      <c r="H43" s="356"/>
      <c r="I43" s="356"/>
      <c r="J43" s="356"/>
      <c r="K43" s="356"/>
      <c r="L43" s="356"/>
      <c r="M43" s="356"/>
    </row>
    <row r="44" spans="1:255">
      <c r="A44" s="350"/>
      <c r="B44" s="378"/>
      <c r="D44" s="358"/>
    </row>
    <row r="45" spans="1:255">
      <c r="A45" s="350"/>
      <c r="B45" s="378"/>
      <c r="D45" s="358"/>
    </row>
    <row r="46" spans="1:255" ht="13.5" thickBot="1"/>
    <row r="47" spans="1:255">
      <c r="A47" s="369" t="s">
        <v>1539</v>
      </c>
      <c r="B47" s="370" t="s">
        <v>1540</v>
      </c>
      <c r="C47" s="346"/>
      <c r="D47" s="346"/>
      <c r="E47" s="346"/>
      <c r="F47" s="346"/>
      <c r="G47" s="346"/>
      <c r="H47" s="346"/>
    </row>
    <row r="48" spans="1:255" ht="25.5">
      <c r="A48" s="347" t="s">
        <v>1525</v>
      </c>
      <c r="B48" s="372" t="s">
        <v>1531</v>
      </c>
      <c r="D48" s="358">
        <f>D39</f>
        <v>1.2809424967136784</v>
      </c>
      <c r="E48" s="358">
        <f>E39</f>
        <v>1.2287774176619903</v>
      </c>
      <c r="F48" s="358">
        <f>F39</f>
        <v>1.1787367083454388</v>
      </c>
      <c r="G48" s="358">
        <f>G39</f>
        <v>1.1307338559693798</v>
      </c>
      <c r="H48" s="358">
        <f>H39</f>
        <v>1.0846858708846541</v>
      </c>
    </row>
    <row r="49" spans="1:8" ht="38.25">
      <c r="A49" s="350" t="s">
        <v>1541</v>
      </c>
      <c r="B49" s="378" t="s">
        <v>1533</v>
      </c>
      <c r="D49" s="379" t="s">
        <v>1534</v>
      </c>
      <c r="E49" s="379" t="s">
        <v>1534</v>
      </c>
      <c r="F49" s="379" t="s">
        <v>1534</v>
      </c>
      <c r="G49" s="379" t="s">
        <v>1534</v>
      </c>
      <c r="H49" s="365">
        <f>H24*H28</f>
        <v>25.550378291949627</v>
      </c>
    </row>
    <row r="50" spans="1:8" ht="25.5">
      <c r="A50" s="350" t="s">
        <v>1542</v>
      </c>
      <c r="B50" s="378" t="s">
        <v>1536</v>
      </c>
      <c r="D50" s="358">
        <f>SUM(D48:H48)</f>
        <v>5.9038763495751425</v>
      </c>
    </row>
    <row r="51" spans="1:8" ht="38.25">
      <c r="A51" s="350" t="s">
        <v>1541</v>
      </c>
      <c r="B51" s="378" t="s">
        <v>1537</v>
      </c>
      <c r="D51" s="358">
        <f>H49</f>
        <v>25.550378291949627</v>
      </c>
    </row>
    <row r="52" spans="1:8" ht="39" thickBot="1">
      <c r="A52" s="355" t="s">
        <v>1543</v>
      </c>
      <c r="B52" s="376" t="s">
        <v>1528</v>
      </c>
      <c r="C52" s="356"/>
      <c r="D52" s="377">
        <f>D50+D51</f>
        <v>31.45425464152477</v>
      </c>
      <c r="E52" s="356"/>
      <c r="F52" s="356"/>
      <c r="G52" s="356"/>
      <c r="H52" s="356"/>
    </row>
    <row r="54" spans="1:8">
      <c r="A54" s="344" t="s">
        <v>1544</v>
      </c>
    </row>
    <row r="55" spans="1:8">
      <c r="A55" s="344" t="s">
        <v>1545</v>
      </c>
    </row>
  </sheetData>
  <mergeCells count="1">
    <mergeCell ref="A1:IU1"/>
  </mergeCells>
  <printOptions horizontalCentered="1"/>
  <pageMargins left="0.7" right="0.7" top="1" bottom="0.75" header="0.3" footer="0.3"/>
  <pageSetup scale="68" fitToHeight="0" orientation="landscape" useFirstPageNumber="1" r:id="rId1"/>
  <headerFooter scaleWithDoc="0">
    <oddHeader>&amp;R&amp;"Arial,Regular"&amp;10DEU Exhibit 2.11R
Page &amp;P of 2</oddHeader>
  </headerFooter>
  <rowBreaks count="1" manualBreakCount="1">
    <brk id="3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Y55"/>
  <sheetViews>
    <sheetView view="pageLayout" zoomScaleNormal="70" zoomScaleSheetLayoutView="70" workbookViewId="0">
      <selection activeCell="C54" sqref="C54"/>
    </sheetView>
  </sheetViews>
  <sheetFormatPr defaultColWidth="9" defaultRowHeight="12.75"/>
  <cols>
    <col min="1" max="1" width="32.25" style="380" customWidth="1"/>
    <col min="2" max="2" width="16.75" style="380" customWidth="1"/>
    <col min="3" max="3" width="7.875" style="380" bestFit="1" customWidth="1"/>
    <col min="4" max="4" width="10.625" style="380" bestFit="1" customWidth="1"/>
    <col min="5" max="5" width="11.875" style="380" bestFit="1" customWidth="1"/>
    <col min="6" max="6" width="20.625" style="380" bestFit="1" customWidth="1"/>
    <col min="7" max="7" width="7.875" style="380" bestFit="1" customWidth="1"/>
    <col min="8" max="8" width="10.625" style="380" bestFit="1" customWidth="1"/>
    <col min="9" max="9" width="11.875" style="380" bestFit="1" customWidth="1"/>
    <col min="10" max="10" width="20.625" style="380" bestFit="1" customWidth="1"/>
    <col min="11" max="11" width="8.5" style="380" bestFit="1" customWidth="1"/>
    <col min="12" max="12" width="11.25" style="380" bestFit="1" customWidth="1"/>
    <col min="13" max="13" width="11.875" style="380" bestFit="1" customWidth="1"/>
    <col min="14" max="14" width="20.625" style="380" bestFit="1" customWidth="1"/>
    <col min="15" max="15" width="7.875" style="380" bestFit="1" customWidth="1"/>
    <col min="16" max="16" width="10.625" style="380" bestFit="1" customWidth="1"/>
    <col min="17" max="17" width="10.625" style="381" customWidth="1"/>
    <col min="18" max="20" width="10.625" style="380" customWidth="1"/>
    <col min="21" max="21" width="12.125" style="380" bestFit="1" customWidth="1"/>
    <col min="22" max="22" width="20.625" style="380" bestFit="1" customWidth="1"/>
    <col min="23" max="23" width="7.875" style="380" bestFit="1" customWidth="1"/>
    <col min="24" max="24" width="10.625" style="380" bestFit="1" customWidth="1"/>
    <col min="25" max="25" width="11.875" style="380" bestFit="1" customWidth="1"/>
    <col min="26" max="26" width="20.625" style="380" bestFit="1" customWidth="1"/>
    <col min="27" max="27" width="7.875" style="380" bestFit="1" customWidth="1"/>
    <col min="28" max="28" width="10.625" style="380" bestFit="1" customWidth="1"/>
    <col min="29" max="29" width="12" style="380" bestFit="1" customWidth="1"/>
    <col min="30" max="30" width="20.625" style="380" bestFit="1" customWidth="1"/>
    <col min="31" max="31" width="7.875" style="380" bestFit="1" customWidth="1"/>
    <col min="32" max="32" width="11.25" style="380" bestFit="1" customWidth="1"/>
    <col min="33" max="33" width="11.875" style="380" bestFit="1" customWidth="1"/>
    <col min="34" max="34" width="20.625" style="380" bestFit="1" customWidth="1"/>
    <col min="35" max="35" width="7.875" style="380" bestFit="1" customWidth="1"/>
    <col min="36" max="36" width="10.625" style="380" bestFit="1" customWidth="1"/>
    <col min="37" max="37" width="11.875" style="380" bestFit="1" customWidth="1"/>
    <col min="38" max="38" width="20.625" style="380" bestFit="1" customWidth="1"/>
    <col min="39" max="39" width="7.875" style="380" bestFit="1" customWidth="1"/>
    <col min="40" max="40" width="10.625" style="380" bestFit="1" customWidth="1"/>
    <col min="41" max="41" width="12" style="380" bestFit="1" customWidth="1"/>
    <col min="42" max="42" width="20.625" style="380" bestFit="1" customWidth="1"/>
    <col min="43" max="43" width="7.875" style="380" bestFit="1" customWidth="1"/>
    <col min="44" max="44" width="11.25" style="380" bestFit="1" customWidth="1"/>
    <col min="45" max="45" width="11.875" style="380" bestFit="1" customWidth="1"/>
    <col min="46" max="46" width="20.625" style="380" bestFit="1" customWidth="1"/>
    <col min="47" max="47" width="8.5" style="380" bestFit="1" customWidth="1"/>
    <col min="48" max="48" width="11.25" style="380" bestFit="1" customWidth="1"/>
    <col min="49" max="49" width="11.875" style="380" bestFit="1" customWidth="1"/>
    <col min="50" max="50" width="20.625" style="380" bestFit="1" customWidth="1"/>
    <col min="51" max="51" width="7.875" style="380" bestFit="1" customWidth="1"/>
    <col min="52" max="52" width="10.625" style="380" bestFit="1" customWidth="1"/>
    <col min="53" max="53" width="11.875" style="380" bestFit="1" customWidth="1"/>
    <col min="54" max="54" width="20.625" style="380" bestFit="1" customWidth="1"/>
    <col min="55" max="55" width="7.875" style="380" bestFit="1" customWidth="1"/>
    <col min="56" max="56" width="10.625" style="380" bestFit="1" customWidth="1"/>
    <col min="57" max="57" width="11.875" style="380" bestFit="1" customWidth="1"/>
    <col min="58" max="58" width="20.625" style="380" bestFit="1" customWidth="1"/>
    <col min="59" max="59" width="7.875" style="380" bestFit="1" customWidth="1"/>
    <col min="60" max="60" width="10.625" style="380" bestFit="1" customWidth="1"/>
    <col min="61" max="61" width="11.875" style="380" bestFit="1" customWidth="1"/>
    <col min="62" max="62" width="20.625" style="380" bestFit="1" customWidth="1"/>
    <col min="63" max="63" width="7.875" style="380" bestFit="1" customWidth="1"/>
    <col min="64" max="64" width="11.25" style="380" bestFit="1" customWidth="1"/>
    <col min="65" max="65" width="11.875" style="380" bestFit="1" customWidth="1"/>
    <col min="66" max="66" width="20.625" style="380" bestFit="1" customWidth="1"/>
    <col min="67" max="67" width="8.5" style="380" bestFit="1" customWidth="1"/>
    <col min="68" max="68" width="10.625" style="380" bestFit="1" customWidth="1"/>
    <col min="69" max="69" width="11.875" style="380" bestFit="1" customWidth="1"/>
    <col min="70" max="70" width="20.625" style="380" bestFit="1" customWidth="1"/>
    <col min="71" max="72" width="8.5" style="380" bestFit="1" customWidth="1"/>
    <col min="73" max="73" width="11.875" style="380" bestFit="1" customWidth="1"/>
    <col min="74" max="74" width="20.625" style="380" bestFit="1" customWidth="1"/>
    <col min="75" max="75" width="7.875" style="380" bestFit="1" customWidth="1"/>
    <col min="76" max="76" width="11.25" style="380" bestFit="1" customWidth="1"/>
    <col min="77" max="77" width="11.875" style="380" bestFit="1" customWidth="1"/>
    <col min="78" max="78" width="20.625" style="380" bestFit="1" customWidth="1"/>
    <col min="79" max="79" width="7.875" style="380" bestFit="1" customWidth="1"/>
    <col min="80" max="80" width="10.625" style="380" bestFit="1" customWidth="1"/>
    <col min="81" max="81" width="11.875" style="380" bestFit="1" customWidth="1"/>
    <col min="82" max="82" width="20.625" style="380" bestFit="1" customWidth="1"/>
    <col min="83" max="83" width="7.875" style="380" bestFit="1" customWidth="1"/>
    <col min="84" max="84" width="10.625" style="380" bestFit="1" customWidth="1"/>
    <col min="85" max="85" width="11.875" style="380" bestFit="1" customWidth="1"/>
    <col min="86" max="86" width="20.625" style="380" bestFit="1" customWidth="1"/>
    <col min="87" max="87" width="7.875" style="380" bestFit="1" customWidth="1"/>
    <col min="88" max="88" width="11.25" style="380" bestFit="1" customWidth="1"/>
    <col min="89" max="89" width="13.125" style="380" bestFit="1" customWidth="1"/>
    <col min="90" max="90" width="20.625" style="380" bestFit="1" customWidth="1"/>
    <col min="91" max="91" width="8.5" style="380" bestFit="1" customWidth="1"/>
    <col min="92" max="92" width="10.625" style="380" bestFit="1" customWidth="1"/>
    <col min="93" max="93" width="11.875" style="380" bestFit="1" customWidth="1"/>
    <col min="94" max="94" width="20.625" style="380" bestFit="1" customWidth="1"/>
    <col min="95" max="95" width="7.875" style="380" bestFit="1" customWidth="1"/>
    <col min="96" max="96" width="11.25" style="380" bestFit="1" customWidth="1"/>
    <col min="97" max="97" width="12.25" style="380" customWidth="1"/>
    <col min="98" max="98" width="20.625" style="380" bestFit="1" customWidth="1"/>
    <col min="99" max="99" width="8.5" style="380" bestFit="1" customWidth="1"/>
    <col min="100" max="100" width="11.25" style="380" bestFit="1" customWidth="1"/>
    <col min="101" max="101" width="12" style="380" bestFit="1" customWidth="1"/>
    <col min="102" max="102" width="20.625" style="380" bestFit="1" customWidth="1"/>
    <col min="103" max="103" width="7.875" style="380" bestFit="1" customWidth="1"/>
    <col min="104" max="104" width="10.625" style="380" bestFit="1" customWidth="1"/>
    <col min="105" max="105" width="12.75" style="380" bestFit="1" customWidth="1"/>
    <col min="106" max="106" width="20.625" style="380" bestFit="1" customWidth="1"/>
    <col min="107" max="107" width="7.875" style="380" bestFit="1" customWidth="1"/>
    <col min="108" max="108" width="11.25" style="380" bestFit="1" customWidth="1"/>
    <col min="109" max="109" width="12.5" style="380" bestFit="1" customWidth="1"/>
    <col min="110" max="110" width="20.625" style="380" bestFit="1" customWidth="1"/>
    <col min="111" max="111" width="7.875" style="380" bestFit="1" customWidth="1"/>
    <col min="112" max="112" width="10.625" style="380" bestFit="1" customWidth="1"/>
    <col min="113" max="113" width="11.875" style="380" bestFit="1" customWidth="1"/>
    <col min="114" max="114" width="20.625" style="380" bestFit="1" customWidth="1"/>
    <col min="115" max="115" width="8.5" style="380" bestFit="1" customWidth="1"/>
    <col min="116" max="116" width="11.25" style="380" bestFit="1" customWidth="1"/>
    <col min="117" max="117" width="12.625" style="380" bestFit="1" customWidth="1"/>
    <col min="118" max="118" width="20.625" style="380" bestFit="1" customWidth="1"/>
    <col min="119" max="119" width="8.5" style="380" bestFit="1" customWidth="1"/>
    <col min="120" max="120" width="10.625" style="380" bestFit="1" customWidth="1"/>
    <col min="121" max="121" width="12.5" style="380" bestFit="1" customWidth="1"/>
    <col min="122" max="122" width="20.625" style="380" bestFit="1" customWidth="1"/>
    <col min="123" max="123" width="8.5" style="380" bestFit="1" customWidth="1"/>
    <col min="124" max="124" width="11.25" style="380" bestFit="1" customWidth="1"/>
    <col min="125" max="125" width="12" style="380" bestFit="1" customWidth="1"/>
    <col min="126" max="126" width="20.625" style="380" bestFit="1" customWidth="1"/>
    <col min="127" max="127" width="7.875" style="380" bestFit="1" customWidth="1"/>
    <col min="128" max="128" width="10.625" style="380" bestFit="1" customWidth="1"/>
    <col min="129" max="129" width="11.875" style="380" bestFit="1" customWidth="1"/>
    <col min="130" max="130" width="20.625" style="380" bestFit="1" customWidth="1"/>
    <col min="131" max="131" width="7.875" style="380" bestFit="1" customWidth="1"/>
    <col min="132" max="132" width="10.625" style="380" bestFit="1" customWidth="1"/>
    <col min="133" max="133" width="11.875" style="380" bestFit="1" customWidth="1"/>
    <col min="134" max="134" width="20.625" style="380" bestFit="1" customWidth="1"/>
    <col min="135" max="135" width="7.875" style="380" bestFit="1" customWidth="1"/>
    <col min="136" max="136" width="11.25" style="380" bestFit="1" customWidth="1"/>
    <col min="137" max="137" width="11.875" style="380" bestFit="1" customWidth="1"/>
    <col min="138" max="138" width="20.625" style="380" bestFit="1" customWidth="1"/>
    <col min="139" max="139" width="7.875" style="380" bestFit="1" customWidth="1"/>
    <col min="140" max="140" width="11.25" style="380" bestFit="1" customWidth="1"/>
    <col min="141" max="141" width="11.875" style="380" bestFit="1" customWidth="1"/>
    <col min="142" max="142" width="20.625" style="380" bestFit="1" customWidth="1"/>
    <col min="143" max="143" width="8.5" style="380" bestFit="1" customWidth="1"/>
    <col min="144" max="144" width="10.625" style="380" bestFit="1" customWidth="1"/>
    <col min="145" max="145" width="11.875" style="380" bestFit="1" customWidth="1"/>
    <col min="146" max="146" width="20.625" style="380" bestFit="1" customWidth="1"/>
    <col min="147" max="147" width="7.875" style="380" bestFit="1" customWidth="1"/>
    <col min="148" max="148" width="10.625" style="380" bestFit="1" customWidth="1"/>
    <col min="149" max="149" width="11.875" style="380" customWidth="1"/>
    <col min="150" max="150" width="20.625" style="380" bestFit="1" customWidth="1"/>
    <col min="151" max="151" width="7.875" style="380" bestFit="1" customWidth="1"/>
    <col min="152" max="152" width="11.25" style="380" bestFit="1" customWidth="1"/>
    <col min="153" max="153" width="11.875" style="380" bestFit="1" customWidth="1"/>
    <col min="154" max="154" width="20.625" style="380" bestFit="1" customWidth="1"/>
    <col min="155" max="155" width="7.875" style="380" bestFit="1" customWidth="1"/>
    <col min="156" max="156" width="11.25" style="380" bestFit="1" customWidth="1"/>
    <col min="157" max="157" width="12" style="380" bestFit="1" customWidth="1"/>
    <col min="158" max="158" width="20.625" style="380" bestFit="1" customWidth="1"/>
    <col min="159" max="159" width="8.5" style="380" bestFit="1" customWidth="1"/>
    <col min="160" max="160" width="10.625" style="380" bestFit="1" customWidth="1"/>
    <col min="161" max="161" width="11.875" style="380" bestFit="1" customWidth="1"/>
    <col min="162" max="162" width="20.625" style="380" bestFit="1" customWidth="1"/>
    <col min="163" max="163" width="7.875" style="380" bestFit="1" customWidth="1"/>
    <col min="164" max="164" width="11.25" style="380" bestFit="1" customWidth="1"/>
    <col min="165" max="165" width="12.25" style="380" bestFit="1" customWidth="1"/>
    <col min="166" max="166" width="20.625" style="380" bestFit="1" customWidth="1"/>
    <col min="167" max="167" width="7.875" style="380" bestFit="1" customWidth="1"/>
    <col min="168" max="168" width="10.625" style="380" bestFit="1" customWidth="1"/>
    <col min="169" max="169" width="11.875" style="380" bestFit="1" customWidth="1"/>
    <col min="170" max="170" width="20.625" style="380" bestFit="1" customWidth="1"/>
    <col min="171" max="171" width="7.875" style="380" bestFit="1" customWidth="1"/>
    <col min="172" max="172" width="11.25" style="380" bestFit="1" customWidth="1"/>
    <col min="173" max="173" width="11.875" style="380" bestFit="1" customWidth="1"/>
    <col min="174" max="174" width="20.625" style="380" bestFit="1" customWidth="1"/>
    <col min="175" max="175" width="7.875" style="380" bestFit="1" customWidth="1"/>
    <col min="176" max="176" width="10.625" style="380" bestFit="1" customWidth="1"/>
    <col min="177" max="177" width="12" style="380" bestFit="1" customWidth="1"/>
    <col min="178" max="178" width="20.625" style="380" bestFit="1" customWidth="1"/>
    <col min="179" max="179" width="7.875" style="380" bestFit="1" customWidth="1"/>
    <col min="180" max="180" width="10.625" style="380" bestFit="1" customWidth="1"/>
    <col min="181" max="181" width="10.625" style="381" customWidth="1"/>
    <col min="182" max="184" width="10.625" style="380" customWidth="1"/>
    <col min="185" max="185" width="11.875" style="380" bestFit="1" customWidth="1"/>
    <col min="186" max="186" width="20.625" style="380" bestFit="1" customWidth="1"/>
    <col min="187" max="187" width="7.875" style="380" bestFit="1" customWidth="1"/>
    <col min="188" max="188" width="10.625" style="380" bestFit="1" customWidth="1"/>
    <col min="189" max="189" width="11.875" style="380" bestFit="1" customWidth="1"/>
    <col min="190" max="190" width="20.625" style="380" bestFit="1" customWidth="1"/>
    <col min="191" max="191" width="8.5" style="380" bestFit="1" customWidth="1"/>
    <col min="192" max="192" width="10.625" style="380" bestFit="1" customWidth="1"/>
    <col min="193" max="193" width="12.875" style="380" bestFit="1" customWidth="1"/>
    <col min="194" max="194" width="20.625" style="380" bestFit="1" customWidth="1"/>
    <col min="195" max="195" width="7.875" style="380" bestFit="1" customWidth="1"/>
    <col min="196" max="196" width="10.625" style="380" bestFit="1" customWidth="1"/>
    <col min="197" max="197" width="11.875" style="380" bestFit="1" customWidth="1"/>
    <col min="198" max="198" width="20.625" style="380" bestFit="1" customWidth="1"/>
    <col min="199" max="199" width="7.875" style="380" bestFit="1" customWidth="1"/>
    <col min="200" max="200" width="10.625" style="380" bestFit="1" customWidth="1"/>
    <col min="201" max="201" width="10.5" style="380" bestFit="1" customWidth="1"/>
    <col min="202" max="202" width="20.5" style="380" bestFit="1" customWidth="1"/>
    <col min="203" max="203" width="7.75" style="380" bestFit="1" customWidth="1"/>
    <col min="204" max="204" width="10.5" style="380" bestFit="1" customWidth="1"/>
    <col min="205" max="205" width="12.125" style="380" bestFit="1" customWidth="1"/>
    <col min="206" max="206" width="20.5" style="380" bestFit="1" customWidth="1"/>
    <col min="207" max="207" width="7.75" style="380" bestFit="1" customWidth="1"/>
    <col min="208" max="208" width="10.5" style="380" bestFit="1" customWidth="1"/>
    <col min="209" max="209" width="11.25" style="380" bestFit="1" customWidth="1"/>
    <col min="210" max="210" width="20.5" style="380" bestFit="1" customWidth="1"/>
    <col min="211" max="211" width="8.375" style="380" bestFit="1" customWidth="1"/>
    <col min="212" max="212" width="10.5" style="380" bestFit="1" customWidth="1"/>
    <col min="213" max="213" width="11.5" style="380" bestFit="1" customWidth="1"/>
    <col min="214" max="214" width="20.5" style="380" bestFit="1" customWidth="1"/>
    <col min="215" max="215" width="7.75" style="380" bestFit="1" customWidth="1"/>
    <col min="216" max="216" width="10.5" style="380" bestFit="1" customWidth="1"/>
    <col min="217" max="217" width="12.125" style="380" bestFit="1" customWidth="1"/>
    <col min="218" max="218" width="20.5" style="380" bestFit="1" customWidth="1"/>
    <col min="219" max="219" width="7.75" style="380" bestFit="1" customWidth="1"/>
    <col min="220" max="220" width="10.5" style="380" bestFit="1" customWidth="1"/>
    <col min="221" max="221" width="12.125" style="380" bestFit="1" customWidth="1"/>
    <col min="222" max="222" width="20.5" style="380" bestFit="1" customWidth="1"/>
    <col min="223" max="223" width="7.75" style="380" customWidth="1"/>
    <col min="224" max="224" width="10.5" style="380" bestFit="1" customWidth="1"/>
    <col min="225" max="16384" width="9" style="380"/>
  </cols>
  <sheetData>
    <row r="2" spans="1:181">
      <c r="A2" s="834" t="s">
        <v>1546</v>
      </c>
      <c r="B2" s="834"/>
      <c r="C2" s="834"/>
      <c r="D2" s="834"/>
      <c r="E2" s="834"/>
      <c r="F2" s="834"/>
      <c r="G2" s="834"/>
      <c r="H2" s="834"/>
      <c r="I2" s="834"/>
      <c r="J2" s="834"/>
      <c r="K2" s="834"/>
    </row>
    <row r="4" spans="1:181" ht="14.25">
      <c r="A4" s="784" t="s">
        <v>1547</v>
      </c>
      <c r="B4" s="385"/>
      <c r="C4" s="385"/>
      <c r="D4" s="385"/>
      <c r="E4" s="385" t="s">
        <v>1548</v>
      </c>
      <c r="F4" s="385"/>
      <c r="G4" s="385"/>
      <c r="H4" s="385"/>
      <c r="I4" s="784" t="s">
        <v>1550</v>
      </c>
      <c r="J4" s="385"/>
      <c r="K4" s="385"/>
      <c r="L4" s="385"/>
      <c r="M4" s="385" t="s">
        <v>1551</v>
      </c>
      <c r="N4" s="385"/>
      <c r="O4" s="385"/>
      <c r="P4" s="385"/>
      <c r="Q4" s="385" t="s">
        <v>1552</v>
      </c>
      <c r="R4" s="385"/>
      <c r="S4" s="385"/>
      <c r="T4" s="385"/>
      <c r="U4" s="784" t="s">
        <v>1553</v>
      </c>
      <c r="V4" s="385"/>
      <c r="W4" s="385"/>
      <c r="X4" s="385"/>
      <c r="Y4" s="784" t="s">
        <v>1554</v>
      </c>
      <c r="Z4" s="385"/>
      <c r="AA4" s="385"/>
      <c r="AB4" s="385"/>
      <c r="AC4" s="385" t="s">
        <v>1555</v>
      </c>
      <c r="AD4" s="385"/>
      <c r="AE4" s="385"/>
      <c r="AF4" s="385"/>
      <c r="AG4" s="784" t="s">
        <v>1549</v>
      </c>
      <c r="AH4" s="385"/>
      <c r="AI4" s="385"/>
      <c r="AJ4" s="385"/>
      <c r="AK4" s="784" t="s">
        <v>1556</v>
      </c>
      <c r="AL4" s="385"/>
      <c r="AM4" s="385"/>
      <c r="AN4" s="385"/>
      <c r="FY4" s="380"/>
    </row>
    <row r="5" spans="1:181" ht="14.25">
      <c r="A5" s="385" t="s">
        <v>1182</v>
      </c>
      <c r="B5" s="385" t="s">
        <v>1557</v>
      </c>
      <c r="C5" s="385" t="s">
        <v>1558</v>
      </c>
      <c r="D5" s="385" t="s">
        <v>1559</v>
      </c>
      <c r="E5" s="385" t="s">
        <v>1182</v>
      </c>
      <c r="F5" s="385" t="s">
        <v>1557</v>
      </c>
      <c r="G5" s="385" t="s">
        <v>1558</v>
      </c>
      <c r="H5" s="385" t="s">
        <v>1559</v>
      </c>
      <c r="I5" s="385" t="s">
        <v>1182</v>
      </c>
      <c r="J5" s="385" t="s">
        <v>1557</v>
      </c>
      <c r="K5" s="385" t="s">
        <v>1558</v>
      </c>
      <c r="L5" s="385" t="s">
        <v>1559</v>
      </c>
      <c r="M5" s="385" t="s">
        <v>1182</v>
      </c>
      <c r="N5" s="385" t="s">
        <v>1557</v>
      </c>
      <c r="O5" s="385" t="s">
        <v>1558</v>
      </c>
      <c r="P5" s="385" t="s">
        <v>1559</v>
      </c>
      <c r="Q5" s="385" t="s">
        <v>1182</v>
      </c>
      <c r="R5" s="385" t="s">
        <v>1557</v>
      </c>
      <c r="S5" s="385" t="s">
        <v>1558</v>
      </c>
      <c r="T5" s="385" t="s">
        <v>1559</v>
      </c>
      <c r="U5" s="385" t="s">
        <v>1182</v>
      </c>
      <c r="V5" s="385" t="s">
        <v>1557</v>
      </c>
      <c r="W5" s="385" t="s">
        <v>1558</v>
      </c>
      <c r="X5" s="385" t="s">
        <v>1559</v>
      </c>
      <c r="Y5" s="385" t="s">
        <v>1182</v>
      </c>
      <c r="Z5" s="385" t="s">
        <v>1557</v>
      </c>
      <c r="AA5" s="385" t="s">
        <v>1558</v>
      </c>
      <c r="AB5" s="385" t="s">
        <v>1559</v>
      </c>
      <c r="AC5" s="385" t="s">
        <v>1182</v>
      </c>
      <c r="AD5" s="385" t="s">
        <v>1557</v>
      </c>
      <c r="AE5" s="385" t="s">
        <v>1558</v>
      </c>
      <c r="AF5" s="385" t="s">
        <v>1559</v>
      </c>
      <c r="AG5" s="385" t="s">
        <v>1182</v>
      </c>
      <c r="AH5" s="385" t="s">
        <v>1557</v>
      </c>
      <c r="AI5" s="385" t="s">
        <v>1558</v>
      </c>
      <c r="AJ5" s="385" t="s">
        <v>1559</v>
      </c>
      <c r="AK5" s="385" t="s">
        <v>1182</v>
      </c>
      <c r="AL5" s="385" t="s">
        <v>1557</v>
      </c>
      <c r="AM5" s="385" t="s">
        <v>1558</v>
      </c>
      <c r="AN5" s="385" t="s">
        <v>1559</v>
      </c>
      <c r="FY5" s="380"/>
    </row>
    <row r="6" spans="1:181" ht="14.25">
      <c r="A6" s="386">
        <v>33238</v>
      </c>
      <c r="B6" s="385">
        <v>0.98</v>
      </c>
      <c r="C6" s="385">
        <v>0.77329999999999999</v>
      </c>
      <c r="D6" s="385">
        <f>C6/B6</f>
        <v>0.78908163265306119</v>
      </c>
      <c r="E6" s="386">
        <v>33238</v>
      </c>
      <c r="F6" s="385">
        <v>0.60670000000000002</v>
      </c>
      <c r="G6" s="385">
        <v>0.56779999999999997</v>
      </c>
      <c r="H6" s="385">
        <f>G6/F6</f>
        <v>0.93588264381077957</v>
      </c>
      <c r="I6" s="386">
        <v>33238</v>
      </c>
      <c r="J6" s="385">
        <v>0.21560000000000001</v>
      </c>
      <c r="K6" s="385">
        <v>0.32</v>
      </c>
      <c r="L6" s="385">
        <f>K6/J6</f>
        <v>1.484230055658627</v>
      </c>
      <c r="M6" s="386">
        <v>33238</v>
      </c>
      <c r="N6" s="385">
        <v>0.59050000000000002</v>
      </c>
      <c r="O6" s="385">
        <v>0.52</v>
      </c>
      <c r="P6" s="385">
        <f>O6/N6</f>
        <v>0.88060965283657922</v>
      </c>
      <c r="Q6" s="386">
        <v>33238</v>
      </c>
      <c r="R6" s="385">
        <v>1.5867</v>
      </c>
      <c r="S6" s="385">
        <v>1.1000000000000001</v>
      </c>
      <c r="T6" s="385">
        <f>S6/R6</f>
        <v>0.69326274658095421</v>
      </c>
      <c r="U6" s="386">
        <v>41639</v>
      </c>
      <c r="V6" s="385" t="s">
        <v>1560</v>
      </c>
      <c r="W6" s="385">
        <v>0</v>
      </c>
      <c r="X6" s="385"/>
      <c r="Y6" s="386">
        <v>33238</v>
      </c>
      <c r="Z6" s="385">
        <v>0.33329999999999999</v>
      </c>
      <c r="AA6" s="385">
        <v>0.35049999999999998</v>
      </c>
      <c r="AB6" s="385">
        <f>AA6/Z6</f>
        <v>1.0516051605160517</v>
      </c>
      <c r="AC6" s="386">
        <v>33969</v>
      </c>
      <c r="AD6" s="385">
        <v>0.81</v>
      </c>
      <c r="AE6" s="385">
        <v>0.7</v>
      </c>
      <c r="AF6" s="385">
        <f>AE6/AD6</f>
        <v>0.86419753086419737</v>
      </c>
      <c r="AG6" s="386">
        <v>33238</v>
      </c>
      <c r="AH6" s="385">
        <v>1.1850000000000001</v>
      </c>
      <c r="AI6" s="385">
        <v>1.18</v>
      </c>
      <c r="AJ6" s="385">
        <f>AI6/AH6</f>
        <v>0.99578059071729952</v>
      </c>
      <c r="AK6" s="386">
        <v>33969</v>
      </c>
      <c r="AL6" s="385">
        <v>0.24440000000000001</v>
      </c>
      <c r="AM6" s="385">
        <v>0.28220000000000001</v>
      </c>
      <c r="AN6" s="385">
        <f>AM6/AL6</f>
        <v>1.1546644844517184</v>
      </c>
      <c r="AO6" s="381"/>
      <c r="AS6" s="381"/>
      <c r="AW6" s="381"/>
      <c r="BA6" s="381"/>
      <c r="BE6" s="381"/>
      <c r="BI6" s="381"/>
      <c r="FY6" s="380"/>
    </row>
    <row r="7" spans="1:181" ht="14.25">
      <c r="A7" s="386">
        <v>33603</v>
      </c>
      <c r="B7" s="385">
        <v>0.8</v>
      </c>
      <c r="C7" s="385">
        <v>0.8</v>
      </c>
      <c r="D7" s="385">
        <f t="shared" ref="D7:D34" si="0">C7/B7</f>
        <v>1</v>
      </c>
      <c r="E7" s="386">
        <v>33603</v>
      </c>
      <c r="F7" s="385">
        <v>0.49330000000000002</v>
      </c>
      <c r="G7" s="385">
        <v>0.57330000000000003</v>
      </c>
      <c r="H7" s="385">
        <f t="shared" ref="H7:H34" si="1">G7/F7</f>
        <v>1.1621731198053922</v>
      </c>
      <c r="I7" s="386">
        <v>33603</v>
      </c>
      <c r="J7" s="385">
        <v>0.18440000000000001</v>
      </c>
      <c r="K7" s="385">
        <v>0.33329999999999999</v>
      </c>
      <c r="L7" s="385">
        <f t="shared" ref="L7:L34" si="2">K7/J7</f>
        <v>1.8074837310195226</v>
      </c>
      <c r="M7" s="386">
        <v>33603</v>
      </c>
      <c r="N7" s="385">
        <v>0.97</v>
      </c>
      <c r="O7" s="385">
        <v>0.57999999999999996</v>
      </c>
      <c r="P7" s="385">
        <f t="shared" ref="P7:P34" si="3">O7/N7</f>
        <v>0.59793814432989689</v>
      </c>
      <c r="Q7" s="386">
        <v>33603</v>
      </c>
      <c r="R7" s="385">
        <v>0.67330000000000001</v>
      </c>
      <c r="S7" s="385">
        <v>1.1267</v>
      </c>
      <c r="T7" s="385">
        <f t="shared" ref="T7:T34" si="4">S7/R7</f>
        <v>1.6733996732511511</v>
      </c>
      <c r="U7" s="386">
        <v>42004</v>
      </c>
      <c r="V7" s="385">
        <v>2.0699999999999998</v>
      </c>
      <c r="W7" s="385">
        <v>0.84</v>
      </c>
      <c r="X7" s="385">
        <f t="shared" ref="X7:X11" si="5">W7/V7</f>
        <v>0.40579710144927539</v>
      </c>
      <c r="Y7" s="386">
        <v>33603</v>
      </c>
      <c r="Z7" s="385">
        <v>0.31859999999999999</v>
      </c>
      <c r="AA7" s="385">
        <v>0.35289999999999999</v>
      </c>
      <c r="AB7" s="385">
        <f t="shared" ref="AB7:AB34" si="6">AA7/Z7</f>
        <v>1.1076585059635906</v>
      </c>
      <c r="AC7" s="386">
        <v>34334</v>
      </c>
      <c r="AD7" s="385">
        <v>0.71</v>
      </c>
      <c r="AE7" s="385">
        <v>0.74</v>
      </c>
      <c r="AF7" s="385">
        <f t="shared" ref="AF7:AF32" si="7">AE7/AD7</f>
        <v>1.0422535211267605</v>
      </c>
      <c r="AG7" s="386">
        <v>33603</v>
      </c>
      <c r="AH7" s="385">
        <v>1.28</v>
      </c>
      <c r="AI7" s="385">
        <v>1.2</v>
      </c>
      <c r="AJ7" s="385">
        <f t="shared" ref="AJ7:AJ34" si="8">AI7/AH7</f>
        <v>0.9375</v>
      </c>
      <c r="AK7" s="386">
        <v>34334</v>
      </c>
      <c r="AL7" s="385">
        <v>0.2089</v>
      </c>
      <c r="AM7" s="385">
        <v>0.29330000000000001</v>
      </c>
      <c r="AN7" s="385">
        <f t="shared" ref="AN7:AN30" si="9">AM7/AL7</f>
        <v>1.4040210627094303</v>
      </c>
      <c r="AO7" s="381"/>
      <c r="AS7" s="381"/>
      <c r="AW7" s="381"/>
      <c r="BA7" s="381"/>
      <c r="BE7" s="381"/>
      <c r="BI7" s="381"/>
      <c r="FY7" s="380"/>
    </row>
    <row r="8" spans="1:181" ht="14.25">
      <c r="A8" s="386">
        <v>33969</v>
      </c>
      <c r="B8" s="385">
        <v>0.97330000000000005</v>
      </c>
      <c r="C8" s="385">
        <v>0.82669999999999999</v>
      </c>
      <c r="D8" s="385">
        <f t="shared" si="0"/>
        <v>0.84937840336997839</v>
      </c>
      <c r="E8" s="386">
        <v>33969</v>
      </c>
      <c r="F8" s="385">
        <v>0.67330000000000001</v>
      </c>
      <c r="G8" s="385">
        <v>0.57330000000000003</v>
      </c>
      <c r="H8" s="385">
        <f t="shared" si="1"/>
        <v>0.85147779593049167</v>
      </c>
      <c r="I8" s="386">
        <v>33969</v>
      </c>
      <c r="J8" s="385">
        <v>0.3644</v>
      </c>
      <c r="K8" s="385">
        <v>0.33779999999999999</v>
      </c>
      <c r="L8" s="385">
        <f t="shared" si="2"/>
        <v>0.92700329308452245</v>
      </c>
      <c r="M8" s="386">
        <v>33969</v>
      </c>
      <c r="N8" s="385">
        <v>1</v>
      </c>
      <c r="O8" s="385">
        <v>0.62</v>
      </c>
      <c r="P8" s="385">
        <f t="shared" si="3"/>
        <v>0.62</v>
      </c>
      <c r="Q8" s="386">
        <v>33969</v>
      </c>
      <c r="R8" s="385">
        <v>0.74</v>
      </c>
      <c r="S8" s="385">
        <v>1.1467000000000001</v>
      </c>
      <c r="T8" s="385">
        <f t="shared" si="4"/>
        <v>1.5495945945945946</v>
      </c>
      <c r="U8" s="386">
        <v>42369</v>
      </c>
      <c r="V8" s="385">
        <v>2.2400000000000002</v>
      </c>
      <c r="W8" s="385">
        <v>1.2</v>
      </c>
      <c r="X8" s="385">
        <f t="shared" si="5"/>
        <v>0.5357142857142857</v>
      </c>
      <c r="Y8" s="386">
        <v>33969</v>
      </c>
      <c r="Z8" s="385">
        <v>0.39460000000000001</v>
      </c>
      <c r="AA8" s="385">
        <v>0.35289999999999999</v>
      </c>
      <c r="AB8" s="385">
        <f t="shared" si="6"/>
        <v>0.89432336543335023</v>
      </c>
      <c r="AC8" s="386">
        <v>34698</v>
      </c>
      <c r="AD8" s="385">
        <v>1.22</v>
      </c>
      <c r="AE8" s="385">
        <v>0.8</v>
      </c>
      <c r="AF8" s="385">
        <f t="shared" si="7"/>
        <v>0.65573770491803285</v>
      </c>
      <c r="AG8" s="386">
        <v>33969</v>
      </c>
      <c r="AH8" s="385">
        <v>1.165</v>
      </c>
      <c r="AI8" s="385">
        <v>1.2</v>
      </c>
      <c r="AJ8" s="385">
        <f t="shared" si="8"/>
        <v>1.0300429184549356</v>
      </c>
      <c r="AK8" s="386">
        <v>34698</v>
      </c>
      <c r="AL8" s="385">
        <v>0.31109999999999999</v>
      </c>
      <c r="AM8" s="385">
        <v>0.30220000000000002</v>
      </c>
      <c r="AN8" s="385">
        <f t="shared" si="9"/>
        <v>0.97139183542269381</v>
      </c>
      <c r="AO8" s="381"/>
      <c r="AS8" s="381"/>
      <c r="AW8" s="381"/>
      <c r="BA8" s="381"/>
      <c r="BE8" s="381"/>
      <c r="BI8" s="381"/>
      <c r="FY8" s="380"/>
    </row>
    <row r="9" spans="1:181" ht="14.25">
      <c r="A9" s="386">
        <v>34334</v>
      </c>
      <c r="B9" s="385">
        <v>1.22</v>
      </c>
      <c r="C9" s="385">
        <v>0.85329999999999995</v>
      </c>
      <c r="D9" s="385">
        <f t="shared" si="0"/>
        <v>0.69942622950819666</v>
      </c>
      <c r="E9" s="386">
        <v>34334</v>
      </c>
      <c r="F9" s="385">
        <v>0.73329999999999995</v>
      </c>
      <c r="G9" s="385">
        <v>0.57330000000000003</v>
      </c>
      <c r="H9" s="385">
        <f t="shared" si="1"/>
        <v>0.78180826401200065</v>
      </c>
      <c r="I9" s="386">
        <v>34334</v>
      </c>
      <c r="J9" s="385">
        <v>0.38219999999999998</v>
      </c>
      <c r="K9" s="385">
        <v>0.33779999999999999</v>
      </c>
      <c r="L9" s="385">
        <f t="shared" si="2"/>
        <v>0.8838304552590267</v>
      </c>
      <c r="M9" s="386">
        <v>34334</v>
      </c>
      <c r="N9" s="385">
        <v>1.18</v>
      </c>
      <c r="O9" s="385">
        <v>0.66</v>
      </c>
      <c r="P9" s="385">
        <f t="shared" si="3"/>
        <v>0.55932203389830515</v>
      </c>
      <c r="Q9" s="386">
        <v>34334</v>
      </c>
      <c r="R9" s="385">
        <v>1.74</v>
      </c>
      <c r="S9" s="385">
        <v>1.1667000000000001</v>
      </c>
      <c r="T9" s="385">
        <f t="shared" si="4"/>
        <v>0.67051724137931035</v>
      </c>
      <c r="U9" s="386">
        <v>42734</v>
      </c>
      <c r="V9" s="385">
        <v>2.65</v>
      </c>
      <c r="W9" s="385">
        <v>1.4</v>
      </c>
      <c r="X9" s="385">
        <f t="shared" si="5"/>
        <v>0.52830188679245282</v>
      </c>
      <c r="Y9" s="386">
        <v>34334</v>
      </c>
      <c r="Z9" s="385">
        <v>0.39750000000000002</v>
      </c>
      <c r="AA9" s="385">
        <v>0.35820000000000002</v>
      </c>
      <c r="AB9" s="385">
        <f t="shared" si="6"/>
        <v>0.90113207547169816</v>
      </c>
      <c r="AC9" s="386">
        <v>35062</v>
      </c>
      <c r="AD9" s="385">
        <v>-0.66</v>
      </c>
      <c r="AE9" s="385">
        <v>0.82</v>
      </c>
      <c r="AF9" s="385">
        <f t="shared" si="7"/>
        <v>-1.2424242424242422</v>
      </c>
      <c r="AG9" s="386">
        <v>34334</v>
      </c>
      <c r="AH9" s="385">
        <v>1.6099999999999999</v>
      </c>
      <c r="AI9" s="385">
        <v>1.2150000000000001</v>
      </c>
      <c r="AJ9" s="385">
        <f t="shared" si="8"/>
        <v>0.75465838509316785</v>
      </c>
      <c r="AK9" s="386">
        <v>35062</v>
      </c>
      <c r="AL9" s="385">
        <v>-5.7799999999999997E-2</v>
      </c>
      <c r="AM9" s="385">
        <v>0.23219999999999999</v>
      </c>
      <c r="AN9" s="385">
        <f t="shared" si="9"/>
        <v>-4.0173010380622838</v>
      </c>
      <c r="AO9" s="381"/>
      <c r="AS9" s="381"/>
      <c r="AW9" s="381"/>
      <c r="BA9" s="381"/>
      <c r="BE9" s="381"/>
      <c r="BI9" s="381"/>
      <c r="FY9" s="380"/>
    </row>
    <row r="10" spans="1:181" ht="14.25">
      <c r="A10" s="386">
        <v>34698</v>
      </c>
      <c r="B10" s="385">
        <v>0.97</v>
      </c>
      <c r="C10" s="385">
        <v>0.88</v>
      </c>
      <c r="D10" s="385">
        <f t="shared" si="0"/>
        <v>0.90721649484536082</v>
      </c>
      <c r="E10" s="386">
        <v>34698</v>
      </c>
      <c r="F10" s="385">
        <v>0.8</v>
      </c>
      <c r="G10" s="385">
        <v>0.5867</v>
      </c>
      <c r="H10" s="385">
        <f t="shared" si="1"/>
        <v>0.733375</v>
      </c>
      <c r="I10" s="386">
        <v>34698</v>
      </c>
      <c r="J10" s="385">
        <v>0.4289</v>
      </c>
      <c r="K10" s="385">
        <v>0.33779999999999999</v>
      </c>
      <c r="L10" s="385">
        <f t="shared" si="2"/>
        <v>0.78759617626486356</v>
      </c>
      <c r="M10" s="386">
        <v>34698</v>
      </c>
      <c r="N10" s="385">
        <v>1.24</v>
      </c>
      <c r="O10" s="385">
        <v>0.72</v>
      </c>
      <c r="P10" s="385">
        <f t="shared" si="3"/>
        <v>0.58064516129032251</v>
      </c>
      <c r="Q10" s="386">
        <v>34698</v>
      </c>
      <c r="R10" s="385">
        <v>1.6267</v>
      </c>
      <c r="S10" s="385">
        <v>1.1733</v>
      </c>
      <c r="T10" s="385">
        <f t="shared" si="4"/>
        <v>0.72127620335648857</v>
      </c>
      <c r="U10" s="386">
        <v>43098</v>
      </c>
      <c r="V10" s="385">
        <v>3.08</v>
      </c>
      <c r="W10" s="385">
        <v>1.6800000000000002</v>
      </c>
      <c r="X10" s="385">
        <f t="shared" si="5"/>
        <v>0.54545454545454553</v>
      </c>
      <c r="Y10" s="386">
        <v>34698</v>
      </c>
      <c r="Z10" s="385">
        <v>0.30249999999999999</v>
      </c>
      <c r="AA10" s="385">
        <v>0.36</v>
      </c>
      <c r="AB10" s="385">
        <f t="shared" si="6"/>
        <v>1.1900826446280992</v>
      </c>
      <c r="AC10" s="386">
        <v>35430</v>
      </c>
      <c r="AD10" s="385">
        <v>0.25</v>
      </c>
      <c r="AE10" s="385">
        <v>0.82</v>
      </c>
      <c r="AF10" s="385">
        <f t="shared" si="7"/>
        <v>3.28</v>
      </c>
      <c r="AG10" s="386">
        <v>34698</v>
      </c>
      <c r="AH10" s="385">
        <v>1.42</v>
      </c>
      <c r="AI10" s="385">
        <v>1.22</v>
      </c>
      <c r="AJ10" s="385">
        <f t="shared" si="8"/>
        <v>0.85915492957746487</v>
      </c>
      <c r="AK10" s="386">
        <v>35430</v>
      </c>
      <c r="AL10" s="385">
        <v>0.26440000000000002</v>
      </c>
      <c r="AM10" s="385">
        <v>0.31330000000000002</v>
      </c>
      <c r="AN10" s="385">
        <f t="shared" si="9"/>
        <v>1.1849470499243571</v>
      </c>
      <c r="AO10" s="381"/>
      <c r="AS10" s="381"/>
      <c r="AW10" s="381"/>
      <c r="BA10" s="381"/>
      <c r="BE10" s="381"/>
      <c r="BI10" s="381"/>
      <c r="FY10" s="380"/>
    </row>
    <row r="11" spans="1:181" ht="14.25">
      <c r="A11" s="386">
        <v>35062</v>
      </c>
      <c r="B11" s="385">
        <v>1.22</v>
      </c>
      <c r="C11" s="385">
        <v>0.92</v>
      </c>
      <c r="D11" s="385">
        <f t="shared" si="0"/>
        <v>0.75409836065573776</v>
      </c>
      <c r="E11" s="386">
        <v>35062</v>
      </c>
      <c r="F11" s="385">
        <v>1.26</v>
      </c>
      <c r="G11" s="385">
        <v>0.6</v>
      </c>
      <c r="H11" s="385">
        <f t="shared" si="1"/>
        <v>0.47619047619047616</v>
      </c>
      <c r="I11" s="386">
        <v>35062</v>
      </c>
      <c r="J11" s="385">
        <v>0.31330000000000002</v>
      </c>
      <c r="K11" s="385">
        <v>0.33779999999999999</v>
      </c>
      <c r="L11" s="385">
        <f t="shared" si="2"/>
        <v>1.0781998084902649</v>
      </c>
      <c r="M11" s="386">
        <v>35062</v>
      </c>
      <c r="N11" s="385">
        <v>1.3599999999999999</v>
      </c>
      <c r="O11" s="385">
        <v>0.78</v>
      </c>
      <c r="P11" s="385">
        <f t="shared" si="3"/>
        <v>0.57352941176470595</v>
      </c>
      <c r="Q11" s="386">
        <v>35062</v>
      </c>
      <c r="R11" s="385">
        <v>1.6133</v>
      </c>
      <c r="S11" s="385">
        <v>1.18</v>
      </c>
      <c r="T11" s="385">
        <f t="shared" si="4"/>
        <v>0.73142007066261694</v>
      </c>
      <c r="U11" s="386">
        <v>43465</v>
      </c>
      <c r="V11" s="385">
        <v>3.25</v>
      </c>
      <c r="W11" s="385">
        <v>1.8399999999999999</v>
      </c>
      <c r="X11" s="385">
        <f t="shared" si="5"/>
        <v>0.56615384615384612</v>
      </c>
      <c r="Y11" s="386">
        <v>35062</v>
      </c>
      <c r="Z11" s="385">
        <v>0.41249999999999998</v>
      </c>
      <c r="AA11" s="385">
        <v>0.36</v>
      </c>
      <c r="AB11" s="385">
        <f t="shared" si="6"/>
        <v>0.8727272727272728</v>
      </c>
      <c r="AC11" s="386">
        <v>35795</v>
      </c>
      <c r="AD11">
        <v>0.25</v>
      </c>
      <c r="AE11">
        <v>0.82</v>
      </c>
      <c r="AF11" s="385">
        <f t="shared" si="7"/>
        <v>3.28</v>
      </c>
      <c r="AG11" s="386">
        <v>35062</v>
      </c>
      <c r="AH11" s="385">
        <v>1.27</v>
      </c>
      <c r="AI11" s="385">
        <v>1.24</v>
      </c>
      <c r="AJ11" s="385">
        <f t="shared" si="8"/>
        <v>0.97637795275590544</v>
      </c>
      <c r="AK11" s="386">
        <v>35795</v>
      </c>
      <c r="AL11" s="385">
        <v>0.34889999999999999</v>
      </c>
      <c r="AM11" s="385">
        <v>0.31780000000000003</v>
      </c>
      <c r="AN11" s="385">
        <f t="shared" si="9"/>
        <v>0.91086271137861863</v>
      </c>
      <c r="AO11" s="381"/>
      <c r="AS11" s="381"/>
      <c r="AW11" s="381"/>
      <c r="BA11" s="381"/>
      <c r="BE11" s="381"/>
      <c r="BI11" s="381"/>
      <c r="FY11" s="380"/>
    </row>
    <row r="12" spans="1:181" ht="14.25">
      <c r="A12" s="386">
        <v>35430</v>
      </c>
      <c r="B12" s="385">
        <v>1.42</v>
      </c>
      <c r="C12" s="385">
        <v>0.96</v>
      </c>
      <c r="D12" s="385">
        <f t="shared" si="0"/>
        <v>0.676056338028169</v>
      </c>
      <c r="E12" s="386">
        <v>35430</v>
      </c>
      <c r="F12" s="385">
        <v>1.1133</v>
      </c>
      <c r="G12" s="385">
        <v>0.62</v>
      </c>
      <c r="H12" s="385">
        <f t="shared" si="1"/>
        <v>0.55690290128446962</v>
      </c>
      <c r="I12" s="386">
        <v>35430</v>
      </c>
      <c r="J12" s="385">
        <v>0.45779999999999998</v>
      </c>
      <c r="K12" s="385">
        <v>0.34439999999999998</v>
      </c>
      <c r="L12" s="385">
        <f t="shared" si="2"/>
        <v>0.75229357798165142</v>
      </c>
      <c r="M12" s="386">
        <v>35430</v>
      </c>
      <c r="N12" s="385">
        <v>1.44</v>
      </c>
      <c r="O12" s="385">
        <v>0.84</v>
      </c>
      <c r="P12" s="385">
        <f t="shared" si="3"/>
        <v>0.58333333333333337</v>
      </c>
      <c r="Q12" s="386">
        <v>35430</v>
      </c>
      <c r="R12" s="385">
        <v>1.94</v>
      </c>
      <c r="S12" s="385">
        <v>1.2</v>
      </c>
      <c r="T12" s="385">
        <f t="shared" si="4"/>
        <v>0.61855670103092786</v>
      </c>
      <c r="U12" s="385"/>
      <c r="V12" s="385"/>
      <c r="W12" s="385"/>
      <c r="X12" s="385"/>
      <c r="Y12" s="386">
        <v>35430</v>
      </c>
      <c r="Z12" s="385">
        <v>0.71050000000000002</v>
      </c>
      <c r="AA12" s="385">
        <v>0.36</v>
      </c>
      <c r="AB12" s="385">
        <f t="shared" si="6"/>
        <v>0.50668543279380718</v>
      </c>
      <c r="AC12" s="386">
        <v>36160</v>
      </c>
      <c r="AD12" s="385">
        <v>1.65</v>
      </c>
      <c r="AE12" s="385">
        <v>0.82</v>
      </c>
      <c r="AF12" s="385">
        <f t="shared" si="7"/>
        <v>0.49696969696969695</v>
      </c>
      <c r="AG12" s="386">
        <v>35430</v>
      </c>
      <c r="AH12" s="385">
        <v>1.87</v>
      </c>
      <c r="AI12" s="385">
        <v>1.26</v>
      </c>
      <c r="AJ12" s="385">
        <f t="shared" si="8"/>
        <v>0.67379679144385018</v>
      </c>
      <c r="AK12" s="386">
        <v>36160</v>
      </c>
      <c r="AL12" s="385">
        <v>0.27110000000000001</v>
      </c>
      <c r="AM12" s="385">
        <v>0.32219999999999999</v>
      </c>
      <c r="AN12" s="385">
        <f t="shared" si="9"/>
        <v>1.1884913316119512</v>
      </c>
      <c r="AO12" s="381"/>
      <c r="AS12" s="381"/>
      <c r="AW12" s="381"/>
      <c r="BA12" s="381"/>
      <c r="BE12" s="381"/>
      <c r="BI12" s="381"/>
      <c r="FY12" s="380"/>
    </row>
    <row r="13" spans="1:181" ht="14.25">
      <c r="A13" s="386">
        <v>35795</v>
      </c>
      <c r="B13" s="385">
        <v>0.81</v>
      </c>
      <c r="C13" s="385">
        <v>1.0049999999999999</v>
      </c>
      <c r="D13" s="385">
        <f t="shared" si="0"/>
        <v>1.2407407407407405</v>
      </c>
      <c r="E13" s="386">
        <v>35795</v>
      </c>
      <c r="F13" s="385">
        <v>0.78</v>
      </c>
      <c r="G13" s="385">
        <v>0.64670000000000005</v>
      </c>
      <c r="H13" s="385">
        <f t="shared" si="1"/>
        <v>0.82910256410256411</v>
      </c>
      <c r="I13" s="386">
        <v>35795</v>
      </c>
      <c r="J13" s="385">
        <v>0.49109999999999998</v>
      </c>
      <c r="K13" s="385">
        <v>0.35560000000000003</v>
      </c>
      <c r="L13" s="385">
        <f t="shared" si="2"/>
        <v>0.72408878028914692</v>
      </c>
      <c r="M13" s="386">
        <v>35795</v>
      </c>
      <c r="N13" s="385">
        <v>1.53</v>
      </c>
      <c r="O13" s="385">
        <v>0.9</v>
      </c>
      <c r="P13" s="385">
        <f t="shared" si="3"/>
        <v>0.58823529411764708</v>
      </c>
      <c r="Q13" s="386">
        <v>35795</v>
      </c>
      <c r="R13" s="385">
        <v>1.76</v>
      </c>
      <c r="S13" s="385">
        <v>1.2050000000000001</v>
      </c>
      <c r="T13" s="385">
        <f t="shared" si="4"/>
        <v>0.68465909090909094</v>
      </c>
      <c r="U13" s="385"/>
      <c r="V13" s="385"/>
      <c r="W13" s="385"/>
      <c r="X13" s="385"/>
      <c r="Y13" s="386">
        <v>35795</v>
      </c>
      <c r="Z13" s="385">
        <v>0.36699999999999999</v>
      </c>
      <c r="AA13" s="385">
        <v>0.36</v>
      </c>
      <c r="AB13" s="385">
        <f t="shared" si="6"/>
        <v>0.98092643051771111</v>
      </c>
      <c r="AC13" s="386">
        <v>36525</v>
      </c>
      <c r="AD13" s="385">
        <v>1.27</v>
      </c>
      <c r="AE13" s="385">
        <v>0.82</v>
      </c>
      <c r="AF13" s="385">
        <f t="shared" si="7"/>
        <v>0.64566929133858264</v>
      </c>
      <c r="AG13" s="386">
        <v>35795</v>
      </c>
      <c r="AH13" s="385">
        <v>1.8399999999999999</v>
      </c>
      <c r="AI13" s="385">
        <v>1.3</v>
      </c>
      <c r="AJ13" s="385">
        <f t="shared" si="8"/>
        <v>0.70652173913043481</v>
      </c>
      <c r="AK13" s="386">
        <v>36525</v>
      </c>
      <c r="AL13" s="385">
        <v>0.38669999999999999</v>
      </c>
      <c r="AM13" s="385">
        <v>0.32669999999999999</v>
      </c>
      <c r="AN13" s="385">
        <f t="shared" si="9"/>
        <v>0.84484096198603564</v>
      </c>
      <c r="AO13" s="381"/>
      <c r="AS13" s="381"/>
      <c r="AW13" s="381"/>
      <c r="BA13" s="381"/>
      <c r="BE13" s="381"/>
      <c r="BI13" s="381"/>
      <c r="FY13" s="380"/>
    </row>
    <row r="14" spans="1:181" ht="14.25">
      <c r="A14" s="386">
        <v>36160</v>
      </c>
      <c r="B14" s="385">
        <v>1.8399999999999999</v>
      </c>
      <c r="C14" s="385">
        <v>1.06</v>
      </c>
      <c r="D14" s="385">
        <f t="shared" si="0"/>
        <v>0.57608695652173925</v>
      </c>
      <c r="E14" s="386">
        <v>36160</v>
      </c>
      <c r="F14" s="385">
        <v>0.69330000000000003</v>
      </c>
      <c r="G14" s="385">
        <v>0.66669999999999996</v>
      </c>
      <c r="H14" s="385">
        <f t="shared" si="1"/>
        <v>0.96163277080628862</v>
      </c>
      <c r="I14" s="386">
        <v>36160</v>
      </c>
      <c r="J14" s="385">
        <v>0.51780000000000004</v>
      </c>
      <c r="K14" s="385">
        <v>0.3644</v>
      </c>
      <c r="L14" s="385">
        <f t="shared" si="2"/>
        <v>0.70374662031672452</v>
      </c>
      <c r="M14" s="386">
        <v>36160</v>
      </c>
      <c r="N14" s="385">
        <v>1.5899999999999999</v>
      </c>
      <c r="O14" s="385">
        <v>0.96</v>
      </c>
      <c r="P14" s="385">
        <f t="shared" si="3"/>
        <v>0.60377358490566035</v>
      </c>
      <c r="Q14" s="386">
        <v>36160</v>
      </c>
      <c r="R14" s="385">
        <v>1.02</v>
      </c>
      <c r="S14" s="385">
        <v>1.22</v>
      </c>
      <c r="T14" s="385">
        <f t="shared" si="4"/>
        <v>1.196078431372549</v>
      </c>
      <c r="U14" s="385"/>
      <c r="V14" s="385"/>
      <c r="W14" s="385"/>
      <c r="X14" s="385"/>
      <c r="Y14" s="386">
        <v>36160</v>
      </c>
      <c r="Z14" s="385">
        <v>0.255</v>
      </c>
      <c r="AA14" s="385">
        <v>0.36</v>
      </c>
      <c r="AB14" s="385">
        <f t="shared" si="6"/>
        <v>1.4117647058823528</v>
      </c>
      <c r="AC14" s="386">
        <v>36889</v>
      </c>
      <c r="AD14" s="385">
        <v>1.21</v>
      </c>
      <c r="AE14" s="385">
        <v>0.82</v>
      </c>
      <c r="AF14" s="385">
        <f t="shared" si="7"/>
        <v>0.6776859504132231</v>
      </c>
      <c r="AG14" s="386">
        <v>36160</v>
      </c>
      <c r="AH14" s="385">
        <v>1.58</v>
      </c>
      <c r="AI14" s="385">
        <v>1.32</v>
      </c>
      <c r="AJ14" s="385">
        <f t="shared" si="8"/>
        <v>0.83544303797468356</v>
      </c>
      <c r="AK14" s="386">
        <v>36889</v>
      </c>
      <c r="AL14" s="385">
        <v>0.3644</v>
      </c>
      <c r="AM14" s="385">
        <v>0.33889999999999998</v>
      </c>
      <c r="AN14" s="385">
        <f t="shared" si="9"/>
        <v>0.93002195389681663</v>
      </c>
      <c r="AO14" s="381"/>
      <c r="AS14" s="381"/>
      <c r="AW14" s="381"/>
      <c r="BA14" s="381"/>
      <c r="BE14" s="381"/>
      <c r="BI14" s="381"/>
      <c r="FY14" s="380"/>
    </row>
    <row r="15" spans="1:181" ht="14.25">
      <c r="A15" s="386">
        <v>36525</v>
      </c>
      <c r="B15" s="385">
        <v>0.57999999999999996</v>
      </c>
      <c r="C15" s="385">
        <v>1.1000000000000001</v>
      </c>
      <c r="D15" s="385">
        <f t="shared" si="0"/>
        <v>1.8965517241379313</v>
      </c>
      <c r="E15" s="386">
        <v>36525</v>
      </c>
      <c r="F15" s="385">
        <v>1.0467</v>
      </c>
      <c r="G15" s="385">
        <v>0.68669999999999998</v>
      </c>
      <c r="H15" s="385">
        <f t="shared" si="1"/>
        <v>0.65606190885640581</v>
      </c>
      <c r="I15" s="386">
        <v>36525</v>
      </c>
      <c r="J15" s="385">
        <v>0.55330000000000001</v>
      </c>
      <c r="K15" s="385">
        <v>0.37330000000000002</v>
      </c>
      <c r="L15" s="385">
        <f t="shared" si="2"/>
        <v>0.67467919754202066</v>
      </c>
      <c r="M15" s="386">
        <v>36525</v>
      </c>
      <c r="N15" s="385">
        <v>1.27</v>
      </c>
      <c r="O15" s="385">
        <v>1.0349999999999999</v>
      </c>
      <c r="P15" s="385">
        <f t="shared" si="3"/>
        <v>0.81496062992125973</v>
      </c>
      <c r="Q15" s="386">
        <v>36525</v>
      </c>
      <c r="R15" s="385">
        <v>1.7</v>
      </c>
      <c r="S15" s="385">
        <v>1.2250000000000001</v>
      </c>
      <c r="T15" s="385">
        <f t="shared" si="4"/>
        <v>0.72058823529411775</v>
      </c>
      <c r="U15" s="385"/>
      <c r="V15" s="385"/>
      <c r="W15" s="385"/>
      <c r="X15" s="385"/>
      <c r="Y15" s="386">
        <v>36525</v>
      </c>
      <c r="Z15" s="385">
        <v>0.4975</v>
      </c>
      <c r="AA15" s="385">
        <v>0.36</v>
      </c>
      <c r="AB15" s="385">
        <f t="shared" si="6"/>
        <v>0.72361809045226133</v>
      </c>
      <c r="AC15" s="386">
        <v>37256</v>
      </c>
      <c r="AD15" s="385">
        <v>1.1499999999999999</v>
      </c>
      <c r="AE15" s="385">
        <v>0.82</v>
      </c>
      <c r="AF15" s="385">
        <f t="shared" si="7"/>
        <v>0.71304347826086956</v>
      </c>
      <c r="AG15" s="386">
        <v>36525</v>
      </c>
      <c r="AH15" s="385">
        <v>1.43</v>
      </c>
      <c r="AI15" s="385">
        <v>1.34</v>
      </c>
      <c r="AJ15" s="385">
        <f t="shared" si="8"/>
        <v>0.9370629370629372</v>
      </c>
      <c r="AK15" s="386">
        <v>37256</v>
      </c>
      <c r="AL15" s="385">
        <v>0.45779999999999998</v>
      </c>
      <c r="AM15" s="385">
        <v>0.35</v>
      </c>
      <c r="AN15" s="385">
        <f t="shared" si="9"/>
        <v>0.76452599388379205</v>
      </c>
      <c r="AO15" s="381"/>
      <c r="AS15" s="381"/>
      <c r="AW15" s="381"/>
      <c r="BA15" s="381"/>
      <c r="BE15" s="381"/>
      <c r="BI15" s="381"/>
      <c r="FY15" s="380"/>
    </row>
    <row r="16" spans="1:181" ht="14.25">
      <c r="A16" s="386">
        <v>36889</v>
      </c>
      <c r="B16" s="385">
        <v>1.1400000000000001</v>
      </c>
      <c r="C16" s="385">
        <v>1.1400000000000001</v>
      </c>
      <c r="D16" s="385">
        <f t="shared" si="0"/>
        <v>1</v>
      </c>
      <c r="E16" s="386">
        <v>36889</v>
      </c>
      <c r="F16" s="385">
        <v>0.93330000000000002</v>
      </c>
      <c r="G16" s="385">
        <v>0.71330000000000005</v>
      </c>
      <c r="H16" s="385">
        <f t="shared" si="1"/>
        <v>0.76427729561770064</v>
      </c>
      <c r="I16" s="386">
        <v>36889</v>
      </c>
      <c r="J16" s="385">
        <v>0.6089</v>
      </c>
      <c r="K16" s="385">
        <v>0.38219999999999998</v>
      </c>
      <c r="L16" s="385">
        <f t="shared" si="2"/>
        <v>0.62768927574314337</v>
      </c>
      <c r="M16" s="386">
        <v>36889</v>
      </c>
      <c r="N16" s="385">
        <v>1.1100000000000001</v>
      </c>
      <c r="O16" s="784">
        <v>1.0349999999999999</v>
      </c>
      <c r="P16" s="385"/>
      <c r="Q16" s="386">
        <v>36889</v>
      </c>
      <c r="R16" s="385">
        <v>1.88</v>
      </c>
      <c r="S16" s="385">
        <v>1.24</v>
      </c>
      <c r="T16" s="385">
        <f t="shared" si="4"/>
        <v>0.65957446808510645</v>
      </c>
      <c r="U16" s="385"/>
      <c r="V16" s="385"/>
      <c r="W16" s="385"/>
      <c r="X16" s="385"/>
      <c r="Y16" s="386">
        <v>36889</v>
      </c>
      <c r="Z16" s="385">
        <v>0.53</v>
      </c>
      <c r="AA16" s="385">
        <v>0.36499999999999999</v>
      </c>
      <c r="AB16" s="385">
        <f t="shared" si="6"/>
        <v>0.68867924528301883</v>
      </c>
      <c r="AC16" s="386">
        <v>37621</v>
      </c>
      <c r="AD16" s="385">
        <v>1.32</v>
      </c>
      <c r="AE16" s="385">
        <v>0.82</v>
      </c>
      <c r="AF16" s="385">
        <f t="shared" si="7"/>
        <v>0.6212121212121211</v>
      </c>
      <c r="AG16" s="386">
        <v>36889</v>
      </c>
      <c r="AH16" s="385">
        <v>1.37</v>
      </c>
      <c r="AI16" s="385">
        <v>1.34</v>
      </c>
      <c r="AJ16" s="385">
        <f t="shared" si="8"/>
        <v>0.97810218978102192</v>
      </c>
      <c r="AK16" s="386">
        <v>38352</v>
      </c>
      <c r="AL16" s="385">
        <v>0.76670000000000005</v>
      </c>
      <c r="AM16" s="385">
        <v>0.39</v>
      </c>
      <c r="AN16" s="385">
        <f t="shared" si="9"/>
        <v>0.50867353593322029</v>
      </c>
      <c r="AO16" s="381"/>
      <c r="AS16" s="381"/>
      <c r="AW16" s="381"/>
      <c r="BA16" s="381"/>
      <c r="BE16" s="381"/>
      <c r="BI16" s="381"/>
      <c r="FY16" s="380"/>
    </row>
    <row r="17" spans="1:181" ht="14.25">
      <c r="A17" s="386">
        <v>37256</v>
      </c>
      <c r="B17" s="385">
        <v>1.47</v>
      </c>
      <c r="C17" s="385">
        <v>1.1599999999999999</v>
      </c>
      <c r="D17" s="385">
        <f t="shared" si="0"/>
        <v>0.78911564625850339</v>
      </c>
      <c r="E17" s="386">
        <v>37256</v>
      </c>
      <c r="F17" s="385">
        <v>0.82669999999999999</v>
      </c>
      <c r="G17" s="385">
        <v>0.73</v>
      </c>
      <c r="H17" s="385">
        <f t="shared" si="1"/>
        <v>0.88302891012459173</v>
      </c>
      <c r="I17" s="386">
        <v>37256</v>
      </c>
      <c r="J17" s="385">
        <v>0.65110000000000001</v>
      </c>
      <c r="K17" s="385">
        <v>0.3911</v>
      </c>
      <c r="L17" s="385">
        <f t="shared" si="2"/>
        <v>0.60067577945016126</v>
      </c>
      <c r="M17" s="386">
        <v>37256</v>
      </c>
      <c r="N17" s="385">
        <v>1.03</v>
      </c>
      <c r="O17" s="385">
        <v>1.1599999999999999</v>
      </c>
      <c r="P17" s="385">
        <f t="shared" si="3"/>
        <v>1.1262135922330097</v>
      </c>
      <c r="Q17" s="386">
        <v>37256</v>
      </c>
      <c r="R17" s="385">
        <v>1.88</v>
      </c>
      <c r="S17" s="385">
        <v>1.2450000000000001</v>
      </c>
      <c r="T17" s="385">
        <f t="shared" si="4"/>
        <v>0.66223404255319163</v>
      </c>
      <c r="U17" s="385"/>
      <c r="V17" s="385"/>
      <c r="W17" s="385"/>
      <c r="X17" s="385"/>
      <c r="Y17" s="386">
        <v>37256</v>
      </c>
      <c r="Z17" s="385">
        <v>0.56499999999999995</v>
      </c>
      <c r="AA17" s="385">
        <v>0.37</v>
      </c>
      <c r="AB17" s="385">
        <f t="shared" si="6"/>
        <v>0.65486725663716816</v>
      </c>
      <c r="AC17" s="386">
        <v>37986</v>
      </c>
      <c r="AD17" s="385">
        <v>1.1299999999999999</v>
      </c>
      <c r="AE17" s="385">
        <v>0.82</v>
      </c>
      <c r="AF17" s="385">
        <f t="shared" si="7"/>
        <v>0.72566371681415931</v>
      </c>
      <c r="AG17" s="386">
        <v>37256</v>
      </c>
      <c r="AH17" s="385">
        <v>1.6099999999999999</v>
      </c>
      <c r="AI17" s="385">
        <v>1.34</v>
      </c>
      <c r="AJ17" s="385">
        <f t="shared" si="8"/>
        <v>0.83229813664596286</v>
      </c>
      <c r="AK17" s="386">
        <v>38716</v>
      </c>
      <c r="AL17" s="385">
        <v>1.18</v>
      </c>
      <c r="AM17" s="385">
        <v>0.43330000000000002</v>
      </c>
      <c r="AN17" s="385">
        <f t="shared" si="9"/>
        <v>0.36720338983050849</v>
      </c>
      <c r="AO17" s="381"/>
      <c r="AS17" s="381"/>
      <c r="AW17" s="381"/>
      <c r="BA17" s="381"/>
      <c r="BE17" s="381"/>
      <c r="BI17" s="381"/>
      <c r="FY17" s="380"/>
    </row>
    <row r="18" spans="1:181" ht="14.25">
      <c r="A18" s="386">
        <v>37621</v>
      </c>
      <c r="B18" s="385">
        <v>1.45</v>
      </c>
      <c r="C18" s="385">
        <v>1.18</v>
      </c>
      <c r="D18" s="385">
        <f t="shared" si="0"/>
        <v>0.81379310344827582</v>
      </c>
      <c r="E18" s="386">
        <v>37621</v>
      </c>
      <c r="F18" s="385">
        <v>0.45329999999999998</v>
      </c>
      <c r="G18" s="385">
        <v>0.73329999999999995</v>
      </c>
      <c r="H18" s="385">
        <f t="shared" si="1"/>
        <v>1.6176924773880432</v>
      </c>
      <c r="I18" s="386">
        <v>37621</v>
      </c>
      <c r="J18" s="385">
        <v>0.69669999999999999</v>
      </c>
      <c r="K18" s="385">
        <v>0.4</v>
      </c>
      <c r="L18" s="385">
        <f t="shared" si="2"/>
        <v>0.57413520884168223</v>
      </c>
      <c r="M18" s="386">
        <v>37621</v>
      </c>
      <c r="N18" s="385">
        <v>1.75</v>
      </c>
      <c r="O18" s="385">
        <v>1.1599999999999999</v>
      </c>
      <c r="P18" s="385">
        <f t="shared" si="3"/>
        <v>0.66285714285714281</v>
      </c>
      <c r="Q18" s="386">
        <v>37621</v>
      </c>
      <c r="R18" s="385">
        <v>1.62</v>
      </c>
      <c r="S18" s="385">
        <v>1.26</v>
      </c>
      <c r="T18" s="385">
        <f t="shared" si="4"/>
        <v>0.77777777777777768</v>
      </c>
      <c r="U18" s="385"/>
      <c r="V18" s="385"/>
      <c r="W18" s="385"/>
      <c r="X18" s="385"/>
      <c r="Y18" s="386">
        <v>37621</v>
      </c>
      <c r="Z18" s="385">
        <v>0.59750000000000003</v>
      </c>
      <c r="AA18" s="385">
        <v>0.375</v>
      </c>
      <c r="AB18" s="385">
        <f t="shared" si="6"/>
        <v>0.62761506276150625</v>
      </c>
      <c r="AC18" s="386">
        <v>38352</v>
      </c>
      <c r="AD18" s="385">
        <v>1.6</v>
      </c>
      <c r="AE18" s="385">
        <v>0.82</v>
      </c>
      <c r="AF18" s="385">
        <f t="shared" si="7"/>
        <v>0.51249999999999996</v>
      </c>
      <c r="AG18" s="386">
        <v>37621</v>
      </c>
      <c r="AH18" s="385">
        <v>1.18</v>
      </c>
      <c r="AI18" s="385">
        <v>1.34</v>
      </c>
      <c r="AJ18" s="385">
        <f t="shared" si="8"/>
        <v>1.1355932203389831</v>
      </c>
      <c r="AK18" s="386">
        <v>39080</v>
      </c>
      <c r="AL18" s="385">
        <v>1.1000000000000001</v>
      </c>
      <c r="AM18" s="385">
        <v>0.46</v>
      </c>
      <c r="AN18" s="385">
        <f t="shared" si="9"/>
        <v>0.41818181818181815</v>
      </c>
      <c r="AO18" s="381"/>
      <c r="AS18" s="381"/>
      <c r="AW18" s="381"/>
      <c r="BA18" s="381"/>
      <c r="BE18" s="381"/>
      <c r="BI18" s="381"/>
      <c r="FY18" s="380"/>
    </row>
    <row r="19" spans="1:181" ht="14.25">
      <c r="A19" s="386">
        <v>37986</v>
      </c>
      <c r="B19" s="385">
        <v>1.54</v>
      </c>
      <c r="C19" s="385">
        <v>1.2</v>
      </c>
      <c r="D19" s="385">
        <f t="shared" si="0"/>
        <v>0.77922077922077915</v>
      </c>
      <c r="E19" s="386">
        <v>37986</v>
      </c>
      <c r="F19" s="385">
        <v>1.0867</v>
      </c>
      <c r="G19" s="385">
        <v>0.73329999999999995</v>
      </c>
      <c r="H19" s="385">
        <f t="shared" si="1"/>
        <v>0.67479525167939625</v>
      </c>
      <c r="I19" s="386">
        <v>37986</v>
      </c>
      <c r="J19" s="385">
        <v>0.79330000000000001</v>
      </c>
      <c r="K19" s="385">
        <v>0.4133</v>
      </c>
      <c r="L19" s="385">
        <f t="shared" si="2"/>
        <v>0.52098827681835369</v>
      </c>
      <c r="M19" s="386">
        <v>37986</v>
      </c>
      <c r="N19" s="385">
        <v>0.33</v>
      </c>
      <c r="O19" s="385">
        <v>1.1000000000000001</v>
      </c>
      <c r="P19" s="385">
        <f t="shared" si="3"/>
        <v>3.3333333333333335</v>
      </c>
      <c r="Q19" s="386">
        <v>37986</v>
      </c>
      <c r="R19" s="385">
        <v>1.76</v>
      </c>
      <c r="S19" s="385">
        <v>1.27</v>
      </c>
      <c r="T19" s="385">
        <f t="shared" si="4"/>
        <v>0.72159090909090906</v>
      </c>
      <c r="U19" s="385"/>
      <c r="V19" s="385"/>
      <c r="W19" s="385"/>
      <c r="X19" s="385"/>
      <c r="Y19" s="386">
        <v>37986</v>
      </c>
      <c r="Z19" s="385">
        <v>0.66</v>
      </c>
      <c r="AA19" s="385">
        <v>0.39</v>
      </c>
      <c r="AB19" s="385">
        <f t="shared" si="6"/>
        <v>0.59090909090909094</v>
      </c>
      <c r="AC19" s="386">
        <v>38716</v>
      </c>
      <c r="AD19" s="385">
        <v>1.1400000000000001</v>
      </c>
      <c r="AE19" s="385">
        <v>0.82</v>
      </c>
      <c r="AF19" s="385">
        <f t="shared" si="7"/>
        <v>0.71929824561403499</v>
      </c>
      <c r="AG19" s="386">
        <v>37986</v>
      </c>
      <c r="AH19" s="385">
        <v>1.8199999999999998</v>
      </c>
      <c r="AI19" s="385">
        <v>1.34</v>
      </c>
      <c r="AJ19" s="385">
        <f t="shared" si="8"/>
        <v>0.73626373626373642</v>
      </c>
      <c r="AK19" s="386">
        <v>39447</v>
      </c>
      <c r="AL19" s="385">
        <v>1.26</v>
      </c>
      <c r="AM19" s="385">
        <v>0.48199999999999998</v>
      </c>
      <c r="AN19" s="385">
        <f t="shared" si="9"/>
        <v>0.38253968253968251</v>
      </c>
      <c r="AO19" s="381"/>
      <c r="AS19" s="381"/>
      <c r="AW19" s="381"/>
      <c r="BA19" s="381"/>
      <c r="BE19" s="381"/>
      <c r="BI19" s="381"/>
      <c r="FY19" s="380"/>
    </row>
    <row r="20" spans="1:181" ht="14.25">
      <c r="A20" s="386">
        <v>38352</v>
      </c>
      <c r="B20" s="385">
        <v>1.58</v>
      </c>
      <c r="C20" s="385">
        <v>1.22</v>
      </c>
      <c r="D20" s="385">
        <f t="shared" si="0"/>
        <v>0.77215189873417711</v>
      </c>
      <c r="E20" s="386">
        <v>38352</v>
      </c>
      <c r="F20" s="385">
        <v>1.08</v>
      </c>
      <c r="G20" s="385">
        <v>0.74670000000000003</v>
      </c>
      <c r="H20" s="385">
        <f t="shared" si="1"/>
        <v>0.69138888888888883</v>
      </c>
      <c r="I20" s="386">
        <v>38352</v>
      </c>
      <c r="J20" s="385">
        <v>0.85</v>
      </c>
      <c r="K20" s="385">
        <v>0.43330000000000002</v>
      </c>
      <c r="L20" s="385">
        <f t="shared" si="2"/>
        <v>0.50976470588235301</v>
      </c>
      <c r="M20" s="386">
        <v>38352</v>
      </c>
      <c r="N20" s="385">
        <v>1.6400000000000001</v>
      </c>
      <c r="O20" s="385">
        <v>0.92</v>
      </c>
      <c r="P20" s="385">
        <f t="shared" si="3"/>
        <v>0.5609756097560975</v>
      </c>
      <c r="Q20" s="386">
        <v>38352</v>
      </c>
      <c r="R20" s="385">
        <v>1.8599999999999999</v>
      </c>
      <c r="S20" s="385">
        <v>1.2989999999999999</v>
      </c>
      <c r="T20" s="385">
        <f t="shared" si="4"/>
        <v>0.69838709677419353</v>
      </c>
      <c r="U20" s="385"/>
      <c r="V20" s="385"/>
      <c r="W20" s="385"/>
      <c r="X20" s="385"/>
      <c r="Y20" s="386">
        <v>38352</v>
      </c>
      <c r="Z20" s="385">
        <v>0.76500000000000001</v>
      </c>
      <c r="AA20" s="385">
        <v>0.41</v>
      </c>
      <c r="AB20" s="385">
        <f t="shared" si="6"/>
        <v>0.53594771241830064</v>
      </c>
      <c r="AC20" s="386">
        <v>39080</v>
      </c>
      <c r="AD20" s="385">
        <v>2.0499999999999998</v>
      </c>
      <c r="AE20" s="385">
        <v>0.82</v>
      </c>
      <c r="AF20" s="385">
        <f t="shared" si="7"/>
        <v>0.4</v>
      </c>
      <c r="AG20" s="386">
        <v>38352</v>
      </c>
      <c r="AH20" s="385">
        <v>1.8199999999999998</v>
      </c>
      <c r="AI20" s="385">
        <v>1.355</v>
      </c>
      <c r="AJ20" s="385">
        <f t="shared" si="8"/>
        <v>0.74450549450549453</v>
      </c>
      <c r="AK20" s="386">
        <v>39813</v>
      </c>
      <c r="AL20" s="385">
        <v>1.3267</v>
      </c>
      <c r="AM20" s="385">
        <v>0.50329999999999997</v>
      </c>
      <c r="AN20" s="385">
        <f t="shared" si="9"/>
        <v>0.37936232757970906</v>
      </c>
      <c r="AO20" s="381"/>
      <c r="AS20" s="381"/>
      <c r="AW20" s="381"/>
      <c r="BA20" s="381"/>
      <c r="BE20" s="381"/>
      <c r="BI20" s="381"/>
      <c r="FY20" s="380"/>
    </row>
    <row r="21" spans="1:181" ht="14.25">
      <c r="A21" s="386">
        <v>38716</v>
      </c>
      <c r="B21" s="385">
        <v>1.72</v>
      </c>
      <c r="C21" s="385">
        <v>1.24</v>
      </c>
      <c r="D21" s="385">
        <f t="shared" si="0"/>
        <v>0.72093023255813959</v>
      </c>
      <c r="E21" s="386">
        <v>38716</v>
      </c>
      <c r="F21" s="385">
        <v>1.18</v>
      </c>
      <c r="G21" s="385">
        <v>0.76</v>
      </c>
      <c r="H21" s="385">
        <f t="shared" si="1"/>
        <v>0.64406779661016955</v>
      </c>
      <c r="I21" s="386">
        <v>38716</v>
      </c>
      <c r="J21" s="385">
        <v>0.90329999999999999</v>
      </c>
      <c r="K21" s="385">
        <v>0.45329999999999998</v>
      </c>
      <c r="L21" s="385">
        <f t="shared" si="2"/>
        <v>0.50182663566921282</v>
      </c>
      <c r="M21" s="386">
        <v>38716</v>
      </c>
      <c r="N21" s="385">
        <v>1.1200000000000001</v>
      </c>
      <c r="O21" s="385">
        <v>0.92</v>
      </c>
      <c r="P21" s="385">
        <f t="shared" si="3"/>
        <v>0.8214285714285714</v>
      </c>
      <c r="Q21" s="386">
        <v>38716</v>
      </c>
      <c r="R21" s="385">
        <v>2.11</v>
      </c>
      <c r="S21" s="385">
        <v>1.32</v>
      </c>
      <c r="T21" s="385">
        <f t="shared" si="4"/>
        <v>0.62559241706161139</v>
      </c>
      <c r="U21" s="385"/>
      <c r="V21" s="385"/>
      <c r="W21" s="385"/>
      <c r="X21" s="385"/>
      <c r="Y21" s="386">
        <v>38716</v>
      </c>
      <c r="Z21" s="385">
        <v>0.69</v>
      </c>
      <c r="AA21" s="385">
        <v>0.43</v>
      </c>
      <c r="AB21" s="385">
        <f t="shared" si="6"/>
        <v>0.62318840579710144</v>
      </c>
      <c r="AC21" s="386">
        <v>39447</v>
      </c>
      <c r="AD21" s="385">
        <v>1.95</v>
      </c>
      <c r="AE21" s="385">
        <v>0.86</v>
      </c>
      <c r="AF21" s="385">
        <f t="shared" si="7"/>
        <v>0.44102564102564101</v>
      </c>
      <c r="AG21" s="386">
        <v>38716</v>
      </c>
      <c r="AH21" s="385">
        <v>1.9</v>
      </c>
      <c r="AI21" s="385">
        <v>1.375</v>
      </c>
      <c r="AJ21" s="385">
        <f t="shared" si="8"/>
        <v>0.72368421052631582</v>
      </c>
      <c r="AK21" s="386">
        <v>40178</v>
      </c>
      <c r="AL21" s="385">
        <v>1.5733000000000001</v>
      </c>
      <c r="AM21" s="385">
        <v>0.52329999999999999</v>
      </c>
      <c r="AN21" s="385">
        <f t="shared" si="9"/>
        <v>0.33261297908853998</v>
      </c>
      <c r="AO21" s="381"/>
      <c r="AS21" s="381"/>
      <c r="AW21" s="381"/>
      <c r="BA21" s="381"/>
      <c r="BE21" s="381"/>
      <c r="BI21" s="381"/>
      <c r="FY21" s="380"/>
    </row>
    <row r="22" spans="1:181" ht="14.25">
      <c r="A22" s="386">
        <v>39080</v>
      </c>
      <c r="B22" s="385">
        <v>1.8199999999999998</v>
      </c>
      <c r="C22" s="385">
        <v>1.26</v>
      </c>
      <c r="D22" s="385">
        <f t="shared" si="0"/>
        <v>0.6923076923076924</v>
      </c>
      <c r="E22" s="386">
        <v>39080</v>
      </c>
      <c r="F22" s="385">
        <v>1.1467000000000001</v>
      </c>
      <c r="G22" s="385">
        <v>0.77329999999999999</v>
      </c>
      <c r="H22" s="385">
        <f t="shared" si="1"/>
        <v>0.67436993110665389</v>
      </c>
      <c r="I22" s="386">
        <v>39080</v>
      </c>
      <c r="J22" s="385">
        <v>2.6333000000000002</v>
      </c>
      <c r="K22" s="385">
        <v>0.48</v>
      </c>
      <c r="L22" s="385">
        <f t="shared" si="2"/>
        <v>0.18228078836440967</v>
      </c>
      <c r="M22" s="386">
        <v>39080</v>
      </c>
      <c r="N22" s="385">
        <v>1.03</v>
      </c>
      <c r="O22" s="385">
        <v>0.92</v>
      </c>
      <c r="P22" s="385">
        <f t="shared" si="3"/>
        <v>0.89320388349514568</v>
      </c>
      <c r="Q22" s="386">
        <v>39080</v>
      </c>
      <c r="R22" s="385">
        <v>2.29</v>
      </c>
      <c r="S22" s="385">
        <v>1.3900000000000001</v>
      </c>
      <c r="T22" s="385">
        <f t="shared" si="4"/>
        <v>0.60698689956331886</v>
      </c>
      <c r="U22" s="385"/>
      <c r="V22" s="385"/>
      <c r="W22" s="385"/>
      <c r="X22" s="385"/>
      <c r="Y22" s="386">
        <v>39080</v>
      </c>
      <c r="Z22" s="385">
        <v>1.22</v>
      </c>
      <c r="AA22" s="385">
        <v>0.46</v>
      </c>
      <c r="AB22" s="385">
        <f t="shared" si="6"/>
        <v>0.37704918032786888</v>
      </c>
      <c r="AC22" s="386">
        <v>39813</v>
      </c>
      <c r="AD22" s="385">
        <v>1.3900000000000001</v>
      </c>
      <c r="AE22" s="385">
        <v>0.9</v>
      </c>
      <c r="AF22" s="385">
        <f t="shared" si="7"/>
        <v>0.64748201438848918</v>
      </c>
      <c r="AG22" s="386">
        <v>39080</v>
      </c>
      <c r="AH22" s="385">
        <v>2.2999999999999998</v>
      </c>
      <c r="AI22" s="385">
        <v>1.41</v>
      </c>
      <c r="AJ22" s="385">
        <f t="shared" si="8"/>
        <v>0.61304347826086958</v>
      </c>
      <c r="AK22" s="386">
        <v>40543</v>
      </c>
      <c r="AL22" s="385">
        <v>1.5733000000000001</v>
      </c>
      <c r="AM22" s="385">
        <v>0.6</v>
      </c>
      <c r="AN22" s="385">
        <f t="shared" si="9"/>
        <v>0.38136401194940567</v>
      </c>
      <c r="AO22" s="381"/>
      <c r="AS22" s="381"/>
      <c r="AW22" s="381"/>
      <c r="BA22" s="381"/>
      <c r="BE22" s="381"/>
      <c r="BI22" s="381"/>
      <c r="FY22" s="380"/>
    </row>
    <row r="23" spans="1:181" ht="14.25">
      <c r="A23" s="386">
        <v>39447</v>
      </c>
      <c r="B23" s="385">
        <v>1.92</v>
      </c>
      <c r="C23" s="385">
        <v>1.28</v>
      </c>
      <c r="D23" s="385">
        <f t="shared" si="0"/>
        <v>0.66666666666666674</v>
      </c>
      <c r="E23" s="386">
        <v>39447</v>
      </c>
      <c r="F23" s="385">
        <v>1.2932999999999999</v>
      </c>
      <c r="G23" s="385">
        <v>0.78669999999999995</v>
      </c>
      <c r="H23" s="385">
        <f t="shared" si="1"/>
        <v>0.60828887342457283</v>
      </c>
      <c r="I23" s="386">
        <v>39447</v>
      </c>
      <c r="J23" s="385">
        <v>0.77669999999999995</v>
      </c>
      <c r="K23" s="385">
        <v>0.50670000000000004</v>
      </c>
      <c r="L23" s="385">
        <f t="shared" si="2"/>
        <v>0.6523754345307069</v>
      </c>
      <c r="M23" s="386">
        <v>39447</v>
      </c>
      <c r="N23" s="385">
        <v>1.17</v>
      </c>
      <c r="O23" s="385">
        <v>0.92</v>
      </c>
      <c r="P23" s="385">
        <f t="shared" si="3"/>
        <v>0.78632478632478642</v>
      </c>
      <c r="Q23" s="386">
        <v>39447</v>
      </c>
      <c r="R23" s="385">
        <v>2.76</v>
      </c>
      <c r="S23" s="385">
        <v>1.44</v>
      </c>
      <c r="T23" s="385">
        <f t="shared" si="4"/>
        <v>0.52173913043478259</v>
      </c>
      <c r="U23" s="385"/>
      <c r="V23" s="385"/>
      <c r="W23" s="385"/>
      <c r="X23" s="385"/>
      <c r="Y23" s="386">
        <v>39447</v>
      </c>
      <c r="Z23" s="385">
        <v>1.05</v>
      </c>
      <c r="AA23" s="385">
        <v>0.505</v>
      </c>
      <c r="AB23" s="385">
        <f t="shared" si="6"/>
        <v>0.48095238095238091</v>
      </c>
      <c r="AC23" s="386">
        <v>40178</v>
      </c>
      <c r="AD23" s="385">
        <v>1.94</v>
      </c>
      <c r="AE23" s="385">
        <v>0.95</v>
      </c>
      <c r="AF23" s="385">
        <f t="shared" si="7"/>
        <v>0.48969072164948452</v>
      </c>
      <c r="AG23" s="386">
        <v>39447</v>
      </c>
      <c r="AH23" s="385">
        <v>2.31</v>
      </c>
      <c r="AI23" s="385">
        <v>1.46</v>
      </c>
      <c r="AJ23" s="385">
        <f t="shared" si="8"/>
        <v>0.63203463203463206</v>
      </c>
      <c r="AK23" s="386">
        <v>40907</v>
      </c>
      <c r="AL23" s="385">
        <v>1.3733</v>
      </c>
      <c r="AM23" s="385">
        <v>0.68</v>
      </c>
      <c r="AN23" s="385">
        <f t="shared" si="9"/>
        <v>0.49515764945751117</v>
      </c>
      <c r="AO23" s="381"/>
      <c r="AS23" s="381"/>
      <c r="AW23" s="381"/>
      <c r="BA23" s="381"/>
      <c r="BE23" s="381"/>
      <c r="BI23" s="381"/>
      <c r="FY23" s="380"/>
    </row>
    <row r="24" spans="1:181" ht="14.25">
      <c r="A24" s="386">
        <v>39813</v>
      </c>
      <c r="B24" s="385">
        <v>2</v>
      </c>
      <c r="C24" s="385">
        <v>1.3</v>
      </c>
      <c r="D24" s="385">
        <f t="shared" si="0"/>
        <v>0.65</v>
      </c>
      <c r="E24" s="386">
        <v>39813</v>
      </c>
      <c r="F24" s="385">
        <v>1.32</v>
      </c>
      <c r="G24" s="385">
        <v>0.80669999999999997</v>
      </c>
      <c r="H24" s="385">
        <f t="shared" si="1"/>
        <v>0.61113636363636359</v>
      </c>
      <c r="I24" s="386">
        <v>39813</v>
      </c>
      <c r="J24" s="385">
        <v>1.2949999999999999</v>
      </c>
      <c r="K24" s="385">
        <v>0.55500000000000005</v>
      </c>
      <c r="L24" s="385">
        <f t="shared" si="2"/>
        <v>0.42857142857142866</v>
      </c>
      <c r="M24" s="386">
        <v>39813</v>
      </c>
      <c r="N24" s="385">
        <v>0.28999999999999998</v>
      </c>
      <c r="O24" s="385">
        <v>0.92</v>
      </c>
      <c r="P24" s="385">
        <f t="shared" si="3"/>
        <v>3.1724137931034488</v>
      </c>
      <c r="Q24" s="386">
        <v>39813</v>
      </c>
      <c r="R24" s="385">
        <v>2.61</v>
      </c>
      <c r="S24" s="385">
        <v>1.52</v>
      </c>
      <c r="T24" s="385">
        <f t="shared" si="4"/>
        <v>0.58237547892720309</v>
      </c>
      <c r="U24" s="385"/>
      <c r="V24" s="385"/>
      <c r="W24" s="385"/>
      <c r="X24" s="385"/>
      <c r="Y24" s="386">
        <v>39813</v>
      </c>
      <c r="Z24" s="385">
        <v>1.29</v>
      </c>
      <c r="AA24" s="385">
        <v>0.55500000000000005</v>
      </c>
      <c r="AB24" s="385">
        <f t="shared" si="6"/>
        <v>0.43023255813953493</v>
      </c>
      <c r="AC24" s="386">
        <v>40543</v>
      </c>
      <c r="AD24" s="385">
        <v>2.27</v>
      </c>
      <c r="AE24" s="385">
        <v>1</v>
      </c>
      <c r="AF24" s="385">
        <f t="shared" si="7"/>
        <v>0.44052863436123346</v>
      </c>
      <c r="AG24" s="386">
        <v>39813</v>
      </c>
      <c r="AH24" s="385">
        <v>3.58</v>
      </c>
      <c r="AI24" s="385">
        <v>1.5</v>
      </c>
      <c r="AJ24" s="385">
        <f t="shared" si="8"/>
        <v>0.41899441340782123</v>
      </c>
      <c r="AK24" s="386">
        <v>41274</v>
      </c>
      <c r="AL24" s="385">
        <v>1.2333000000000001</v>
      </c>
      <c r="AM24" s="385">
        <v>0.70669999999999999</v>
      </c>
      <c r="AN24" s="385">
        <f t="shared" si="9"/>
        <v>0.57301548690505144</v>
      </c>
      <c r="AO24" s="381"/>
      <c r="AS24" s="381"/>
      <c r="AW24" s="381"/>
      <c r="BA24" s="381"/>
      <c r="BE24" s="381"/>
      <c r="BI24" s="381"/>
      <c r="FY24" s="380"/>
    </row>
    <row r="25" spans="1:181" ht="14.25">
      <c r="A25" s="386">
        <v>40178</v>
      </c>
      <c r="B25" s="385">
        <v>2.08</v>
      </c>
      <c r="C25" s="385">
        <v>1.32</v>
      </c>
      <c r="D25" s="385">
        <f t="shared" si="0"/>
        <v>0.63461538461538458</v>
      </c>
      <c r="E25" s="386">
        <v>40178</v>
      </c>
      <c r="F25" s="385">
        <v>1.4333</v>
      </c>
      <c r="G25" s="385">
        <v>0.83330000000000004</v>
      </c>
      <c r="H25" s="385">
        <f t="shared" si="1"/>
        <v>0.58138561361892138</v>
      </c>
      <c r="I25" s="386">
        <v>40178</v>
      </c>
      <c r="J25" s="385">
        <v>0.32</v>
      </c>
      <c r="K25" s="385">
        <v>0.62</v>
      </c>
      <c r="L25" s="385">
        <f t="shared" si="2"/>
        <v>1.9375</v>
      </c>
      <c r="M25" s="386">
        <v>40178</v>
      </c>
      <c r="N25" s="385">
        <v>0.79</v>
      </c>
      <c r="O25" s="385">
        <v>0.92</v>
      </c>
      <c r="P25" s="385">
        <f t="shared" si="3"/>
        <v>1.1645569620253164</v>
      </c>
      <c r="Q25" s="386">
        <v>40178</v>
      </c>
      <c r="R25" s="385">
        <v>2.83</v>
      </c>
      <c r="S25" s="385">
        <v>1.6</v>
      </c>
      <c r="T25" s="385">
        <f t="shared" si="4"/>
        <v>0.56537102473498235</v>
      </c>
      <c r="U25" s="385"/>
      <c r="V25" s="385"/>
      <c r="W25" s="385"/>
      <c r="X25" s="385"/>
      <c r="Y25" s="386">
        <v>40178</v>
      </c>
      <c r="Z25" s="385">
        <v>0.97</v>
      </c>
      <c r="AA25" s="385">
        <v>0.61</v>
      </c>
      <c r="AB25" s="385">
        <f t="shared" si="6"/>
        <v>0.62886597938144329</v>
      </c>
      <c r="AC25" s="386">
        <v>40907</v>
      </c>
      <c r="AD25" s="385">
        <v>2.4300000000000002</v>
      </c>
      <c r="AE25" s="385">
        <v>1.06</v>
      </c>
      <c r="AF25" s="385">
        <f t="shared" si="7"/>
        <v>0.43621399176954734</v>
      </c>
      <c r="AG25" s="386">
        <v>40178</v>
      </c>
      <c r="AH25" s="385">
        <v>2.92</v>
      </c>
      <c r="AI25" s="385">
        <v>1.54</v>
      </c>
      <c r="AJ25" s="385">
        <f t="shared" si="8"/>
        <v>0.5273972602739726</v>
      </c>
      <c r="AK25" s="386">
        <v>41639</v>
      </c>
      <c r="AL25" s="385">
        <v>1.6067</v>
      </c>
      <c r="AM25" s="385">
        <v>0.73670000000000002</v>
      </c>
      <c r="AN25" s="385">
        <f t="shared" si="9"/>
        <v>0.45851745814402189</v>
      </c>
      <c r="AO25" s="381"/>
      <c r="AS25" s="381"/>
      <c r="AW25" s="381"/>
      <c r="BA25" s="381"/>
      <c r="BE25" s="381"/>
      <c r="BI25" s="381"/>
      <c r="FY25" s="380"/>
    </row>
    <row r="26" spans="1:181" ht="14.25">
      <c r="A26" s="386">
        <v>40543</v>
      </c>
      <c r="B26" s="385">
        <v>2.2000000000000002</v>
      </c>
      <c r="C26" s="385">
        <v>1.34</v>
      </c>
      <c r="D26" s="385">
        <f t="shared" si="0"/>
        <v>0.60909090909090913</v>
      </c>
      <c r="E26" s="386">
        <v>40543</v>
      </c>
      <c r="F26" s="385">
        <v>1.8199999999999998</v>
      </c>
      <c r="G26" s="385">
        <v>0.87</v>
      </c>
      <c r="H26" s="385">
        <f t="shared" si="1"/>
        <v>0.47802197802197804</v>
      </c>
      <c r="I26" s="386">
        <v>40543</v>
      </c>
      <c r="J26" s="385">
        <v>1.41</v>
      </c>
      <c r="K26" s="385">
        <v>0.68</v>
      </c>
      <c r="L26" s="385">
        <f t="shared" si="2"/>
        <v>0.48226950354609938</v>
      </c>
      <c r="M26" s="386">
        <v>40543</v>
      </c>
      <c r="N26" s="385">
        <v>1.01</v>
      </c>
      <c r="O26" s="385">
        <v>0.92</v>
      </c>
      <c r="P26" s="385">
        <f t="shared" si="3"/>
        <v>0.91089108910891092</v>
      </c>
      <c r="Q26" s="386">
        <v>40543</v>
      </c>
      <c r="R26" s="385">
        <v>2.73</v>
      </c>
      <c r="S26" s="385">
        <v>1.6800000000000002</v>
      </c>
      <c r="T26" s="385">
        <f t="shared" si="4"/>
        <v>0.61538461538461542</v>
      </c>
      <c r="U26" s="385"/>
      <c r="V26" s="385"/>
      <c r="W26" s="385"/>
      <c r="X26" s="385"/>
      <c r="Y26" s="386">
        <v>40543</v>
      </c>
      <c r="Z26" s="385">
        <v>1.1100000000000001</v>
      </c>
      <c r="AA26" s="385">
        <v>0.68</v>
      </c>
      <c r="AB26" s="385">
        <f t="shared" si="6"/>
        <v>0.61261261261261257</v>
      </c>
      <c r="AC26" s="386">
        <v>41274</v>
      </c>
      <c r="AD26" s="385">
        <v>2.86</v>
      </c>
      <c r="AE26" s="385">
        <v>1.18</v>
      </c>
      <c r="AF26" s="385">
        <f t="shared" si="7"/>
        <v>0.41258741258741261</v>
      </c>
      <c r="AG26" s="386">
        <v>40543</v>
      </c>
      <c r="AH26" s="385">
        <v>2.4300000000000002</v>
      </c>
      <c r="AI26" s="385">
        <v>1.58</v>
      </c>
      <c r="AJ26" s="385">
        <f t="shared" si="8"/>
        <v>0.65020576131687247</v>
      </c>
      <c r="AK26" s="386">
        <v>42004</v>
      </c>
      <c r="AL26" s="385">
        <v>1.92</v>
      </c>
      <c r="AM26" s="385">
        <v>0.79100000000000004</v>
      </c>
      <c r="AN26" s="385">
        <f t="shared" si="9"/>
        <v>0.41197916666666667</v>
      </c>
      <c r="AO26" s="381"/>
      <c r="AS26" s="381"/>
      <c r="AW26" s="381"/>
      <c r="BA26" s="381"/>
      <c r="BE26" s="381"/>
      <c r="BI26" s="381"/>
      <c r="FY26" s="380"/>
    </row>
    <row r="27" spans="1:181" ht="14.25">
      <c r="A27" s="386">
        <v>40907</v>
      </c>
      <c r="B27" s="385">
        <v>2.27</v>
      </c>
      <c r="C27" s="385">
        <v>1.3599999999999999</v>
      </c>
      <c r="D27" s="385">
        <f t="shared" si="0"/>
        <v>0.59911894273127753</v>
      </c>
      <c r="E27" s="386">
        <v>40907</v>
      </c>
      <c r="F27" s="385">
        <v>1.9133</v>
      </c>
      <c r="G27" s="385">
        <v>0.91</v>
      </c>
      <c r="H27" s="385">
        <f t="shared" si="1"/>
        <v>0.47561804212616948</v>
      </c>
      <c r="I27" s="386">
        <v>40907</v>
      </c>
      <c r="J27" s="385">
        <v>1.22</v>
      </c>
      <c r="K27" s="385">
        <v>0.72</v>
      </c>
      <c r="L27" s="385">
        <f t="shared" si="2"/>
        <v>0.5901639344262295</v>
      </c>
      <c r="M27" s="386">
        <v>40907</v>
      </c>
      <c r="N27" s="385">
        <v>1.03</v>
      </c>
      <c r="O27" s="385">
        <v>0.92</v>
      </c>
      <c r="P27" s="385">
        <f t="shared" si="3"/>
        <v>0.89320388349514568</v>
      </c>
      <c r="Q27" s="386">
        <v>40907</v>
      </c>
      <c r="R27" s="385">
        <v>2.39</v>
      </c>
      <c r="S27" s="385">
        <v>1.75</v>
      </c>
      <c r="T27" s="385">
        <f t="shared" si="4"/>
        <v>0.73221757322175729</v>
      </c>
      <c r="U27" s="385"/>
      <c r="V27" s="385"/>
      <c r="W27" s="385"/>
      <c r="X27" s="385"/>
      <c r="Y27" s="386">
        <v>40907</v>
      </c>
      <c r="Z27" s="385">
        <v>1.4849999999999999</v>
      </c>
      <c r="AA27" s="385">
        <v>0.75</v>
      </c>
      <c r="AB27" s="385">
        <f t="shared" si="6"/>
        <v>0.50505050505050508</v>
      </c>
      <c r="AC27" s="386">
        <v>41639</v>
      </c>
      <c r="AD27" s="385">
        <v>3.11</v>
      </c>
      <c r="AE27" s="385">
        <v>1.32</v>
      </c>
      <c r="AF27" s="385">
        <f t="shared" si="7"/>
        <v>0.42443729903536981</v>
      </c>
      <c r="AG27" s="386">
        <v>40907</v>
      </c>
      <c r="AH27" s="385">
        <v>2.86</v>
      </c>
      <c r="AI27" s="385">
        <v>1.62</v>
      </c>
      <c r="AJ27" s="385">
        <f t="shared" si="8"/>
        <v>0.56643356643356646</v>
      </c>
      <c r="AK27" s="386">
        <v>42369</v>
      </c>
      <c r="AL27" s="385">
        <v>1.6</v>
      </c>
      <c r="AM27" s="385">
        <v>0.89</v>
      </c>
      <c r="AN27" s="385">
        <f t="shared" si="9"/>
        <v>0.55625000000000002</v>
      </c>
      <c r="AO27" s="381"/>
      <c r="AS27" s="381"/>
      <c r="AW27" s="381"/>
      <c r="BA27" s="381"/>
      <c r="BE27" s="381"/>
      <c r="BI27" s="381"/>
      <c r="FY27" s="380"/>
    </row>
    <row r="28" spans="1:181" ht="14.25">
      <c r="A28" s="386">
        <v>41274</v>
      </c>
      <c r="B28" s="385">
        <v>2.37</v>
      </c>
      <c r="C28" s="385">
        <v>1.38</v>
      </c>
      <c r="D28" s="385">
        <f t="shared" si="0"/>
        <v>0.58227848101265811</v>
      </c>
      <c r="E28" s="386">
        <v>41274</v>
      </c>
      <c r="F28" s="385">
        <v>1.9933000000000001</v>
      </c>
      <c r="G28" s="385">
        <v>0.96</v>
      </c>
      <c r="H28" s="385">
        <f t="shared" si="1"/>
        <v>0.4816134049064365</v>
      </c>
      <c r="I28" s="386">
        <v>41274</v>
      </c>
      <c r="J28" s="385">
        <v>1.115</v>
      </c>
      <c r="K28" s="385">
        <v>0.76</v>
      </c>
      <c r="L28" s="385">
        <f t="shared" si="2"/>
        <v>0.68161434977578472</v>
      </c>
      <c r="M28" s="386">
        <v>41274</v>
      </c>
      <c r="N28" s="385">
        <v>1.3900000000000001</v>
      </c>
      <c r="O28" s="385">
        <v>0.94</v>
      </c>
      <c r="P28" s="385">
        <f t="shared" si="3"/>
        <v>0.6762589928057553</v>
      </c>
      <c r="Q28" s="386">
        <v>41274</v>
      </c>
      <c r="R28" s="385">
        <v>2.1800000000000002</v>
      </c>
      <c r="S28" s="385">
        <v>1.79</v>
      </c>
      <c r="T28" s="385">
        <f t="shared" si="4"/>
        <v>0.82110091743119262</v>
      </c>
      <c r="U28" s="385"/>
      <c r="V28" s="385"/>
      <c r="W28" s="385"/>
      <c r="X28" s="385"/>
      <c r="Y28" s="386">
        <v>41274</v>
      </c>
      <c r="Z28" s="385">
        <v>1.4849999999999999</v>
      </c>
      <c r="AA28" s="385">
        <v>0.82499999999999996</v>
      </c>
      <c r="AB28" s="385">
        <f t="shared" si="6"/>
        <v>0.55555555555555558</v>
      </c>
      <c r="AC28" s="386">
        <v>42004</v>
      </c>
      <c r="AD28" s="385">
        <v>3.01</v>
      </c>
      <c r="AE28" s="385">
        <v>1.46</v>
      </c>
      <c r="AF28" s="385">
        <f t="shared" si="7"/>
        <v>0.4850498338870432</v>
      </c>
      <c r="AG28" s="386">
        <v>41274</v>
      </c>
      <c r="AH28" s="385">
        <v>2.79</v>
      </c>
      <c r="AI28" s="385">
        <v>1.6600000000000001</v>
      </c>
      <c r="AJ28" s="385">
        <f t="shared" si="8"/>
        <v>0.59498207885304666</v>
      </c>
      <c r="AK28" s="386">
        <v>42734</v>
      </c>
      <c r="AL28" s="385">
        <v>2.08</v>
      </c>
      <c r="AM28" s="385">
        <v>0.93</v>
      </c>
      <c r="AN28" s="385">
        <f t="shared" si="9"/>
        <v>0.44711538461538464</v>
      </c>
      <c r="AO28" s="381"/>
      <c r="AS28" s="381"/>
      <c r="AW28" s="381"/>
      <c r="BA28" s="381"/>
      <c r="BE28" s="381"/>
      <c r="BI28" s="381"/>
      <c r="FY28" s="380"/>
    </row>
    <row r="29" spans="1:181" ht="14.25">
      <c r="A29" s="386">
        <v>41639</v>
      </c>
      <c r="B29" s="385">
        <v>2.64</v>
      </c>
      <c r="C29" s="385">
        <v>1.4</v>
      </c>
      <c r="D29" s="385">
        <f t="shared" si="0"/>
        <v>0.53030303030303028</v>
      </c>
      <c r="E29" s="386">
        <v>41639</v>
      </c>
      <c r="F29" s="385">
        <v>2.2599999999999998</v>
      </c>
      <c r="G29" s="385">
        <v>1.0133000000000001</v>
      </c>
      <c r="H29" s="385">
        <f t="shared" si="1"/>
        <v>0.44836283185840714</v>
      </c>
      <c r="I29" s="386">
        <v>41639</v>
      </c>
      <c r="J29" s="385">
        <v>1.375</v>
      </c>
      <c r="K29" s="385">
        <v>0.81</v>
      </c>
      <c r="L29" s="385">
        <f t="shared" si="2"/>
        <v>0.58909090909090911</v>
      </c>
      <c r="M29" s="386">
        <v>41639</v>
      </c>
      <c r="N29" s="385">
        <v>1.7</v>
      </c>
      <c r="O29" s="385">
        <v>0.98</v>
      </c>
      <c r="P29" s="385">
        <f t="shared" si="3"/>
        <v>0.57647058823529407</v>
      </c>
      <c r="Q29" s="386">
        <v>41639</v>
      </c>
      <c r="R29" s="385">
        <v>2.2400000000000002</v>
      </c>
      <c r="S29" s="385">
        <v>1.83</v>
      </c>
      <c r="T29" s="385">
        <f t="shared" si="4"/>
        <v>0.8169642857142857</v>
      </c>
      <c r="U29" s="385"/>
      <c r="V29" s="385"/>
      <c r="W29" s="385"/>
      <c r="X29" s="385"/>
      <c r="Y29" s="386">
        <v>41639</v>
      </c>
      <c r="Z29" s="385">
        <v>1.2749999999999999</v>
      </c>
      <c r="AA29" s="385">
        <v>0.9</v>
      </c>
      <c r="AB29" s="385">
        <f t="shared" si="6"/>
        <v>0.70588235294117652</v>
      </c>
      <c r="AC29" s="386">
        <v>42369</v>
      </c>
      <c r="AD29" s="385">
        <v>2.92</v>
      </c>
      <c r="AE29" s="385">
        <v>1.62</v>
      </c>
      <c r="AF29" s="385">
        <f t="shared" si="7"/>
        <v>0.5547945205479452</v>
      </c>
      <c r="AG29" s="386">
        <v>41639</v>
      </c>
      <c r="AH29" s="385">
        <v>2.02</v>
      </c>
      <c r="AI29" s="385">
        <v>1.7</v>
      </c>
      <c r="AJ29" s="385">
        <f t="shared" si="8"/>
        <v>0.84158415841584155</v>
      </c>
      <c r="AK29" s="386">
        <v>43098</v>
      </c>
      <c r="AL29" s="385">
        <v>2.46</v>
      </c>
      <c r="AM29" s="385">
        <v>0.97499999999999998</v>
      </c>
      <c r="AN29" s="385">
        <f t="shared" si="9"/>
        <v>0.39634146341463417</v>
      </c>
      <c r="AO29" s="381"/>
      <c r="AS29" s="381"/>
      <c r="AW29" s="381"/>
      <c r="BA29" s="381"/>
      <c r="BE29" s="381"/>
      <c r="BI29" s="381"/>
      <c r="FY29" s="380"/>
    </row>
    <row r="30" spans="1:181" ht="14.25">
      <c r="A30" s="386">
        <v>42004</v>
      </c>
      <c r="B30" s="385">
        <v>2.96</v>
      </c>
      <c r="C30" s="385">
        <v>1.48</v>
      </c>
      <c r="D30" s="385">
        <f t="shared" si="0"/>
        <v>0.5</v>
      </c>
      <c r="E30" s="386">
        <v>42004</v>
      </c>
      <c r="F30" s="385">
        <v>2.4699999999999998</v>
      </c>
      <c r="G30" s="385">
        <v>1.0669999999999999</v>
      </c>
      <c r="H30" s="385">
        <f t="shared" si="1"/>
        <v>0.4319838056680162</v>
      </c>
      <c r="I30" s="386">
        <v>42004</v>
      </c>
      <c r="J30" s="385">
        <v>1.67</v>
      </c>
      <c r="K30" s="385">
        <v>0.85499999999999998</v>
      </c>
      <c r="L30" s="385">
        <f t="shared" si="2"/>
        <v>0.5119760479041916</v>
      </c>
      <c r="M30" s="386">
        <v>42004</v>
      </c>
      <c r="N30" s="385">
        <v>1.67</v>
      </c>
      <c r="O30" s="385">
        <v>1.02</v>
      </c>
      <c r="P30" s="385">
        <f t="shared" si="3"/>
        <v>0.6107784431137725</v>
      </c>
      <c r="Q30" s="386">
        <v>42004</v>
      </c>
      <c r="R30" s="385">
        <v>2.16</v>
      </c>
      <c r="S30" s="385">
        <v>1.85</v>
      </c>
      <c r="T30" s="385">
        <f t="shared" si="4"/>
        <v>0.85648148148148151</v>
      </c>
      <c r="U30" s="385"/>
      <c r="V30" s="385"/>
      <c r="W30" s="385"/>
      <c r="X30" s="385"/>
      <c r="Y30" s="386">
        <v>42004</v>
      </c>
      <c r="Z30" s="385">
        <v>1.46</v>
      </c>
      <c r="AA30" s="385">
        <v>0.96</v>
      </c>
      <c r="AB30" s="385">
        <f t="shared" si="6"/>
        <v>0.65753424657534243</v>
      </c>
      <c r="AC30" s="386">
        <v>42734</v>
      </c>
      <c r="AD30" s="385">
        <v>3.18</v>
      </c>
      <c r="AE30" s="385">
        <v>1.8</v>
      </c>
      <c r="AF30" s="385">
        <f t="shared" si="7"/>
        <v>0.56603773584905659</v>
      </c>
      <c r="AG30" s="386">
        <v>42004</v>
      </c>
      <c r="AH30" s="385">
        <v>2.35</v>
      </c>
      <c r="AI30" s="385">
        <v>1.76</v>
      </c>
      <c r="AJ30" s="385">
        <f t="shared" si="8"/>
        <v>0.74893617021276593</v>
      </c>
      <c r="AK30" s="386">
        <v>43465</v>
      </c>
      <c r="AL30" s="385">
        <v>4.0599999999999996</v>
      </c>
      <c r="AM30" s="385">
        <v>1.02</v>
      </c>
      <c r="AN30" s="385">
        <f t="shared" si="9"/>
        <v>0.25123152709359609</v>
      </c>
      <c r="AO30" s="381"/>
      <c r="AS30" s="381"/>
      <c r="BA30" s="381"/>
      <c r="BE30" s="381"/>
      <c r="BI30" s="381"/>
      <c r="FY30" s="380"/>
    </row>
    <row r="31" spans="1:181" ht="14.25">
      <c r="A31" s="386">
        <v>42369</v>
      </c>
      <c r="B31" s="385">
        <v>3.09</v>
      </c>
      <c r="C31" s="385">
        <v>1.56</v>
      </c>
      <c r="D31" s="385">
        <f t="shared" si="0"/>
        <v>0.50485436893203883</v>
      </c>
      <c r="E31" s="386">
        <v>42369</v>
      </c>
      <c r="F31" s="385">
        <v>2.7199999999999998</v>
      </c>
      <c r="G31" s="385">
        <v>1.1325000000000001</v>
      </c>
      <c r="H31" s="385">
        <f t="shared" si="1"/>
        <v>0.41636029411764713</v>
      </c>
      <c r="I31" s="386">
        <v>42369</v>
      </c>
      <c r="J31" s="385">
        <v>2.1</v>
      </c>
      <c r="K31" s="385">
        <v>0.91500000000000004</v>
      </c>
      <c r="L31" s="385">
        <f t="shared" si="2"/>
        <v>0.43571428571428572</v>
      </c>
      <c r="M31" s="386">
        <v>42369</v>
      </c>
      <c r="N31" s="385">
        <v>0.89590000000000003</v>
      </c>
      <c r="O31" s="385">
        <v>0.83</v>
      </c>
      <c r="P31" s="385">
        <f t="shared" si="3"/>
        <v>0.92644268333519364</v>
      </c>
      <c r="Q31" s="386">
        <v>42369</v>
      </c>
      <c r="R31" s="385">
        <v>1.96</v>
      </c>
      <c r="S31" s="385">
        <v>1.8599999999999999</v>
      </c>
      <c r="T31" s="385">
        <f t="shared" si="4"/>
        <v>0.94897959183673464</v>
      </c>
      <c r="U31" s="385"/>
      <c r="V31" s="385"/>
      <c r="W31" s="385"/>
      <c r="X31" s="385"/>
      <c r="Y31" s="386">
        <v>42369</v>
      </c>
      <c r="Z31" s="385">
        <v>1.52</v>
      </c>
      <c r="AA31" s="385">
        <v>1.02</v>
      </c>
      <c r="AB31" s="385">
        <f t="shared" si="6"/>
        <v>0.67105263157894735</v>
      </c>
      <c r="AC31" s="386">
        <v>43098</v>
      </c>
      <c r="AD31" s="385">
        <v>4.04</v>
      </c>
      <c r="AE31" s="385">
        <v>2.4750000000000001</v>
      </c>
      <c r="AF31" s="385">
        <f t="shared" si="7"/>
        <v>0.61262376237623761</v>
      </c>
      <c r="AG31" s="386">
        <v>42369</v>
      </c>
      <c r="AH31" s="385">
        <v>3.16</v>
      </c>
      <c r="AI31" s="385">
        <v>1.8399999999999999</v>
      </c>
      <c r="AJ31" s="385">
        <f t="shared" si="8"/>
        <v>0.58227848101265811</v>
      </c>
      <c r="AK31" s="385"/>
      <c r="AL31" s="385"/>
      <c r="AM31" s="385"/>
      <c r="AN31" s="385"/>
      <c r="AO31" s="381"/>
      <c r="AS31" s="381"/>
      <c r="BA31" s="381"/>
      <c r="BE31" s="381"/>
      <c r="BI31" s="381"/>
      <c r="FY31" s="380"/>
    </row>
    <row r="32" spans="1:181" ht="14.25">
      <c r="A32" s="386">
        <v>42734</v>
      </c>
      <c r="B32" s="385">
        <v>3.38</v>
      </c>
      <c r="C32" s="385">
        <v>1.6800000000000002</v>
      </c>
      <c r="D32" s="385">
        <f t="shared" si="0"/>
        <v>0.49704142011834324</v>
      </c>
      <c r="E32" s="386">
        <v>42734</v>
      </c>
      <c r="F32" s="385">
        <v>2.86</v>
      </c>
      <c r="G32" s="385">
        <v>1.2025000000000001</v>
      </c>
      <c r="H32" s="385">
        <f t="shared" si="1"/>
        <v>0.42045454545454553</v>
      </c>
      <c r="I32" s="386">
        <v>42734</v>
      </c>
      <c r="J32" s="385">
        <v>1.52</v>
      </c>
      <c r="K32" s="385">
        <v>0.97499999999999998</v>
      </c>
      <c r="L32" s="385">
        <f t="shared" si="2"/>
        <v>0.64144736842105265</v>
      </c>
      <c r="M32" s="386">
        <v>42734</v>
      </c>
      <c r="N32" s="385">
        <v>1.02</v>
      </c>
      <c r="O32" s="385">
        <v>0.64</v>
      </c>
      <c r="P32" s="385">
        <f t="shared" si="3"/>
        <v>0.62745098039215685</v>
      </c>
      <c r="Q32" s="386">
        <v>42734</v>
      </c>
      <c r="R32" s="385">
        <v>2.12</v>
      </c>
      <c r="S32" s="385">
        <v>1.87</v>
      </c>
      <c r="T32" s="385">
        <f t="shared" si="4"/>
        <v>0.88207547169811318</v>
      </c>
      <c r="U32" s="385"/>
      <c r="V32" s="385"/>
      <c r="W32" s="385"/>
      <c r="X32" s="385"/>
      <c r="Y32" s="386">
        <v>42734</v>
      </c>
      <c r="Z32" s="385">
        <v>1.56</v>
      </c>
      <c r="AA32" s="385">
        <v>1.07</v>
      </c>
      <c r="AB32" s="385">
        <f t="shared" si="6"/>
        <v>0.6858974358974359</v>
      </c>
      <c r="AC32" s="386">
        <v>43465</v>
      </c>
      <c r="AD32" s="385">
        <v>3.68</v>
      </c>
      <c r="AE32" s="385">
        <v>2.08</v>
      </c>
      <c r="AF32" s="385">
        <f t="shared" si="7"/>
        <v>0.56521739130434778</v>
      </c>
      <c r="AG32" s="386">
        <v>42734</v>
      </c>
      <c r="AH32" s="385">
        <v>3.24</v>
      </c>
      <c r="AI32" s="385">
        <v>1.96</v>
      </c>
      <c r="AJ32" s="385">
        <f t="shared" si="8"/>
        <v>0.60493827160493818</v>
      </c>
      <c r="AK32" s="385"/>
      <c r="AL32" s="385"/>
      <c r="AM32" s="385"/>
      <c r="AN32" s="385"/>
      <c r="AO32" s="381"/>
      <c r="AS32" s="381"/>
      <c r="BA32" s="381"/>
      <c r="BE32" s="381"/>
      <c r="BI32" s="381"/>
      <c r="FY32" s="380"/>
    </row>
    <row r="33" spans="1:181" ht="14.25">
      <c r="A33" s="386">
        <v>43098</v>
      </c>
      <c r="B33" s="385">
        <v>3.73</v>
      </c>
      <c r="C33" s="385">
        <v>1.8</v>
      </c>
      <c r="D33" s="385">
        <f t="shared" si="0"/>
        <v>0.48257372654155495</v>
      </c>
      <c r="E33" s="386">
        <v>43098</v>
      </c>
      <c r="F33" s="385">
        <v>3.55</v>
      </c>
      <c r="G33" s="385">
        <v>1.28</v>
      </c>
      <c r="H33" s="385">
        <f t="shared" si="1"/>
        <v>0.36056338028169016</v>
      </c>
      <c r="I33" s="386">
        <v>43098</v>
      </c>
      <c r="J33" s="385">
        <v>1.52</v>
      </c>
      <c r="K33" s="385">
        <v>1.0375000000000001</v>
      </c>
      <c r="L33" s="385">
        <f t="shared" si="2"/>
        <v>0.68256578947368429</v>
      </c>
      <c r="M33" s="386">
        <v>43098</v>
      </c>
      <c r="N33" s="385">
        <v>0.39</v>
      </c>
      <c r="O33" s="385">
        <v>0.7</v>
      </c>
      <c r="P33" s="385">
        <f t="shared" si="3"/>
        <v>1.7948717948717947</v>
      </c>
      <c r="Q33" s="386">
        <v>43098</v>
      </c>
      <c r="R33" s="385">
        <v>-1.94</v>
      </c>
      <c r="S33" s="385">
        <v>1.88</v>
      </c>
      <c r="T33" s="385">
        <f t="shared" si="4"/>
        <v>-0.96907216494845361</v>
      </c>
      <c r="U33" s="385"/>
      <c r="V33" s="385"/>
      <c r="W33" s="385"/>
      <c r="X33" s="385"/>
      <c r="Y33" s="386">
        <v>43098</v>
      </c>
      <c r="Z33" s="385">
        <v>-0.04</v>
      </c>
      <c r="AA33" s="385">
        <v>1.1000000000000001</v>
      </c>
      <c r="AB33" s="385">
        <f t="shared" si="6"/>
        <v>-27.5</v>
      </c>
      <c r="AC33" s="385"/>
      <c r="AD33" s="385"/>
      <c r="AE33" s="385"/>
      <c r="AF33" s="385"/>
      <c r="AG33" s="386">
        <v>43098</v>
      </c>
      <c r="AH33" s="385">
        <v>3.43</v>
      </c>
      <c r="AI33" s="385">
        <v>2.1</v>
      </c>
      <c r="AJ33" s="385">
        <f t="shared" si="8"/>
        <v>0.61224489795918369</v>
      </c>
      <c r="AK33" s="385"/>
      <c r="AL33" s="385"/>
      <c r="AM33" s="385"/>
      <c r="AN33" s="385"/>
      <c r="AO33" s="381"/>
      <c r="AS33" s="381"/>
      <c r="BA33" s="381"/>
      <c r="BE33" s="381"/>
      <c r="BI33" s="381"/>
      <c r="FY33" s="380"/>
    </row>
    <row r="34" spans="1:181" ht="14.25">
      <c r="A34" s="386">
        <v>43465</v>
      </c>
      <c r="B34" s="385">
        <v>5.43</v>
      </c>
      <c r="C34" s="385">
        <v>1.94</v>
      </c>
      <c r="D34" s="385">
        <f t="shared" si="0"/>
        <v>0.35727440147329653</v>
      </c>
      <c r="E34" s="386">
        <v>43465</v>
      </c>
      <c r="F34" s="385">
        <v>3.45</v>
      </c>
      <c r="G34" s="385">
        <v>1.4350000000000001</v>
      </c>
      <c r="H34" s="385">
        <f t="shared" si="1"/>
        <v>0.41594202898550725</v>
      </c>
      <c r="I34" s="386">
        <v>43465</v>
      </c>
      <c r="J34" s="385">
        <v>2.64</v>
      </c>
      <c r="K34" s="385">
        <v>1.1100000000000001</v>
      </c>
      <c r="L34" s="385">
        <f t="shared" si="2"/>
        <v>0.42045454545454547</v>
      </c>
      <c r="M34" s="386">
        <v>43465</v>
      </c>
      <c r="N34" s="385">
        <v>-0.18</v>
      </c>
      <c r="O34" s="385">
        <v>0.78</v>
      </c>
      <c r="P34" s="385">
        <f t="shared" si="3"/>
        <v>-4.3333333333333339</v>
      </c>
      <c r="Q34" s="386">
        <v>43465</v>
      </c>
      <c r="R34" s="385">
        <v>2.2400000000000002</v>
      </c>
      <c r="S34" s="385">
        <v>1.8925000000000001</v>
      </c>
      <c r="T34" s="385">
        <f t="shared" si="4"/>
        <v>0.8448660714285714</v>
      </c>
      <c r="U34" s="385"/>
      <c r="V34" s="385"/>
      <c r="W34" s="385"/>
      <c r="X34" s="385"/>
      <c r="Y34" s="386">
        <v>43465</v>
      </c>
      <c r="Z34" s="385">
        <v>0.21</v>
      </c>
      <c r="AA34" s="385">
        <v>1.1299999999999999</v>
      </c>
      <c r="AB34" s="385">
        <f t="shared" si="6"/>
        <v>5.3809523809523805</v>
      </c>
      <c r="AC34" s="385"/>
      <c r="AD34" s="385"/>
      <c r="AE34" s="385"/>
      <c r="AF34" s="385"/>
      <c r="AG34" s="386">
        <v>43465</v>
      </c>
      <c r="AH34" s="385">
        <v>4.33</v>
      </c>
      <c r="AI34" s="385">
        <v>2.25</v>
      </c>
      <c r="AJ34" s="385">
        <f t="shared" si="8"/>
        <v>0.51963048498845266</v>
      </c>
      <c r="AK34" s="385"/>
      <c r="AL34" s="385"/>
      <c r="AM34" s="385"/>
      <c r="AN34" s="385"/>
      <c r="AO34" s="381"/>
      <c r="AS34" s="381"/>
      <c r="BA34" s="381"/>
      <c r="BE34" s="381"/>
      <c r="BI34" s="381"/>
      <c r="FY34" s="380"/>
    </row>
    <row r="35" spans="1:181" ht="14.2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FY35" s="380"/>
    </row>
    <row r="36" spans="1:181" ht="14.25">
      <c r="A36" s="385"/>
      <c r="B36" s="385"/>
      <c r="C36" s="385" t="s">
        <v>1133</v>
      </c>
      <c r="D36" s="385">
        <f>MEDIAN(D6:D34)</f>
        <v>0.6923076923076924</v>
      </c>
      <c r="E36" s="385"/>
      <c r="F36" s="385"/>
      <c r="G36" s="385" t="s">
        <v>1133</v>
      </c>
      <c r="H36" s="385">
        <f>MEDIAN(H6:H34)</f>
        <v>0.64406779661016955</v>
      </c>
      <c r="I36" s="385"/>
      <c r="J36" s="385"/>
      <c r="K36" s="385" t="s">
        <v>1133</v>
      </c>
      <c r="L36" s="385">
        <f>MEDIAN(L6:L34)</f>
        <v>0.64144736842105265</v>
      </c>
      <c r="M36" s="385"/>
      <c r="N36" s="385"/>
      <c r="O36" s="385" t="s">
        <v>1133</v>
      </c>
      <c r="P36" s="385">
        <f>MEDIAN(P6:P34)</f>
        <v>0.669558067831449</v>
      </c>
      <c r="Q36" s="385"/>
      <c r="R36" s="385"/>
      <c r="S36" s="385" t="s">
        <v>1133</v>
      </c>
      <c r="T36" s="385">
        <f>MEDIAN(T6:T34)</f>
        <v>0.72058823529411775</v>
      </c>
      <c r="U36" s="385"/>
      <c r="V36" s="385"/>
      <c r="W36" s="385" t="s">
        <v>1133</v>
      </c>
      <c r="X36" s="385">
        <f>MEDIAN(X6:X34)</f>
        <v>0.5357142857142857</v>
      </c>
      <c r="Y36" s="385"/>
      <c r="Z36" s="385"/>
      <c r="AA36" s="385" t="s">
        <v>1133</v>
      </c>
      <c r="AB36" s="385">
        <f>MEDIAN(AB6:AB34)</f>
        <v>0.65753424657534243</v>
      </c>
      <c r="AC36" s="385"/>
      <c r="AD36" s="385"/>
      <c r="AE36" s="385"/>
      <c r="AF36" s="385">
        <f>MEDIAN(AF6:AF34)</f>
        <v>0.56603773584905659</v>
      </c>
      <c r="AG36" s="385"/>
      <c r="AH36" s="385"/>
      <c r="AI36" s="385" t="s">
        <v>1133</v>
      </c>
      <c r="AJ36" s="385">
        <f>MEDIAN(AJ6:AJ34)</f>
        <v>0.73626373626373642</v>
      </c>
      <c r="AK36" s="385"/>
      <c r="AL36" s="385"/>
      <c r="AM36" s="385" t="s">
        <v>1133</v>
      </c>
      <c r="AN36" s="385">
        <f>MEDIAN(AN6:AN34)</f>
        <v>0.49515764945751117</v>
      </c>
    </row>
    <row r="37" spans="1:181" ht="14.25">
      <c r="AC37" s="385"/>
      <c r="AD37" s="385"/>
      <c r="AE37" s="385" t="s">
        <v>1133</v>
      </c>
    </row>
    <row r="38" spans="1:181">
      <c r="B38" s="382" t="s">
        <v>1561</v>
      </c>
      <c r="C38" s="383"/>
      <c r="D38" s="383"/>
      <c r="E38" s="383"/>
      <c r="F38" s="384">
        <f>AVERAGE(D36:AN36)</f>
        <v>0.63586768143244132</v>
      </c>
      <c r="Q38" s="380"/>
      <c r="FY38" s="380"/>
    </row>
    <row r="39" spans="1:181">
      <c r="D39" s="380" t="s">
        <v>1191</v>
      </c>
      <c r="Q39" s="380"/>
      <c r="FY39" s="380"/>
    </row>
    <row r="41" spans="1:181">
      <c r="A41" s="380" t="s">
        <v>1562</v>
      </c>
      <c r="C41" s="380" t="s">
        <v>1563</v>
      </c>
    </row>
    <row r="42" spans="1:181">
      <c r="C42" s="380" t="s">
        <v>1565</v>
      </c>
    </row>
    <row r="43" spans="1:181">
      <c r="A43" s="380" t="s">
        <v>33</v>
      </c>
      <c r="B43" s="380" t="s">
        <v>34</v>
      </c>
      <c r="C43" s="342">
        <v>0.48</v>
      </c>
      <c r="D43" s="342"/>
    </row>
    <row r="44" spans="1:181">
      <c r="A44" s="380" t="s">
        <v>35</v>
      </c>
      <c r="B44" s="380" t="s">
        <v>32</v>
      </c>
      <c r="C44" s="342">
        <v>0.43</v>
      </c>
      <c r="D44" s="342"/>
      <c r="Q44" s="380"/>
      <c r="FY44" s="380"/>
    </row>
    <row r="45" spans="1:181">
      <c r="A45" s="380" t="s">
        <v>36</v>
      </c>
      <c r="B45" s="380" t="s">
        <v>37</v>
      </c>
      <c r="C45" s="342">
        <v>0.53</v>
      </c>
      <c r="D45" s="342"/>
    </row>
    <row r="46" spans="1:181">
      <c r="A46" s="380" t="s">
        <v>38</v>
      </c>
      <c r="B46" s="380" t="s">
        <v>39</v>
      </c>
      <c r="C46" s="342">
        <v>0.63</v>
      </c>
      <c r="D46" s="342"/>
    </row>
    <row r="47" spans="1:181">
      <c r="A47" s="380" t="s">
        <v>40</v>
      </c>
      <c r="B47" s="380" t="s">
        <v>46</v>
      </c>
      <c r="C47" s="342">
        <v>0.56000000000000005</v>
      </c>
      <c r="D47" s="342"/>
    </row>
    <row r="48" spans="1:181">
      <c r="A48" s="380" t="s">
        <v>48</v>
      </c>
      <c r="B48" s="380" t="s">
        <v>41</v>
      </c>
      <c r="C48" s="342">
        <v>0.6</v>
      </c>
      <c r="D48" s="342"/>
    </row>
    <row r="49" spans="1:4">
      <c r="A49" s="380" t="s">
        <v>1564</v>
      </c>
      <c r="B49" s="380" t="s">
        <v>45</v>
      </c>
      <c r="C49" s="342">
        <v>0.53</v>
      </c>
      <c r="D49" s="342"/>
    </row>
    <row r="50" spans="1:4">
      <c r="A50" s="380" t="s">
        <v>42</v>
      </c>
      <c r="B50" s="380" t="s">
        <v>43</v>
      </c>
      <c r="C50" s="342">
        <v>0.45</v>
      </c>
      <c r="D50" s="342"/>
    </row>
    <row r="52" spans="1:4">
      <c r="C52" s="342"/>
      <c r="D52" s="342"/>
    </row>
    <row r="53" spans="1:4">
      <c r="A53" s="380" t="s">
        <v>1566</v>
      </c>
      <c r="C53" s="387">
        <f>AVERAGE(C43,C45:C50)</f>
        <v>0.54</v>
      </c>
    </row>
    <row r="54" spans="1:4">
      <c r="C54" s="387"/>
    </row>
    <row r="55" spans="1:4">
      <c r="A55" s="380" t="s">
        <v>1567</v>
      </c>
      <c r="C55" s="387">
        <f>F38-C53</f>
        <v>9.5867681432441287E-2</v>
      </c>
    </row>
  </sheetData>
  <mergeCells count="1">
    <mergeCell ref="A2:K2"/>
  </mergeCells>
  <pageMargins left="0.7" right="0.7" top="0.75" bottom="0.75" header="0.3" footer="0.3"/>
  <pageSetup scale="69" fitToWidth="0" orientation="landscape" useFirstPageNumber="1" horizontalDpi="1200" verticalDpi="1200" r:id="rId1"/>
  <headerFooter scaleWithDoc="0">
    <oddHeader>&amp;R&amp;"Arial,Regular"&amp;10DEU Exhibit 2.12R
Page &amp;P of 5</oddHeader>
  </headerFooter>
  <colBreaks count="4" manualBreakCount="4">
    <brk id="8" max="1048575" man="1"/>
    <brk id="16" max="1048575" man="1"/>
    <brk id="24" max="1048575" man="1"/>
    <brk id="3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6"/>
  <sheetViews>
    <sheetView view="pageLayout" zoomScale="80" zoomScaleNormal="100" zoomScaleSheetLayoutView="85" zoomScalePageLayoutView="80" workbookViewId="0">
      <selection activeCell="M4" sqref="M4"/>
    </sheetView>
  </sheetViews>
  <sheetFormatPr defaultColWidth="11.5" defaultRowHeight="12.75"/>
  <cols>
    <col min="1" max="1" width="4.75" style="390" customWidth="1"/>
    <col min="2" max="3" width="11.625" style="389" bestFit="1" customWidth="1"/>
    <col min="4" max="4" width="14.125" style="389" customWidth="1"/>
    <col min="5" max="5" width="13.25" style="389" bestFit="1" customWidth="1"/>
    <col min="6" max="6" width="10.25" style="389" bestFit="1" customWidth="1"/>
    <col min="7" max="7" width="14.25" style="389" bestFit="1" customWidth="1"/>
    <col min="8" max="8" width="10.125" style="389" bestFit="1" customWidth="1"/>
    <col min="9" max="9" width="11" style="389" bestFit="1" customWidth="1"/>
    <col min="10" max="10" width="10.25" style="389" bestFit="1" customWidth="1"/>
    <col min="11" max="11" width="10.125" style="389" bestFit="1" customWidth="1"/>
    <col min="12" max="12" width="22.5" style="389" bestFit="1" customWidth="1"/>
    <col min="13" max="14" width="8.25" style="389" customWidth="1"/>
    <col min="15" max="16384" width="11.5" style="389"/>
  </cols>
  <sheetData>
    <row r="1" spans="1:14">
      <c r="A1" s="388"/>
    </row>
    <row r="3" spans="1:14">
      <c r="C3" s="835" t="s">
        <v>1838</v>
      </c>
      <c r="D3" s="835"/>
      <c r="E3" s="835"/>
      <c r="F3" s="835"/>
      <c r="G3" s="835"/>
      <c r="H3" s="835"/>
      <c r="I3" s="835"/>
      <c r="J3" s="835"/>
      <c r="K3" s="835"/>
      <c r="L3" s="390"/>
    </row>
    <row r="6" spans="1:14">
      <c r="A6" s="391"/>
      <c r="D6" s="392" t="s">
        <v>34</v>
      </c>
      <c r="E6" s="392" t="s">
        <v>32</v>
      </c>
      <c r="F6" s="392" t="s">
        <v>37</v>
      </c>
      <c r="G6" s="392" t="s">
        <v>39</v>
      </c>
      <c r="H6" s="392" t="s">
        <v>46</v>
      </c>
      <c r="I6" s="392" t="s">
        <v>41</v>
      </c>
      <c r="J6" s="392" t="s">
        <v>45</v>
      </c>
      <c r="K6" s="392" t="s">
        <v>43</v>
      </c>
      <c r="L6" s="392"/>
      <c r="M6" s="392" t="s">
        <v>20</v>
      </c>
      <c r="N6" s="392" t="s">
        <v>1133</v>
      </c>
    </row>
    <row r="7" spans="1:14">
      <c r="A7" s="393"/>
      <c r="C7" s="394" t="s">
        <v>1568</v>
      </c>
      <c r="D7" s="395">
        <v>110.76333333333334</v>
      </c>
      <c r="E7" s="395">
        <v>94.90000000000002</v>
      </c>
      <c r="F7" s="395">
        <v>45.043333333333329</v>
      </c>
      <c r="G7" s="395">
        <v>71.339999999999989</v>
      </c>
      <c r="H7" s="395">
        <v>93.866666666666674</v>
      </c>
      <c r="I7" s="395">
        <v>32.256666666666668</v>
      </c>
      <c r="J7" s="395">
        <v>85.61666666666666</v>
      </c>
      <c r="K7" s="395">
        <v>90.223333333333343</v>
      </c>
      <c r="L7" s="395"/>
      <c r="M7" s="396"/>
      <c r="N7" s="396"/>
    </row>
    <row r="8" spans="1:14">
      <c r="A8" s="393"/>
      <c r="C8" s="394" t="s">
        <v>1183</v>
      </c>
      <c r="D8" s="395">
        <v>2.2400000000000002</v>
      </c>
      <c r="E8" s="395">
        <v>1.68</v>
      </c>
      <c r="F8" s="395">
        <v>1.21</v>
      </c>
      <c r="G8" s="395">
        <v>1.97</v>
      </c>
      <c r="H8" s="395">
        <v>2.16</v>
      </c>
      <c r="I8" s="395">
        <v>1.25</v>
      </c>
      <c r="J8" s="395">
        <v>2.46</v>
      </c>
      <c r="K8" s="395">
        <v>2.2999999999999998</v>
      </c>
      <c r="L8" s="395"/>
      <c r="M8" s="396"/>
      <c r="N8" s="396"/>
    </row>
    <row r="9" spans="1:14" ht="24" customHeight="1">
      <c r="A9" s="393"/>
      <c r="C9" s="397" t="s">
        <v>1569</v>
      </c>
      <c r="D9" s="395">
        <v>2.7</v>
      </c>
      <c r="E9" s="395">
        <v>2.15</v>
      </c>
      <c r="F9" s="395">
        <v>1.33</v>
      </c>
      <c r="G9" s="395">
        <v>2.2000000000000002</v>
      </c>
      <c r="H9" s="395">
        <v>2.65</v>
      </c>
      <c r="I9" s="395">
        <v>1.4</v>
      </c>
      <c r="J9" s="395">
        <v>2.67</v>
      </c>
      <c r="K9" s="395">
        <v>2.6</v>
      </c>
      <c r="L9" s="395"/>
      <c r="M9" s="396"/>
      <c r="N9" s="396"/>
    </row>
    <row r="10" spans="1:14">
      <c r="A10" s="393"/>
      <c r="C10" s="394" t="s">
        <v>1570</v>
      </c>
      <c r="D10" s="398">
        <v>6.8452380952380945E-2</v>
      </c>
      <c r="E10" s="398">
        <v>9.3253968253968297E-2</v>
      </c>
      <c r="F10" s="398">
        <v>3.305785123966945E-2</v>
      </c>
      <c r="G10" s="398">
        <v>3.891708967851111E-2</v>
      </c>
      <c r="H10" s="398">
        <v>7.5617283950617176E-2</v>
      </c>
      <c r="I10" s="398">
        <v>4.0000000000000036E-2</v>
      </c>
      <c r="J10" s="398">
        <v>2.8455284552845465E-2</v>
      </c>
      <c r="K10" s="398">
        <v>4.3478260869565258E-2</v>
      </c>
      <c r="L10" s="398"/>
      <c r="M10" s="399"/>
      <c r="N10" s="399"/>
    </row>
    <row r="11" spans="1:14" ht="13.5" thickBot="1">
      <c r="A11" s="393"/>
      <c r="C11" s="394" t="s">
        <v>1571</v>
      </c>
      <c r="D11" s="398">
        <v>0.12381390446412241</v>
      </c>
      <c r="E11" s="398">
        <v>0.12089890366361959</v>
      </c>
      <c r="F11" s="398">
        <v>5.8037532102951976E-2</v>
      </c>
      <c r="G11" s="398">
        <v>7.9040249870175244E-2</v>
      </c>
      <c r="H11" s="398">
        <v>5.8146998351392074E-2</v>
      </c>
      <c r="I11" s="398">
        <v>8.4079744817424779E-2</v>
      </c>
      <c r="J11" s="398">
        <v>5.6092432300708303E-2</v>
      </c>
      <c r="K11" s="398">
        <v>6.5955988238342644E-2</v>
      </c>
      <c r="L11" s="398"/>
    </row>
    <row r="12" spans="1:14" ht="13.5" thickBot="1">
      <c r="A12" s="393"/>
      <c r="C12" s="394" t="s">
        <v>1572</v>
      </c>
      <c r="D12" s="400">
        <f t="shared" ref="D12:E12" si="0">IRR(D20:D170,0.1)</f>
        <v>0.13867354262834475</v>
      </c>
      <c r="E12" s="400">
        <f t="shared" si="0"/>
        <v>0.13433194914241064</v>
      </c>
      <c r="F12" s="400">
        <f t="shared" ref="F12:J12" si="1">IRR(F20:F170,0.1)</f>
        <v>8.2211253356566205E-2</v>
      </c>
      <c r="G12" s="400">
        <f t="shared" si="1"/>
        <v>0.10277752225312997</v>
      </c>
      <c r="H12" s="400">
        <f t="shared" si="1"/>
        <v>8.0976216258705991E-2</v>
      </c>
      <c r="I12" s="400">
        <f t="shared" si="1"/>
        <v>0.11809351809379609</v>
      </c>
      <c r="J12" s="400">
        <f t="shared" si="1"/>
        <v>8.1973504802212771E-2</v>
      </c>
      <c r="K12" s="400">
        <f>IRR(K20:K170,0.1)</f>
        <v>8.8835978512637137E-2</v>
      </c>
      <c r="L12" s="400"/>
      <c r="M12" s="401">
        <f>AVERAGE(D12:K12)</f>
        <v>0.10348418563097544</v>
      </c>
      <c r="N12" s="401">
        <f>MEDIAN(D12:K12)</f>
        <v>9.5806750382883554E-2</v>
      </c>
    </row>
    <row r="13" spans="1:14" ht="30.75" customHeight="1" thickBot="1">
      <c r="A13" s="393"/>
      <c r="B13" s="836" t="s">
        <v>1573</v>
      </c>
      <c r="C13" s="837"/>
      <c r="D13" s="402">
        <f t="shared" ref="D13:E13" si="2">XIRR(D20:D170,$C20:$C170,0.1)</f>
        <v>0.13857902884483334</v>
      </c>
      <c r="E13" s="402">
        <f t="shared" si="2"/>
        <v>0.13424045443534854</v>
      </c>
      <c r="F13" s="402">
        <f t="shared" ref="F13:J13" si="3">XIRR(F20:F170,$C20:$C170,0.1)</f>
        <v>8.2157191634178187E-2</v>
      </c>
      <c r="G13" s="402">
        <f t="shared" si="3"/>
        <v>0.10270923972129822</v>
      </c>
      <c r="H13" s="402">
        <f t="shared" si="3"/>
        <v>8.092289865016937E-2</v>
      </c>
      <c r="I13" s="402">
        <f t="shared" si="3"/>
        <v>0.11801564097404479</v>
      </c>
      <c r="J13" s="402">
        <f t="shared" si="3"/>
        <v>8.19197326898575E-2</v>
      </c>
      <c r="K13" s="402">
        <f>XIRR(K20:K170,$C20:$C170,0.1)</f>
        <v>8.8777276873588565E-2</v>
      </c>
      <c r="L13" s="402"/>
      <c r="M13" s="401">
        <f>AVERAGE(D13:K13)</f>
        <v>0.10341518297791483</v>
      </c>
      <c r="N13" s="401">
        <f>MEDIAN(D13:K13)</f>
        <v>9.5743258297443401E-2</v>
      </c>
    </row>
    <row r="14" spans="1:14" ht="33" customHeight="1" thickBot="1">
      <c r="A14" s="393"/>
      <c r="B14" s="836" t="s">
        <v>1574</v>
      </c>
      <c r="C14" s="837"/>
      <c r="D14" s="403">
        <f t="shared" ref="D14:E14" si="4">XIRR(D20:D170,$B20:$B170,0.1)</f>
        <v>0.14004434943199154</v>
      </c>
      <c r="E14" s="403">
        <f t="shared" si="4"/>
        <v>0.13560095429420471</v>
      </c>
      <c r="F14" s="403">
        <f t="shared" ref="F14:J14" si="5">XIRR(F20:F170,$B20:$B170,0.1)</f>
        <v>8.327542245388031E-2</v>
      </c>
      <c r="G14" s="403">
        <f t="shared" si="5"/>
        <v>0.10409359335899354</v>
      </c>
      <c r="H14" s="403">
        <f t="shared" si="5"/>
        <v>8.1978157162666335E-2</v>
      </c>
      <c r="I14" s="403">
        <f t="shared" si="5"/>
        <v>0.1201076805591583</v>
      </c>
      <c r="J14" s="403">
        <f t="shared" si="5"/>
        <v>8.3089777827262901E-2</v>
      </c>
      <c r="K14" s="403">
        <f>XIRR(K20:K170,$B20:$B170,0.1)</f>
        <v>8.9942160248756439E-2</v>
      </c>
      <c r="L14" s="403"/>
      <c r="M14" s="401">
        <f>AVERAGE(D14:K14)</f>
        <v>0.10476651191711427</v>
      </c>
      <c r="N14" s="401">
        <f>MEDIAN(D14:K14)</f>
        <v>9.7017876803874997E-2</v>
      </c>
    </row>
    <row r="15" spans="1:14" ht="13.5" thickBot="1">
      <c r="A15" s="393"/>
      <c r="M15" s="404">
        <f>M14-M13</f>
        <v>1.3513289391994393E-3</v>
      </c>
      <c r="N15" s="404">
        <f>N14-N13</f>
        <v>1.2746185064315962E-3</v>
      </c>
    </row>
    <row r="16" spans="1:14" ht="24.75" customHeight="1" thickBot="1">
      <c r="A16" s="393"/>
      <c r="L16" s="405" t="s">
        <v>1579</v>
      </c>
      <c r="M16" s="406">
        <f>AVERAGE(F13:K13)</f>
        <v>9.2416996757189451E-2</v>
      </c>
      <c r="N16" s="406">
        <f>MEDIAN(F13:K13)</f>
        <v>8.5467234253883376E-2</v>
      </c>
    </row>
    <row r="17" spans="2:14" ht="13.5" thickBot="1">
      <c r="L17" s="405" t="s">
        <v>1578</v>
      </c>
      <c r="M17" s="406">
        <f>AVERAGE(F14:K14)</f>
        <v>9.3747798601786295E-2</v>
      </c>
      <c r="N17" s="406">
        <f>MEDIAN(F14:K14)</f>
        <v>8.6608791351318382E-2</v>
      </c>
    </row>
    <row r="18" spans="2:14">
      <c r="L18" s="407"/>
      <c r="M18" s="408">
        <f>M17-M16</f>
        <v>1.3308018445968434E-3</v>
      </c>
      <c r="N18" s="408">
        <f>N17-N16</f>
        <v>1.1415570974350059E-3</v>
      </c>
    </row>
    <row r="19" spans="2:14">
      <c r="B19" s="390" t="s">
        <v>1575</v>
      </c>
      <c r="C19" s="390" t="s">
        <v>1576</v>
      </c>
      <c r="D19" s="392" t="str">
        <f t="shared" ref="D19:K19" si="6">D6</f>
        <v>ATO</v>
      </c>
      <c r="E19" s="392" t="str">
        <f t="shared" si="6"/>
        <v>CPK</v>
      </c>
      <c r="F19" s="392" t="str">
        <f t="shared" si="6"/>
        <v>NJR</v>
      </c>
      <c r="G19" s="392" t="str">
        <f t="shared" si="6"/>
        <v>NWN</v>
      </c>
      <c r="H19" s="392" t="str">
        <f t="shared" si="6"/>
        <v>OGS</v>
      </c>
      <c r="I19" s="392" t="str">
        <f t="shared" si="6"/>
        <v>SJI</v>
      </c>
      <c r="J19" s="392" t="str">
        <f t="shared" si="6"/>
        <v>SR</v>
      </c>
      <c r="K19" s="392" t="str">
        <f t="shared" si="6"/>
        <v>SWX</v>
      </c>
    </row>
    <row r="20" spans="2:14">
      <c r="B20" s="409">
        <v>43831</v>
      </c>
      <c r="C20" s="409">
        <v>43831</v>
      </c>
      <c r="D20" s="410">
        <f t="shared" ref="D20:K20" si="7">-D7</f>
        <v>-110.76333333333334</v>
      </c>
      <c r="E20" s="410">
        <f t="shared" si="7"/>
        <v>-94.90000000000002</v>
      </c>
      <c r="F20" s="410">
        <f t="shared" si="7"/>
        <v>-45.043333333333329</v>
      </c>
      <c r="G20" s="410">
        <f t="shared" si="7"/>
        <v>-71.339999999999989</v>
      </c>
      <c r="H20" s="410">
        <f t="shared" si="7"/>
        <v>-93.866666666666674</v>
      </c>
      <c r="I20" s="410">
        <f t="shared" si="7"/>
        <v>-32.256666666666668</v>
      </c>
      <c r="J20" s="410">
        <f t="shared" si="7"/>
        <v>-85.61666666666666</v>
      </c>
      <c r="K20" s="410">
        <f t="shared" si="7"/>
        <v>-90.223333333333343</v>
      </c>
      <c r="L20" s="390"/>
    </row>
    <row r="21" spans="2:14">
      <c r="B21" s="409">
        <f>DATE(YEAR(C21),7,1)</f>
        <v>44013</v>
      </c>
      <c r="C21" s="409">
        <v>44196</v>
      </c>
      <c r="D21" s="411">
        <f t="shared" ref="D21:K21" si="8">D8</f>
        <v>2.2400000000000002</v>
      </c>
      <c r="E21" s="412">
        <f t="shared" si="8"/>
        <v>1.68</v>
      </c>
      <c r="F21" s="412">
        <f t="shared" si="8"/>
        <v>1.21</v>
      </c>
      <c r="G21" s="412">
        <f t="shared" si="8"/>
        <v>1.97</v>
      </c>
      <c r="H21" s="412">
        <f t="shared" si="8"/>
        <v>2.16</v>
      </c>
      <c r="I21" s="412">
        <f t="shared" si="8"/>
        <v>1.25</v>
      </c>
      <c r="J21" s="412">
        <f t="shared" si="8"/>
        <v>2.46</v>
      </c>
      <c r="K21" s="412">
        <f t="shared" si="8"/>
        <v>2.2999999999999998</v>
      </c>
      <c r="L21" s="410"/>
    </row>
    <row r="22" spans="2:14">
      <c r="B22" s="409">
        <f t="shared" ref="B22:B85" si="9">DATE(YEAR(B21)+1,7,1)</f>
        <v>44378</v>
      </c>
      <c r="C22" s="409">
        <f t="shared" ref="C22:C85" si="10">DATE(YEAR(C21)+1,12,31)</f>
        <v>44561</v>
      </c>
      <c r="D22" s="411">
        <f>D21*(1+D$10)</f>
        <v>2.3933333333333335</v>
      </c>
      <c r="E22" s="411">
        <f t="shared" ref="E22:J22" si="11">E21*(1+E$10)</f>
        <v>1.8366666666666669</v>
      </c>
      <c r="F22" s="411">
        <f t="shared" si="11"/>
        <v>1.25</v>
      </c>
      <c r="G22" s="411">
        <f t="shared" si="11"/>
        <v>2.0466666666666669</v>
      </c>
      <c r="H22" s="411">
        <f t="shared" si="11"/>
        <v>2.3233333333333328</v>
      </c>
      <c r="I22" s="411">
        <f t="shared" si="11"/>
        <v>1.3</v>
      </c>
      <c r="J22" s="411">
        <f t="shared" si="11"/>
        <v>2.5299999999999998</v>
      </c>
      <c r="K22" s="411">
        <f>K21*(1+K$10)</f>
        <v>2.4</v>
      </c>
      <c r="L22" s="412"/>
    </row>
    <row r="23" spans="2:14">
      <c r="B23" s="409">
        <f t="shared" si="9"/>
        <v>44743</v>
      </c>
      <c r="C23" s="409">
        <f t="shared" si="10"/>
        <v>44926</v>
      </c>
      <c r="D23" s="411">
        <f t="shared" ref="D23:J23" si="12">D21*(1+D$10*2)</f>
        <v>2.5466666666666669</v>
      </c>
      <c r="E23" s="411">
        <f t="shared" si="12"/>
        <v>1.9933333333333332</v>
      </c>
      <c r="F23" s="411">
        <f t="shared" si="12"/>
        <v>1.29</v>
      </c>
      <c r="G23" s="411">
        <f t="shared" si="12"/>
        <v>2.123333333333334</v>
      </c>
      <c r="H23" s="411">
        <f t="shared" si="12"/>
        <v>2.4866666666666664</v>
      </c>
      <c r="I23" s="411">
        <f t="shared" si="12"/>
        <v>1.35</v>
      </c>
      <c r="J23" s="411">
        <f t="shared" si="12"/>
        <v>2.6</v>
      </c>
      <c r="K23" s="411">
        <f>K21*(1+K$10*2)</f>
        <v>2.5</v>
      </c>
      <c r="L23" s="411"/>
    </row>
    <row r="24" spans="2:14">
      <c r="B24" s="409">
        <f t="shared" si="9"/>
        <v>45108</v>
      </c>
      <c r="C24" s="409">
        <f t="shared" si="10"/>
        <v>45291</v>
      </c>
      <c r="D24" s="411">
        <f t="shared" ref="D24:J24" si="13">D21*(1+D$10*3)</f>
        <v>2.7</v>
      </c>
      <c r="E24" s="411">
        <f t="shared" si="13"/>
        <v>2.15</v>
      </c>
      <c r="F24" s="411">
        <f t="shared" si="13"/>
        <v>1.33</v>
      </c>
      <c r="G24" s="411">
        <f t="shared" si="13"/>
        <v>2.2000000000000006</v>
      </c>
      <c r="H24" s="411">
        <f t="shared" si="13"/>
        <v>2.65</v>
      </c>
      <c r="I24" s="411">
        <f t="shared" si="13"/>
        <v>1.4000000000000001</v>
      </c>
      <c r="J24" s="411">
        <f t="shared" si="13"/>
        <v>2.6699999999999995</v>
      </c>
      <c r="K24" s="411">
        <f>K21*(1+K$10*3)</f>
        <v>2.6</v>
      </c>
      <c r="L24" s="411"/>
    </row>
    <row r="25" spans="2:14">
      <c r="B25" s="409">
        <f t="shared" si="9"/>
        <v>45474</v>
      </c>
      <c r="C25" s="409">
        <f t="shared" si="10"/>
        <v>45657</v>
      </c>
      <c r="D25" s="411">
        <f t="shared" ref="D25:J40" si="14">D24*(1+D$11)</f>
        <v>3.0342975420531308</v>
      </c>
      <c r="E25" s="411">
        <f t="shared" si="14"/>
        <v>2.409932642876782</v>
      </c>
      <c r="F25" s="411">
        <f t="shared" si="14"/>
        <v>1.4071899176969263</v>
      </c>
      <c r="G25" s="411">
        <f t="shared" si="14"/>
        <v>2.373888549714386</v>
      </c>
      <c r="H25" s="411">
        <f t="shared" si="14"/>
        <v>2.804089545631189</v>
      </c>
      <c r="I25" s="411">
        <f t="shared" si="14"/>
        <v>1.5177116427443949</v>
      </c>
      <c r="J25" s="411">
        <f t="shared" si="14"/>
        <v>2.819766794242891</v>
      </c>
      <c r="K25" s="411">
        <f t="shared" ref="K25:K88" si="15">K24*(1+K$11)</f>
        <v>2.7714855694196912</v>
      </c>
      <c r="L25" s="411"/>
    </row>
    <row r="26" spans="2:14">
      <c r="B26" s="409">
        <f t="shared" si="9"/>
        <v>45839</v>
      </c>
      <c r="C26" s="409">
        <f t="shared" si="10"/>
        <v>46022</v>
      </c>
      <c r="D26" s="411">
        <f t="shared" si="14"/>
        <v>3.4099857680406189</v>
      </c>
      <c r="E26" s="411">
        <f t="shared" si="14"/>
        <v>2.7012908573037544</v>
      </c>
      <c r="F26" s="411">
        <f t="shared" si="14"/>
        <v>1.4888597477202121</v>
      </c>
      <c r="G26" s="411">
        <f t="shared" si="14"/>
        <v>2.561521293847759</v>
      </c>
      <c r="H26" s="411">
        <f t="shared" si="14"/>
        <v>2.9671389358181615</v>
      </c>
      <c r="I26" s="411">
        <f t="shared" si="14"/>
        <v>1.6453204503727783</v>
      </c>
      <c r="J26" s="411">
        <f t="shared" si="14"/>
        <v>2.9779343722527458</v>
      </c>
      <c r="K26" s="411">
        <f t="shared" si="15"/>
        <v>2.9542816390390727</v>
      </c>
      <c r="L26" s="411"/>
    </row>
    <row r="27" spans="2:14">
      <c r="B27" s="409">
        <f t="shared" si="9"/>
        <v>46204</v>
      </c>
      <c r="C27" s="409">
        <f t="shared" si="10"/>
        <v>46387</v>
      </c>
      <c r="D27" s="411">
        <f t="shared" si="14"/>
        <v>3.8321894201488171</v>
      </c>
      <c r="E27" s="411">
        <f t="shared" si="14"/>
        <v>3.0278739604283378</v>
      </c>
      <c r="F27" s="411">
        <f t="shared" si="14"/>
        <v>1.5752694931253171</v>
      </c>
      <c r="G27" s="411">
        <f t="shared" si="14"/>
        <v>2.7639845769612603</v>
      </c>
      <c r="H27" s="411">
        <f t="shared" si="14"/>
        <v>3.1396691586275312</v>
      </c>
      <c r="I27" s="411">
        <f t="shared" si="14"/>
        <v>1.783658573983012</v>
      </c>
      <c r="J27" s="411">
        <f t="shared" si="14"/>
        <v>3.1449739544242856</v>
      </c>
      <c r="K27" s="411">
        <f t="shared" si="15"/>
        <v>3.1491342040762857</v>
      </c>
      <c r="L27" s="411"/>
    </row>
    <row r="28" spans="2:14">
      <c r="B28" s="409">
        <f t="shared" si="9"/>
        <v>46569</v>
      </c>
      <c r="C28" s="409">
        <f t="shared" si="10"/>
        <v>46752</v>
      </c>
      <c r="D28" s="411">
        <f t="shared" si="14"/>
        <v>4.3066677549035433</v>
      </c>
      <c r="E28" s="411">
        <f t="shared" si="14"/>
        <v>3.3939406026757459</v>
      </c>
      <c r="F28" s="411">
        <f t="shared" si="14"/>
        <v>1.6666942469033785</v>
      </c>
      <c r="G28" s="411">
        <f t="shared" si="14"/>
        <v>2.9824506085615887</v>
      </c>
      <c r="H28" s="411">
        <f t="shared" si="14"/>
        <v>3.3222314960181625</v>
      </c>
      <c r="I28" s="411">
        <f t="shared" si="14"/>
        <v>1.9336281317249155</v>
      </c>
      <c r="J28" s="411">
        <f t="shared" si="14"/>
        <v>3.321383193050321</v>
      </c>
      <c r="K28" s="411">
        <f t="shared" si="15"/>
        <v>3.3568384626013041</v>
      </c>
      <c r="L28" s="411"/>
    </row>
    <row r="29" spans="2:14">
      <c r="B29" s="409">
        <f t="shared" si="9"/>
        <v>46935</v>
      </c>
      <c r="C29" s="409">
        <f t="shared" si="10"/>
        <v>47118</v>
      </c>
      <c r="D29" s="411">
        <f t="shared" si="14"/>
        <v>4.8398931048678868</v>
      </c>
      <c r="E29" s="411">
        <f t="shared" si="14"/>
        <v>3.804264300638688</v>
      </c>
      <c r="F29" s="411">
        <f t="shared" si="14"/>
        <v>1.7634250677638388</v>
      </c>
      <c r="G29" s="411">
        <f t="shared" si="14"/>
        <v>3.2181842498877526</v>
      </c>
      <c r="H29" s="411">
        <f t="shared" si="14"/>
        <v>3.5154092853400734</v>
      </c>
      <c r="I29" s="411">
        <f t="shared" si="14"/>
        <v>2.0962070916121402</v>
      </c>
      <c r="J29" s="411">
        <f t="shared" si="14"/>
        <v>3.5076876549512068</v>
      </c>
      <c r="K29" s="411">
        <f t="shared" si="15"/>
        <v>3.5782420607586523</v>
      </c>
      <c r="L29" s="411"/>
    </row>
    <row r="30" spans="2:14">
      <c r="B30" s="409">
        <f t="shared" si="9"/>
        <v>47300</v>
      </c>
      <c r="C30" s="409">
        <f t="shared" si="10"/>
        <v>47483</v>
      </c>
      <c r="D30" s="411">
        <f t="shared" si="14"/>
        <v>5.4391391673705645</v>
      </c>
      <c r="E30" s="411">
        <f t="shared" si="14"/>
        <v>4.2641956838325523</v>
      </c>
      <c r="F30" s="411">
        <f t="shared" si="14"/>
        <v>1.8657699067453331</v>
      </c>
      <c r="G30" s="411">
        <f t="shared" si="14"/>
        <v>3.4725503371271431</v>
      </c>
      <c r="H30" s="411">
        <f t="shared" si="14"/>
        <v>3.719819783259211</v>
      </c>
      <c r="I30" s="411">
        <f t="shared" si="14"/>
        <v>2.2724556489593652</v>
      </c>
      <c r="J30" s="411">
        <f t="shared" si="14"/>
        <v>3.7044423872685881</v>
      </c>
      <c r="K30" s="411">
        <f t="shared" si="15"/>
        <v>3.8142485520319931</v>
      </c>
      <c r="L30" s="411"/>
    </row>
    <row r="31" spans="2:14">
      <c r="B31" s="409">
        <f t="shared" si="9"/>
        <v>47665</v>
      </c>
      <c r="C31" s="409">
        <f t="shared" si="10"/>
        <v>47848</v>
      </c>
      <c r="D31" s="411">
        <f t="shared" si="14"/>
        <v>6.1125802246064502</v>
      </c>
      <c r="E31" s="411">
        <f t="shared" si="14"/>
        <v>4.7797322670150466</v>
      </c>
      <c r="F31" s="411">
        <f t="shared" si="14"/>
        <v>1.9740545876047872</v>
      </c>
      <c r="G31" s="411">
        <f t="shared" si="14"/>
        <v>3.7470215834604339</v>
      </c>
      <c r="H31" s="411">
        <f t="shared" si="14"/>
        <v>3.9361161380638596</v>
      </c>
      <c r="I31" s="411">
        <f t="shared" si="14"/>
        <v>2.4635231400327844</v>
      </c>
      <c r="J31" s="411">
        <f t="shared" si="14"/>
        <v>3.912233571088326</v>
      </c>
      <c r="K31" s="411">
        <f t="shared" si="15"/>
        <v>4.065821084667931</v>
      </c>
      <c r="L31" s="411"/>
    </row>
    <row r="32" spans="2:14">
      <c r="B32" s="409">
        <f t="shared" si="9"/>
        <v>48030</v>
      </c>
      <c r="C32" s="409">
        <f t="shared" si="10"/>
        <v>48213</v>
      </c>
      <c r="D32" s="411">
        <f t="shared" si="14"/>
        <v>6.8694026485651571</v>
      </c>
      <c r="E32" s="411">
        <f t="shared" si="14"/>
        <v>5.3575966579027927</v>
      </c>
      <c r="F32" s="411">
        <f t="shared" si="14"/>
        <v>2.08862384410588</v>
      </c>
      <c r="G32" s="411">
        <f t="shared" si="14"/>
        <v>4.0431871056860862</v>
      </c>
      <c r="H32" s="411">
        <f t="shared" si="14"/>
        <v>4.1649894766547462</v>
      </c>
      <c r="I32" s="411">
        <f t="shared" si="14"/>
        <v>2.6706555369985621</v>
      </c>
      <c r="J32" s="411">
        <f t="shared" si="14"/>
        <v>4.1316802678191564</v>
      </c>
      <c r="K32" s="411">
        <f t="shared" si="15"/>
        <v>4.3339863323074947</v>
      </c>
      <c r="L32" s="411"/>
    </row>
    <row r="33" spans="2:12">
      <c r="B33" s="409">
        <f t="shared" si="9"/>
        <v>48396</v>
      </c>
      <c r="C33" s="409">
        <f t="shared" si="10"/>
        <v>48579</v>
      </c>
      <c r="D33" s="411">
        <f t="shared" si="14"/>
        <v>7.7199302118201931</v>
      </c>
      <c r="E33" s="411">
        <f t="shared" si="14"/>
        <v>6.0053242201151127</v>
      </c>
      <c r="F33" s="411">
        <f t="shared" si="14"/>
        <v>2.209842417509166</v>
      </c>
      <c r="G33" s="411">
        <f t="shared" si="14"/>
        <v>4.3627616247913847</v>
      </c>
      <c r="H33" s="411">
        <f t="shared" si="14"/>
        <v>4.4071711128873545</v>
      </c>
      <c r="I33" s="411">
        <f t="shared" si="14"/>
        <v>2.8952035730446437</v>
      </c>
      <c r="J33" s="411">
        <f t="shared" si="14"/>
        <v>4.3634362635299748</v>
      </c>
      <c r="K33" s="411">
        <f t="shared" si="15"/>
        <v>4.6198386838663055</v>
      </c>
      <c r="L33" s="411"/>
    </row>
    <row r="34" spans="2:12">
      <c r="B34" s="409">
        <f t="shared" si="9"/>
        <v>48761</v>
      </c>
      <c r="C34" s="409">
        <f t="shared" si="10"/>
        <v>48944</v>
      </c>
      <c r="D34" s="411">
        <f t="shared" si="14"/>
        <v>8.6757649135361916</v>
      </c>
      <c r="E34" s="411">
        <f t="shared" si="14"/>
        <v>6.7313613344716119</v>
      </c>
      <c r="F34" s="411">
        <f t="shared" si="14"/>
        <v>2.3380962177578195</v>
      </c>
      <c r="G34" s="411">
        <f t="shared" si="14"/>
        <v>4.7075953937389077</v>
      </c>
      <c r="H34" s="411">
        <f t="shared" si="14"/>
        <v>4.6634348843227178</v>
      </c>
      <c r="I34" s="411">
        <f t="shared" si="14"/>
        <v>3.1386315506607341</v>
      </c>
      <c r="J34" s="411">
        <f t="shared" si="14"/>
        <v>4.6081920167404862</v>
      </c>
      <c r="K34" s="411">
        <f t="shared" si="15"/>
        <v>4.924544709762432</v>
      </c>
      <c r="L34" s="411"/>
    </row>
    <row r="35" spans="2:12">
      <c r="B35" s="409">
        <f t="shared" si="9"/>
        <v>49126</v>
      </c>
      <c r="C35" s="409">
        <f t="shared" si="10"/>
        <v>49309</v>
      </c>
      <c r="D35" s="411">
        <f t="shared" si="14"/>
        <v>9.7499452416939469</v>
      </c>
      <c r="E35" s="411">
        <f t="shared" si="14"/>
        <v>7.5451755399729095</v>
      </c>
      <c r="F35" s="411">
        <f t="shared" si="14"/>
        <v>2.4737935520557297</v>
      </c>
      <c r="G35" s="411">
        <f t="shared" si="14"/>
        <v>5.0796849099477166</v>
      </c>
      <c r="H35" s="411">
        <f t="shared" si="14"/>
        <v>4.9345996248532549</v>
      </c>
      <c r="I35" s="411">
        <f t="shared" si="14"/>
        <v>3.4025268905162069</v>
      </c>
      <c r="J35" s="411">
        <f t="shared" si="14"/>
        <v>4.8666767154681665</v>
      </c>
      <c r="K35" s="411">
        <f t="shared" si="15"/>
        <v>5.2493479227187159</v>
      </c>
      <c r="L35" s="411"/>
    </row>
    <row r="36" spans="2:12">
      <c r="B36" s="409">
        <f t="shared" si="9"/>
        <v>49491</v>
      </c>
      <c r="C36" s="409">
        <f t="shared" si="10"/>
        <v>49674</v>
      </c>
      <c r="D36" s="411">
        <f t="shared" si="14"/>
        <v>10.957124030379466</v>
      </c>
      <c r="E36" s="411">
        <f t="shared" si="14"/>
        <v>8.4573789907051928</v>
      </c>
      <c r="F36" s="411">
        <f t="shared" si="14"/>
        <v>2.6173664247492399</v>
      </c>
      <c r="G36" s="411">
        <f t="shared" si="14"/>
        <v>5.4811844744917426</v>
      </c>
      <c r="H36" s="411">
        <f t="shared" si="14"/>
        <v>5.2215317811043764</v>
      </c>
      <c r="I36" s="411">
        <f t="shared" si="14"/>
        <v>3.6886104832052355</v>
      </c>
      <c r="J36" s="411">
        <f t="shared" si="14"/>
        <v>5.1396604496599982</v>
      </c>
      <c r="K36" s="411">
        <f t="shared" si="15"/>
        <v>5.5955738525685206</v>
      </c>
      <c r="L36" s="411"/>
    </row>
    <row r="37" spans="2:12">
      <c r="B37" s="409">
        <f t="shared" si="9"/>
        <v>49857</v>
      </c>
      <c r="C37" s="409">
        <f t="shared" si="10"/>
        <v>50040</v>
      </c>
      <c r="D37" s="411">
        <f t="shared" si="14"/>
        <v>12.313768338278409</v>
      </c>
      <c r="E37" s="411">
        <f t="shared" si="14"/>
        <v>9.4798668385491816</v>
      </c>
      <c r="F37" s="411">
        <f t="shared" si="14"/>
        <v>2.7692719126508125</v>
      </c>
      <c r="G37" s="411">
        <f t="shared" si="14"/>
        <v>5.9144186649400954</v>
      </c>
      <c r="H37" s="411">
        <f t="shared" si="14"/>
        <v>5.5251481809719936</v>
      </c>
      <c r="I37" s="411">
        <f t="shared" si="14"/>
        <v>3.9987479113640099</v>
      </c>
      <c r="J37" s="411">
        <f t="shared" si="14"/>
        <v>5.4279565054811805</v>
      </c>
      <c r="K37" s="411">
        <f t="shared" si="15"/>
        <v>5.9646354557753076</v>
      </c>
      <c r="L37" s="411"/>
    </row>
    <row r="38" spans="2:12">
      <c r="B38" s="409">
        <f t="shared" si="9"/>
        <v>50222</v>
      </c>
      <c r="C38" s="409">
        <f t="shared" si="10"/>
        <v>50405</v>
      </c>
      <c r="D38" s="411">
        <f t="shared" si="14"/>
        <v>13.838384074907347</v>
      </c>
      <c r="E38" s="411">
        <f t="shared" si="14"/>
        <v>10.625972346206881</v>
      </c>
      <c r="F38" s="411">
        <f t="shared" si="14"/>
        <v>2.9299936201830876</v>
      </c>
      <c r="G38" s="411">
        <f t="shared" si="14"/>
        <v>6.381895794053789</v>
      </c>
      <c r="H38" s="411">
        <f t="shared" si="14"/>
        <v>5.8464189631421686</v>
      </c>
      <c r="I38" s="411">
        <f t="shared" si="14"/>
        <v>4.3349616153407062</v>
      </c>
      <c r="J38" s="411">
        <f t="shared" si="14"/>
        <v>5.7324237882960736</v>
      </c>
      <c r="K38" s="411">
        <f t="shared" si="15"/>
        <v>6.3580388817424254</v>
      </c>
      <c r="L38" s="411"/>
    </row>
    <row r="39" spans="2:12">
      <c r="B39" s="409">
        <f t="shared" si="9"/>
        <v>50587</v>
      </c>
      <c r="C39" s="409">
        <f t="shared" si="10"/>
        <v>50770</v>
      </c>
      <c r="D39" s="411">
        <f t="shared" si="14"/>
        <v>15.55176843869576</v>
      </c>
      <c r="E39" s="411">
        <f t="shared" si="14"/>
        <v>11.910640753223234</v>
      </c>
      <c r="F39" s="411">
        <f t="shared" si="14"/>
        <v>3.1000432189759084</v>
      </c>
      <c r="G39" s="411">
        <f t="shared" si="14"/>
        <v>6.8863224322612204</v>
      </c>
      <c r="H39" s="411">
        <f t="shared" si="14"/>
        <v>6.1863706769535431</v>
      </c>
      <c r="I39" s="411">
        <f t="shared" si="14"/>
        <v>4.699444081751885</v>
      </c>
      <c r="J39" s="411">
        <f t="shared" si="14"/>
        <v>6.0539693815600417</v>
      </c>
      <c r="K39" s="411">
        <f t="shared" si="15"/>
        <v>6.7773896194455547</v>
      </c>
      <c r="L39" s="411"/>
    </row>
    <row r="40" spans="2:12">
      <c r="B40" s="409">
        <f t="shared" si="9"/>
        <v>50952</v>
      </c>
      <c r="C40" s="409">
        <f t="shared" si="10"/>
        <v>51135</v>
      </c>
      <c r="D40" s="411">
        <f t="shared" si="14"/>
        <v>17.477293610412591</v>
      </c>
      <c r="E40" s="411">
        <f t="shared" si="14"/>
        <v>13.350624162219152</v>
      </c>
      <c r="F40" s="411">
        <f t="shared" si="14"/>
        <v>3.2799620768177613</v>
      </c>
      <c r="G40" s="411">
        <f t="shared" si="14"/>
        <v>7.4306190779937404</v>
      </c>
      <c r="H40" s="411">
        <f t="shared" si="14"/>
        <v>6.5460895625074604</v>
      </c>
      <c r="I40" s="411">
        <f t="shared" si="14"/>
        <v>5.0945721409293414</v>
      </c>
      <c r="J40" s="411">
        <f t="shared" si="14"/>
        <v>6.3935512492457596</v>
      </c>
      <c r="K40" s="411">
        <f t="shared" si="15"/>
        <v>7.224399049472372</v>
      </c>
      <c r="L40" s="411"/>
    </row>
    <row r="41" spans="2:12">
      <c r="B41" s="409">
        <f t="shared" si="9"/>
        <v>51318</v>
      </c>
      <c r="C41" s="409">
        <f t="shared" si="10"/>
        <v>51501</v>
      </c>
      <c r="D41" s="411">
        <f t="shared" ref="D41:J56" si="16">D40*(1+D$11)</f>
        <v>19.641225571783632</v>
      </c>
      <c r="E41" s="411">
        <f t="shared" si="16"/>
        <v>14.964699986656479</v>
      </c>
      <c r="F41" s="411">
        <f t="shared" si="16"/>
        <v>3.4703229811475373</v>
      </c>
      <c r="G41" s="411">
        <f t="shared" si="16"/>
        <v>8.0179370666084573</v>
      </c>
      <c r="H41" s="411">
        <f t="shared" si="16"/>
        <v>6.9267250215066465</v>
      </c>
      <c r="I41" s="411">
        <f t="shared" si="16"/>
        <v>5.5229224664926422</v>
      </c>
      <c r="J41" s="411">
        <f t="shared" si="16"/>
        <v>6.7521810898551866</v>
      </c>
      <c r="K41" s="411">
        <f t="shared" si="15"/>
        <v>7.7008914282084655</v>
      </c>
      <c r="L41" s="411"/>
    </row>
    <row r="42" spans="2:12">
      <c r="B42" s="409">
        <f t="shared" si="9"/>
        <v>51683</v>
      </c>
      <c r="C42" s="409">
        <f t="shared" si="10"/>
        <v>51866</v>
      </c>
      <c r="D42" s="411">
        <f t="shared" si="16"/>
        <v>22.073082398286729</v>
      </c>
      <c r="E42" s="411">
        <f t="shared" si="16"/>
        <v>16.773915808698231</v>
      </c>
      <c r="F42" s="411">
        <f t="shared" si="16"/>
        <v>3.6717319625734999</v>
      </c>
      <c r="G42" s="411">
        <f t="shared" si="16"/>
        <v>8.6516768157965291</v>
      </c>
      <c r="H42" s="411">
        <f t="shared" si="16"/>
        <v>7.3294932899127394</v>
      </c>
      <c r="I42" s="411">
        <f t="shared" si="16"/>
        <v>5.9872883781217663</v>
      </c>
      <c r="J42" s="411">
        <f t="shared" si="16"/>
        <v>7.1309273505200119</v>
      </c>
      <c r="K42" s="411">
        <f t="shared" si="15"/>
        <v>8.2088113326721377</v>
      </c>
      <c r="L42" s="411"/>
    </row>
    <row r="43" spans="2:12">
      <c r="B43" s="409">
        <f t="shared" si="9"/>
        <v>52048</v>
      </c>
      <c r="C43" s="409">
        <f t="shared" si="10"/>
        <v>52231</v>
      </c>
      <c r="D43" s="411">
        <f t="shared" si="16"/>
        <v>24.806036913576904</v>
      </c>
      <c r="E43" s="411">
        <f t="shared" si="16"/>
        <v>18.801863840115704</v>
      </c>
      <c r="F43" s="411">
        <f t="shared" si="16"/>
        <v>3.8848302242247943</v>
      </c>
      <c r="G43" s="411">
        <f t="shared" si="16"/>
        <v>9.3355075131130878</v>
      </c>
      <c r="H43" s="411">
        <f t="shared" si="16"/>
        <v>7.7556813241578348</v>
      </c>
      <c r="I43" s="411">
        <f t="shared" si="16"/>
        <v>6.4906980571025779</v>
      </c>
      <c r="J43" s="411">
        <f t="shared" si="16"/>
        <v>7.530918410170325</v>
      </c>
      <c r="K43" s="411">
        <f t="shared" si="15"/>
        <v>8.750231596380635</v>
      </c>
      <c r="L43" s="411"/>
    </row>
    <row r="44" spans="2:12">
      <c r="B44" s="409">
        <f t="shared" si="9"/>
        <v>52413</v>
      </c>
      <c r="C44" s="409">
        <f t="shared" si="10"/>
        <v>52596</v>
      </c>
      <c r="D44" s="411">
        <f t="shared" si="16"/>
        <v>27.877369198128008</v>
      </c>
      <c r="E44" s="411">
        <f t="shared" si="16"/>
        <v>21.074988565218348</v>
      </c>
      <c r="F44" s="411">
        <f t="shared" si="16"/>
        <v>4.1102961830777591</v>
      </c>
      <c r="G44" s="411">
        <f t="shared" si="16"/>
        <v>10.073388359614444</v>
      </c>
      <c r="H44" s="411">
        <f t="shared" si="16"/>
        <v>8.2066509133275627</v>
      </c>
      <c r="I44" s="411">
        <f t="shared" si="16"/>
        <v>7.0364342934307178</v>
      </c>
      <c r="J44" s="411">
        <f t="shared" si="16"/>
        <v>7.9533459412549625</v>
      </c>
      <c r="K44" s="411">
        <f t="shared" si="15"/>
        <v>9.3273617686342902</v>
      </c>
      <c r="L44" s="411"/>
    </row>
    <row r="45" spans="2:12">
      <c r="B45" s="409">
        <f t="shared" si="9"/>
        <v>52779</v>
      </c>
      <c r="C45" s="409">
        <f t="shared" si="10"/>
        <v>52962</v>
      </c>
      <c r="D45" s="411">
        <f t="shared" si="16"/>
        <v>31.3289751247361</v>
      </c>
      <c r="E45" s="411">
        <f t="shared" si="16"/>
        <v>23.622931577476567</v>
      </c>
      <c r="F45" s="411">
        <f t="shared" si="16"/>
        <v>4.3488476297557757</v>
      </c>
      <c r="G45" s="411">
        <f t="shared" si="16"/>
        <v>10.869591492597685</v>
      </c>
      <c r="H45" s="411">
        <f t="shared" si="16"/>
        <v>8.6838430304552698</v>
      </c>
      <c r="I45" s="411">
        <f t="shared" si="16"/>
        <v>7.62805589324695</v>
      </c>
      <c r="J45" s="411">
        <f t="shared" si="16"/>
        <v>8.3994684600289204</v>
      </c>
      <c r="K45" s="411">
        <f t="shared" si="15"/>
        <v>9.9425571317411006</v>
      </c>
      <c r="L45" s="411"/>
    </row>
    <row r="46" spans="2:12">
      <c r="B46" s="409">
        <f t="shared" si="9"/>
        <v>53144</v>
      </c>
      <c r="C46" s="409">
        <f t="shared" si="10"/>
        <v>53327</v>
      </c>
      <c r="D46" s="411">
        <f t="shared" si="16"/>
        <v>35.207937857789041</v>
      </c>
      <c r="E46" s="411">
        <f t="shared" si="16"/>
        <v>26.478918106514186</v>
      </c>
      <c r="F46" s="411">
        <f t="shared" si="16"/>
        <v>4.6012440136785733</v>
      </c>
      <c r="G46" s="411">
        <f t="shared" si="16"/>
        <v>11.728726720159337</v>
      </c>
      <c r="H46" s="411">
        <f t="shared" si="16"/>
        <v>9.1887824368309001</v>
      </c>
      <c r="I46" s="411">
        <f t="shared" si="16"/>
        <v>8.2694208862042071</v>
      </c>
      <c r="J46" s="411">
        <f t="shared" si="16"/>
        <v>8.8706150759850271</v>
      </c>
      <c r="K46" s="411">
        <f t="shared" si="15"/>
        <v>10.598328312981266</v>
      </c>
      <c r="L46" s="411"/>
    </row>
    <row r="47" spans="2:12">
      <c r="B47" s="409">
        <f t="shared" si="9"/>
        <v>53509</v>
      </c>
      <c r="C47" s="409">
        <f t="shared" si="10"/>
        <v>53692</v>
      </c>
      <c r="D47" s="411">
        <f t="shared" si="16"/>
        <v>39.567170112092093</v>
      </c>
      <c r="E47" s="411">
        <f t="shared" si="16"/>
        <v>29.680190275790519</v>
      </c>
      <c r="F47" s="411">
        <f t="shared" si="16"/>
        <v>4.8682888608359596</v>
      </c>
      <c r="G47" s="411">
        <f t="shared" si="16"/>
        <v>12.655768210779732</v>
      </c>
      <c r="H47" s="411">
        <f t="shared" si="16"/>
        <v>9.7230825540366066</v>
      </c>
      <c r="I47" s="411">
        <f t="shared" si="16"/>
        <v>8.9647116841041399</v>
      </c>
      <c r="J47" s="411">
        <f t="shared" si="16"/>
        <v>9.3681894516003599</v>
      </c>
      <c r="K47" s="411">
        <f t="shared" si="15"/>
        <v>11.297351530538354</v>
      </c>
      <c r="L47" s="411"/>
    </row>
    <row r="48" spans="2:12">
      <c r="B48" s="409">
        <f t="shared" si="9"/>
        <v>53874</v>
      </c>
      <c r="C48" s="409">
        <f t="shared" si="10"/>
        <v>54057</v>
      </c>
      <c r="D48" s="411">
        <f t="shared" si="16"/>
        <v>44.466135932266347</v>
      </c>
      <c r="E48" s="411">
        <f t="shared" si="16"/>
        <v>33.268492740661216</v>
      </c>
      <c r="F48" s="411">
        <f t="shared" si="16"/>
        <v>5.1508323318831701</v>
      </c>
      <c r="G48" s="411">
        <f t="shared" si="16"/>
        <v>13.656083292458781</v>
      </c>
      <c r="H48" s="411">
        <f t="shared" si="16"/>
        <v>10.288450619276622</v>
      </c>
      <c r="I48" s="411">
        <f t="shared" si="16"/>
        <v>9.7184623548654034</v>
      </c>
      <c r="J48" s="411">
        <f t="shared" si="16"/>
        <v>9.8936739841944625</v>
      </c>
      <c r="K48" s="411">
        <f t="shared" si="15"/>
        <v>12.042479515210964</v>
      </c>
      <c r="L48" s="411"/>
    </row>
    <row r="49" spans="2:12">
      <c r="B49" s="409">
        <f t="shared" si="9"/>
        <v>54240</v>
      </c>
      <c r="C49" s="409">
        <f t="shared" si="10"/>
        <v>54423</v>
      </c>
      <c r="D49" s="411">
        <f t="shared" si="16"/>
        <v>49.971661838472656</v>
      </c>
      <c r="E49" s="411">
        <f t="shared" si="16"/>
        <v>37.290617039548245</v>
      </c>
      <c r="F49" s="411">
        <f t="shared" si="16"/>
        <v>5.449773928701763</v>
      </c>
      <c r="G49" s="411">
        <f t="shared" si="16"/>
        <v>14.735463528142649</v>
      </c>
      <c r="H49" s="411">
        <f t="shared" si="16"/>
        <v>10.886693140474078</v>
      </c>
      <c r="I49" s="411">
        <f t="shared" si="16"/>
        <v>10.535588189680237</v>
      </c>
      <c r="J49" s="411">
        <f t="shared" si="16"/>
        <v>10.448634222358169</v>
      </c>
      <c r="K49" s="411">
        <f t="shared" si="15"/>
        <v>12.836753152476701</v>
      </c>
      <c r="L49" s="411"/>
    </row>
    <row r="50" spans="2:12">
      <c r="B50" s="409">
        <f t="shared" si="9"/>
        <v>54605</v>
      </c>
      <c r="C50" s="409">
        <f t="shared" si="10"/>
        <v>54788</v>
      </c>
      <c r="D50" s="411">
        <f t="shared" si="16"/>
        <v>56.158848403254744</v>
      </c>
      <c r="E50" s="411">
        <f t="shared" si="16"/>
        <v>41.79901175656952</v>
      </c>
      <c r="F50" s="411">
        <f t="shared" si="16"/>
        <v>5.7660653580426224</v>
      </c>
      <c r="G50" s="411">
        <f t="shared" si="16"/>
        <v>15.900158247359897</v>
      </c>
      <c r="H50" s="411">
        <f t="shared" si="16"/>
        <v>11.519721668565335</v>
      </c>
      <c r="I50" s="411">
        <f t="shared" si="16"/>
        <v>11.421417756170026</v>
      </c>
      <c r="J50" s="411">
        <f t="shared" si="16"/>
        <v>11.034723530110659</v>
      </c>
      <c r="K50" s="411">
        <f t="shared" si="15"/>
        <v>13.683413892419964</v>
      </c>
      <c r="L50" s="411"/>
    </row>
    <row r="51" spans="2:12">
      <c r="B51" s="409">
        <f t="shared" si="9"/>
        <v>54970</v>
      </c>
      <c r="C51" s="409">
        <f t="shared" si="10"/>
        <v>55153</v>
      </c>
      <c r="D51" s="411">
        <f t="shared" si="16"/>
        <v>63.112094694270461</v>
      </c>
      <c r="E51" s="411">
        <f t="shared" si="16"/>
        <v>46.852466452161522</v>
      </c>
      <c r="F51" s="411">
        <f t="shared" si="16"/>
        <v>6.1007135613677406</v>
      </c>
      <c r="G51" s="411">
        <f t="shared" si="16"/>
        <v>17.156910728206551</v>
      </c>
      <c r="H51" s="411">
        <f t="shared" si="16"/>
        <v>12.189558905435899</v>
      </c>
      <c r="I51" s="411">
        <f t="shared" si="16"/>
        <v>12.381727646562007</v>
      </c>
      <c r="J51" s="411">
        <f t="shared" si="16"/>
        <v>11.653688012680425</v>
      </c>
      <c r="K51" s="411">
        <f t="shared" si="15"/>
        <v>14.58591697816879</v>
      </c>
      <c r="L51" s="411"/>
    </row>
    <row r="52" spans="2:12">
      <c r="B52" s="409">
        <f t="shared" si="9"/>
        <v>55335</v>
      </c>
      <c r="C52" s="409">
        <f t="shared" si="10"/>
        <v>55518</v>
      </c>
      <c r="D52" s="411">
        <f t="shared" si="16"/>
        <v>70.926249557277515</v>
      </c>
      <c r="E52" s="411">
        <f t="shared" si="16"/>
        <v>52.51687828016437</v>
      </c>
      <c r="F52" s="411">
        <f t="shared" si="16"/>
        <v>6.4547839205365358</v>
      </c>
      <c r="G52" s="411">
        <f t="shared" si="16"/>
        <v>18.512997239164285</v>
      </c>
      <c r="H52" s="411">
        <f t="shared" si="16"/>
        <v>12.898345167014476</v>
      </c>
      <c r="I52" s="411">
        <f t="shared" si="16"/>
        <v>13.422780147483795</v>
      </c>
      <c r="J52" s="411">
        <f t="shared" si="16"/>
        <v>12.307371718585278</v>
      </c>
      <c r="K52" s="411">
        <f t="shared" si="15"/>
        <v>15.547945546826334</v>
      </c>
      <c r="L52" s="411"/>
    </row>
    <row r="53" spans="2:12">
      <c r="B53" s="409">
        <f t="shared" si="9"/>
        <v>55701</v>
      </c>
      <c r="C53" s="409">
        <f t="shared" si="10"/>
        <v>55884</v>
      </c>
      <c r="D53" s="411">
        <f t="shared" si="16"/>
        <v>79.707905443960783</v>
      </c>
      <c r="E53" s="411">
        <f t="shared" si="16"/>
        <v>58.866111288072005</v>
      </c>
      <c r="F53" s="411">
        <f t="shared" si="16"/>
        <v>6.8294036495422938</v>
      </c>
      <c r="G53" s="411">
        <f t="shared" si="16"/>
        <v>19.976269166793696</v>
      </c>
      <c r="H53" s="411">
        <f t="shared" si="16"/>
        <v>13.648345222176552</v>
      </c>
      <c r="I53" s="411">
        <f t="shared" si="16"/>
        <v>14.55136407702463</v>
      </c>
      <c r="J53" s="411">
        <f t="shared" si="16"/>
        <v>12.997722133509676</v>
      </c>
      <c r="K53" s="411">
        <f t="shared" si="15"/>
        <v>16.573425660443203</v>
      </c>
      <c r="L53" s="411"/>
    </row>
    <row r="54" spans="2:12">
      <c r="B54" s="409">
        <f t="shared" si="9"/>
        <v>56066</v>
      </c>
      <c r="C54" s="409">
        <f t="shared" si="10"/>
        <v>56249</v>
      </c>
      <c r="D54" s="411">
        <f t="shared" si="16"/>
        <v>89.576852433634642</v>
      </c>
      <c r="E54" s="411">
        <f t="shared" si="16"/>
        <v>65.982959605740533</v>
      </c>
      <c r="F54" s="411">
        <f t="shared" si="16"/>
        <v>7.2257653830966229</v>
      </c>
      <c r="G54" s="411">
        <f t="shared" si="16"/>
        <v>21.555198473210947</v>
      </c>
      <c r="H54" s="411">
        <f t="shared" si="16"/>
        <v>14.441955529309681</v>
      </c>
      <c r="I54" s="411">
        <f t="shared" si="16"/>
        <v>15.774839055366304</v>
      </c>
      <c r="J54" s="411">
        <f t="shared" si="16"/>
        <v>13.726795982346985</v>
      </c>
      <c r="K54" s="411">
        <f t="shared" si="15"/>
        <v>17.66654232837244</v>
      </c>
      <c r="L54" s="411"/>
    </row>
    <row r="55" spans="2:12">
      <c r="B55" s="409">
        <f t="shared" si="9"/>
        <v>56431</v>
      </c>
      <c r="C55" s="409">
        <f t="shared" si="10"/>
        <v>56614</v>
      </c>
      <c r="D55" s="411">
        <f t="shared" si="16"/>
        <v>100.66771228304947</v>
      </c>
      <c r="E55" s="411">
        <f t="shared" si="16"/>
        <v>73.960227082555463</v>
      </c>
      <c r="F55" s="411">
        <f t="shared" si="16"/>
        <v>7.6451309734864923</v>
      </c>
      <c r="G55" s="411">
        <f t="shared" si="16"/>
        <v>23.258926746534758</v>
      </c>
      <c r="H55" s="411">
        <f t="shared" si="16"/>
        <v>15.281711893663328</v>
      </c>
      <c r="I55" s="411">
        <f t="shared" si="16"/>
        <v>17.10118349767745</v>
      </c>
      <c r="J55" s="411">
        <f t="shared" si="16"/>
        <v>14.49676535669242</v>
      </c>
      <c r="K55" s="411">
        <f t="shared" si="15"/>
        <v>18.831756586394757</v>
      </c>
      <c r="L55" s="411"/>
    </row>
    <row r="56" spans="2:12">
      <c r="B56" s="409">
        <f t="shared" si="9"/>
        <v>56796</v>
      </c>
      <c r="C56" s="409">
        <f t="shared" si="10"/>
        <v>56979</v>
      </c>
      <c r="D56" s="411">
        <f t="shared" si="16"/>
        <v>113.13177479428472</v>
      </c>
      <c r="E56" s="411">
        <f t="shared" si="16"/>
        <v>82.901937451548775</v>
      </c>
      <c r="F56" s="411">
        <f t="shared" si="16"/>
        <v>8.0888355077914884</v>
      </c>
      <c r="G56" s="411">
        <f t="shared" si="16"/>
        <v>25.097318128292969</v>
      </c>
      <c r="H56" s="411">
        <f t="shared" si="16"/>
        <v>16.170297569950616</v>
      </c>
      <c r="I56" s="411">
        <f t="shared" si="16"/>
        <v>18.539046642238127</v>
      </c>
      <c r="J56" s="411">
        <f t="shared" si="16"/>
        <v>15.309924186041943</v>
      </c>
      <c r="K56" s="411">
        <f t="shared" si="15"/>
        <v>20.073823702314343</v>
      </c>
      <c r="L56" s="411"/>
    </row>
    <row r="57" spans="2:12">
      <c r="B57" s="409">
        <f t="shared" si="9"/>
        <v>57162</v>
      </c>
      <c r="C57" s="409">
        <f t="shared" si="10"/>
        <v>57345</v>
      </c>
      <c r="D57" s="411">
        <f t="shared" ref="D57:J72" si="17">D56*(1+D$11)</f>
        <v>127.13906155052091</v>
      </c>
      <c r="E57" s="411">
        <f t="shared" si="17"/>
        <v>92.924690801030991</v>
      </c>
      <c r="F57" s="411">
        <f t="shared" si="17"/>
        <v>8.5582915582504349</v>
      </c>
      <c r="G57" s="411">
        <f t="shared" si="17"/>
        <v>27.081016424224522</v>
      </c>
      <c r="H57" s="411">
        <f t="shared" si="17"/>
        <v>17.110551836092053</v>
      </c>
      <c r="I57" s="411">
        <f t="shared" si="17"/>
        <v>20.097804953075844</v>
      </c>
      <c r="J57" s="411">
        <f t="shared" si="17"/>
        <v>16.168695071976479</v>
      </c>
      <c r="K57" s="411">
        <f t="shared" si="15"/>
        <v>21.397812582322754</v>
      </c>
      <c r="L57" s="411"/>
    </row>
    <row r="58" spans="2:12">
      <c r="B58" s="409">
        <f t="shared" si="9"/>
        <v>57527</v>
      </c>
      <c r="C58" s="409">
        <f t="shared" si="10"/>
        <v>57710</v>
      </c>
      <c r="D58" s="411">
        <f t="shared" si="17"/>
        <v>142.88064517099528</v>
      </c>
      <c r="E58" s="411">
        <f t="shared" si="17"/>
        <v>104.15918404215648</v>
      </c>
      <c r="F58" s="411">
        <f t="shared" si="17"/>
        <v>9.0549936793088186</v>
      </c>
      <c r="G58" s="411">
        <f t="shared" si="17"/>
        <v>29.221506729133548</v>
      </c>
      <c r="H58" s="411">
        <f t="shared" si="17"/>
        <v>18.105479065496706</v>
      </c>
      <c r="I58" s="411">
        <f t="shared" si="17"/>
        <v>21.787623264920839</v>
      </c>
      <c r="J58" s="411">
        <f t="shared" si="17"/>
        <v>17.075636505692117</v>
      </c>
      <c r="K58" s="411">
        <f t="shared" si="15"/>
        <v>22.809126457328695</v>
      </c>
      <c r="L58" s="411"/>
    </row>
    <row r="59" spans="2:12">
      <c r="B59" s="409">
        <f t="shared" si="9"/>
        <v>57892</v>
      </c>
      <c r="C59" s="409">
        <f t="shared" si="10"/>
        <v>58075</v>
      </c>
      <c r="D59" s="411">
        <f t="shared" si="17"/>
        <v>160.57125572196907</v>
      </c>
      <c r="E59" s="411">
        <f t="shared" si="17"/>
        <v>116.75191519935039</v>
      </c>
      <c r="F59" s="411">
        <f t="shared" si="17"/>
        <v>9.5805231656637311</v>
      </c>
      <c r="G59" s="411">
        <f t="shared" si="17"/>
        <v>31.531181922587269</v>
      </c>
      <c r="H59" s="411">
        <f t="shared" si="17"/>
        <v>19.158258326869305</v>
      </c>
      <c r="I59" s="411">
        <f t="shared" si="17"/>
        <v>23.619521069213572</v>
      </c>
      <c r="J59" s="411">
        <f t="shared" si="17"/>
        <v>18.033450490379156</v>
      </c>
      <c r="K59" s="411">
        <f t="shared" si="15"/>
        <v>24.313524933675136</v>
      </c>
      <c r="L59" s="411"/>
    </row>
    <row r="60" spans="2:12">
      <c r="B60" s="409">
        <f t="shared" si="9"/>
        <v>58257</v>
      </c>
      <c r="C60" s="409">
        <f t="shared" si="10"/>
        <v>58440</v>
      </c>
      <c r="D60" s="411">
        <f t="shared" si="17"/>
        <v>180.45220983761311</v>
      </c>
      <c r="E60" s="411">
        <f t="shared" si="17"/>
        <v>130.86709374757976</v>
      </c>
      <c r="F60" s="411">
        <f t="shared" si="17"/>
        <v>10.136553086454015</v>
      </c>
      <c r="G60" s="411">
        <f t="shared" si="17"/>
        <v>34.023414420450521</v>
      </c>
      <c r="H60" s="411">
        <f t="shared" si="17"/>
        <v>20.272253542217317</v>
      </c>
      <c r="I60" s="411">
        <f t="shared" si="17"/>
        <v>25.605444373422838</v>
      </c>
      <c r="J60" s="411">
        <f t="shared" si="17"/>
        <v>19.044990591158925</v>
      </c>
      <c r="K60" s="411">
        <f t="shared" si="15"/>
        <v>25.917147498233266</v>
      </c>
      <c r="L60" s="411"/>
    </row>
    <row r="61" spans="2:12">
      <c r="B61" s="409">
        <f t="shared" si="9"/>
        <v>58623</v>
      </c>
      <c r="C61" s="409">
        <f t="shared" si="10"/>
        <v>58806</v>
      </c>
      <c r="D61" s="411">
        <f t="shared" si="17"/>
        <v>202.7947025067871</v>
      </c>
      <c r="E61" s="411">
        <f t="shared" si="17"/>
        <v>146.68878190730629</v>
      </c>
      <c r="F61" s="411">
        <f t="shared" si="17"/>
        <v>10.724853611622367</v>
      </c>
      <c r="G61" s="411">
        <f t="shared" si="17"/>
        <v>36.712633597679456</v>
      </c>
      <c r="H61" s="411">
        <f t="shared" si="17"/>
        <v>21.451024235515629</v>
      </c>
      <c r="I61" s="411">
        <f t="shared" si="17"/>
        <v>27.758343602276998</v>
      </c>
      <c r="J61" s="411">
        <f t="shared" si="17"/>
        <v>20.113270436561134</v>
      </c>
      <c r="K61" s="411">
        <f t="shared" si="15"/>
        <v>27.626538573798133</v>
      </c>
      <c r="L61" s="411"/>
    </row>
    <row r="62" spans="2:12">
      <c r="B62" s="409">
        <f t="shared" si="9"/>
        <v>58988</v>
      </c>
      <c r="C62" s="409">
        <f t="shared" si="10"/>
        <v>59171</v>
      </c>
      <c r="D62" s="411">
        <f t="shared" si="17"/>
        <v>227.90350642879258</v>
      </c>
      <c r="E62" s="411">
        <f t="shared" si="17"/>
        <v>164.42329481965143</v>
      </c>
      <c r="F62" s="411">
        <f t="shared" si="17"/>
        <v>11.347297647406361</v>
      </c>
      <c r="G62" s="411">
        <f t="shared" si="17"/>
        <v>39.614409330632228</v>
      </c>
      <c r="H62" s="411">
        <f t="shared" si="17"/>
        <v>22.698336906373825</v>
      </c>
      <c r="I62" s="411">
        <f t="shared" si="17"/>
        <v>30.092258048910846</v>
      </c>
      <c r="J62" s="411">
        <f t="shared" si="17"/>
        <v>21.241472696869778</v>
      </c>
      <c r="K62" s="411">
        <f t="shared" si="15"/>
        <v>29.448674227037682</v>
      </c>
      <c r="L62" s="411"/>
    </row>
    <row r="63" spans="2:12">
      <c r="B63" s="409">
        <f t="shared" si="9"/>
        <v>59353</v>
      </c>
      <c r="C63" s="409">
        <f t="shared" si="10"/>
        <v>59536</v>
      </c>
      <c r="D63" s="411">
        <f t="shared" si="17"/>
        <v>256.12112940080561</v>
      </c>
      <c r="E63" s="411">
        <f t="shared" si="17"/>
        <v>184.3018909001074</v>
      </c>
      <c r="F63" s="411">
        <f t="shared" si="17"/>
        <v>12.00586679889946</v>
      </c>
      <c r="G63" s="411">
        <f t="shared" si="17"/>
        <v>42.745542142584796</v>
      </c>
      <c r="H63" s="411">
        <f t="shared" si="17"/>
        <v>24.018177065048086</v>
      </c>
      <c r="I63" s="411">
        <f t="shared" si="17"/>
        <v>32.62240742664337</v>
      </c>
      <c r="J63" s="411">
        <f t="shared" si="17"/>
        <v>22.432958566086292</v>
      </c>
      <c r="K63" s="411">
        <f t="shared" si="15"/>
        <v>31.390990637990964</v>
      </c>
      <c r="L63" s="411"/>
    </row>
    <row r="64" spans="2:12">
      <c r="B64" s="409">
        <f t="shared" si="9"/>
        <v>59718</v>
      </c>
      <c r="C64" s="409">
        <f t="shared" si="10"/>
        <v>59901</v>
      </c>
      <c r="D64" s="411">
        <f t="shared" si="17"/>
        <v>287.83248644768008</v>
      </c>
      <c r="E64" s="411">
        <f t="shared" si="17"/>
        <v>206.58378745306243</v>
      </c>
      <c r="F64" s="411">
        <f t="shared" si="17"/>
        <v>12.702657678664353</v>
      </c>
      <c r="G64" s="411">
        <f t="shared" si="17"/>
        <v>46.124160474370804</v>
      </c>
      <c r="H64" s="411">
        <f t="shared" si="17"/>
        <v>25.414761967252879</v>
      </c>
      <c r="I64" s="411">
        <f t="shared" si="17"/>
        <v>35.365291118405608</v>
      </c>
      <c r="J64" s="411">
        <f t="shared" si="17"/>
        <v>23.691277775759083</v>
      </c>
      <c r="K64" s="411">
        <f t="shared" si="15"/>
        <v>33.461414447300221</v>
      </c>
      <c r="L64" s="411"/>
    </row>
    <row r="65" spans="2:12">
      <c r="B65" s="409">
        <f t="shared" si="9"/>
        <v>60084</v>
      </c>
      <c r="C65" s="409">
        <f t="shared" si="10"/>
        <v>60267</v>
      </c>
      <c r="D65" s="411">
        <f t="shared" si="17"/>
        <v>323.47015042638395</v>
      </c>
      <c r="E65" s="411">
        <f t="shared" si="17"/>
        <v>231.55954087081591</v>
      </c>
      <c r="F65" s="411">
        <f t="shared" si="17"/>
        <v>13.439888581482647</v>
      </c>
      <c r="G65" s="411">
        <f t="shared" si="17"/>
        <v>49.769825643317134</v>
      </c>
      <c r="H65" s="411">
        <f t="shared" si="17"/>
        <v>26.892554089463754</v>
      </c>
      <c r="I65" s="411">
        <f t="shared" si="17"/>
        <v>38.338795771035095</v>
      </c>
      <c r="J65" s="411">
        <f t="shared" si="17"/>
        <v>25.020179170513128</v>
      </c>
      <c r="K65" s="411">
        <f t="shared" si="15"/>
        <v>35.668395105024665</v>
      </c>
      <c r="L65" s="411"/>
    </row>
    <row r="66" spans="2:12">
      <c r="B66" s="409">
        <f t="shared" si="9"/>
        <v>60449</v>
      </c>
      <c r="C66" s="409">
        <f t="shared" si="10"/>
        <v>60632</v>
      </c>
      <c r="D66" s="411">
        <f t="shared" si="17"/>
        <v>363.52025272827154</v>
      </c>
      <c r="E66" s="411">
        <f t="shared" si="17"/>
        <v>259.55483549494869</v>
      </c>
      <c r="F66" s="411">
        <f t="shared" si="17"/>
        <v>14.219906546490545</v>
      </c>
      <c r="G66" s="411">
        <f t="shared" si="17"/>
        <v>53.703645098159974</v>
      </c>
      <c r="H66" s="411">
        <f t="shared" si="17"/>
        <v>28.456275387768525</v>
      </c>
      <c r="I66" s="411">
        <f t="shared" si="17"/>
        <v>41.56231193607109</v>
      </c>
      <c r="J66" s="411">
        <f t="shared" si="17"/>
        <v>26.423621876786729</v>
      </c>
      <c r="K66" s="411">
        <f t="shared" si="15"/>
        <v>38.020939353052235</v>
      </c>
      <c r="L66" s="411"/>
    </row>
    <row r="67" spans="2:12">
      <c r="B67" s="409">
        <f t="shared" si="9"/>
        <v>60814</v>
      </c>
      <c r="C67" s="409">
        <f t="shared" si="10"/>
        <v>60997</v>
      </c>
      <c r="D67" s="411">
        <f t="shared" si="17"/>
        <v>408.52911457034338</v>
      </c>
      <c r="E67" s="411">
        <f t="shared" si="17"/>
        <v>290.93473054687917</v>
      </c>
      <c r="F67" s="411">
        <f t="shared" si="17"/>
        <v>15.045194829183469</v>
      </c>
      <c r="G67" s="411">
        <f t="shared" si="17"/>
        <v>57.948394625657748</v>
      </c>
      <c r="H67" s="411">
        <f t="shared" si="17"/>
        <v>30.110922385827859</v>
      </c>
      <c r="I67" s="411">
        <f t="shared" si="17"/>
        <v>45.05686051767816</v>
      </c>
      <c r="J67" s="411">
        <f t="shared" si="17"/>
        <v>27.905787098049906</v>
      </c>
      <c r="K67" s="411">
        <f t="shared" si="15"/>
        <v>40.52864798183289</v>
      </c>
      <c r="L67" s="411"/>
    </row>
    <row r="68" spans="2:12">
      <c r="B68" s="409">
        <f t="shared" si="9"/>
        <v>61179</v>
      </c>
      <c r="C68" s="409">
        <f t="shared" si="10"/>
        <v>61362</v>
      </c>
      <c r="D68" s="411">
        <f t="shared" si="17"/>
        <v>459.1106993325684</v>
      </c>
      <c r="E68" s="411">
        <f t="shared" si="17"/>
        <v>326.10842050766746</v>
      </c>
      <c r="F68" s="411">
        <f t="shared" si="17"/>
        <v>15.918380807077373</v>
      </c>
      <c r="G68" s="411">
        <f t="shared" si="17"/>
        <v>62.528650216445257</v>
      </c>
      <c r="H68" s="411">
        <f t="shared" si="17"/>
        <v>31.861782140155483</v>
      </c>
      <c r="I68" s="411">
        <f t="shared" si="17"/>
        <v>48.845229852278848</v>
      </c>
      <c r="J68" s="411">
        <f t="shared" si="17"/>
        <v>29.471090571645252</v>
      </c>
      <c r="K68" s="411">
        <f t="shared" si="15"/>
        <v>43.201755011438593</v>
      </c>
      <c r="L68" s="411"/>
    </row>
    <row r="69" spans="2:12">
      <c r="B69" s="409">
        <f t="shared" si="9"/>
        <v>61545</v>
      </c>
      <c r="C69" s="409">
        <f t="shared" si="10"/>
        <v>61728</v>
      </c>
      <c r="D69" s="411">
        <f t="shared" si="17"/>
        <v>515.95498759818747</v>
      </c>
      <c r="E69" s="411">
        <f t="shared" si="17"/>
        <v>365.53457102251912</v>
      </c>
      <c r="F69" s="411">
        <f t="shared" si="17"/>
        <v>16.842244344195141</v>
      </c>
      <c r="G69" s="411">
        <f t="shared" si="17"/>
        <v>67.470930353597879</v>
      </c>
      <c r="H69" s="411">
        <f t="shared" si="17"/>
        <v>33.714449133731513</v>
      </c>
      <c r="I69" s="411">
        <f t="shared" si="17"/>
        <v>52.95212431380692</v>
      </c>
      <c r="J69" s="411">
        <f t="shared" si="17"/>
        <v>31.124195724363307</v>
      </c>
      <c r="K69" s="411">
        <f t="shared" si="15"/>
        <v>46.051169456848797</v>
      </c>
      <c r="L69" s="411"/>
    </row>
    <row r="70" spans="2:12">
      <c r="B70" s="409">
        <f t="shared" si="9"/>
        <v>61910</v>
      </c>
      <c r="C70" s="409">
        <f t="shared" si="10"/>
        <v>62093</v>
      </c>
      <c r="D70" s="411">
        <f t="shared" si="17"/>
        <v>579.83738914045693</v>
      </c>
      <c r="E70" s="411">
        <f t="shared" si="17"/>
        <v>409.7272999102932</v>
      </c>
      <c r="F70" s="411">
        <f t="shared" si="17"/>
        <v>17.819726641007129</v>
      </c>
      <c r="G70" s="411">
        <f t="shared" si="17"/>
        <v>72.803849547719452</v>
      </c>
      <c r="H70" s="411">
        <f t="shared" si="17"/>
        <v>35.674843151928691</v>
      </c>
      <c r="I70" s="411">
        <f t="shared" si="17"/>
        <v>57.404325413652366</v>
      </c>
      <c r="J70" s="411">
        <f t="shared" si="17"/>
        <v>32.870027565946152</v>
      </c>
      <c r="K70" s="411">
        <f t="shared" si="15"/>
        <v>49.088519847906646</v>
      </c>
      <c r="L70" s="411"/>
    </row>
    <row r="71" spans="2:12">
      <c r="B71" s="409">
        <f t="shared" si="9"/>
        <v>62275</v>
      </c>
      <c r="C71" s="409">
        <f t="shared" si="10"/>
        <v>62458</v>
      </c>
      <c r="D71" s="411">
        <f t="shared" si="17"/>
        <v>651.62932024421968</v>
      </c>
      <c r="E71" s="411">
        <f t="shared" si="17"/>
        <v>459.26288127050276</v>
      </c>
      <c r="F71" s="411">
        <f t="shared" si="17"/>
        <v>18.853939598000409</v>
      </c>
      <c r="G71" s="411">
        <f t="shared" si="17"/>
        <v>78.558284007481845</v>
      </c>
      <c r="H71" s="411">
        <f t="shared" si="17"/>
        <v>37.74922819787006</v>
      </c>
      <c r="I71" s="411">
        <f t="shared" si="17"/>
        <v>62.230866445848676</v>
      </c>
      <c r="J71" s="411">
        <f t="shared" si="17"/>
        <v>34.713787361911407</v>
      </c>
      <c r="K71" s="411">
        <f t="shared" si="15"/>
        <v>52.326201685632832</v>
      </c>
      <c r="L71" s="411"/>
    </row>
    <row r="72" spans="2:12">
      <c r="B72" s="409">
        <f t="shared" si="9"/>
        <v>62640</v>
      </c>
      <c r="C72" s="409">
        <f t="shared" si="10"/>
        <v>62823</v>
      </c>
      <c r="D72" s="411">
        <f t="shared" si="17"/>
        <v>732.31009064695854</v>
      </c>
      <c r="E72" s="411">
        <f t="shared" si="17"/>
        <v>514.78726010950163</v>
      </c>
      <c r="F72" s="411">
        <f t="shared" si="17"/>
        <v>19.948175722686475</v>
      </c>
      <c r="G72" s="411">
        <f t="shared" si="17"/>
        <v>84.767550404805405</v>
      </c>
      <c r="H72" s="411">
        <f t="shared" si="17"/>
        <v>39.944232507657929</v>
      </c>
      <c r="I72" s="411">
        <f t="shared" si="17"/>
        <v>67.463221816382884</v>
      </c>
      <c r="J72" s="411">
        <f t="shared" si="17"/>
        <v>36.660968129410612</v>
      </c>
      <c r="K72" s="411">
        <f t="shared" si="15"/>
        <v>55.777428028567577</v>
      </c>
      <c r="L72" s="411"/>
    </row>
    <row r="73" spans="2:12">
      <c r="B73" s="409">
        <f t="shared" si="9"/>
        <v>63006</v>
      </c>
      <c r="C73" s="409">
        <f t="shared" si="10"/>
        <v>63189</v>
      </c>
      <c r="D73" s="411">
        <f t="shared" ref="D73:J88" si="18">D72*(1+D$11)</f>
        <v>822.98026224843386</v>
      </c>
      <c r="E73" s="411">
        <f t="shared" si="18"/>
        <v>577.02447547673898</v>
      </c>
      <c r="F73" s="411">
        <f t="shared" si="18"/>
        <v>21.105918611587221</v>
      </c>
      <c r="G73" s="411">
        <f t="shared" si="18"/>
        <v>91.467598769683903</v>
      </c>
      <c r="H73" s="411">
        <f t="shared" si="18"/>
        <v>42.266869729428336</v>
      </c>
      <c r="I73" s="411">
        <f t="shared" si="18"/>
        <v>73.135512291265684</v>
      </c>
      <c r="J73" s="411">
        <f t="shared" si="18"/>
        <v>38.717371002288004</v>
      </c>
      <c r="K73" s="411">
        <f t="shared" si="15"/>
        <v>59.456283415584785</v>
      </c>
      <c r="L73" s="411"/>
    </row>
    <row r="74" spans="2:12">
      <c r="B74" s="409">
        <f t="shared" si="9"/>
        <v>63371</v>
      </c>
      <c r="C74" s="409">
        <f t="shared" si="10"/>
        <v>63554</v>
      </c>
      <c r="D74" s="411">
        <f t="shared" si="18"/>
        <v>924.87666181431985</v>
      </c>
      <c r="E74" s="411">
        <f t="shared" si="18"/>
        <v>646.78610194895191</v>
      </c>
      <c r="F74" s="411">
        <f t="shared" si="18"/>
        <v>22.330854040569506</v>
      </c>
      <c r="G74" s="411">
        <f t="shared" si="18"/>
        <v>98.697220631464646</v>
      </c>
      <c r="H74" s="411">
        <f t="shared" si="18"/>
        <v>44.724561333903907</v>
      </c>
      <c r="I74" s="411">
        <f t="shared" si="18"/>
        <v>79.284727501806941</v>
      </c>
      <c r="J74" s="411">
        <f t="shared" si="18"/>
        <v>40.889122514095256</v>
      </c>
      <c r="K74" s="411">
        <f t="shared" si="15"/>
        <v>63.377781345238667</v>
      </c>
      <c r="L74" s="411"/>
    </row>
    <row r="75" spans="2:12">
      <c r="B75" s="409">
        <f t="shared" si="9"/>
        <v>63736</v>
      </c>
      <c r="C75" s="409">
        <f t="shared" si="10"/>
        <v>63919</v>
      </c>
      <c r="D75" s="411">
        <f t="shared" si="18"/>
        <v>1039.3892524612945</v>
      </c>
      <c r="E75" s="411">
        <f t="shared" si="18"/>
        <v>724.98183257944629</v>
      </c>
      <c r="F75" s="411">
        <f t="shared" si="18"/>
        <v>23.626881698835394</v>
      </c>
      <c r="G75" s="411">
        <f t="shared" si="18"/>
        <v>106.49827361166743</v>
      </c>
      <c r="H75" s="411">
        <f t="shared" si="18"/>
        <v>47.325160328053151</v>
      </c>
      <c r="I75" s="411">
        <f t="shared" si="18"/>
        <v>85.95096715807793</v>
      </c>
      <c r="J75" s="411">
        <f t="shared" si="18"/>
        <v>43.182692850552513</v>
      </c>
      <c r="K75" s="411">
        <f t="shared" si="15"/>
        <v>67.55792554621749</v>
      </c>
      <c r="L75" s="411"/>
    </row>
    <row r="76" spans="2:12">
      <c r="B76" s="409">
        <f t="shared" si="9"/>
        <v>64101</v>
      </c>
      <c r="C76" s="409">
        <f t="shared" si="10"/>
        <v>64284</v>
      </c>
      <c r="D76" s="411">
        <f t="shared" si="18"/>
        <v>1168.0800940665729</v>
      </c>
      <c r="E76" s="411">
        <f t="shared" si="18"/>
        <v>812.63134131434322</v>
      </c>
      <c r="F76" s="411">
        <f t="shared" si="18"/>
        <v>24.998127603924203</v>
      </c>
      <c r="G76" s="411">
        <f t="shared" si="18"/>
        <v>114.91592376867591</v>
      </c>
      <c r="H76" s="411">
        <f t="shared" si="18"/>
        <v>50.07697634762782</v>
      </c>
      <c r="I76" s="411">
        <f t="shared" si="18"/>
        <v>93.177702543539993</v>
      </c>
      <c r="J76" s="411">
        <f t="shared" si="18"/>
        <v>45.604915125834417</v>
      </c>
      <c r="K76" s="411">
        <f t="shared" si="15"/>
        <v>72.01377528895064</v>
      </c>
      <c r="L76" s="411"/>
    </row>
    <row r="77" spans="2:12">
      <c r="B77" s="409">
        <f t="shared" si="9"/>
        <v>64467</v>
      </c>
      <c r="C77" s="409">
        <f t="shared" si="10"/>
        <v>64650</v>
      </c>
      <c r="D77" s="411">
        <f t="shared" si="18"/>
        <v>1312.7046512397746</v>
      </c>
      <c r="E77" s="411">
        <f t="shared" si="18"/>
        <v>910.877579561944</v>
      </c>
      <c r="F77" s="411">
        <f t="shared" si="18"/>
        <v>26.448957237250646</v>
      </c>
      <c r="G77" s="411">
        <f t="shared" si="18"/>
        <v>123.99890709741406</v>
      </c>
      <c r="H77" s="411">
        <f t="shared" si="18"/>
        <v>52.988802208756034</v>
      </c>
      <c r="I77" s="411">
        <f t="shared" si="18"/>
        <v>101.01205999607475</v>
      </c>
      <c r="J77" s="411">
        <f t="shared" si="18"/>
        <v>48.163005740109838</v>
      </c>
      <c r="K77" s="411">
        <f t="shared" si="15"/>
        <v>76.763515004907319</v>
      </c>
      <c r="L77" s="411"/>
    </row>
    <row r="78" spans="2:12">
      <c r="B78" s="409">
        <f t="shared" si="9"/>
        <v>64832</v>
      </c>
      <c r="C78" s="409">
        <f t="shared" si="10"/>
        <v>65015</v>
      </c>
      <c r="D78" s="411">
        <f t="shared" si="18"/>
        <v>1475.2357395179852</v>
      </c>
      <c r="E78" s="411">
        <f t="shared" si="18"/>
        <v>1021.0016803027545</v>
      </c>
      <c r="F78" s="411">
        <f t="shared" si="18"/>
        <v>27.983989441997185</v>
      </c>
      <c r="G78" s="411">
        <f t="shared" si="18"/>
        <v>133.79981169802232</v>
      </c>
      <c r="H78" s="411">
        <f t="shared" si="18"/>
        <v>56.06994200343081</v>
      </c>
      <c r="I78" s="411">
        <f t="shared" si="18"/>
        <v>109.50512822402713</v>
      </c>
      <c r="J78" s="411">
        <f t="shared" si="18"/>
        <v>50.864585878985579</v>
      </c>
      <c r="K78" s="411">
        <f t="shared" si="15"/>
        <v>81.826528497704828</v>
      </c>
      <c r="L78" s="411"/>
    </row>
    <row r="79" spans="2:12">
      <c r="B79" s="409">
        <f t="shared" si="9"/>
        <v>65197</v>
      </c>
      <c r="C79" s="409">
        <f t="shared" si="10"/>
        <v>65380</v>
      </c>
      <c r="D79" s="411">
        <f t="shared" si="18"/>
        <v>1657.8904364327241</v>
      </c>
      <c r="E79" s="411">
        <f t="shared" si="18"/>
        <v>1144.4396640900711</v>
      </c>
      <c r="F79" s="411">
        <f t="shared" si="18"/>
        <v>29.608111127605767</v>
      </c>
      <c r="G79" s="411">
        <f t="shared" si="18"/>
        <v>144.37538224721641</v>
      </c>
      <c r="H79" s="411">
        <f t="shared" si="18"/>
        <v>59.330240828666952</v>
      </c>
      <c r="I79" s="411">
        <f t="shared" si="18"/>
        <v>118.71229146130273</v>
      </c>
      <c r="J79" s="411">
        <f t="shared" si="18"/>
        <v>53.717704218906142</v>
      </c>
      <c r="K79" s="411">
        <f t="shared" si="15"/>
        <v>87.223478048883862</v>
      </c>
      <c r="L79" s="411"/>
    </row>
    <row r="80" spans="2:12">
      <c r="B80" s="409">
        <f t="shared" si="9"/>
        <v>65562</v>
      </c>
      <c r="C80" s="409">
        <f t="shared" si="10"/>
        <v>65745</v>
      </c>
      <c r="D80" s="411">
        <f t="shared" si="18"/>
        <v>1863.1603245411877</v>
      </c>
      <c r="E80" s="411">
        <f t="shared" si="18"/>
        <v>1282.801164787722</v>
      </c>
      <c r="F80" s="411">
        <f t="shared" si="18"/>
        <v>31.326492827681957</v>
      </c>
      <c r="G80" s="411">
        <f t="shared" si="18"/>
        <v>155.78684853513846</v>
      </c>
      <c r="H80" s="411">
        <f t="shared" si="18"/>
        <v>62.780116244319139</v>
      </c>
      <c r="I80" s="411">
        <f t="shared" si="18"/>
        <v>128.69359063406083</v>
      </c>
      <c r="J80" s="411">
        <f t="shared" si="18"/>
        <v>56.730860906154611</v>
      </c>
      <c r="K80" s="411">
        <f t="shared" si="15"/>
        <v>92.976388741183385</v>
      </c>
      <c r="L80" s="411"/>
    </row>
    <row r="81" spans="2:12">
      <c r="B81" s="409">
        <f t="shared" si="9"/>
        <v>65928</v>
      </c>
      <c r="C81" s="409">
        <f t="shared" si="10"/>
        <v>66111</v>
      </c>
      <c r="D81" s="411">
        <f t="shared" si="18"/>
        <v>2093.8454789652737</v>
      </c>
      <c r="E81" s="411">
        <f t="shared" si="18"/>
        <v>1437.890419228972</v>
      </c>
      <c r="F81" s="411">
        <f t="shared" si="18"/>
        <v>33.144605160841444</v>
      </c>
      <c r="G81" s="411">
        <f t="shared" si="18"/>
        <v>168.10027996984294</v>
      </c>
      <c r="H81" s="411">
        <f t="shared" si="18"/>
        <v>66.430591560077758</v>
      </c>
      <c r="I81" s="411">
        <f t="shared" si="18"/>
        <v>139.51411489421079</v>
      </c>
      <c r="J81" s="411">
        <f t="shared" si="18"/>
        <v>59.913032880893994</v>
      </c>
      <c r="K81" s="411">
        <f t="shared" si="15"/>
        <v>99.10873834344045</v>
      </c>
      <c r="L81" s="411"/>
    </row>
    <row r="82" spans="2:12">
      <c r="B82" s="409">
        <f t="shared" si="9"/>
        <v>66293</v>
      </c>
      <c r="C82" s="409">
        <f t="shared" si="10"/>
        <v>66476</v>
      </c>
      <c r="D82" s="411">
        <f t="shared" si="18"/>
        <v>2353.092663060515</v>
      </c>
      <c r="E82" s="411">
        <f t="shared" si="18"/>
        <v>1611.7297945021771</v>
      </c>
      <c r="F82" s="411">
        <f t="shared" si="18"/>
        <v>35.068236246903446</v>
      </c>
      <c r="G82" s="411">
        <f t="shared" si="18"/>
        <v>181.38696810190575</v>
      </c>
      <c r="H82" s="411">
        <f t="shared" si="18"/>
        <v>70.293331058003602</v>
      </c>
      <c r="I82" s="411">
        <f t="shared" si="18"/>
        <v>151.24442607294492</v>
      </c>
      <c r="J82" s="411">
        <f t="shared" si="18"/>
        <v>63.273700621695653</v>
      </c>
      <c r="K82" s="411">
        <f t="shared" si="15"/>
        <v>105.64555312393739</v>
      </c>
      <c r="L82" s="411"/>
    </row>
    <row r="83" spans="2:12">
      <c r="B83" s="409">
        <f t="shared" si="9"/>
        <v>66658</v>
      </c>
      <c r="C83" s="409">
        <f t="shared" si="10"/>
        <v>66841</v>
      </c>
      <c r="D83" s="411">
        <f t="shared" si="18"/>
        <v>2644.4382532399168</v>
      </c>
      <c r="E83" s="411">
        <f t="shared" si="18"/>
        <v>1806.5861596594814</v>
      </c>
      <c r="F83" s="411">
        <f t="shared" si="18"/>
        <v>37.103510133877009</v>
      </c>
      <c r="G83" s="411">
        <f t="shared" si="18"/>
        <v>195.72383938387389</v>
      </c>
      <c r="H83" s="411">
        <f t="shared" si="18"/>
        <v>74.380677263147192</v>
      </c>
      <c r="I83" s="411">
        <f t="shared" si="18"/>
        <v>163.961018822216</v>
      </c>
      <c r="J83" s="411">
        <f t="shared" si="18"/>
        <v>66.822876390233404</v>
      </c>
      <c r="K83" s="411">
        <f t="shared" si="15"/>
        <v>112.61350998321301</v>
      </c>
      <c r="L83" s="411"/>
    </row>
    <row r="84" spans="2:12">
      <c r="B84" s="409">
        <f t="shared" si="9"/>
        <v>67023</v>
      </c>
      <c r="C84" s="409">
        <f t="shared" si="10"/>
        <v>67206</v>
      </c>
      <c r="D84" s="411">
        <f t="shared" si="18"/>
        <v>2971.8564784878345</v>
      </c>
      <c r="E84" s="411">
        <f t="shared" si="18"/>
        <v>2025.0004457361815</v>
      </c>
      <c r="F84" s="411">
        <f t="shared" si="18"/>
        <v>39.256906294404104</v>
      </c>
      <c r="G84" s="411">
        <f t="shared" si="18"/>
        <v>211.19390055432532</v>
      </c>
      <c r="H84" s="411">
        <f t="shared" si="18"/>
        <v>78.705690381342833</v>
      </c>
      <c r="I84" s="411">
        <f t="shared" si="18"/>
        <v>177.74681944479292</v>
      </c>
      <c r="J84" s="411">
        <f t="shared" si="18"/>
        <v>70.571134060291172</v>
      </c>
      <c r="K84" s="411">
        <f t="shared" si="15"/>
        <v>120.04104532314429</v>
      </c>
      <c r="L84" s="411"/>
    </row>
    <row r="85" spans="2:12">
      <c r="B85" s="409">
        <f t="shared" si="9"/>
        <v>67389</v>
      </c>
      <c r="C85" s="409">
        <f t="shared" si="10"/>
        <v>67572</v>
      </c>
      <c r="D85" s="411">
        <f t="shared" si="18"/>
        <v>3339.8136325964106</v>
      </c>
      <c r="E85" s="411">
        <f t="shared" si="18"/>
        <v>2269.8207795440271</v>
      </c>
      <c r="F85" s="411">
        <f t="shared" si="18"/>
        <v>41.53528025372816</v>
      </c>
      <c r="G85" s="411">
        <f t="shared" si="18"/>
        <v>227.88671922519615</v>
      </c>
      <c r="H85" s="411">
        <f t="shared" si="18"/>
        <v>83.282190030191941</v>
      </c>
      <c r="I85" s="411">
        <f t="shared" si="18"/>
        <v>192.69172666582</v>
      </c>
      <c r="J85" s="411">
        <f t="shared" si="18"/>
        <v>74.529640619952275</v>
      </c>
      <c r="K85" s="411">
        <f t="shared" si="15"/>
        <v>127.95847109659596</v>
      </c>
      <c r="L85" s="411"/>
    </row>
    <row r="86" spans="2:12">
      <c r="B86" s="409">
        <f t="shared" ref="B86:B149" si="19">DATE(YEAR(B85)+1,7,1)</f>
        <v>67754</v>
      </c>
      <c r="C86" s="409">
        <f t="shared" ref="C86:C149" si="20">DATE(YEAR(C85)+1,12,31)</f>
        <v>67937</v>
      </c>
      <c r="D86" s="411">
        <f t="shared" si="18"/>
        <v>3753.3289986306763</v>
      </c>
      <c r="E86" s="411">
        <f t="shared" si="18"/>
        <v>2544.2396233038025</v>
      </c>
      <c r="F86" s="411">
        <f t="shared" si="18"/>
        <v>43.945885414859021</v>
      </c>
      <c r="G86" s="411">
        <f t="shared" si="18"/>
        <v>245.8989424548501</v>
      </c>
      <c r="H86" s="411">
        <f t="shared" si="18"/>
        <v>88.124799396577828</v>
      </c>
      <c r="I86" s="411">
        <f t="shared" si="18"/>
        <v>208.89319787231113</v>
      </c>
      <c r="J86" s="411">
        <f t="shared" si="18"/>
        <v>78.710189440823072</v>
      </c>
      <c r="K86" s="411">
        <f t="shared" si="15"/>
        <v>136.39809851123937</v>
      </c>
      <c r="L86" s="411"/>
    </row>
    <row r="87" spans="2:12">
      <c r="B87" s="409">
        <f t="shared" si="19"/>
        <v>68119</v>
      </c>
      <c r="C87" s="409">
        <f t="shared" si="20"/>
        <v>68302</v>
      </c>
      <c r="D87" s="411">
        <f t="shared" si="18"/>
        <v>4218.0433166895555</v>
      </c>
      <c r="E87" s="411">
        <f t="shared" si="18"/>
        <v>2851.8354044187731</v>
      </c>
      <c r="F87" s="411">
        <f t="shared" si="18"/>
        <v>46.496396150416551</v>
      </c>
      <c r="G87" s="411">
        <f t="shared" si="18"/>
        <v>265.33485630929329</v>
      </c>
      <c r="H87" s="411">
        <f t="shared" si="18"/>
        <v>93.248991961807391</v>
      </c>
      <c r="I87" s="411">
        <f t="shared" si="18"/>
        <v>226.4568846435109</v>
      </c>
      <c r="J87" s="411">
        <f t="shared" si="18"/>
        <v>83.125235413408376</v>
      </c>
      <c r="K87" s="411">
        <f t="shared" si="15"/>
        <v>145.39436989237899</v>
      </c>
      <c r="L87" s="411"/>
    </row>
    <row r="88" spans="2:12">
      <c r="B88" s="409">
        <f t="shared" si="19"/>
        <v>68484</v>
      </c>
      <c r="C88" s="409">
        <f t="shared" si="20"/>
        <v>68667</v>
      </c>
      <c r="D88" s="411">
        <f t="shared" si="18"/>
        <v>4740.2957289276865</v>
      </c>
      <c r="E88" s="411">
        <f t="shared" si="18"/>
        <v>3196.6191782420983</v>
      </c>
      <c r="F88" s="411">
        <f t="shared" si="18"/>
        <v>49.194932234667924</v>
      </c>
      <c r="G88" s="411">
        <f t="shared" si="18"/>
        <v>286.30698965124685</v>
      </c>
      <c r="H88" s="411">
        <f t="shared" si="18"/>
        <v>98.671140943679575</v>
      </c>
      <c r="I88" s="411">
        <f t="shared" si="18"/>
        <v>245.49732171648631</v>
      </c>
      <c r="J88" s="411">
        <f t="shared" si="18"/>
        <v>87.78793205331543</v>
      </c>
      <c r="K88" s="411">
        <f t="shared" si="15"/>
        <v>154.98399924292198</v>
      </c>
      <c r="L88" s="411"/>
    </row>
    <row r="89" spans="2:12">
      <c r="B89" s="409">
        <f t="shared" si="19"/>
        <v>68850</v>
      </c>
      <c r="C89" s="409">
        <f t="shared" si="20"/>
        <v>69033</v>
      </c>
      <c r="D89" s="411">
        <f t="shared" ref="D89:J104" si="21">D88*(1+D$11)</f>
        <v>5327.2102514408271</v>
      </c>
      <c r="E89" s="411">
        <f t="shared" si="21"/>
        <v>3583.0869323216689</v>
      </c>
      <c r="F89" s="411">
        <f t="shared" si="21"/>
        <v>52.050084693540015</v>
      </c>
      <c r="G89" s="411">
        <f t="shared" si="21"/>
        <v>308.93676565285909</v>
      </c>
      <c r="H89" s="411">
        <f t="shared" si="21"/>
        <v>104.40857161346169</v>
      </c>
      <c r="I89" s="411">
        <f t="shared" si="21"/>
        <v>266.13867387976973</v>
      </c>
      <c r="J89" s="411">
        <f t="shared" si="21"/>
        <v>92.712170688835215</v>
      </c>
      <c r="K89" s="411">
        <f t="shared" ref="K89:K152" si="22">K88*(1+K$11)</f>
        <v>165.20612207411946</v>
      </c>
      <c r="L89" s="411"/>
    </row>
    <row r="90" spans="2:12">
      <c r="B90" s="409">
        <f t="shared" si="19"/>
        <v>69215</v>
      </c>
      <c r="C90" s="409">
        <f t="shared" si="20"/>
        <v>69398</v>
      </c>
      <c r="D90" s="411">
        <f t="shared" si="21"/>
        <v>5986.7929525730151</v>
      </c>
      <c r="E90" s="411">
        <f t="shared" si="21"/>
        <v>4016.2782141708008</v>
      </c>
      <c r="F90" s="411">
        <f t="shared" si="21"/>
        <v>55.070943154902714</v>
      </c>
      <c r="G90" s="411">
        <f t="shared" si="21"/>
        <v>333.35520480414482</v>
      </c>
      <c r="H90" s="411">
        <f t="shared" si="21"/>
        <v>110.47961665494084</v>
      </c>
      <c r="I90" s="411">
        <f t="shared" si="21"/>
        <v>288.51554566562862</v>
      </c>
      <c r="J90" s="411">
        <f t="shared" si="21"/>
        <v>97.912621846650424</v>
      </c>
      <c r="K90" s="411">
        <f t="shared" si="22"/>
        <v>176.10245511854228</v>
      </c>
      <c r="L90" s="411"/>
    </row>
    <row r="91" spans="2:12">
      <c r="B91" s="409">
        <f t="shared" si="19"/>
        <v>69580</v>
      </c>
      <c r="C91" s="409">
        <f t="shared" si="20"/>
        <v>69763</v>
      </c>
      <c r="D91" s="411">
        <f t="shared" si="21"/>
        <v>6728.0411632493715</v>
      </c>
      <c r="E91" s="411">
        <f t="shared" si="21"/>
        <v>4501.8418470721308</v>
      </c>
      <c r="F91" s="411">
        <f t="shared" si="21"/>
        <v>58.267124786195225</v>
      </c>
      <c r="G91" s="411">
        <f t="shared" si="21"/>
        <v>359.70368348738788</v>
      </c>
      <c r="H91" s="411">
        <f t="shared" si="21"/>
        <v>116.90367474243811</v>
      </c>
      <c r="I91" s="411">
        <f t="shared" si="21"/>
        <v>312.77385912105478</v>
      </c>
      <c r="J91" s="411">
        <f t="shared" si="21"/>
        <v>103.40477895896852</v>
      </c>
      <c r="K91" s="411">
        <f t="shared" si="22"/>
        <v>187.71746657708414</v>
      </c>
      <c r="L91" s="411"/>
    </row>
    <row r="92" spans="2:12">
      <c r="B92" s="409">
        <f t="shared" si="19"/>
        <v>69945</v>
      </c>
      <c r="C92" s="409">
        <f t="shared" si="20"/>
        <v>70128</v>
      </c>
      <c r="D92" s="411">
        <f t="shared" si="21"/>
        <v>7561.0662090666119</v>
      </c>
      <c r="E92" s="411">
        <f t="shared" si="21"/>
        <v>5046.1095908501557</v>
      </c>
      <c r="F92" s="411">
        <f t="shared" si="21"/>
        <v>61.648804911520742</v>
      </c>
      <c r="G92" s="411">
        <f t="shared" si="21"/>
        <v>388.13475250945345</v>
      </c>
      <c r="H92" s="411">
        <f t="shared" si="21"/>
        <v>123.70127252495833</v>
      </c>
      <c r="I92" s="411">
        <f t="shared" si="21"/>
        <v>339.07180538151425</v>
      </c>
      <c r="J92" s="411">
        <f t="shared" si="21"/>
        <v>109.20500452229417</v>
      </c>
      <c r="K92" s="411">
        <f t="shared" si="22"/>
        <v>200.09855759477378</v>
      </c>
      <c r="L92" s="411"/>
    </row>
    <row r="93" spans="2:12">
      <c r="B93" s="409">
        <f t="shared" si="19"/>
        <v>70311</v>
      </c>
      <c r="C93" s="409">
        <f t="shared" si="20"/>
        <v>70494</v>
      </c>
      <c r="D93" s="411">
        <f t="shared" si="21"/>
        <v>8497.2313383228902</v>
      </c>
      <c r="E93" s="411">
        <f t="shared" si="21"/>
        <v>5656.1787081504162</v>
      </c>
      <c r="F93" s="411">
        <f t="shared" si="21"/>
        <v>65.226749405681758</v>
      </c>
      <c r="G93" s="411">
        <f t="shared" si="21"/>
        <v>418.81302033109927</v>
      </c>
      <c r="H93" s="411">
        <f t="shared" si="21"/>
        <v>130.89413021453217</v>
      </c>
      <c r="I93" s="411">
        <f t="shared" si="21"/>
        <v>367.58087625277551</v>
      </c>
      <c r="J93" s="411">
        <f t="shared" si="21"/>
        <v>115.33057884535951</v>
      </c>
      <c r="K93" s="411">
        <f t="shared" si="22"/>
        <v>213.29625570600402</v>
      </c>
      <c r="L93" s="411"/>
    </row>
    <row r="94" spans="2:12">
      <c r="B94" s="409">
        <f t="shared" si="19"/>
        <v>70676</v>
      </c>
      <c r="C94" s="409">
        <f t="shared" si="20"/>
        <v>70859</v>
      </c>
      <c r="D94" s="411">
        <f t="shared" si="21"/>
        <v>9549.3067274555469</v>
      </c>
      <c r="E94" s="411">
        <f t="shared" si="21"/>
        <v>6340.0045128913098</v>
      </c>
      <c r="F94" s="411">
        <f t="shared" si="21"/>
        <v>69.012348968285224</v>
      </c>
      <c r="G94" s="411">
        <f t="shared" si="21"/>
        <v>451.9161061069521</v>
      </c>
      <c r="H94" s="411">
        <f t="shared" si="21"/>
        <v>138.50523098832346</v>
      </c>
      <c r="I94" s="411">
        <f t="shared" si="21"/>
        <v>398.48698252787432</v>
      </c>
      <c r="J94" s="411">
        <f t="shared" si="21"/>
        <v>121.79975153144434</v>
      </c>
      <c r="K94" s="411">
        <f t="shared" si="22"/>
        <v>227.36442103863175</v>
      </c>
      <c r="L94" s="411"/>
    </row>
    <row r="95" spans="2:12">
      <c r="B95" s="409">
        <f t="shared" si="19"/>
        <v>71041</v>
      </c>
      <c r="C95" s="409">
        <f t="shared" si="20"/>
        <v>71224</v>
      </c>
      <c r="D95" s="411">
        <f t="shared" si="21"/>
        <v>10731.64367830733</v>
      </c>
      <c r="E95" s="411">
        <f t="shared" si="21"/>
        <v>7106.5041077222704</v>
      </c>
      <c r="F95" s="411">
        <f t="shared" si="21"/>
        <v>73.017655387032207</v>
      </c>
      <c r="G95" s="411">
        <f t="shared" si="21"/>
        <v>487.63566805400222</v>
      </c>
      <c r="H95" s="411">
        <f t="shared" si="21"/>
        <v>146.55889442626068</v>
      </c>
      <c r="I95" s="411">
        <f t="shared" si="21"/>
        <v>431.99166633188361</v>
      </c>
      <c r="J95" s="411">
        <f t="shared" si="21"/>
        <v>128.63179584846498</v>
      </c>
      <c r="K95" s="411">
        <f t="shared" si="22"/>
        <v>242.36046611847334</v>
      </c>
      <c r="L95" s="411"/>
    </row>
    <row r="96" spans="2:12">
      <c r="B96" s="409">
        <f t="shared" si="19"/>
        <v>71406</v>
      </c>
      <c r="C96" s="409">
        <f t="shared" si="20"/>
        <v>71589</v>
      </c>
      <c r="D96" s="411">
        <f t="shared" si="21"/>
        <v>12060.370383436277</v>
      </c>
      <c r="E96" s="411">
        <f t="shared" si="21"/>
        <v>7965.6726632269028</v>
      </c>
      <c r="F96" s="411">
        <f t="shared" si="21"/>
        <v>77.255419905639371</v>
      </c>
      <c r="G96" s="411">
        <f t="shared" si="21"/>
        <v>526.17851310260039</v>
      </c>
      <c r="H96" s="411">
        <f t="shared" si="21"/>
        <v>155.0808542188463</v>
      </c>
      <c r="I96" s="411">
        <f t="shared" si="21"/>
        <v>468.31341540032253</v>
      </c>
      <c r="J96" s="411">
        <f t="shared" si="21"/>
        <v>135.84706614881352</v>
      </c>
      <c r="K96" s="411">
        <f t="shared" si="22"/>
        <v>258.34559017122263</v>
      </c>
      <c r="L96" s="411"/>
    </row>
    <row r="97" spans="2:12">
      <c r="B97" s="409">
        <f t="shared" si="19"/>
        <v>71772</v>
      </c>
      <c r="C97" s="409">
        <f t="shared" si="20"/>
        <v>71955</v>
      </c>
      <c r="D97" s="411">
        <f t="shared" si="21"/>
        <v>13553.611929892988</v>
      </c>
      <c r="E97" s="411">
        <f t="shared" si="21"/>
        <v>8928.7137551543001</v>
      </c>
      <c r="F97" s="411">
        <f t="shared" si="21"/>
        <v>81.739133818539955</v>
      </c>
      <c r="G97" s="411">
        <f t="shared" si="21"/>
        <v>567.7677942545472</v>
      </c>
      <c r="H97" s="411">
        <f t="shared" si="21"/>
        <v>164.09834039344202</v>
      </c>
      <c r="I97" s="411">
        <f t="shared" si="21"/>
        <v>507.68908786175831</v>
      </c>
      <c r="J97" s="411">
        <f t="shared" si="21"/>
        <v>143.4670585100157</v>
      </c>
      <c r="K97" s="411">
        <f t="shared" si="22"/>
        <v>275.38502887798347</v>
      </c>
      <c r="L97" s="411"/>
    </row>
    <row r="98" spans="2:12">
      <c r="B98" s="409">
        <f t="shared" si="19"/>
        <v>72137</v>
      </c>
      <c r="C98" s="409">
        <f t="shared" si="20"/>
        <v>72320</v>
      </c>
      <c r="D98" s="411">
        <f t="shared" si="21"/>
        <v>15231.737542524548</v>
      </c>
      <c r="E98" s="411">
        <f t="shared" si="21"/>
        <v>10008.185459278735</v>
      </c>
      <c r="F98" s="411">
        <f t="shared" si="21"/>
        <v>86.483071421600954</v>
      </c>
      <c r="G98" s="411">
        <f t="shared" si="21"/>
        <v>612.64430258066488</v>
      </c>
      <c r="H98" s="411">
        <f t="shared" si="21"/>
        <v>173.64016632176566</v>
      </c>
      <c r="I98" s="411">
        <f t="shared" si="21"/>
        <v>550.37545681576614</v>
      </c>
      <c r="J98" s="411">
        <f t="shared" si="21"/>
        <v>151.51447477687051</v>
      </c>
      <c r="K98" s="411">
        <f t="shared" si="22"/>
        <v>293.54832060367539</v>
      </c>
      <c r="L98" s="411"/>
    </row>
    <row r="99" spans="2:12">
      <c r="B99" s="409">
        <f t="shared" si="19"/>
        <v>72502</v>
      </c>
      <c r="C99" s="409">
        <f t="shared" si="20"/>
        <v>72685</v>
      </c>
      <c r="D99" s="411">
        <f t="shared" si="21"/>
        <v>17117.638439437269</v>
      </c>
      <c r="E99" s="411">
        <f t="shared" si="21"/>
        <v>11218.164108967714</v>
      </c>
      <c r="F99" s="411">
        <f t="shared" si="21"/>
        <v>91.502335455594007</v>
      </c>
      <c r="G99" s="411">
        <f t="shared" si="21"/>
        <v>661.06786133817991</v>
      </c>
      <c r="H99" s="411">
        <f t="shared" si="21"/>
        <v>183.73682078661281</v>
      </c>
      <c r="I99" s="411">
        <f t="shared" si="21"/>
        <v>596.65088477860945</v>
      </c>
      <c r="J99" s="411">
        <f t="shared" si="21"/>
        <v>160.0132901958695</v>
      </c>
      <c r="K99" s="411">
        <f t="shared" si="22"/>
        <v>312.90959018479668</v>
      </c>
      <c r="L99" s="411"/>
    </row>
    <row r="100" spans="2:12">
      <c r="B100" s="409">
        <f t="shared" si="19"/>
        <v>72867</v>
      </c>
      <c r="C100" s="409">
        <f t="shared" si="20"/>
        <v>73050</v>
      </c>
      <c r="D100" s="411">
        <f t="shared" si="21"/>
        <v>19237.040089829145</v>
      </c>
      <c r="E100" s="411">
        <f t="shared" si="21"/>
        <v>12574.427850860477</v>
      </c>
      <c r="F100" s="411">
        <f t="shared" si="21"/>
        <v>96.812905187093136</v>
      </c>
      <c r="G100" s="411">
        <f t="shared" si="21"/>
        <v>713.31883027949198</v>
      </c>
      <c r="H100" s="411">
        <f t="shared" si="21"/>
        <v>194.420565401982</v>
      </c>
      <c r="I100" s="411">
        <f t="shared" si="21"/>
        <v>646.81713891588572</v>
      </c>
      <c r="J100" s="411">
        <f t="shared" si="21"/>
        <v>168.98882484339492</v>
      </c>
      <c r="K100" s="411">
        <f t="shared" si="22"/>
        <v>333.54785143468979</v>
      </c>
      <c r="L100" s="411"/>
    </row>
    <row r="101" spans="2:12">
      <c r="B101" s="409">
        <f t="shared" si="19"/>
        <v>73232</v>
      </c>
      <c r="C101" s="409">
        <f t="shared" si="20"/>
        <v>73415</v>
      </c>
      <c r="D101" s="411">
        <f t="shared" si="21"/>
        <v>21618.853133683744</v>
      </c>
      <c r="E101" s="411">
        <f t="shared" si="21"/>
        <v>14094.662392226794</v>
      </c>
      <c r="F101" s="411">
        <f t="shared" si="21"/>
        <v>102.43168727986911</v>
      </c>
      <c r="G101" s="411">
        <f t="shared" si="21"/>
        <v>769.69972886188418</v>
      </c>
      <c r="H101" s="411">
        <f t="shared" si="21"/>
        <v>205.72553769788775</v>
      </c>
      <c r="I101" s="411">
        <f t="shared" si="21"/>
        <v>701.20135889947028</v>
      </c>
      <c r="J101" s="411">
        <f t="shared" si="21"/>
        <v>178.46781906049932</v>
      </c>
      <c r="K101" s="411">
        <f t="shared" si="22"/>
        <v>355.54732960084067</v>
      </c>
      <c r="L101" s="411"/>
    </row>
    <row r="102" spans="2:12">
      <c r="B102" s="409">
        <f t="shared" si="19"/>
        <v>73597</v>
      </c>
      <c r="C102" s="409">
        <f t="shared" si="20"/>
        <v>73780</v>
      </c>
      <c r="D102" s="411">
        <f t="shared" si="21"/>
        <v>24295.567750201557</v>
      </c>
      <c r="E102" s="411">
        <f t="shared" si="21"/>
        <v>15798.691622955865</v>
      </c>
      <c r="F102" s="411">
        <f t="shared" si="21"/>
        <v>108.37656961873405</v>
      </c>
      <c r="G102" s="411">
        <f t="shared" si="21"/>
        <v>830.53698775613361</v>
      </c>
      <c r="H102" s="411">
        <f t="shared" si="21"/>
        <v>217.68786019924607</v>
      </c>
      <c r="I102" s="411">
        <f t="shared" si="21"/>
        <v>760.1581902213693</v>
      </c>
      <c r="J102" s="411">
        <f t="shared" si="21"/>
        <v>188.47851311900544</v>
      </c>
      <c r="K102" s="411">
        <f t="shared" si="22"/>
        <v>378.99780509016784</v>
      </c>
      <c r="L102" s="411"/>
    </row>
    <row r="103" spans="2:12">
      <c r="B103" s="409">
        <f t="shared" si="19"/>
        <v>73962</v>
      </c>
      <c r="C103" s="409">
        <f t="shared" si="20"/>
        <v>74145</v>
      </c>
      <c r="D103" s="411">
        <f t="shared" si="21"/>
        <v>27303.696854526628</v>
      </c>
      <c r="E103" s="411">
        <f t="shared" si="21"/>
        <v>17708.736119490841</v>
      </c>
      <c r="F103" s="411">
        <f t="shared" si="21"/>
        <v>114.66647825718914</v>
      </c>
      <c r="G103" s="411">
        <f t="shared" si="21"/>
        <v>896.18283879480111</v>
      </c>
      <c r="H103" s="411">
        <f t="shared" si="21"/>
        <v>230.3457558473697</v>
      </c>
      <c r="I103" s="411">
        <f t="shared" si="21"/>
        <v>824.07209687605757</v>
      </c>
      <c r="J103" s="411">
        <f t="shared" si="21"/>
        <v>199.05073135627143</v>
      </c>
      <c r="K103" s="411">
        <f t="shared" si="22"/>
        <v>403.99497986505264</v>
      </c>
      <c r="L103" s="411"/>
    </row>
    <row r="104" spans="2:12">
      <c r="B104" s="409">
        <f t="shared" si="19"/>
        <v>74327</v>
      </c>
      <c r="C104" s="409">
        <f t="shared" si="20"/>
        <v>74510</v>
      </c>
      <c r="D104" s="411">
        <f t="shared" si="21"/>
        <v>30684.274168390348</v>
      </c>
      <c r="E104" s="411">
        <f t="shared" si="21"/>
        <v>19849.702901605626</v>
      </c>
      <c r="F104" s="411">
        <f t="shared" si="21"/>
        <v>121.32143767017321</v>
      </c>
      <c r="G104" s="411">
        <f t="shared" si="21"/>
        <v>967.01735430250517</v>
      </c>
      <c r="H104" s="411">
        <f t="shared" si="21"/>
        <v>243.73967013287685</v>
      </c>
      <c r="I104" s="411">
        <f t="shared" si="21"/>
        <v>893.35986849255676</v>
      </c>
      <c r="J104" s="411">
        <f t="shared" si="21"/>
        <v>210.21597102927956</v>
      </c>
      <c r="K104" s="411">
        <f t="shared" si="22"/>
        <v>430.64086800538155</v>
      </c>
      <c r="L104" s="411"/>
    </row>
    <row r="105" spans="2:12">
      <c r="B105" s="409">
        <f t="shared" si="19"/>
        <v>74693</v>
      </c>
      <c r="C105" s="409">
        <f t="shared" si="20"/>
        <v>74876</v>
      </c>
      <c r="D105" s="411">
        <f t="shared" ref="D105:J120" si="23">D104*(1+D$11)</f>
        <v>34483.413958826372</v>
      </c>
      <c r="E105" s="411">
        <f t="shared" si="23"/>
        <v>22249.510220458316</v>
      </c>
      <c r="F105" s="411">
        <f t="shared" si="23"/>
        <v>128.36263450373218</v>
      </c>
      <c r="G105" s="411">
        <f t="shared" si="23"/>
        <v>1043.4506476153708</v>
      </c>
      <c r="H105" s="411">
        <f t="shared" si="23"/>
        <v>257.91240033026207</v>
      </c>
      <c r="I105" s="411">
        <f t="shared" si="23"/>
        <v>968.47333826553916</v>
      </c>
      <c r="J105" s="411">
        <f t="shared" si="23"/>
        <v>222.00749615276709</v>
      </c>
      <c r="K105" s="411">
        <f t="shared" si="22"/>
        <v>459.04421203049418</v>
      </c>
      <c r="L105" s="411"/>
    </row>
    <row r="106" spans="2:12">
      <c r="B106" s="409">
        <f t="shared" si="19"/>
        <v>75058</v>
      </c>
      <c r="C106" s="409">
        <f t="shared" si="20"/>
        <v>75241</v>
      </c>
      <c r="D106" s="411">
        <f t="shared" si="23"/>
        <v>38752.940080321285</v>
      </c>
      <c r="E106" s="411">
        <f t="shared" si="23"/>
        <v>24939.451613164227</v>
      </c>
      <c r="F106" s="411">
        <f t="shared" si="23"/>
        <v>135.81248502456205</v>
      </c>
      <c r="G106" s="411">
        <f t="shared" si="23"/>
        <v>1125.9252475300859</v>
      </c>
      <c r="H106" s="411">
        <f t="shared" si="23"/>
        <v>272.90923224706938</v>
      </c>
      <c r="I106" s="411">
        <f t="shared" si="23"/>
        <v>1049.9023294093852</v>
      </c>
      <c r="J106" s="411">
        <f t="shared" si="23"/>
        <v>234.46043660096595</v>
      </c>
      <c r="K106" s="411">
        <f t="shared" si="22"/>
        <v>489.32092668005674</v>
      </c>
      <c r="L106" s="411"/>
    </row>
    <row r="107" spans="2:12">
      <c r="B107" s="409">
        <f t="shared" si="19"/>
        <v>75423</v>
      </c>
      <c r="C107" s="409">
        <f t="shared" si="20"/>
        <v>75606</v>
      </c>
      <c r="D107" s="411">
        <f t="shared" si="23"/>
        <v>43551.092901130047</v>
      </c>
      <c r="E107" s="411">
        <f t="shared" si="23"/>
        <v>27954.603971167671</v>
      </c>
      <c r="F107" s="411">
        <f t="shared" si="23"/>
        <v>143.69470648415677</v>
      </c>
      <c r="G107" s="411">
        <f t="shared" si="23"/>
        <v>1214.9186604300028</v>
      </c>
      <c r="H107" s="411">
        <f t="shared" si="23"/>
        <v>288.77808492461941</v>
      </c>
      <c r="I107" s="411">
        <f t="shared" si="23"/>
        <v>1138.1778493493462</v>
      </c>
      <c r="J107" s="411">
        <f t="shared" si="23"/>
        <v>247.61189276820016</v>
      </c>
      <c r="K107" s="411">
        <f t="shared" si="22"/>
        <v>521.59457196494157</v>
      </c>
      <c r="L107" s="411"/>
    </row>
    <row r="108" spans="2:12">
      <c r="B108" s="409">
        <f t="shared" si="19"/>
        <v>75788</v>
      </c>
      <c r="C108" s="409">
        <f t="shared" si="20"/>
        <v>75971</v>
      </c>
      <c r="D108" s="411">
        <f t="shared" si="23"/>
        <v>48943.323756898681</v>
      </c>
      <c r="E108" s="411">
        <f t="shared" si="23"/>
        <v>31334.284943632512</v>
      </c>
      <c r="F108" s="411">
        <f t="shared" si="23"/>
        <v>152.0343926247553</v>
      </c>
      <c r="G108" s="411">
        <f t="shared" si="23"/>
        <v>1310.9461349223288</v>
      </c>
      <c r="H108" s="411">
        <f t="shared" si="23"/>
        <v>305.56966375264938</v>
      </c>
      <c r="I108" s="411">
        <f t="shared" si="23"/>
        <v>1233.8755524794847</v>
      </c>
      <c r="J108" s="411">
        <f t="shared" si="23"/>
        <v>261.50104610015069</v>
      </c>
      <c r="K108" s="411">
        <f t="shared" si="22"/>
        <v>555.99685741864459</v>
      </c>
      <c r="L108" s="411"/>
    </row>
    <row r="109" spans="2:12">
      <c r="B109" s="409">
        <f t="shared" si="19"/>
        <v>76154</v>
      </c>
      <c r="C109" s="409">
        <f t="shared" si="20"/>
        <v>76337</v>
      </c>
      <c r="D109" s="411">
        <f t="shared" si="23"/>
        <v>55003.187768691947</v>
      </c>
      <c r="E109" s="411">
        <f t="shared" si="23"/>
        <v>35122.565640401146</v>
      </c>
      <c r="F109" s="411">
        <f t="shared" si="23"/>
        <v>160.85809356746734</v>
      </c>
      <c r="G109" s="411">
        <f t="shared" si="23"/>
        <v>1414.5636449929302</v>
      </c>
      <c r="H109" s="411">
        <f t="shared" si="23"/>
        <v>323.33762248711008</v>
      </c>
      <c r="I109" s="411">
        <f t="shared" si="23"/>
        <v>1337.6194940684188</v>
      </c>
      <c r="J109" s="411">
        <f t="shared" si="23"/>
        <v>276.16927582508782</v>
      </c>
      <c r="K109" s="411">
        <f t="shared" si="22"/>
        <v>592.66817960710421</v>
      </c>
      <c r="L109" s="411"/>
    </row>
    <row r="110" spans="2:12">
      <c r="B110" s="409">
        <f t="shared" si="19"/>
        <v>76519</v>
      </c>
      <c r="C110" s="409">
        <f t="shared" si="20"/>
        <v>76702</v>
      </c>
      <c r="D110" s="411">
        <f t="shared" si="23"/>
        <v>61813.347204306956</v>
      </c>
      <c r="E110" s="411">
        <f t="shared" si="23"/>
        <v>39368.845320179164</v>
      </c>
      <c r="F110" s="411">
        <f t="shared" si="23"/>
        <v>170.19390033690888</v>
      </c>
      <c r="G110" s="411">
        <f t="shared" si="23"/>
        <v>1526.3711089504372</v>
      </c>
      <c r="H110" s="411">
        <f t="shared" si="23"/>
        <v>342.1387346888111</v>
      </c>
      <c r="I110" s="411">
        <f t="shared" si="23"/>
        <v>1450.0861997925044</v>
      </c>
      <c r="J110" s="411">
        <f t="shared" si="23"/>
        <v>291.66028223284223</v>
      </c>
      <c r="K110" s="411">
        <f t="shared" si="22"/>
        <v>631.7581950905103</v>
      </c>
      <c r="L110" s="411"/>
    </row>
    <row r="111" spans="2:12">
      <c r="B111" s="409">
        <f t="shared" si="19"/>
        <v>76884</v>
      </c>
      <c r="C111" s="409">
        <f t="shared" si="20"/>
        <v>77067</v>
      </c>
      <c r="D111" s="411">
        <f t="shared" si="23"/>
        <v>69466.699069668641</v>
      </c>
      <c r="E111" s="411">
        <f t="shared" si="23"/>
        <v>44128.495557891445</v>
      </c>
      <c r="F111" s="411">
        <f t="shared" si="23"/>
        <v>180.07153429143884</v>
      </c>
      <c r="G111" s="411">
        <f t="shared" si="23"/>
        <v>1647.0158627964963</v>
      </c>
      <c r="H111" s="411">
        <f t="shared" si="23"/>
        <v>362.03307513070877</v>
      </c>
      <c r="I111" s="411">
        <f t="shared" si="23"/>
        <v>1572.0090774343275</v>
      </c>
      <c r="J111" s="411">
        <f t="shared" si="23"/>
        <v>308.02021686879345</v>
      </c>
      <c r="K111" s="411">
        <f t="shared" si="22"/>
        <v>673.42643117537659</v>
      </c>
      <c r="L111" s="411"/>
    </row>
    <row r="112" spans="2:12">
      <c r="B112" s="409">
        <f t="shared" si="19"/>
        <v>77249</v>
      </c>
      <c r="C112" s="409">
        <f t="shared" si="20"/>
        <v>77432</v>
      </c>
      <c r="D112" s="411">
        <f t="shared" si="23"/>
        <v>78067.642311718533</v>
      </c>
      <c r="E112" s="411">
        <f t="shared" si="23"/>
        <v>49463.582291165432</v>
      </c>
      <c r="F112" s="411">
        <f t="shared" si="23"/>
        <v>190.52244174370605</v>
      </c>
      <c r="G112" s="411">
        <f t="shared" si="23"/>
        <v>1777.1964081320737</v>
      </c>
      <c r="H112" s="411">
        <f t="shared" si="23"/>
        <v>383.08421175348349</v>
      </c>
      <c r="I112" s="411">
        <f t="shared" si="23"/>
        <v>1704.1831995156813</v>
      </c>
      <c r="J112" s="411">
        <f t="shared" si="23"/>
        <v>325.29782003075576</v>
      </c>
      <c r="K112" s="411">
        <f t="shared" si="22"/>
        <v>717.84293694936878</v>
      </c>
      <c r="L112" s="411"/>
    </row>
    <row r="113" spans="2:12">
      <c r="B113" s="409">
        <f t="shared" si="19"/>
        <v>77615</v>
      </c>
      <c r="C113" s="409">
        <f t="shared" si="20"/>
        <v>77798</v>
      </c>
      <c r="D113" s="411">
        <f t="shared" si="23"/>
        <v>87733.501918640934</v>
      </c>
      <c r="E113" s="411">
        <f t="shared" si="23"/>
        <v>55443.675161442567</v>
      </c>
      <c r="F113" s="411">
        <f t="shared" si="23"/>
        <v>201.57989407273919</v>
      </c>
      <c r="G113" s="411">
        <f t="shared" si="23"/>
        <v>1917.6664562992107</v>
      </c>
      <c r="H113" s="411">
        <f t="shared" si="23"/>
        <v>405.35940878275761</v>
      </c>
      <c r="I113" s="411">
        <f t="shared" si="23"/>
        <v>1847.4704880531024</v>
      </c>
      <c r="J113" s="411">
        <f t="shared" si="23"/>
        <v>343.54456597839896</v>
      </c>
      <c r="K113" s="411">
        <f t="shared" si="22"/>
        <v>765.1889772557787</v>
      </c>
      <c r="L113" s="411"/>
    </row>
    <row r="114" spans="2:12">
      <c r="B114" s="409">
        <f t="shared" si="19"/>
        <v>77980</v>
      </c>
      <c r="C114" s="409">
        <f t="shared" si="20"/>
        <v>78163</v>
      </c>
      <c r="D114" s="411">
        <f t="shared" si="23"/>
        <v>98596.12934349844</v>
      </c>
      <c r="E114" s="411">
        <f t="shared" si="23"/>
        <v>62146.754703542836</v>
      </c>
      <c r="F114" s="411">
        <f t="shared" si="23"/>
        <v>213.27909364629548</v>
      </c>
      <c r="G114" s="411">
        <f t="shared" si="23"/>
        <v>2069.2392921727537</v>
      </c>
      <c r="H114" s="411">
        <f t="shared" si="23"/>
        <v>428.92984165696987</v>
      </c>
      <c r="I114" s="411">
        <f t="shared" si="23"/>
        <v>2002.8053352463305</v>
      </c>
      <c r="J114" s="411">
        <f t="shared" si="23"/>
        <v>362.81481628781853</v>
      </c>
      <c r="K114" s="411">
        <f t="shared" si="22"/>
        <v>815.65777243977027</v>
      </c>
      <c r="L114" s="411"/>
    </row>
    <row r="115" spans="2:12">
      <c r="B115" s="409">
        <f t="shared" si="19"/>
        <v>78345</v>
      </c>
      <c r="C115" s="409">
        <f t="shared" si="20"/>
        <v>78528</v>
      </c>
      <c r="D115" s="411">
        <f t="shared" si="23"/>
        <v>110803.70108256661</v>
      </c>
      <c r="E115" s="411">
        <f t="shared" si="23"/>
        <v>69660.229213453058</v>
      </c>
      <c r="F115" s="411">
        <f t="shared" si="23"/>
        <v>225.65728589068087</v>
      </c>
      <c r="G115" s="411">
        <f t="shared" si="23"/>
        <v>2232.7924828672726</v>
      </c>
      <c r="H115" s="411">
        <f t="shared" si="23"/>
        <v>453.87082445266054</v>
      </c>
      <c r="I115" s="411">
        <f t="shared" si="23"/>
        <v>2171.2006967528191</v>
      </c>
      <c r="J115" s="411">
        <f t="shared" si="23"/>
        <v>383.16598180813696</v>
      </c>
      <c r="K115" s="411">
        <f t="shared" si="22"/>
        <v>869.45528688532056</v>
      </c>
      <c r="L115" s="411"/>
    </row>
    <row r="116" spans="2:12">
      <c r="B116" s="409">
        <f t="shared" si="19"/>
        <v>78710</v>
      </c>
      <c r="C116" s="409">
        <f t="shared" si="20"/>
        <v>78893</v>
      </c>
      <c r="D116" s="411">
        <f t="shared" si="23"/>
        <v>124522.73994267469</v>
      </c>
      <c r="E116" s="411">
        <f t="shared" si="23"/>
        <v>78082.074554315986</v>
      </c>
      <c r="F116" s="411">
        <f t="shared" si="23"/>
        <v>238.75387786482628</v>
      </c>
      <c r="G116" s="411">
        <f t="shared" si="23"/>
        <v>2409.2729586213509</v>
      </c>
      <c r="H116" s="411">
        <f t="shared" si="23"/>
        <v>480.26205053385434</v>
      </c>
      <c r="I116" s="411">
        <f t="shared" si="23"/>
        <v>2353.754697283211</v>
      </c>
      <c r="J116" s="411">
        <f t="shared" si="23"/>
        <v>404.65869370264431</v>
      </c>
      <c r="K116" s="411">
        <f t="shared" si="22"/>
        <v>926.80106956089367</v>
      </c>
      <c r="L116" s="411"/>
    </row>
    <row r="117" spans="2:12">
      <c r="B117" s="409">
        <f t="shared" si="19"/>
        <v>79076</v>
      </c>
      <c r="C117" s="409">
        <f t="shared" si="20"/>
        <v>79259</v>
      </c>
      <c r="D117" s="411">
        <f t="shared" si="23"/>
        <v>139940.38656954776</v>
      </c>
      <c r="E117" s="411">
        <f t="shared" si="23"/>
        <v>87522.111763713809</v>
      </c>
      <c r="F117" s="411">
        <f t="shared" si="23"/>
        <v>252.61056371611042</v>
      </c>
      <c r="G117" s="411">
        <f t="shared" si="23"/>
        <v>2599.7024952762386</v>
      </c>
      <c r="H117" s="411">
        <f t="shared" si="23"/>
        <v>508.18784719448252</v>
      </c>
      <c r="I117" s="411">
        <f t="shared" si="23"/>
        <v>2551.6577915935986</v>
      </c>
      <c r="J117" s="411">
        <f t="shared" si="23"/>
        <v>427.35698408405295</v>
      </c>
      <c r="K117" s="411">
        <f t="shared" si="22"/>
        <v>987.92915000413541</v>
      </c>
      <c r="L117" s="411"/>
    </row>
    <row r="118" spans="2:12">
      <c r="B118" s="409">
        <f t="shared" si="19"/>
        <v>79441</v>
      </c>
      <c r="C118" s="409">
        <f t="shared" si="20"/>
        <v>79624</v>
      </c>
      <c r="D118" s="411">
        <f t="shared" si="23"/>
        <v>157266.95222294211</v>
      </c>
      <c r="E118" s="411">
        <f t="shared" si="23"/>
        <v>98103.439122271593</v>
      </c>
      <c r="F118" s="411">
        <f t="shared" si="23"/>
        <v>267.27145741732897</v>
      </c>
      <c r="G118" s="411">
        <f t="shared" si="23"/>
        <v>2805.1836300909904</v>
      </c>
      <c r="H118" s="411">
        <f t="shared" si="23"/>
        <v>537.73744510749759</v>
      </c>
      <c r="I118" s="411">
        <f t="shared" si="23"/>
        <v>2766.2005275721822</v>
      </c>
      <c r="J118" s="411">
        <f t="shared" si="23"/>
        <v>451.32847678202262</v>
      </c>
      <c r="K118" s="411">
        <f t="shared" si="22"/>
        <v>1053.0889934021241</v>
      </c>
      <c r="L118" s="411"/>
    </row>
    <row r="119" spans="2:12">
      <c r="B119" s="409">
        <f t="shared" si="19"/>
        <v>79806</v>
      </c>
      <c r="C119" s="409">
        <f t="shared" si="20"/>
        <v>79989</v>
      </c>
      <c r="D119" s="411">
        <f t="shared" si="23"/>
        <v>176738.78762083719</v>
      </c>
      <c r="E119" s="411">
        <f t="shared" si="23"/>
        <v>109964.03735778488</v>
      </c>
      <c r="F119" s="411">
        <f t="shared" si="23"/>
        <v>282.78323320738997</v>
      </c>
      <c r="G119" s="411">
        <f t="shared" si="23"/>
        <v>3026.9060451451073</v>
      </c>
      <c r="H119" s="411">
        <f t="shared" si="23"/>
        <v>569.00526344164507</v>
      </c>
      <c r="I119" s="411">
        <f t="shared" si="23"/>
        <v>2998.7819620442774</v>
      </c>
      <c r="J119" s="411">
        <f t="shared" si="23"/>
        <v>476.64458881130008</v>
      </c>
      <c r="K119" s="411">
        <f t="shared" si="22"/>
        <v>1122.5465186648828</v>
      </c>
      <c r="L119" s="411"/>
    </row>
    <row r="120" spans="2:12">
      <c r="B120" s="409">
        <f t="shared" si="19"/>
        <v>80171</v>
      </c>
      <c r="C120" s="409">
        <f t="shared" si="20"/>
        <v>80354</v>
      </c>
      <c r="D120" s="411">
        <f t="shared" si="23"/>
        <v>198621.50698642834</v>
      </c>
      <c r="E120" s="411">
        <f t="shared" si="23"/>
        <v>123258.56891676639</v>
      </c>
      <c r="F120" s="411">
        <f t="shared" si="23"/>
        <v>299.19527418284042</v>
      </c>
      <c r="G120" s="411">
        <f t="shared" si="23"/>
        <v>3266.1534552869207</v>
      </c>
      <c r="H120" s="411">
        <f t="shared" si="23"/>
        <v>602.0912115569198</v>
      </c>
      <c r="I120" s="411">
        <f t="shared" si="23"/>
        <v>3250.9187841760568</v>
      </c>
      <c r="J120" s="411">
        <f t="shared" si="23"/>
        <v>503.38074314069689</v>
      </c>
      <c r="K120" s="411">
        <f t="shared" si="22"/>
        <v>1196.5851836469365</v>
      </c>
      <c r="L120" s="411"/>
    </row>
    <row r="121" spans="2:12">
      <c r="B121" s="409">
        <f t="shared" si="19"/>
        <v>80537</v>
      </c>
      <c r="C121" s="409">
        <f t="shared" si="20"/>
        <v>80720</v>
      </c>
      <c r="D121" s="411">
        <f t="shared" ref="D121:J136" si="24">D120*(1+D$11)</f>
        <v>223213.611276966</v>
      </c>
      <c r="E121" s="411">
        <f t="shared" si="24"/>
        <v>138160.39476595016</v>
      </c>
      <c r="F121" s="411">
        <f t="shared" si="24"/>
        <v>316.55982951327854</v>
      </c>
      <c r="G121" s="411">
        <f t="shared" si="24"/>
        <v>3524.3110405071352</v>
      </c>
      <c r="H121" s="411">
        <f t="shared" si="24"/>
        <v>637.10100824270762</v>
      </c>
      <c r="I121" s="411">
        <f t="shared" si="24"/>
        <v>3524.2552059717527</v>
      </c>
      <c r="J121" s="411">
        <f t="shared" si="24"/>
        <v>531.6165933967967</v>
      </c>
      <c r="K121" s="411">
        <f t="shared" si="22"/>
        <v>1275.507141945729</v>
      </c>
      <c r="L121" s="411"/>
    </row>
    <row r="122" spans="2:12">
      <c r="B122" s="409">
        <f t="shared" si="19"/>
        <v>80902</v>
      </c>
      <c r="C122" s="409">
        <f t="shared" si="20"/>
        <v>81085</v>
      </c>
      <c r="D122" s="411">
        <f t="shared" si="24"/>
        <v>250850.56001870404</v>
      </c>
      <c r="E122" s="411">
        <f t="shared" si="24"/>
        <v>154863.83502288643</v>
      </c>
      <c r="F122" s="411">
        <f t="shared" si="24"/>
        <v>334.93218078116047</v>
      </c>
      <c r="G122" s="411">
        <f t="shared" si="24"/>
        <v>3802.8734657690366</v>
      </c>
      <c r="H122" s="411">
        <f t="shared" si="24"/>
        <v>674.14651951866654</v>
      </c>
      <c r="I122" s="411">
        <f t="shared" si="24"/>
        <v>3820.573684361339</v>
      </c>
      <c r="J122" s="411">
        <f t="shared" si="24"/>
        <v>561.43626117183976</v>
      </c>
      <c r="K122" s="411">
        <f t="shared" si="22"/>
        <v>1359.6344759978235</v>
      </c>
      <c r="L122" s="411"/>
    </row>
    <row r="123" spans="2:12">
      <c r="B123" s="409">
        <f t="shared" si="19"/>
        <v>81267</v>
      </c>
      <c r="C123" s="409">
        <f t="shared" si="20"/>
        <v>81450</v>
      </c>
      <c r="D123" s="411">
        <f t="shared" si="24"/>
        <v>281909.34729163145</v>
      </c>
      <c r="E123" s="411">
        <f t="shared" si="24"/>
        <v>173586.70289429705</v>
      </c>
      <c r="F123" s="411">
        <f t="shared" si="24"/>
        <v>354.37081797555879</v>
      </c>
      <c r="G123" s="411">
        <f t="shared" si="24"/>
        <v>4103.4535347280807</v>
      </c>
      <c r="H123" s="411">
        <f t="shared" si="24"/>
        <v>713.34611607771512</v>
      </c>
      <c r="I123" s="411">
        <f t="shared" si="24"/>
        <v>4141.8065447986091</v>
      </c>
      <c r="J123" s="411">
        <f t="shared" si="24"/>
        <v>592.92858664278401</v>
      </c>
      <c r="K123" s="411">
        <f t="shared" si="22"/>
        <v>1449.3105115051812</v>
      </c>
      <c r="L123" s="411"/>
    </row>
    <row r="124" spans="2:12">
      <c r="B124" s="409">
        <f t="shared" si="19"/>
        <v>81632</v>
      </c>
      <c r="C124" s="409">
        <f t="shared" si="20"/>
        <v>81815</v>
      </c>
      <c r="D124" s="411">
        <f t="shared" si="24"/>
        <v>316813.64428474061</v>
      </c>
      <c r="E124" s="411">
        <f t="shared" si="24"/>
        <v>194573.14496480004</v>
      </c>
      <c r="F124" s="411">
        <f t="shared" si="24"/>
        <v>374.93762570016469</v>
      </c>
      <c r="G124" s="411">
        <f t="shared" si="24"/>
        <v>4427.7915274436418</v>
      </c>
      <c r="H124" s="411">
        <f t="shared" si="24"/>
        <v>754.8250515132579</v>
      </c>
      <c r="I124" s="411">
        <f t="shared" si="24"/>
        <v>4490.048582168416</v>
      </c>
      <c r="J124" s="411">
        <f t="shared" si="24"/>
        <v>626.1873932481991</v>
      </c>
      <c r="K124" s="411">
        <f t="shared" si="22"/>
        <v>1544.9012185557235</v>
      </c>
      <c r="L124" s="411"/>
    </row>
    <row r="125" spans="2:12">
      <c r="B125" s="409">
        <f t="shared" si="19"/>
        <v>81998</v>
      </c>
      <c r="C125" s="409">
        <f t="shared" si="20"/>
        <v>82181</v>
      </c>
      <c r="D125" s="411">
        <f t="shared" si="24"/>
        <v>356039.57857114193</v>
      </c>
      <c r="E125" s="411">
        <f t="shared" si="24"/>
        <v>218096.8248734269</v>
      </c>
      <c r="F125" s="411">
        <f t="shared" si="24"/>
        <v>396.6980801883426</v>
      </c>
      <c r="G125" s="411">
        <f t="shared" si="24"/>
        <v>4777.7652761458321</v>
      </c>
      <c r="H125" s="411">
        <f t="shared" si="24"/>
        <v>798.71586253918872</v>
      </c>
      <c r="I125" s="411">
        <f t="shared" si="24"/>
        <v>4867.5707211749768</v>
      </c>
      <c r="J125" s="411">
        <f t="shared" si="24"/>
        <v>661.31176721153076</v>
      </c>
      <c r="K125" s="411">
        <f t="shared" si="22"/>
        <v>1646.7967051561861</v>
      </c>
      <c r="L125" s="411"/>
    </row>
    <row r="126" spans="2:12">
      <c r="B126" s="409">
        <f t="shared" si="19"/>
        <v>82363</v>
      </c>
      <c r="C126" s="409">
        <f t="shared" si="20"/>
        <v>82546</v>
      </c>
      <c r="D126" s="411">
        <f t="shared" si="24"/>
        <v>400122.22893779573</v>
      </c>
      <c r="E126" s="411">
        <f t="shared" si="24"/>
        <v>244464.49189314066</v>
      </c>
      <c r="F126" s="411">
        <f t="shared" si="24"/>
        <v>419.72145775245298</v>
      </c>
      <c r="G126" s="411">
        <f t="shared" si="24"/>
        <v>5155.4010373934452</v>
      </c>
      <c r="H126" s="411">
        <f t="shared" si="24"/>
        <v>845.15879248148565</v>
      </c>
      <c r="I126" s="411">
        <f t="shared" si="24"/>
        <v>5276.8348252921378</v>
      </c>
      <c r="J126" s="411">
        <f t="shared" si="24"/>
        <v>698.40635274350541</v>
      </c>
      <c r="K126" s="411">
        <f t="shared" si="22"/>
        <v>1755.412809272409</v>
      </c>
      <c r="L126" s="411"/>
    </row>
    <row r="127" spans="2:12">
      <c r="B127" s="409">
        <f t="shared" si="19"/>
        <v>82728</v>
      </c>
      <c r="C127" s="409">
        <f t="shared" si="20"/>
        <v>82911</v>
      </c>
      <c r="D127" s="411">
        <f t="shared" si="24"/>
        <v>449662.9243654717</v>
      </c>
      <c r="E127" s="411">
        <f t="shared" si="24"/>
        <v>274019.98094770522</v>
      </c>
      <c r="F127" s="411">
        <f t="shared" si="24"/>
        <v>444.08105533105879</v>
      </c>
      <c r="G127" s="411">
        <f t="shared" si="24"/>
        <v>5562.8852235699833</v>
      </c>
      <c r="H127" s="411">
        <f t="shared" si="24"/>
        <v>894.30223939457107</v>
      </c>
      <c r="I127" s="411">
        <f t="shared" si="24"/>
        <v>5720.5097508464014</v>
      </c>
      <c r="J127" s="411">
        <f t="shared" si="24"/>
        <v>737.58166380315515</v>
      </c>
      <c r="K127" s="411">
        <f t="shared" si="22"/>
        <v>1871.1927958742162</v>
      </c>
      <c r="L127" s="411"/>
    </row>
    <row r="128" spans="2:12">
      <c r="B128" s="409">
        <f t="shared" si="19"/>
        <v>83093</v>
      </c>
      <c r="C128" s="409">
        <f t="shared" si="20"/>
        <v>83276</v>
      </c>
      <c r="D128" s="411">
        <f t="shared" si="24"/>
        <v>505337.4467239161</v>
      </c>
      <c r="E128" s="411">
        <f t="shared" si="24"/>
        <v>307148.6962262087</v>
      </c>
      <c r="F128" s="411">
        <f t="shared" si="24"/>
        <v>469.85442383614793</v>
      </c>
      <c r="G128" s="411">
        <f t="shared" si="24"/>
        <v>6002.5770616400605</v>
      </c>
      <c r="H128" s="411">
        <f t="shared" si="24"/>
        <v>946.30323023429344</v>
      </c>
      <c r="I128" s="411">
        <f t="shared" si="24"/>
        <v>6201.4887509231576</v>
      </c>
      <c r="J128" s="411">
        <f t="shared" si="24"/>
        <v>778.95441334627742</v>
      </c>
      <c r="K128" s="411">
        <f t="shared" si="22"/>
        <v>1994.6091659105678</v>
      </c>
      <c r="L128" s="411"/>
    </row>
    <row r="129" spans="2:12">
      <c r="B129" s="409">
        <f t="shared" si="19"/>
        <v>83459</v>
      </c>
      <c r="C129" s="409">
        <f t="shared" si="20"/>
        <v>83642</v>
      </c>
      <c r="D129" s="411">
        <f t="shared" si="24"/>
        <v>567905.24907473463</v>
      </c>
      <c r="E129" s="411">
        <f t="shared" si="24"/>
        <v>344282.6368616675</v>
      </c>
      <c r="F129" s="411">
        <f t="shared" si="24"/>
        <v>497.12361504325241</v>
      </c>
      <c r="G129" s="411">
        <f t="shared" si="24"/>
        <v>6477.0222524570727</v>
      </c>
      <c r="H129" s="411">
        <f t="shared" si="24"/>
        <v>1001.3279226026439</v>
      </c>
      <c r="I129" s="411">
        <f t="shared" si="24"/>
        <v>6722.9083425889075</v>
      </c>
      <c r="J129" s="411">
        <f t="shared" si="24"/>
        <v>822.64786104224152</v>
      </c>
      <c r="K129" s="411">
        <f t="shared" si="22"/>
        <v>2126.1655845974556</v>
      </c>
      <c r="L129" s="411"/>
    </row>
    <row r="130" spans="2:12">
      <c r="B130" s="409">
        <f t="shared" si="19"/>
        <v>83824</v>
      </c>
      <c r="C130" s="409">
        <f t="shared" si="20"/>
        <v>84007</v>
      </c>
      <c r="D130" s="411">
        <f t="shared" si="24"/>
        <v>638219.8153283475</v>
      </c>
      <c r="E130" s="411">
        <f t="shared" si="24"/>
        <v>385906.0302086632</v>
      </c>
      <c r="F130" s="411">
        <f t="shared" si="24"/>
        <v>525.97544281046078</v>
      </c>
      <c r="G130" s="411">
        <f t="shared" si="24"/>
        <v>6988.9677097059648</v>
      </c>
      <c r="H130" s="411">
        <f t="shared" si="24"/>
        <v>1059.5521356674226</v>
      </c>
      <c r="I130" s="411">
        <f t="shared" si="24"/>
        <v>7288.1687604647195</v>
      </c>
      <c r="J130" s="411">
        <f t="shared" si="24"/>
        <v>868.79218049507597</v>
      </c>
      <c r="K130" s="411">
        <f t="shared" si="22"/>
        <v>2266.3989368879343</v>
      </c>
      <c r="L130" s="411"/>
    </row>
    <row r="131" spans="2:12">
      <c r="B131" s="409">
        <f t="shared" si="19"/>
        <v>84189</v>
      </c>
      <c r="C131" s="409">
        <f t="shared" si="20"/>
        <v>84372</v>
      </c>
      <c r="D131" s="411">
        <f t="shared" si="24"/>
        <v>717240.30257052137</v>
      </c>
      <c r="E131" s="411">
        <f t="shared" si="24"/>
        <v>432561.64617807028</v>
      </c>
      <c r="F131" s="411">
        <f t="shared" si="24"/>
        <v>556.50175945793728</v>
      </c>
      <c r="G131" s="411">
        <f t="shared" si="24"/>
        <v>7541.3774638157101</v>
      </c>
      <c r="H131" s="411">
        <f t="shared" si="24"/>
        <v>1121.1619119532902</v>
      </c>
      <c r="I131" s="411">
        <f t="shared" si="24"/>
        <v>7900.9561300309206</v>
      </c>
      <c r="J131" s="411">
        <f t="shared" si="24"/>
        <v>917.52484706288078</v>
      </c>
      <c r="K131" s="411">
        <f t="shared" si="22"/>
        <v>2415.8815185127073</v>
      </c>
      <c r="L131" s="411"/>
    </row>
    <row r="132" spans="2:12">
      <c r="B132" s="409">
        <f t="shared" si="19"/>
        <v>84554</v>
      </c>
      <c r="C132" s="409">
        <f t="shared" si="20"/>
        <v>84737</v>
      </c>
      <c r="D132" s="411">
        <f t="shared" si="24"/>
        <v>806044.62487080612</v>
      </c>
      <c r="E132" s="411">
        <f t="shared" si="24"/>
        <v>484857.87496792956</v>
      </c>
      <c r="F132" s="411">
        <f t="shared" si="24"/>
        <v>588.79974818782659</v>
      </c>
      <c r="G132" s="411">
        <f t="shared" si="24"/>
        <v>8137.4498229210121</v>
      </c>
      <c r="H132" s="411">
        <f t="shared" si="24"/>
        <v>1186.3541117992818</v>
      </c>
      <c r="I132" s="411">
        <f t="shared" si="24"/>
        <v>8565.2665052575885</v>
      </c>
      <c r="J132" s="411">
        <f t="shared" si="24"/>
        <v>968.99104743097325</v>
      </c>
      <c r="K132" s="411">
        <f t="shared" si="22"/>
        <v>2575.2233715329608</v>
      </c>
      <c r="L132" s="411"/>
    </row>
    <row r="133" spans="2:12">
      <c r="B133" s="409">
        <f t="shared" si="19"/>
        <v>84920</v>
      </c>
      <c r="C133" s="409">
        <f t="shared" si="20"/>
        <v>85103</v>
      </c>
      <c r="D133" s="411">
        <f t="shared" si="24"/>
        <v>905844.15704837954</v>
      </c>
      <c r="E133" s="411">
        <f t="shared" si="24"/>
        <v>543476.66048422467</v>
      </c>
      <c r="F133" s="411">
        <f t="shared" si="24"/>
        <v>622.97223247548766</v>
      </c>
      <c r="G133" s="411">
        <f t="shared" si="24"/>
        <v>8780.635890230702</v>
      </c>
      <c r="H133" s="411">
        <f t="shared" si="24"/>
        <v>1255.3370423822419</v>
      </c>
      <c r="I133" s="411">
        <f t="shared" si="24"/>
        <v>9285.4319273128822</v>
      </c>
      <c r="J133" s="411">
        <f t="shared" si="24"/>
        <v>1023.3441121589876</v>
      </c>
      <c r="K133" s="411">
        <f t="shared" si="22"/>
        <v>2745.074773936894</v>
      </c>
      <c r="L133" s="411"/>
    </row>
    <row r="134" spans="2:12">
      <c r="B134" s="409">
        <f t="shared" si="19"/>
        <v>85285</v>
      </c>
      <c r="C134" s="409">
        <f t="shared" si="20"/>
        <v>85468</v>
      </c>
      <c r="D134" s="411">
        <f t="shared" si="24"/>
        <v>1018000.2589685512</v>
      </c>
      <c r="E134" s="411">
        <f t="shared" si="24"/>
        <v>609182.39290353272</v>
      </c>
      <c r="F134" s="411">
        <f t="shared" si="24"/>
        <v>659.12800341703144</v>
      </c>
      <c r="G134" s="411">
        <f t="shared" si="24"/>
        <v>9474.6595450135646</v>
      </c>
      <c r="H134" s="411">
        <f t="shared" si="24"/>
        <v>1328.3311233160834</v>
      </c>
      <c r="I134" s="411">
        <f t="shared" si="24"/>
        <v>10066.148674280919</v>
      </c>
      <c r="J134" s="411">
        <f t="shared" si="24"/>
        <v>1080.7459724905941</v>
      </c>
      <c r="K134" s="411">
        <f t="shared" si="22"/>
        <v>2926.1288934400468</v>
      </c>
      <c r="L134" s="411"/>
    </row>
    <row r="135" spans="2:12">
      <c r="B135" s="409">
        <f t="shared" si="19"/>
        <v>85650</v>
      </c>
      <c r="C135" s="409">
        <f t="shared" si="20"/>
        <v>85833</v>
      </c>
      <c r="D135" s="411">
        <f t="shared" si="24"/>
        <v>1144042.8457769353</v>
      </c>
      <c r="E135" s="411">
        <f t="shared" si="24"/>
        <v>682831.87633675023</v>
      </c>
      <c r="F135" s="411">
        <f t="shared" si="24"/>
        <v>697.38216607530205</v>
      </c>
      <c r="G135" s="411">
        <f t="shared" si="24"/>
        <v>10223.539002886277</v>
      </c>
      <c r="H135" s="411">
        <f t="shared" si="24"/>
        <v>1405.5695909536464</v>
      </c>
      <c r="I135" s="411">
        <f t="shared" si="24"/>
        <v>10912.507886108719</v>
      </c>
      <c r="J135" s="411">
        <f t="shared" si="24"/>
        <v>1141.3676427867861</v>
      </c>
      <c r="K135" s="411">
        <f t="shared" si="22"/>
        <v>3119.1246163196533</v>
      </c>
      <c r="L135" s="411"/>
    </row>
    <row r="136" spans="2:12">
      <c r="B136" s="409">
        <f t="shared" si="19"/>
        <v>86015</v>
      </c>
      <c r="C136" s="409">
        <f t="shared" si="20"/>
        <v>86198</v>
      </c>
      <c r="D136" s="411">
        <f t="shared" si="24"/>
        <v>1285691.2573868237</v>
      </c>
      <c r="E136" s="411">
        <f t="shared" si="24"/>
        <v>765385.50157243561</v>
      </c>
      <c r="F136" s="411">
        <f t="shared" si="24"/>
        <v>737.85650592692366</v>
      </c>
      <c r="G136" s="411">
        <f t="shared" si="24"/>
        <v>11031.610080231891</v>
      </c>
      <c r="H136" s="411">
        <f t="shared" si="24"/>
        <v>1487.2992436415948</v>
      </c>
      <c r="I136" s="411">
        <f t="shared" si="24"/>
        <v>11830.028764490877</v>
      </c>
      <c r="J136" s="411">
        <f t="shared" si="24"/>
        <v>1205.3897300200229</v>
      </c>
      <c r="K136" s="411">
        <f t="shared" si="22"/>
        <v>3324.8495628275577</v>
      </c>
      <c r="L136" s="411"/>
    </row>
    <row r="137" spans="2:12">
      <c r="B137" s="409">
        <f t="shared" si="19"/>
        <v>86381</v>
      </c>
      <c r="C137" s="409">
        <f t="shared" si="20"/>
        <v>86564</v>
      </c>
      <c r="D137" s="411">
        <f t="shared" ref="D137:J152" si="25">D136*(1+D$11)</f>
        <v>1444877.7118992733</v>
      </c>
      <c r="E137" s="411">
        <f t="shared" si="25"/>
        <v>857919.7695925727</v>
      </c>
      <c r="F137" s="411">
        <f t="shared" si="25"/>
        <v>780.67987657702952</v>
      </c>
      <c r="G137" s="411">
        <f t="shared" si="25"/>
        <v>11903.551297443762</v>
      </c>
      <c r="H137" s="411">
        <f t="shared" si="25"/>
        <v>1573.7812303096491</v>
      </c>
      <c r="I137" s="411">
        <f t="shared" si="25"/>
        <v>12824.694564192065</v>
      </c>
      <c r="J137" s="411">
        <f t="shared" si="25"/>
        <v>1273.0029718471401</v>
      </c>
      <c r="K137" s="411">
        <f t="shared" si="22"/>
        <v>3544.1433014876711</v>
      </c>
      <c r="L137" s="411"/>
    </row>
    <row r="138" spans="2:12">
      <c r="B138" s="409">
        <f t="shared" si="19"/>
        <v>86746</v>
      </c>
      <c r="C138" s="409">
        <f t="shared" si="20"/>
        <v>86929</v>
      </c>
      <c r="D138" s="411">
        <f t="shared" si="25"/>
        <v>1623773.6628827099</v>
      </c>
      <c r="E138" s="411">
        <f t="shared" si="25"/>
        <v>961641.32916765998</v>
      </c>
      <c r="F138" s="411">
        <f t="shared" si="25"/>
        <v>825.98860997599752</v>
      </c>
      <c r="G138" s="411">
        <f t="shared" si="25"/>
        <v>12844.410966336165</v>
      </c>
      <c r="H138" s="411">
        <f t="shared" si="25"/>
        <v>1665.291884913916</v>
      </c>
      <c r="I138" s="411">
        <f t="shared" si="25"/>
        <v>13902.99161051075</v>
      </c>
      <c r="J138" s="411">
        <f t="shared" si="25"/>
        <v>1344.4088048640763</v>
      </c>
      <c r="K138" s="411">
        <f t="shared" si="22"/>
        <v>3777.900775395593</v>
      </c>
      <c r="L138" s="411"/>
    </row>
    <row r="139" spans="2:12">
      <c r="B139" s="409">
        <f t="shared" si="19"/>
        <v>87111</v>
      </c>
      <c r="C139" s="409">
        <f t="shared" si="20"/>
        <v>87294</v>
      </c>
      <c r="D139" s="411">
        <f t="shared" si="25"/>
        <v>1824819.4200502278</v>
      </c>
      <c r="E139" s="411">
        <f t="shared" si="25"/>
        <v>1077902.711581656</v>
      </c>
      <c r="F139" s="411">
        <f t="shared" si="25"/>
        <v>873.92695044415223</v>
      </c>
      <c r="G139" s="411">
        <f t="shared" si="25"/>
        <v>13859.636418550594</v>
      </c>
      <c r="H139" s="411">
        <f t="shared" si="25"/>
        <v>1762.1236094005919</v>
      </c>
      <c r="I139" s="411">
        <f t="shared" si="25"/>
        <v>15071.951597321293</v>
      </c>
      <c r="J139" s="411">
        <f t="shared" si="25"/>
        <v>1419.8199647353906</v>
      </c>
      <c r="K139" s="411">
        <f t="shared" si="22"/>
        <v>4027.0759545032106</v>
      </c>
      <c r="L139" s="411"/>
    </row>
    <row r="140" spans="2:12">
      <c r="B140" s="409">
        <f t="shared" si="19"/>
        <v>87476</v>
      </c>
      <c r="C140" s="409">
        <f t="shared" si="20"/>
        <v>87659</v>
      </c>
      <c r="D140" s="411">
        <f t="shared" si="25"/>
        <v>2050757.4373886019</v>
      </c>
      <c r="E140" s="411">
        <f t="shared" si="25"/>
        <v>1208219.967667921</v>
      </c>
      <c r="F140" s="411">
        <f t="shared" si="25"/>
        <v>924.6475138861897</v>
      </c>
      <c r="G140" s="411">
        <f t="shared" si="25"/>
        <v>14955.105544182612</v>
      </c>
      <c r="H140" s="411">
        <f t="shared" si="25"/>
        <v>1864.5858080113571</v>
      </c>
      <c r="I140" s="411">
        <f t="shared" si="25"/>
        <v>16339.197441524646</v>
      </c>
      <c r="J140" s="411">
        <f t="shared" si="25"/>
        <v>1499.4611199865046</v>
      </c>
      <c r="K140" s="411">
        <f t="shared" si="22"/>
        <v>4292.6857287933371</v>
      </c>
      <c r="L140" s="411"/>
    </row>
    <row r="141" spans="2:12">
      <c r="B141" s="409">
        <f t="shared" si="19"/>
        <v>87842</v>
      </c>
      <c r="C141" s="409">
        <f t="shared" si="20"/>
        <v>88025</v>
      </c>
      <c r="D141" s="411">
        <f t="shared" si="25"/>
        <v>2304669.7228205227</v>
      </c>
      <c r="E141" s="411">
        <f t="shared" si="25"/>
        <v>1354292.4371434667</v>
      </c>
      <c r="F141" s="411">
        <f t="shared" si="25"/>
        <v>978.31177365727422</v>
      </c>
      <c r="G141" s="411">
        <f t="shared" si="25"/>
        <v>16137.160823229648</v>
      </c>
      <c r="H141" s="411">
        <f t="shared" si="25"/>
        <v>1973.0058759158226</v>
      </c>
      <c r="I141" s="411">
        <f t="shared" si="25"/>
        <v>17712.992992929558</v>
      </c>
      <c r="J141" s="411">
        <f t="shared" si="25"/>
        <v>1583.569541346892</v>
      </c>
      <c r="K141" s="411">
        <f t="shared" si="22"/>
        <v>4575.8140582325323</v>
      </c>
      <c r="L141" s="411"/>
    </row>
    <row r="142" spans="2:12">
      <c r="B142" s="409">
        <f t="shared" si="19"/>
        <v>88207</v>
      </c>
      <c r="C142" s="409">
        <f t="shared" si="20"/>
        <v>88390</v>
      </c>
      <c r="D142" s="411">
        <f t="shared" si="25"/>
        <v>2590019.8797031785</v>
      </c>
      <c r="E142" s="411">
        <f t="shared" si="25"/>
        <v>1518024.9080340434</v>
      </c>
      <c r="F142" s="411">
        <f t="shared" si="25"/>
        <v>1035.0905746276042</v>
      </c>
      <c r="G142" s="411">
        <f t="shared" si="25"/>
        <v>17412.646046892922</v>
      </c>
      <c r="H142" s="411">
        <f t="shared" si="25"/>
        <v>2087.7302453299867</v>
      </c>
      <c r="I142" s="411">
        <f t="shared" si="25"/>
        <v>19202.29692372791</v>
      </c>
      <c r="J142" s="411">
        <f t="shared" si="25"/>
        <v>1672.3958086383564</v>
      </c>
      <c r="K142" s="411">
        <f t="shared" si="22"/>
        <v>4877.6163964381603</v>
      </c>
      <c r="L142" s="411"/>
    </row>
    <row r="143" spans="2:12">
      <c r="B143" s="409">
        <f t="shared" si="19"/>
        <v>88572</v>
      </c>
      <c r="C143" s="409">
        <f t="shared" si="20"/>
        <v>88755</v>
      </c>
      <c r="D143" s="411">
        <f t="shared" si="25"/>
        <v>2910700.3536489257</v>
      </c>
      <c r="E143" s="411">
        <f t="shared" si="25"/>
        <v>1701552.4551494264</v>
      </c>
      <c r="F143" s="411">
        <f t="shared" si="25"/>
        <v>1095.1646770820169</v>
      </c>
      <c r="G143" s="411">
        <f t="shared" si="25"/>
        <v>18788.945941340258</v>
      </c>
      <c r="H143" s="411">
        <f t="shared" si="25"/>
        <v>2209.1254924633408</v>
      </c>
      <c r="I143" s="411">
        <f t="shared" si="25"/>
        <v>20816.821148983374</v>
      </c>
      <c r="J143" s="411">
        <f t="shared" si="25"/>
        <v>1766.2045573143919</v>
      </c>
      <c r="K143" s="411">
        <f t="shared" si="22"/>
        <v>5199.3244061127834</v>
      </c>
      <c r="L143" s="411"/>
    </row>
    <row r="144" spans="2:12">
      <c r="B144" s="409">
        <f t="shared" si="19"/>
        <v>88937</v>
      </c>
      <c r="C144" s="409">
        <f t="shared" si="20"/>
        <v>89120</v>
      </c>
      <c r="D144" s="411">
        <f t="shared" si="25"/>
        <v>3271085.529159301</v>
      </c>
      <c r="E144" s="411">
        <f t="shared" si="25"/>
        <v>1907268.2815031323</v>
      </c>
      <c r="F144" s="411">
        <f t="shared" si="25"/>
        <v>1158.7253321861836</v>
      </c>
      <c r="G144" s="411">
        <f t="shared" si="25"/>
        <v>20274.028923341008</v>
      </c>
      <c r="H144" s="411">
        <f t="shared" si="25"/>
        <v>2337.5795088316249</v>
      </c>
      <c r="I144" s="411">
        <f t="shared" si="25"/>
        <v>22567.09415909987</v>
      </c>
      <c r="J144" s="411">
        <f t="shared" si="25"/>
        <v>1865.2752668747521</v>
      </c>
      <c r="K144" s="411">
        <f t="shared" si="22"/>
        <v>5542.2509854896862</v>
      </c>
      <c r="L144" s="411"/>
    </row>
    <row r="145" spans="2:12">
      <c r="B145" s="409">
        <f t="shared" si="19"/>
        <v>89303</v>
      </c>
      <c r="C145" s="409">
        <f t="shared" si="20"/>
        <v>89486</v>
      </c>
      <c r="D145" s="411">
        <f t="shared" si="25"/>
        <v>3676091.4003606038</v>
      </c>
      <c r="E145" s="411">
        <f t="shared" si="25"/>
        <v>2137854.9257292571</v>
      </c>
      <c r="F145" s="411">
        <f t="shared" si="25"/>
        <v>1225.974890851443</v>
      </c>
      <c r="G145" s="411">
        <f t="shared" si="25"/>
        <v>21876.493235317041</v>
      </c>
      <c r="H145" s="411">
        <f t="shared" si="25"/>
        <v>2473.5027406779054</v>
      </c>
      <c r="I145" s="411">
        <f t="shared" si="25"/>
        <v>24464.529677267787</v>
      </c>
      <c r="J145" s="411">
        <f t="shared" si="25"/>
        <v>1969.9030935041098</v>
      </c>
      <c r="K145" s="411">
        <f t="shared" si="22"/>
        <v>5907.7956263025872</v>
      </c>
      <c r="L145" s="411"/>
    </row>
    <row r="146" spans="2:12">
      <c r="B146" s="409">
        <f t="shared" si="19"/>
        <v>89668</v>
      </c>
      <c r="C146" s="409">
        <f t="shared" si="20"/>
        <v>89851</v>
      </c>
      <c r="D146" s="411">
        <f t="shared" si="25"/>
        <v>4131242.6298062336</v>
      </c>
      <c r="E146" s="411">
        <f t="shared" si="25"/>
        <v>2396319.2424417934</v>
      </c>
      <c r="F146" s="411">
        <f t="shared" si="25"/>
        <v>1297.1274479366468</v>
      </c>
      <c r="G146" s="411">
        <f t="shared" si="25"/>
        <v>23605.616726919696</v>
      </c>
      <c r="H146" s="411">
        <f t="shared" si="25"/>
        <v>2617.3295004622673</v>
      </c>
      <c r="I146" s="411">
        <f t="shared" si="25"/>
        <v>26521.501089610778</v>
      </c>
      <c r="J146" s="411">
        <f t="shared" si="25"/>
        <v>2080.3997494154451</v>
      </c>
      <c r="K146" s="411">
        <f t="shared" si="22"/>
        <v>6297.4501251455331</v>
      </c>
      <c r="L146" s="411"/>
    </row>
    <row r="147" spans="2:12">
      <c r="B147" s="409">
        <f t="shared" si="19"/>
        <v>90033</v>
      </c>
      <c r="C147" s="409">
        <f t="shared" si="20"/>
        <v>90216</v>
      </c>
      <c r="D147" s="411">
        <f t="shared" si="25"/>
        <v>4642747.9100911729</v>
      </c>
      <c r="E147" s="411">
        <f t="shared" si="25"/>
        <v>2686031.6116810418</v>
      </c>
      <c r="F147" s="411">
        <f t="shared" si="25"/>
        <v>1372.4095238378902</v>
      </c>
      <c r="G147" s="411">
        <f t="shared" si="25"/>
        <v>25471.410571355016</v>
      </c>
      <c r="H147" s="411">
        <f t="shared" si="25"/>
        <v>2769.5193546106966</v>
      </c>
      <c r="I147" s="411">
        <f t="shared" si="25"/>
        <v>28751.422133400309</v>
      </c>
      <c r="J147" s="411">
        <f t="shared" si="25"/>
        <v>2197.0944315179418</v>
      </c>
      <c r="K147" s="411">
        <f t="shared" si="22"/>
        <v>6712.8046715311821</v>
      </c>
      <c r="L147" s="411"/>
    </row>
    <row r="148" spans="2:12">
      <c r="B148" s="409">
        <f t="shared" si="19"/>
        <v>90398</v>
      </c>
      <c r="C148" s="409">
        <f t="shared" si="20"/>
        <v>90581</v>
      </c>
      <c r="D148" s="411">
        <f t="shared" si="25"/>
        <v>5217584.6562822051</v>
      </c>
      <c r="E148" s="411">
        <f t="shared" si="25"/>
        <v>3010769.8887391053</v>
      </c>
      <c r="F148" s="411">
        <f t="shared" si="25"/>
        <v>1452.0607856360289</v>
      </c>
      <c r="G148" s="411">
        <f t="shared" si="25"/>
        <v>27484.677227460739</v>
      </c>
      <c r="H148" s="411">
        <f t="shared" si="25"/>
        <v>2930.5585919573932</v>
      </c>
      <c r="I148" s="411">
        <f t="shared" si="25"/>
        <v>31168.834369514669</v>
      </c>
      <c r="J148" s="411">
        <f t="shared" si="25"/>
        <v>2320.3348021761253</v>
      </c>
      <c r="K148" s="411">
        <f t="shared" si="22"/>
        <v>7155.5543374929848</v>
      </c>
      <c r="L148" s="411"/>
    </row>
    <row r="149" spans="2:12">
      <c r="B149" s="409">
        <f t="shared" si="19"/>
        <v>90764</v>
      </c>
      <c r="C149" s="409">
        <f t="shared" si="20"/>
        <v>90947</v>
      </c>
      <c r="D149" s="411">
        <f t="shared" si="25"/>
        <v>5863594.1844486007</v>
      </c>
      <c r="E149" s="411">
        <f t="shared" si="25"/>
        <v>3374768.6674711015</v>
      </c>
      <c r="F149" s="411">
        <f t="shared" si="25"/>
        <v>1536.3348100978176</v>
      </c>
      <c r="G149" s="411">
        <f t="shared" si="25"/>
        <v>29657.07298312035</v>
      </c>
      <c r="H149" s="411">
        <f t="shared" si="25"/>
        <v>3100.9617775725974</v>
      </c>
      <c r="I149" s="411">
        <f t="shared" si="25"/>
        <v>33789.502009560041</v>
      </c>
      <c r="J149" s="411">
        <f t="shared" si="25"/>
        <v>2450.4880249821672</v>
      </c>
      <c r="K149" s="411">
        <f t="shared" si="22"/>
        <v>7627.5059952154943</v>
      </c>
      <c r="L149" s="411"/>
    </row>
    <row r="150" spans="2:12">
      <c r="B150" s="409">
        <f t="shared" ref="B150:B170" si="26">DATE(YEAR(B149)+1,7,1)</f>
        <v>91129</v>
      </c>
      <c r="C150" s="409">
        <f t="shared" ref="C150:C170" si="27">DATE(YEAR(C149)+1,12,31)</f>
        <v>91312</v>
      </c>
      <c r="D150" s="411">
        <f t="shared" si="25"/>
        <v>6589588.6746183038</v>
      </c>
      <c r="E150" s="411">
        <f t="shared" si="25"/>
        <v>3782774.4994866922</v>
      </c>
      <c r="F150" s="411">
        <f t="shared" si="25"/>
        <v>1625.4998909597523</v>
      </c>
      <c r="G150" s="411">
        <f t="shared" si="25"/>
        <v>32001.175442124204</v>
      </c>
      <c r="H150" s="411">
        <f t="shared" si="25"/>
        <v>3281.2733969408409</v>
      </c>
      <c r="I150" s="411">
        <f t="shared" si="25"/>
        <v>36630.514716031714</v>
      </c>
      <c r="J150" s="411">
        <f t="shared" si="25"/>
        <v>2587.9418586271759</v>
      </c>
      <c r="K150" s="411">
        <f t="shared" si="22"/>
        <v>8130.5856909238155</v>
      </c>
      <c r="L150" s="411"/>
    </row>
    <row r="151" spans="2:12">
      <c r="B151" s="409">
        <f t="shared" si="26"/>
        <v>91494</v>
      </c>
      <c r="C151" s="409">
        <f t="shared" si="27"/>
        <v>91677</v>
      </c>
      <c r="D151" s="411">
        <f t="shared" si="25"/>
        <v>7405471.3772353576</v>
      </c>
      <c r="E151" s="411">
        <f t="shared" si="25"/>
        <v>4240107.789281331</v>
      </c>
      <c r="F151" s="411">
        <f t="shared" si="25"/>
        <v>1719.839893064674</v>
      </c>
      <c r="G151" s="411">
        <f t="shared" si="25"/>
        <v>34530.556345209014</v>
      </c>
      <c r="H151" s="411">
        <f t="shared" si="25"/>
        <v>3472.0695957432267</v>
      </c>
      <c r="I151" s="411">
        <f t="shared" si="25"/>
        <v>39710.399045886588</v>
      </c>
      <c r="J151" s="411">
        <f t="shared" si="25"/>
        <v>2733.1058121303899</v>
      </c>
      <c r="K151" s="411">
        <f t="shared" si="22"/>
        <v>8666.8465051252242</v>
      </c>
      <c r="L151" s="411"/>
    </row>
    <row r="152" spans="2:12">
      <c r="B152" s="409">
        <f t="shared" si="26"/>
        <v>91859</v>
      </c>
      <c r="C152" s="409">
        <f t="shared" si="27"/>
        <v>92042</v>
      </c>
      <c r="D152" s="411">
        <f t="shared" si="25"/>
        <v>8322371.702848169</v>
      </c>
      <c r="E152" s="411">
        <f t="shared" si="25"/>
        <v>4752732.1724210177</v>
      </c>
      <c r="F152" s="411">
        <f t="shared" si="25"/>
        <v>1819.6551560703526</v>
      </c>
      <c r="G152" s="411">
        <f t="shared" si="25"/>
        <v>37259.860146890496</v>
      </c>
      <c r="H152" s="411">
        <f t="shared" si="25"/>
        <v>3673.9600208028264</v>
      </c>
      <c r="I152" s="411">
        <f t="shared" si="25"/>
        <v>43049.239264262847</v>
      </c>
      <c r="J152" s="411">
        <f t="shared" si="25"/>
        <v>2886.4123648679865</v>
      </c>
      <c r="K152" s="411">
        <f t="shared" si="22"/>
        <v>9238.4769312807857</v>
      </c>
      <c r="L152" s="411"/>
    </row>
    <row r="153" spans="2:12">
      <c r="B153" s="409">
        <f t="shared" si="26"/>
        <v>92225</v>
      </c>
      <c r="C153" s="409">
        <f t="shared" si="27"/>
        <v>92408</v>
      </c>
      <c r="D153" s="411">
        <f t="shared" ref="D153:J168" si="28">D152*(1+D$11)</f>
        <v>9352797.0377795286</v>
      </c>
      <c r="E153" s="411">
        <f t="shared" si="28"/>
        <v>5327332.2814735323</v>
      </c>
      <c r="F153" s="411">
        <f t="shared" si="28"/>
        <v>1925.2634506070879</v>
      </c>
      <c r="G153" s="411">
        <f t="shared" si="28"/>
        <v>40204.888803028502</v>
      </c>
      <c r="H153" s="411">
        <f t="shared" si="28"/>
        <v>3887.5897680755288</v>
      </c>
      <c r="I153" s="411">
        <f t="shared" si="28"/>
        <v>46668.808316186332</v>
      </c>
      <c r="J153" s="411">
        <f t="shared" si="28"/>
        <v>3048.3182550362717</v>
      </c>
      <c r="K153" s="411">
        <f t="shared" ref="K153:K170" si="29">K152*(1+K$11)</f>
        <v>9847.8098071005425</v>
      </c>
      <c r="L153" s="411"/>
    </row>
    <row r="154" spans="2:12">
      <c r="B154" s="409">
        <f t="shared" si="26"/>
        <v>92590</v>
      </c>
      <c r="C154" s="409">
        <f t="shared" si="27"/>
        <v>92773</v>
      </c>
      <c r="D154" s="411">
        <f t="shared" si="28"/>
        <v>10510803.35668749</v>
      </c>
      <c r="E154" s="411">
        <f t="shared" si="28"/>
        <v>5971400.9137554923</v>
      </c>
      <c r="F154" s="411">
        <f t="shared" si="28"/>
        <v>2037.000989928337</v>
      </c>
      <c r="G154" s="411">
        <f t="shared" si="28"/>
        <v>43382.693260022483</v>
      </c>
      <c r="H154" s="411">
        <f t="shared" si="28"/>
        <v>4113.6414439107048</v>
      </c>
      <c r="I154" s="411">
        <f t="shared" si="28"/>
        <v>50592.709810344597</v>
      </c>
      <c r="J154" s="411">
        <f t="shared" si="28"/>
        <v>3219.3058403879072</v>
      </c>
      <c r="K154" s="411">
        <f t="shared" si="29"/>
        <v>10497.331834911101</v>
      </c>
      <c r="L154" s="411"/>
    </row>
    <row r="155" spans="2:12">
      <c r="B155" s="409">
        <f t="shared" si="26"/>
        <v>92955</v>
      </c>
      <c r="C155" s="409">
        <f t="shared" si="27"/>
        <v>93138</v>
      </c>
      <c r="D155" s="411">
        <f t="shared" si="28"/>
        <v>11812186.959333573</v>
      </c>
      <c r="E155" s="411">
        <f t="shared" si="28"/>
        <v>6693336.7375644678</v>
      </c>
      <c r="F155" s="411">
        <f t="shared" si="28"/>
        <v>2155.2235002750481</v>
      </c>
      <c r="G155" s="411">
        <f t="shared" si="28"/>
        <v>46811.672175335829</v>
      </c>
      <c r="H155" s="411">
        <f t="shared" si="28"/>
        <v>4352.8373461679985</v>
      </c>
      <c r="I155" s="411">
        <f t="shared" si="28"/>
        <v>54846.531940820401</v>
      </c>
      <c r="J155" s="411">
        <f t="shared" si="28"/>
        <v>3399.8845352951412</v>
      </c>
      <c r="K155" s="411">
        <f t="shared" si="29"/>
        <v>11189.693729948478</v>
      </c>
      <c r="L155" s="411"/>
    </row>
    <row r="156" spans="2:12">
      <c r="B156" s="409">
        <f t="shared" si="26"/>
        <v>93320</v>
      </c>
      <c r="C156" s="409">
        <f t="shared" si="27"/>
        <v>93503</v>
      </c>
      <c r="D156" s="411">
        <f t="shared" si="28"/>
        <v>13274699.947028853</v>
      </c>
      <c r="E156" s="411">
        <f t="shared" si="28"/>
        <v>7502553.8109874409</v>
      </c>
      <c r="F156" s="411">
        <f t="shared" si="28"/>
        <v>2280.3073533612978</v>
      </c>
      <c r="G156" s="411">
        <f t="shared" si="28"/>
        <v>50511.678440915101</v>
      </c>
      <c r="H156" s="411">
        <f t="shared" si="28"/>
        <v>4605.9417721595064</v>
      </c>
      <c r="I156" s="411">
        <f t="shared" si="28"/>
        <v>59458.014350525322</v>
      </c>
      <c r="J156" s="411">
        <f t="shared" si="28"/>
        <v>3590.5923284214091</v>
      </c>
      <c r="K156" s="411">
        <f t="shared" si="29"/>
        <v>11927.721037991616</v>
      </c>
      <c r="L156" s="411"/>
    </row>
    <row r="157" spans="2:12">
      <c r="B157" s="409">
        <f t="shared" si="26"/>
        <v>93686</v>
      </c>
      <c r="C157" s="409">
        <f t="shared" si="27"/>
        <v>93869</v>
      </c>
      <c r="D157" s="411">
        <f t="shared" si="28"/>
        <v>14918292.378060175</v>
      </c>
      <c r="E157" s="411">
        <f t="shared" si="28"/>
        <v>8409604.3414131347</v>
      </c>
      <c r="F157" s="411">
        <f t="shared" si="28"/>
        <v>2412.6507645866018</v>
      </c>
      <c r="G157" s="411">
        <f t="shared" si="28"/>
        <v>54504.134126246972</v>
      </c>
      <c r="H157" s="411">
        <f t="shared" si="28"/>
        <v>4873.7634607918726</v>
      </c>
      <c r="I157" s="411">
        <f t="shared" si="28"/>
        <v>64457.229024468274</v>
      </c>
      <c r="J157" s="411">
        <f t="shared" si="28"/>
        <v>3791.99738552283</v>
      </c>
      <c r="K157" s="411">
        <f t="shared" si="29"/>
        <v>12714.425666483623</v>
      </c>
      <c r="L157" s="411"/>
    </row>
    <row r="158" spans="2:12">
      <c r="B158" s="409">
        <f t="shared" si="26"/>
        <v>94051</v>
      </c>
      <c r="C158" s="409">
        <f t="shared" si="27"/>
        <v>94234</v>
      </c>
      <c r="D158" s="411">
        <f t="shared" si="28"/>
        <v>16765384.405325163</v>
      </c>
      <c r="E158" s="411">
        <f t="shared" si="28"/>
        <v>9426316.2865347993</v>
      </c>
      <c r="F158" s="411">
        <f t="shared" si="28"/>
        <v>2552.6750607895083</v>
      </c>
      <c r="G158" s="411">
        <f t="shared" si="28"/>
        <v>58812.154506543076</v>
      </c>
      <c r="H158" s="411">
        <f t="shared" si="28"/>
        <v>5157.1581767116122</v>
      </c>
      <c r="I158" s="411">
        <f t="shared" si="28"/>
        <v>69876.77639248388</v>
      </c>
      <c r="J158" s="411">
        <f t="shared" si="28"/>
        <v>4004.6997421547326</v>
      </c>
      <c r="K158" s="411">
        <f t="shared" si="29"/>
        <v>13553.018176199499</v>
      </c>
      <c r="L158" s="411"/>
    </row>
    <row r="159" spans="2:12">
      <c r="B159" s="409">
        <f t="shared" si="26"/>
        <v>94416</v>
      </c>
      <c r="C159" s="409">
        <f t="shared" si="27"/>
        <v>94599</v>
      </c>
      <c r="D159" s="411">
        <f t="shared" si="28"/>
        <v>18841172.10839038</v>
      </c>
      <c r="E159" s="411">
        <f t="shared" si="28"/>
        <v>10565947.591163378</v>
      </c>
      <c r="F159" s="411">
        <f t="shared" si="28"/>
        <v>2700.8260215784844</v>
      </c>
      <c r="G159" s="411">
        <f t="shared" si="28"/>
        <v>63460.681894143592</v>
      </c>
      <c r="H159" s="411">
        <f t="shared" si="28"/>
        <v>5457.0314447107303</v>
      </c>
      <c r="I159" s="411">
        <f t="shared" si="28"/>
        <v>75751.997920228183</v>
      </c>
      <c r="J159" s="411">
        <f t="shared" si="28"/>
        <v>4229.3330913262116</v>
      </c>
      <c r="K159" s="411">
        <f t="shared" si="29"/>
        <v>14446.920883622957</v>
      </c>
      <c r="L159" s="411"/>
    </row>
    <row r="160" spans="2:12">
      <c r="B160" s="409">
        <f t="shared" si="26"/>
        <v>94781</v>
      </c>
      <c r="C160" s="409">
        <f t="shared" si="27"/>
        <v>94964</v>
      </c>
      <c r="D160" s="411">
        <f t="shared" si="28"/>
        <v>21173971.191810716</v>
      </c>
      <c r="E160" s="411">
        <f t="shared" si="28"/>
        <v>11843359.071102293</v>
      </c>
      <c r="F160" s="411">
        <f t="shared" si="28"/>
        <v>2857.5752985103341</v>
      </c>
      <c r="G160" s="411">
        <f t="shared" si="28"/>
        <v>68476.630047988408</v>
      </c>
      <c r="H160" s="411">
        <f t="shared" si="28"/>
        <v>5774.3414431298197</v>
      </c>
      <c r="I160" s="411">
        <f t="shared" si="28"/>
        <v>82121.206574771073</v>
      </c>
      <c r="J160" s="411">
        <f t="shared" si="28"/>
        <v>4466.5666714285726</v>
      </c>
      <c r="K160" s="411">
        <f t="shared" si="29"/>
        <v>15399.781827503461</v>
      </c>
      <c r="L160" s="411"/>
    </row>
    <row r="161" spans="2:12">
      <c r="B161" s="409">
        <f t="shared" si="26"/>
        <v>95147</v>
      </c>
      <c r="C161" s="409">
        <f t="shared" si="27"/>
        <v>95330</v>
      </c>
      <c r="D161" s="411">
        <f t="shared" si="28"/>
        <v>23795603.238079648</v>
      </c>
      <c r="E161" s="411">
        <f t="shared" si="28"/>
        <v>13275208.198493145</v>
      </c>
      <c r="F161" s="411">
        <f t="shared" si="28"/>
        <v>3023.4219166342305</v>
      </c>
      <c r="G161" s="411">
        <f t="shared" si="28"/>
        <v>73889.039997248954</v>
      </c>
      <c r="H161" s="411">
        <f t="shared" si="28"/>
        <v>6110.1020655038637</v>
      </c>
      <c r="I161" s="411">
        <f t="shared" si="28"/>
        <v>89025.936667676855</v>
      </c>
      <c r="J161" s="411">
        <f t="shared" si="28"/>
        <v>4717.1072600622801</v>
      </c>
      <c r="K161" s="411">
        <f t="shared" si="29"/>
        <v>16415.489656591322</v>
      </c>
      <c r="L161" s="411"/>
    </row>
    <row r="162" spans="2:12">
      <c r="B162" s="409">
        <f t="shared" si="26"/>
        <v>95512</v>
      </c>
      <c r="C162" s="409">
        <f t="shared" si="27"/>
        <v>95695</v>
      </c>
      <c r="D162" s="411">
        <f t="shared" si="28"/>
        <v>26741829.784065403</v>
      </c>
      <c r="E162" s="411">
        <f t="shared" si="28"/>
        <v>14880166.315597262</v>
      </c>
      <c r="F162" s="411">
        <f t="shared" si="28"/>
        <v>3198.8938631816582</v>
      </c>
      <c r="G162" s="411">
        <f t="shared" si="28"/>
        <v>79729.248181298884</v>
      </c>
      <c r="H162" s="411">
        <f t="shared" si="28"/>
        <v>6465.3861602335537</v>
      </c>
      <c r="I162" s="411">
        <f t="shared" si="28"/>
        <v>96511.214704827347</v>
      </c>
      <c r="J162" s="411">
        <f t="shared" si="28"/>
        <v>4981.7012797025036</v>
      </c>
      <c r="K162" s="411">
        <f t="shared" si="29"/>
        <v>17498.189499308097</v>
      </c>
      <c r="L162" s="411"/>
    </row>
    <row r="163" spans="2:12">
      <c r="B163" s="409">
        <f t="shared" si="26"/>
        <v>95877</v>
      </c>
      <c r="C163" s="409">
        <f t="shared" si="27"/>
        <v>96060</v>
      </c>
      <c r="D163" s="411">
        <f t="shared" si="28"/>
        <v>30052840.1421455</v>
      </c>
      <c r="E163" s="411">
        <f t="shared" si="28"/>
        <v>16679162.109485295</v>
      </c>
      <c r="F163" s="411">
        <f t="shared" si="28"/>
        <v>3384.54976846</v>
      </c>
      <c r="G163" s="411">
        <f t="shared" si="28"/>
        <v>86031.067879509967</v>
      </c>
      <c r="H163" s="411">
        <f t="shared" si="28"/>
        <v>6841.3289586337669</v>
      </c>
      <c r="I163" s="411">
        <f t="shared" si="28"/>
        <v>104625.85300922893</v>
      </c>
      <c r="J163" s="411">
        <f t="shared" si="28"/>
        <v>5261.1370214765684</v>
      </c>
      <c r="K163" s="411">
        <f t="shared" si="29"/>
        <v>18652.299880116752</v>
      </c>
      <c r="L163" s="411"/>
    </row>
    <row r="164" spans="2:12">
      <c r="B164" s="409">
        <f t="shared" si="26"/>
        <v>96242</v>
      </c>
      <c r="C164" s="409">
        <f t="shared" si="27"/>
        <v>96425</v>
      </c>
      <c r="D164" s="411">
        <f t="shared" si="28"/>
        <v>33773799.620380647</v>
      </c>
      <c r="E164" s="411">
        <f t="shared" si="28"/>
        <v>18695654.522549853</v>
      </c>
      <c r="F164" s="411">
        <f t="shared" si="28"/>
        <v>3580.980684301036</v>
      </c>
      <c r="G164" s="411">
        <f t="shared" si="28"/>
        <v>92830.984981304442</v>
      </c>
      <c r="H164" s="411">
        <f t="shared" si="28"/>
        <v>7239.1317023127749</v>
      </c>
      <c r="I164" s="411">
        <f t="shared" si="28"/>
        <v>113422.76803155029</v>
      </c>
      <c r="J164" s="411">
        <f t="shared" si="28"/>
        <v>5556.2469936784937</v>
      </c>
      <c r="K164" s="411">
        <f t="shared" si="29"/>
        <v>19882.530751627775</v>
      </c>
      <c r="L164" s="411"/>
    </row>
    <row r="165" spans="2:12">
      <c r="B165" s="409">
        <f t="shared" si="26"/>
        <v>96608</v>
      </c>
      <c r="C165" s="409">
        <f t="shared" si="27"/>
        <v>96791</v>
      </c>
      <c r="D165" s="411">
        <f t="shared" si="28"/>
        <v>37955465.619968869</v>
      </c>
      <c r="E165" s="411">
        <f t="shared" si="28"/>
        <v>20955938.657599922</v>
      </c>
      <c r="F165" s="411">
        <f t="shared" si="28"/>
        <v>3788.8119657262087</v>
      </c>
      <c r="G165" s="411">
        <f t="shared" si="28"/>
        <v>100168.36922992123</v>
      </c>
      <c r="H165" s="411">
        <f t="shared" si="28"/>
        <v>7660.0654814726659</v>
      </c>
      <c r="I165" s="411">
        <f t="shared" si="28"/>
        <v>122959.32542412901</v>
      </c>
      <c r="J165" s="411">
        <f t="shared" si="28"/>
        <v>5867.9104020174191</v>
      </c>
      <c r="K165" s="411">
        <f t="shared" si="29"/>
        <v>21193.902716030625</v>
      </c>
      <c r="L165" s="411"/>
    </row>
    <row r="166" spans="2:12">
      <c r="B166" s="409">
        <f t="shared" si="26"/>
        <v>96973</v>
      </c>
      <c r="C166" s="409">
        <f t="shared" si="27"/>
        <v>97156</v>
      </c>
      <c r="D166" s="411">
        <f t="shared" si="28"/>
        <v>42654880.01413098</v>
      </c>
      <c r="E166" s="411">
        <f t="shared" si="28"/>
        <v>23489488.666545819</v>
      </c>
      <c r="F166" s="411">
        <f t="shared" si="28"/>
        <v>4008.7052618190924</v>
      </c>
      <c r="G166" s="411">
        <f t="shared" si="28"/>
        <v>108085.70216294217</v>
      </c>
      <c r="H166" s="411">
        <f t="shared" si="28"/>
        <v>8105.4752963954115</v>
      </c>
      <c r="I166" s="411">
        <f t="shared" si="28"/>
        <v>133297.71412871248</v>
      </c>
      <c r="J166" s="411">
        <f t="shared" si="28"/>
        <v>6197.0557689892039</v>
      </c>
      <c r="K166" s="411">
        <f t="shared" si="29"/>
        <v>22591.767514293719</v>
      </c>
      <c r="L166" s="411"/>
    </row>
    <row r="167" spans="2:12">
      <c r="B167" s="409">
        <f t="shared" si="26"/>
        <v>97338</v>
      </c>
      <c r="C167" s="409">
        <f t="shared" si="27"/>
        <v>97521</v>
      </c>
      <c r="D167" s="411">
        <f t="shared" si="28"/>
        <v>47936147.253129199</v>
      </c>
      <c r="E167" s="411">
        <f t="shared" si="28"/>
        <v>26329342.093950227</v>
      </c>
      <c r="F167" s="411">
        <f t="shared" si="28"/>
        <v>4241.360622143191</v>
      </c>
      <c r="G167" s="411">
        <f t="shared" si="28"/>
        <v>116628.82306929445</v>
      </c>
      <c r="H167" s="411">
        <f t="shared" si="28"/>
        <v>8576.7843550921643</v>
      </c>
      <c r="I167" s="411">
        <f t="shared" si="28"/>
        <v>144505.35191740067</v>
      </c>
      <c r="J167" s="411">
        <f t="shared" si="28"/>
        <v>6544.663700174945</v>
      </c>
      <c r="K167" s="411">
        <f t="shared" si="29"/>
        <v>24081.829866749849</v>
      </c>
      <c r="L167" s="411"/>
    </row>
    <row r="168" spans="2:12">
      <c r="B168" s="409">
        <f t="shared" si="26"/>
        <v>97703</v>
      </c>
      <c r="C168" s="409">
        <f t="shared" si="27"/>
        <v>97886</v>
      </c>
      <c r="D168" s="411">
        <f t="shared" si="28"/>
        <v>53871308.809506245</v>
      </c>
      <c r="E168" s="411">
        <f t="shared" si="28"/>
        <v>29512530.687293202</v>
      </c>
      <c r="F168" s="411">
        <f t="shared" si="28"/>
        <v>4487.5187254110233</v>
      </c>
      <c r="G168" s="411">
        <f t="shared" si="28"/>
        <v>125847.19438675593</v>
      </c>
      <c r="H168" s="411">
        <f t="shared" si="28"/>
        <v>9075.4986208479531</v>
      </c>
      <c r="I168" s="411">
        <f t="shared" si="28"/>
        <v>156655.32503136789</v>
      </c>
      <c r="J168" s="411">
        <f t="shared" si="28"/>
        <v>6911.7698057079115</v>
      </c>
      <c r="K168" s="411">
        <f t="shared" si="29"/>
        <v>25670.170754198971</v>
      </c>
      <c r="L168" s="411"/>
    </row>
    <row r="169" spans="2:12">
      <c r="B169" s="409">
        <f t="shared" si="26"/>
        <v>98069</v>
      </c>
      <c r="C169" s="409">
        <f t="shared" si="27"/>
        <v>98252</v>
      </c>
      <c r="D169" s="411">
        <f t="shared" ref="D169:J170" si="30">D168*(1+D$11)</f>
        <v>60541325.891803689</v>
      </c>
      <c r="E169" s="411">
        <f t="shared" si="30"/>
        <v>33080563.291725881</v>
      </c>
      <c r="F169" s="411">
        <f t="shared" si="30"/>
        <v>4747.9632374996636</v>
      </c>
      <c r="G169" s="411">
        <f t="shared" si="30"/>
        <v>135794.18807654563</v>
      </c>
      <c r="H169" s="411">
        <f t="shared" si="30"/>
        <v>9603.2116241924596</v>
      </c>
      <c r="I169" s="411">
        <f t="shared" si="30"/>
        <v>169826.86478429605</v>
      </c>
      <c r="J169" s="411">
        <f t="shared" si="30"/>
        <v>7299.4677856126627</v>
      </c>
      <c r="K169" s="411">
        <f t="shared" si="29"/>
        <v>27363.272234539167</v>
      </c>
      <c r="L169" s="411"/>
    </row>
    <row r="170" spans="2:12">
      <c r="B170" s="409">
        <f t="shared" si="26"/>
        <v>98434</v>
      </c>
      <c r="C170" s="409">
        <f t="shared" si="27"/>
        <v>98617</v>
      </c>
      <c r="D170" s="411">
        <f t="shared" si="30"/>
        <v>68037183.831902772</v>
      </c>
      <c r="E170" s="411">
        <f t="shared" si="30"/>
        <v>37079967.126270525</v>
      </c>
      <c r="F170" s="411">
        <f t="shared" si="30"/>
        <v>5023.5233063196865</v>
      </c>
      <c r="G170" s="411">
        <f t="shared" si="30"/>
        <v>146527.39463303337</v>
      </c>
      <c r="H170" s="411">
        <f t="shared" si="30"/>
        <v>10161.609554672448</v>
      </c>
      <c r="I170" s="411">
        <f t="shared" si="30"/>
        <v>184105.86423850298</v>
      </c>
      <c r="J170" s="411">
        <f t="shared" si="30"/>
        <v>7708.9126882083428</v>
      </c>
      <c r="K170" s="411">
        <f t="shared" si="29"/>
        <v>29168.043896203002</v>
      </c>
      <c r="L170" s="411"/>
    </row>
    <row r="171" spans="2:12">
      <c r="L171" s="411"/>
    </row>
    <row r="172" spans="2:12">
      <c r="D172" s="389" t="s">
        <v>1896</v>
      </c>
    </row>
    <row r="174" spans="2:12">
      <c r="D174" s="838" t="s">
        <v>1577</v>
      </c>
      <c r="E174" s="838"/>
      <c r="F174" s="838"/>
      <c r="G174" s="838"/>
      <c r="H174" s="838"/>
      <c r="I174" s="838"/>
      <c r="J174" s="838"/>
      <c r="K174" s="838"/>
    </row>
    <row r="175" spans="2:12" ht="12.75" customHeight="1">
      <c r="D175" s="838"/>
      <c r="E175" s="838"/>
      <c r="F175" s="838"/>
      <c r="G175" s="838"/>
      <c r="H175" s="838"/>
      <c r="I175" s="838"/>
      <c r="J175" s="838"/>
      <c r="K175" s="838"/>
      <c r="L175" s="413"/>
    </row>
    <row r="176" spans="2:12">
      <c r="L176" s="413"/>
    </row>
  </sheetData>
  <mergeCells count="4">
    <mergeCell ref="C3:K3"/>
    <mergeCell ref="B13:C13"/>
    <mergeCell ref="B14:C14"/>
    <mergeCell ref="D174:K175"/>
  </mergeCells>
  <printOptions horizontalCentered="1"/>
  <pageMargins left="0.7" right="0.7" top="0.75" bottom="0.75" header="0.3" footer="0.3"/>
  <pageSetup scale="70" fitToHeight="0" orientation="landscape" useFirstPageNumber="1" r:id="rId1"/>
  <headerFooter scaleWithDoc="0">
    <oddHeader>&amp;R&amp;"Arial,Regular"&amp;10DEU Exhibit 2.13R
Page &amp;P of 5</oddHeader>
  </headerFooter>
  <rowBreaks count="3" manualBreakCount="3">
    <brk id="53" max="13" man="1"/>
    <brk id="100" max="16383" man="1"/>
    <brk id="14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5"/>
  <sheetViews>
    <sheetView tabSelected="1" view="pageLayout" topLeftCell="B1" zoomScaleNormal="85" zoomScaleSheetLayoutView="85" workbookViewId="0">
      <selection activeCell="I18" sqref="I18"/>
    </sheetView>
  </sheetViews>
  <sheetFormatPr defaultColWidth="8" defaultRowHeight="12.75"/>
  <cols>
    <col min="1" max="1" width="39.375" style="702" customWidth="1"/>
    <col min="2" max="2" width="19.5" style="702" customWidth="1"/>
    <col min="3" max="3" width="12.375" style="702" customWidth="1"/>
    <col min="4" max="4" width="16" style="702" customWidth="1"/>
    <col min="5" max="5" width="14.5" style="702" customWidth="1"/>
    <col min="6" max="6" width="15.375" style="702" customWidth="1"/>
    <col min="7" max="7" width="14.5" style="702" customWidth="1"/>
    <col min="8" max="8" width="13.625" style="702" customWidth="1"/>
    <col min="9" max="16384" width="8" style="702"/>
  </cols>
  <sheetData>
    <row r="2" spans="1:9">
      <c r="A2" s="835" t="s">
        <v>1839</v>
      </c>
      <c r="B2" s="835"/>
      <c r="C2" s="835"/>
      <c r="D2" s="835"/>
      <c r="E2" s="835"/>
      <c r="F2" s="835"/>
      <c r="G2" s="835"/>
      <c r="H2" s="835"/>
    </row>
    <row r="3" spans="1:9">
      <c r="A3" s="835" t="s">
        <v>1870</v>
      </c>
      <c r="B3" s="835"/>
      <c r="C3" s="835"/>
      <c r="D3" s="835"/>
      <c r="E3" s="835"/>
      <c r="F3" s="835"/>
      <c r="G3" s="835"/>
      <c r="H3" s="835"/>
    </row>
    <row r="4" spans="1:9">
      <c r="A4" s="705"/>
      <c r="B4" s="705"/>
      <c r="C4" s="705"/>
      <c r="D4" s="705"/>
      <c r="E4" s="705"/>
      <c r="F4" s="705"/>
      <c r="G4" s="526"/>
    </row>
    <row r="5" spans="1:9">
      <c r="A5" s="839" t="s">
        <v>1840</v>
      </c>
      <c r="B5" s="839"/>
      <c r="C5" s="839"/>
      <c r="D5" s="839"/>
      <c r="E5" s="839"/>
      <c r="F5" s="839"/>
      <c r="G5" s="839"/>
      <c r="H5" s="839"/>
    </row>
    <row r="6" spans="1:9" ht="25.5">
      <c r="A6" s="706" t="s">
        <v>1726</v>
      </c>
      <c r="B6" s="706" t="s">
        <v>1727</v>
      </c>
      <c r="C6" s="706" t="s">
        <v>1841</v>
      </c>
      <c r="D6" s="706" t="s">
        <v>1842</v>
      </c>
      <c r="E6" s="706" t="s">
        <v>1739</v>
      </c>
      <c r="F6" s="706" t="s">
        <v>1843</v>
      </c>
      <c r="G6" s="706" t="s">
        <v>1844</v>
      </c>
      <c r="H6" s="706" t="s">
        <v>1845</v>
      </c>
    </row>
    <row r="7" spans="1:9" ht="13.5" thickBot="1">
      <c r="A7" s="702" t="s">
        <v>1846</v>
      </c>
      <c r="B7" s="707">
        <v>817296277.95000005</v>
      </c>
      <c r="C7" s="404">
        <v>0.45</v>
      </c>
      <c r="D7" s="708">
        <v>4.3400000000000001E-2</v>
      </c>
      <c r="E7" s="708">
        <f>C7*D7</f>
        <v>1.9530000000000002E-2</v>
      </c>
      <c r="F7" s="708">
        <f>ROUND(E7,5)</f>
        <v>1.9529999999999999E-2</v>
      </c>
      <c r="G7" s="709">
        <f>E7*B9</f>
        <v>35470658.463030003</v>
      </c>
      <c r="H7" s="707">
        <f>F7*B9</f>
        <v>35470658.463029996</v>
      </c>
    </row>
    <row r="8" spans="1:9" ht="13.5" thickBot="1">
      <c r="A8" s="702" t="s">
        <v>1173</v>
      </c>
      <c r="B8" s="707">
        <v>998917673.05000007</v>
      </c>
      <c r="C8" s="404">
        <v>0.55000000000000004</v>
      </c>
      <c r="D8" s="711">
        <v>0.105</v>
      </c>
      <c r="E8" s="708">
        <f>C8*D8</f>
        <v>5.7750000000000003E-2</v>
      </c>
      <c r="F8" s="708">
        <f>ROUND(E8,5)*$B$39</f>
        <v>7.3101265822784811E-2</v>
      </c>
      <c r="G8" s="709">
        <f>E8*B9</f>
        <v>104886355.67025</v>
      </c>
      <c r="H8" s="707">
        <f>F8*B9</f>
        <v>132767538.82310127</v>
      </c>
    </row>
    <row r="9" spans="1:9">
      <c r="A9" s="702" t="s">
        <v>1869</v>
      </c>
      <c r="B9" s="707">
        <f>SUM(B7:B8)</f>
        <v>1816213951</v>
      </c>
      <c r="C9" s="404">
        <f>SUM(C7:C8)</f>
        <v>1</v>
      </c>
      <c r="E9" s="708">
        <f>SUM(E7:E8)</f>
        <v>7.7280000000000001E-2</v>
      </c>
      <c r="F9" s="708">
        <f>SUM(F7:F8)</f>
        <v>9.2631265822784803E-2</v>
      </c>
      <c r="G9" s="709">
        <f>SUM(G7:G8)</f>
        <v>140357014.13328001</v>
      </c>
      <c r="H9" s="712">
        <f>SUM(H7:H8)</f>
        <v>168238197.28613126</v>
      </c>
    </row>
    <row r="10" spans="1:9">
      <c r="A10" s="702" t="s">
        <v>1847</v>
      </c>
      <c r="D10" s="707">
        <f>B9</f>
        <v>1816213951</v>
      </c>
      <c r="E10" s="713"/>
      <c r="F10" s="713"/>
      <c r="G10" s="709"/>
      <c r="H10" s="714"/>
    </row>
    <row r="11" spans="1:9">
      <c r="C11" s="707"/>
      <c r="E11" s="713"/>
      <c r="F11" s="713"/>
      <c r="G11" s="709"/>
      <c r="I11" s="715"/>
    </row>
    <row r="12" spans="1:9">
      <c r="A12" s="839" t="s">
        <v>1848</v>
      </c>
      <c r="B12" s="839"/>
      <c r="C12" s="839"/>
      <c r="D12" s="839"/>
      <c r="E12" s="839"/>
      <c r="F12" s="839"/>
      <c r="G12" s="839"/>
      <c r="H12" s="839"/>
    </row>
    <row r="13" spans="1:9" ht="25.5">
      <c r="A13" s="706" t="s">
        <v>1726</v>
      </c>
      <c r="B13" s="706"/>
      <c r="C13" s="706" t="s">
        <v>1841</v>
      </c>
      <c r="D13" s="706" t="s">
        <v>1842</v>
      </c>
      <c r="E13" s="706" t="s">
        <v>1739</v>
      </c>
      <c r="F13" s="706" t="s">
        <v>1843</v>
      </c>
      <c r="G13" s="706" t="s">
        <v>1844</v>
      </c>
      <c r="H13" s="706" t="s">
        <v>1845</v>
      </c>
    </row>
    <row r="14" spans="1:9" ht="13.5" thickBot="1">
      <c r="A14" s="702" t="s">
        <v>1846</v>
      </c>
      <c r="B14" s="707">
        <f>C14*B16</f>
        <v>817296277.95000005</v>
      </c>
      <c r="C14" s="404">
        <f>C7</f>
        <v>0.45</v>
      </c>
      <c r="D14" s="708">
        <f>D7</f>
        <v>4.3400000000000001E-2</v>
      </c>
      <c r="E14" s="708">
        <f>C14*D14</f>
        <v>1.9530000000000002E-2</v>
      </c>
      <c r="F14" s="708">
        <f>E14</f>
        <v>1.9530000000000002E-2</v>
      </c>
      <c r="G14" s="709">
        <f>E14*D17</f>
        <v>35470658.463030003</v>
      </c>
      <c r="H14" s="707">
        <f>F14*D17</f>
        <v>35470658.463030003</v>
      </c>
    </row>
    <row r="15" spans="1:9" ht="13.5" thickBot="1">
      <c r="A15" s="702" t="s">
        <v>1173</v>
      </c>
      <c r="B15" s="707">
        <f>C15*B16</f>
        <v>998917673.05000007</v>
      </c>
      <c r="C15" s="404">
        <f>1-C14</f>
        <v>0.55000000000000004</v>
      </c>
      <c r="D15" s="711">
        <v>9.0999999999999998E-2</v>
      </c>
      <c r="E15" s="708">
        <f>C15*D15</f>
        <v>5.0050000000000004E-2</v>
      </c>
      <c r="F15" s="708">
        <f>E15*$B$39</f>
        <v>6.3354430379746834E-2</v>
      </c>
      <c r="G15" s="709">
        <f>E15*D17</f>
        <v>90901508.247550011</v>
      </c>
      <c r="H15" s="707">
        <f>F15*D17</f>
        <v>115065200.31335443</v>
      </c>
    </row>
    <row r="16" spans="1:9">
      <c r="A16" s="702" t="str">
        <f>A9</f>
        <v>Total Capital</v>
      </c>
      <c r="B16" s="707">
        <f>B9</f>
        <v>1816213951</v>
      </c>
      <c r="C16" s="404">
        <f>SUM(C14:C15)</f>
        <v>1</v>
      </c>
      <c r="E16" s="708">
        <f>SUM(E14:E15)</f>
        <v>6.9580000000000003E-2</v>
      </c>
      <c r="F16" s="708">
        <f>SUM(F14:F15)</f>
        <v>8.288443037974684E-2</v>
      </c>
      <c r="G16" s="709">
        <f>SUM(G14:G15)</f>
        <v>126372166.71058002</v>
      </c>
      <c r="H16" s="712">
        <f>SUM(H14:H15)</f>
        <v>150535858.77638444</v>
      </c>
    </row>
    <row r="17" spans="1:8">
      <c r="A17" s="702" t="s">
        <v>1847</v>
      </c>
      <c r="D17" s="707">
        <f>D10</f>
        <v>1816213951</v>
      </c>
      <c r="E17" s="713"/>
      <c r="F17" s="713"/>
      <c r="G17" s="709"/>
      <c r="H17" s="714"/>
    </row>
    <row r="18" spans="1:8">
      <c r="B18" s="404"/>
      <c r="D18" s="713"/>
      <c r="E18" s="713"/>
      <c r="F18" s="709"/>
    </row>
    <row r="19" spans="1:8" ht="25.5">
      <c r="A19" s="716" t="s">
        <v>1726</v>
      </c>
      <c r="B19" s="706" t="s">
        <v>1849</v>
      </c>
      <c r="C19" s="706" t="s">
        <v>1138</v>
      </c>
      <c r="D19" s="706" t="s">
        <v>1848</v>
      </c>
      <c r="E19" s="717"/>
    </row>
    <row r="20" spans="1:8">
      <c r="A20" s="702" t="s">
        <v>1847</v>
      </c>
      <c r="B20" s="707">
        <f>B9</f>
        <v>1816213951</v>
      </c>
      <c r="C20" s="718">
        <f>D20-B20</f>
        <v>0</v>
      </c>
      <c r="D20" s="707">
        <f>D17</f>
        <v>1816213951</v>
      </c>
      <c r="E20" s="717"/>
    </row>
    <row r="21" spans="1:8">
      <c r="A21" s="702" t="s">
        <v>1850</v>
      </c>
      <c r="B21" s="719">
        <f>E9</f>
        <v>7.7280000000000001E-2</v>
      </c>
      <c r="C21" s="719"/>
      <c r="D21" s="719">
        <f>E16</f>
        <v>6.9580000000000003E-2</v>
      </c>
      <c r="E21" s="717"/>
    </row>
    <row r="22" spans="1:8">
      <c r="A22" s="702" t="s">
        <v>1844</v>
      </c>
      <c r="B22" s="707">
        <f>G9</f>
        <v>140357014.13328001</v>
      </c>
      <c r="C22" s="718">
        <f>D22-B22</f>
        <v>-13984847.422699988</v>
      </c>
      <c r="D22" s="707">
        <f>G16</f>
        <v>126372166.71058002</v>
      </c>
      <c r="E22" s="720"/>
    </row>
    <row r="23" spans="1:8">
      <c r="A23" s="702" t="s">
        <v>1851</v>
      </c>
      <c r="B23" s="707">
        <v>85423490</v>
      </c>
      <c r="C23" s="718">
        <f>D23-B23</f>
        <v>0</v>
      </c>
      <c r="D23" s="707">
        <f>B23</f>
        <v>85423490</v>
      </c>
      <c r="E23" s="720"/>
    </row>
    <row r="24" spans="1:8">
      <c r="A24" s="702" t="s">
        <v>1871</v>
      </c>
      <c r="B24" s="707">
        <v>5817654</v>
      </c>
      <c r="C24" s="718">
        <v>0</v>
      </c>
      <c r="D24" s="707">
        <f>B24</f>
        <v>5817654</v>
      </c>
      <c r="E24" s="720"/>
    </row>
    <row r="25" spans="1:8">
      <c r="A25" s="702" t="s">
        <v>1852</v>
      </c>
      <c r="B25" s="707">
        <f>B22+B23-B27+B24</f>
        <v>196127499.67025</v>
      </c>
      <c r="C25" s="718">
        <f>D25-B25</f>
        <v>-13984847.422699988</v>
      </c>
      <c r="D25" s="707">
        <f>D22+D23-D27+D24</f>
        <v>182142652.24755001</v>
      </c>
      <c r="E25" s="720"/>
    </row>
    <row r="26" spans="1:8">
      <c r="A26" s="702" t="s">
        <v>1853</v>
      </c>
      <c r="B26" s="707">
        <f>B7</f>
        <v>817296277.95000005</v>
      </c>
      <c r="C26" s="718">
        <f>D26-B26</f>
        <v>0</v>
      </c>
      <c r="D26" s="707">
        <f>B14</f>
        <v>817296277.95000005</v>
      </c>
      <c r="E26" s="720"/>
    </row>
    <row r="27" spans="1:8">
      <c r="A27" s="702" t="s">
        <v>1854</v>
      </c>
      <c r="B27" s="707">
        <f>G7</f>
        <v>35470658.463030003</v>
      </c>
      <c r="C27" s="718">
        <f>D27-B27</f>
        <v>0</v>
      </c>
      <c r="D27" s="707">
        <f>G14</f>
        <v>35470658.463030003</v>
      </c>
      <c r="E27" s="720"/>
    </row>
    <row r="28" spans="1:8">
      <c r="A28" s="702" t="s">
        <v>1855</v>
      </c>
      <c r="B28" s="404">
        <f>C7</f>
        <v>0.45</v>
      </c>
      <c r="C28" s="718"/>
      <c r="D28" s="404">
        <f>C14</f>
        <v>0.45</v>
      </c>
      <c r="E28" s="720"/>
    </row>
    <row r="29" spans="1:8">
      <c r="A29" s="388"/>
      <c r="B29" s="707"/>
      <c r="C29" s="707"/>
      <c r="D29" s="707"/>
      <c r="E29" s="720"/>
    </row>
    <row r="30" spans="1:8" ht="25.5">
      <c r="A30" s="721" t="s">
        <v>1856</v>
      </c>
      <c r="B30" s="706" t="s">
        <v>1849</v>
      </c>
      <c r="C30" s="706"/>
      <c r="D30" s="706" t="str">
        <f>D19</f>
        <v>Mr. Lawton's Recommendation</v>
      </c>
      <c r="E30" s="706" t="s">
        <v>1857</v>
      </c>
      <c r="F30" s="717" t="s">
        <v>51</v>
      </c>
    </row>
    <row r="31" spans="1:8">
      <c r="A31" s="702" t="s">
        <v>1858</v>
      </c>
      <c r="B31" s="722">
        <f>B25/B26</f>
        <v>0.23997111569159568</v>
      </c>
      <c r="C31" s="723"/>
      <c r="D31" s="722">
        <f>D25/D26</f>
        <v>0.22286000458048458</v>
      </c>
      <c r="E31" s="723" t="s">
        <v>1873</v>
      </c>
      <c r="F31" s="723"/>
    </row>
    <row r="32" spans="1:8">
      <c r="A32" s="702" t="s">
        <v>1872</v>
      </c>
      <c r="B32" s="734">
        <f>(B25-(0.6*G8))/B26</f>
        <v>0.16297111569159567</v>
      </c>
      <c r="C32" s="724"/>
      <c r="D32" s="734">
        <f>(D25-(0.6*G15))/D26</f>
        <v>0.15612667124715124</v>
      </c>
      <c r="E32" s="725" t="s">
        <v>1874</v>
      </c>
      <c r="F32" s="725"/>
    </row>
    <row r="33" spans="1:8">
      <c r="A33" s="702" t="s">
        <v>1855</v>
      </c>
      <c r="B33" s="726">
        <f>B28</f>
        <v>0.45</v>
      </c>
      <c r="C33" s="720"/>
      <c r="D33" s="726">
        <f>D28</f>
        <v>0.45</v>
      </c>
      <c r="E33" s="723" t="s">
        <v>1859</v>
      </c>
      <c r="F33" s="723"/>
    </row>
    <row r="34" spans="1:8">
      <c r="B34" s="726"/>
      <c r="C34" s="720"/>
      <c r="D34" s="726"/>
      <c r="E34" s="723"/>
    </row>
    <row r="35" spans="1:8">
      <c r="A35" s="716" t="s">
        <v>1860</v>
      </c>
      <c r="B35" s="727"/>
      <c r="C35" s="728"/>
      <c r="D35" s="404"/>
      <c r="E35" s="701"/>
    </row>
    <row r="36" spans="1:8">
      <c r="A36" s="729" t="s">
        <v>1860</v>
      </c>
      <c r="B36" s="729"/>
      <c r="C36" s="729"/>
      <c r="E36" s="701"/>
    </row>
    <row r="37" spans="1:8">
      <c r="A37" s="729" t="s">
        <v>1861</v>
      </c>
      <c r="B37" s="730">
        <v>0.21</v>
      </c>
      <c r="C37" s="729"/>
      <c r="E37" s="701"/>
    </row>
    <row r="38" spans="1:8">
      <c r="A38" s="731"/>
      <c r="B38" s="730">
        <f>1-B37</f>
        <v>0.79</v>
      </c>
      <c r="C38" s="701" t="s">
        <v>1862</v>
      </c>
      <c r="E38" s="701"/>
    </row>
    <row r="39" spans="1:8">
      <c r="A39" s="729" t="s">
        <v>1863</v>
      </c>
      <c r="B39" s="732">
        <f>(1/B38)</f>
        <v>1.2658227848101264</v>
      </c>
      <c r="C39" s="701" t="s">
        <v>1864</v>
      </c>
      <c r="E39" s="701"/>
    </row>
    <row r="40" spans="1:8">
      <c r="A40" s="729"/>
      <c r="B40" s="732"/>
      <c r="C40" s="701"/>
      <c r="E40" s="701"/>
    </row>
    <row r="41" spans="1:8">
      <c r="A41" s="733" t="s">
        <v>76</v>
      </c>
      <c r="B41" s="732"/>
      <c r="C41" s="701"/>
      <c r="E41" s="701"/>
    </row>
    <row r="42" spans="1:8">
      <c r="A42" s="702" t="s">
        <v>1876</v>
      </c>
      <c r="B42" s="404"/>
      <c r="D42" s="404"/>
      <c r="E42" s="701"/>
    </row>
    <row r="43" spans="1:8">
      <c r="A43" s="702" t="s">
        <v>1865</v>
      </c>
    </row>
    <row r="44" spans="1:8">
      <c r="A44" s="835" t="str">
        <f>A2</f>
        <v>Moody's Sensitivity Analysis [1]</v>
      </c>
      <c r="B44" s="835"/>
      <c r="C44" s="835"/>
      <c r="D44" s="835"/>
      <c r="E44" s="835"/>
      <c r="F44" s="835"/>
      <c r="G44" s="835"/>
      <c r="H44" s="835"/>
    </row>
    <row r="45" spans="1:8">
      <c r="A45" s="835" t="s">
        <v>1875</v>
      </c>
      <c r="B45" s="835"/>
      <c r="C45" s="835"/>
      <c r="D45" s="835"/>
      <c r="E45" s="835"/>
      <c r="F45" s="835"/>
      <c r="G45" s="835"/>
      <c r="H45" s="835"/>
    </row>
    <row r="46" spans="1:8">
      <c r="A46" s="705"/>
      <c r="B46" s="705"/>
      <c r="C46" s="705"/>
      <c r="D46" s="705"/>
      <c r="E46" s="705"/>
      <c r="F46" s="705"/>
      <c r="G46" s="526"/>
    </row>
    <row r="47" spans="1:8">
      <c r="A47" s="839" t="s">
        <v>1866</v>
      </c>
      <c r="B47" s="839"/>
      <c r="C47" s="839"/>
      <c r="D47" s="839"/>
      <c r="E47" s="839"/>
      <c r="F47" s="839"/>
      <c r="G47" s="839"/>
      <c r="H47" s="839"/>
    </row>
    <row r="48" spans="1:8" ht="25.5">
      <c r="A48" s="706" t="s">
        <v>1726</v>
      </c>
      <c r="B48" s="706" t="s">
        <v>1727</v>
      </c>
      <c r="C48" s="706" t="s">
        <v>1841</v>
      </c>
      <c r="D48" s="706" t="s">
        <v>1842</v>
      </c>
      <c r="E48" s="706" t="s">
        <v>1739</v>
      </c>
      <c r="F48" s="706" t="s">
        <v>1843</v>
      </c>
      <c r="G48" s="706" t="s">
        <v>1844</v>
      </c>
      <c r="H48" s="706" t="s">
        <v>1845</v>
      </c>
    </row>
    <row r="49" spans="1:8" ht="13.5" thickBot="1">
      <c r="A49" s="702" t="s">
        <v>1846</v>
      </c>
      <c r="B49" s="707">
        <f>ROUND(C49*B51,0)</f>
        <v>817296278</v>
      </c>
      <c r="C49" s="404">
        <f>C7</f>
        <v>0.45</v>
      </c>
      <c r="D49" s="708">
        <f>D7</f>
        <v>4.3400000000000001E-2</v>
      </c>
      <c r="E49" s="708">
        <f>C49*D49</f>
        <v>1.9530000000000002E-2</v>
      </c>
      <c r="F49" s="708">
        <f>ROUND(E49,5)</f>
        <v>1.9529999999999999E-2</v>
      </c>
      <c r="G49" s="709">
        <f>E49*B51</f>
        <v>35470658.463030003</v>
      </c>
      <c r="H49" s="710">
        <f>F49*B51</f>
        <v>35470658.463029996</v>
      </c>
    </row>
    <row r="50" spans="1:8" ht="13.5" thickBot="1">
      <c r="A50" s="702" t="s">
        <v>1173</v>
      </c>
      <c r="B50" s="707">
        <f>ROUND(C50*B51,0)</f>
        <v>998917673</v>
      </c>
      <c r="C50" s="404">
        <f>1-C49</f>
        <v>0.55000000000000004</v>
      </c>
      <c r="D50" s="711">
        <v>0.105</v>
      </c>
      <c r="E50" s="708">
        <f>C50*D50</f>
        <v>5.7750000000000003E-2</v>
      </c>
      <c r="F50" s="708">
        <f>ROUND(E50,5)*$B$81</f>
        <v>7.3101265822784811E-2</v>
      </c>
      <c r="G50" s="709">
        <f>E50*B51</f>
        <v>104886355.67025</v>
      </c>
      <c r="H50" s="710">
        <f>F50*B51</f>
        <v>132767538.82310127</v>
      </c>
    </row>
    <row r="51" spans="1:8">
      <c r="A51" s="702" t="s">
        <v>1669</v>
      </c>
      <c r="B51" s="707">
        <f>B9</f>
        <v>1816213951</v>
      </c>
      <c r="C51" s="404">
        <f>SUM(C49:C50)</f>
        <v>1</v>
      </c>
      <c r="E51" s="708">
        <f>SUM(E49:E50)</f>
        <v>7.7280000000000001E-2</v>
      </c>
      <c r="F51" s="708">
        <f>SUM(F49:F50)</f>
        <v>9.2631265822784803E-2</v>
      </c>
      <c r="G51" s="709">
        <f>SUM(G49:G50)</f>
        <v>140357014.13328001</v>
      </c>
      <c r="H51" s="712">
        <f>SUM(H49:H50)</f>
        <v>168238197.28613126</v>
      </c>
    </row>
    <row r="52" spans="1:8">
      <c r="A52" s="702" t="s">
        <v>1847</v>
      </c>
      <c r="D52" s="707">
        <f>D10</f>
        <v>1816213951</v>
      </c>
      <c r="E52" s="713"/>
      <c r="F52" s="713"/>
      <c r="G52" s="709"/>
      <c r="H52" s="714"/>
    </row>
    <row r="53" spans="1:8">
      <c r="C53" s="707"/>
      <c r="E53" s="713"/>
      <c r="F53" s="713"/>
      <c r="G53" s="709"/>
    </row>
    <row r="54" spans="1:8">
      <c r="A54" s="839" t="s">
        <v>1867</v>
      </c>
      <c r="B54" s="839"/>
      <c r="C54" s="839"/>
      <c r="D54" s="839"/>
      <c r="E54" s="839"/>
      <c r="F54" s="839"/>
      <c r="G54" s="839"/>
      <c r="H54" s="839"/>
    </row>
    <row r="55" spans="1:8" ht="25.5">
      <c r="A55" s="706" t="s">
        <v>1726</v>
      </c>
      <c r="B55" s="706"/>
      <c r="C55" s="706" t="s">
        <v>1841</v>
      </c>
      <c r="D55" s="706" t="s">
        <v>1842</v>
      </c>
      <c r="E55" s="706" t="s">
        <v>1739</v>
      </c>
      <c r="F55" s="706" t="s">
        <v>1843</v>
      </c>
      <c r="G55" s="706" t="s">
        <v>1844</v>
      </c>
      <c r="H55" s="706" t="s">
        <v>1845</v>
      </c>
    </row>
    <row r="56" spans="1:8" ht="13.5" thickBot="1">
      <c r="A56" s="702" t="s">
        <v>1846</v>
      </c>
      <c r="B56" s="707">
        <f>C56*B58</f>
        <v>817296277.95000005</v>
      </c>
      <c r="C56" s="404">
        <f>C49</f>
        <v>0.45</v>
      </c>
      <c r="D56" s="708">
        <f>D49</f>
        <v>4.3400000000000001E-2</v>
      </c>
      <c r="E56" s="708">
        <f>C56*D56</f>
        <v>1.9530000000000002E-2</v>
      </c>
      <c r="F56" s="708">
        <f>E56</f>
        <v>1.9530000000000002E-2</v>
      </c>
      <c r="G56" s="709">
        <f>E56*D59</f>
        <v>35470658.463030003</v>
      </c>
      <c r="H56" s="710">
        <f>F56*D59</f>
        <v>35470658.463030003</v>
      </c>
    </row>
    <row r="57" spans="1:8" ht="13.5" thickBot="1">
      <c r="A57" s="702" t="s">
        <v>1173</v>
      </c>
      <c r="B57" s="707">
        <f>C57*B58</f>
        <v>998917673.05000007</v>
      </c>
      <c r="C57" s="404">
        <f>1-C56</f>
        <v>0.55000000000000004</v>
      </c>
      <c r="D57" s="711">
        <v>7.85E-2</v>
      </c>
      <c r="E57" s="708">
        <f>C57*D57</f>
        <v>4.3175000000000005E-2</v>
      </c>
      <c r="F57" s="708">
        <f>E57*$B$81</f>
        <v>5.4651898734177216E-2</v>
      </c>
      <c r="G57" s="709">
        <f>E57*D59</f>
        <v>78415037.334425002</v>
      </c>
      <c r="H57" s="710">
        <f>F57*D59</f>
        <v>99259540.929651901</v>
      </c>
    </row>
    <row r="58" spans="1:8">
      <c r="A58" s="702" t="s">
        <v>1669</v>
      </c>
      <c r="B58" s="707">
        <f>B16</f>
        <v>1816213951</v>
      </c>
      <c r="C58" s="404">
        <f>SUM(C56:C57)</f>
        <v>1</v>
      </c>
      <c r="E58" s="708">
        <f>SUM(E56:E57)</f>
        <v>6.2705000000000011E-2</v>
      </c>
      <c r="F58" s="708">
        <f>SUM(F56:F57)</f>
        <v>7.4181898734177215E-2</v>
      </c>
      <c r="G58" s="709">
        <f>SUM(G56:G57)</f>
        <v>113885695.79745501</v>
      </c>
      <c r="H58" s="712">
        <f>SUM(H56:H57)</f>
        <v>134730199.3926819</v>
      </c>
    </row>
    <row r="59" spans="1:8">
      <c r="A59" s="702" t="s">
        <v>1847</v>
      </c>
      <c r="D59" s="707">
        <f>D17</f>
        <v>1816213951</v>
      </c>
      <c r="E59" s="713"/>
      <c r="F59" s="713"/>
      <c r="G59" s="709"/>
      <c r="H59" s="714"/>
    </row>
    <row r="60" spans="1:8">
      <c r="B60" s="404"/>
      <c r="D60" s="713"/>
      <c r="E60" s="713"/>
      <c r="F60" s="709"/>
    </row>
    <row r="61" spans="1:8" ht="25.5">
      <c r="A61" s="716" t="s">
        <v>1726</v>
      </c>
      <c r="B61" s="706" t="s">
        <v>1849</v>
      </c>
      <c r="C61" s="706" t="s">
        <v>1138</v>
      </c>
      <c r="D61" s="706" t="s">
        <v>1868</v>
      </c>
      <c r="E61" s="717"/>
    </row>
    <row r="62" spans="1:8">
      <c r="A62" s="702" t="s">
        <v>1847</v>
      </c>
      <c r="B62" s="707">
        <f>B51</f>
        <v>1816213951</v>
      </c>
      <c r="C62" s="718">
        <f>D62-B62</f>
        <v>0</v>
      </c>
      <c r="D62" s="707">
        <f>D59</f>
        <v>1816213951</v>
      </c>
      <c r="E62" s="717"/>
    </row>
    <row r="63" spans="1:8">
      <c r="A63" s="702" t="s">
        <v>1850</v>
      </c>
      <c r="B63" s="719">
        <f>E51</f>
        <v>7.7280000000000001E-2</v>
      </c>
      <c r="C63" s="719"/>
      <c r="D63" s="719">
        <f>E58</f>
        <v>6.2705000000000011E-2</v>
      </c>
      <c r="E63" s="717"/>
    </row>
    <row r="64" spans="1:8">
      <c r="A64" s="702" t="s">
        <v>1844</v>
      </c>
      <c r="B64" s="707">
        <f>G51</f>
        <v>140357014.13328001</v>
      </c>
      <c r="C64" s="718">
        <f>D64-B64</f>
        <v>-26471318.335824996</v>
      </c>
      <c r="D64" s="707">
        <f>G58</f>
        <v>113885695.79745501</v>
      </c>
      <c r="E64" s="720"/>
    </row>
    <row r="65" spans="1:6">
      <c r="A65" s="702" t="s">
        <v>1851</v>
      </c>
      <c r="B65" s="707">
        <f>B23</f>
        <v>85423490</v>
      </c>
      <c r="C65" s="718">
        <f>D65-B65</f>
        <v>0</v>
      </c>
      <c r="D65" s="707">
        <f>D23</f>
        <v>85423490</v>
      </c>
      <c r="E65" s="720"/>
    </row>
    <row r="66" spans="1:6">
      <c r="A66" s="702" t="s">
        <v>1871</v>
      </c>
      <c r="B66" s="707">
        <f>B24</f>
        <v>5817654</v>
      </c>
      <c r="C66" s="718">
        <v>0</v>
      </c>
      <c r="D66" s="707">
        <f>B66</f>
        <v>5817654</v>
      </c>
      <c r="E66" s="720"/>
    </row>
    <row r="67" spans="1:6">
      <c r="A67" s="702" t="s">
        <v>1852</v>
      </c>
      <c r="B67" s="707">
        <f>B64+B65-B69+B66</f>
        <v>196127499.67025</v>
      </c>
      <c r="C67" s="718">
        <f>D67-B67</f>
        <v>-26471318.335824996</v>
      </c>
      <c r="D67" s="707">
        <f>D64+D65-D69+D66</f>
        <v>169656181.334425</v>
      </c>
      <c r="E67" s="720"/>
    </row>
    <row r="68" spans="1:6">
      <c r="A68" s="702" t="s">
        <v>1853</v>
      </c>
      <c r="B68" s="707">
        <f>B49</f>
        <v>817296278</v>
      </c>
      <c r="C68" s="718">
        <f>D68-B68</f>
        <v>-4.999995231628418E-2</v>
      </c>
      <c r="D68" s="707">
        <f>B56</f>
        <v>817296277.95000005</v>
      </c>
      <c r="E68" s="720"/>
    </row>
    <row r="69" spans="1:6">
      <c r="A69" s="702" t="s">
        <v>1854</v>
      </c>
      <c r="B69" s="707">
        <f>G49</f>
        <v>35470658.463030003</v>
      </c>
      <c r="C69" s="718">
        <f>D69-B69</f>
        <v>0</v>
      </c>
      <c r="D69" s="707">
        <f>G56</f>
        <v>35470658.463030003</v>
      </c>
      <c r="E69" s="720"/>
    </row>
    <row r="70" spans="1:6">
      <c r="A70" s="702" t="s">
        <v>1855</v>
      </c>
      <c r="B70" s="404">
        <f>C49</f>
        <v>0.45</v>
      </c>
      <c r="C70" s="718"/>
      <c r="D70" s="404">
        <f>C56</f>
        <v>0.45</v>
      </c>
      <c r="E70" s="720"/>
    </row>
    <row r="71" spans="1:6">
      <c r="A71" s="388"/>
      <c r="B71" s="707"/>
      <c r="C71" s="707"/>
      <c r="D71" s="707"/>
      <c r="E71" s="720"/>
    </row>
    <row r="72" spans="1:6" ht="38.25">
      <c r="A72" s="721" t="s">
        <v>1856</v>
      </c>
      <c r="B72" s="706" t="s">
        <v>1849</v>
      </c>
      <c r="C72" s="706"/>
      <c r="D72" s="706" t="s">
        <v>1877</v>
      </c>
      <c r="E72" s="706" t="s">
        <v>1857</v>
      </c>
      <c r="F72" s="717" t="s">
        <v>51</v>
      </c>
    </row>
    <row r="73" spans="1:6">
      <c r="A73" s="702" t="str">
        <f>A31</f>
        <v>CFO/ Debt (%)</v>
      </c>
      <c r="B73" s="722">
        <f>B31</f>
        <v>0.23997111569159568</v>
      </c>
      <c r="C73" s="723"/>
      <c r="D73" s="722">
        <f>D67/D68</f>
        <v>0.2075822268027068</v>
      </c>
      <c r="E73" s="723" t="s">
        <v>1873</v>
      </c>
      <c r="F73" s="723"/>
    </row>
    <row r="74" spans="1:6">
      <c r="A74" s="702" t="str">
        <f>A32</f>
        <v>CFO-Dividends/Debt (%)</v>
      </c>
      <c r="B74" s="722">
        <f>B32</f>
        <v>0.16297111569159567</v>
      </c>
      <c r="C74" s="724"/>
      <c r="D74" s="734">
        <f>(D67-(0.6*G57))/D68</f>
        <v>0.15001556013604014</v>
      </c>
      <c r="E74" s="725" t="s">
        <v>1874</v>
      </c>
      <c r="F74" s="725"/>
    </row>
    <row r="75" spans="1:6">
      <c r="A75" s="702" t="s">
        <v>1855</v>
      </c>
      <c r="B75" s="726">
        <f>B70</f>
        <v>0.45</v>
      </c>
      <c r="C75" s="720"/>
      <c r="D75" s="726">
        <f>D70</f>
        <v>0.45</v>
      </c>
      <c r="E75" s="723" t="s">
        <v>1859</v>
      </c>
      <c r="F75" s="723"/>
    </row>
    <row r="76" spans="1:6">
      <c r="B76" s="726"/>
      <c r="C76" s="720"/>
      <c r="D76" s="726"/>
      <c r="E76" s="723"/>
    </row>
    <row r="77" spans="1:6">
      <c r="A77" s="716" t="s">
        <v>1860</v>
      </c>
      <c r="B77" s="727"/>
      <c r="C77" s="728"/>
      <c r="D77" s="404"/>
      <c r="E77" s="701"/>
    </row>
    <row r="78" spans="1:6">
      <c r="A78" s="729" t="s">
        <v>1860</v>
      </c>
      <c r="B78" s="729"/>
      <c r="C78" s="729"/>
      <c r="E78" s="701"/>
    </row>
    <row r="79" spans="1:6">
      <c r="A79" s="729" t="s">
        <v>1861</v>
      </c>
      <c r="B79" s="730">
        <v>0.21</v>
      </c>
      <c r="C79" s="729"/>
      <c r="E79" s="701"/>
    </row>
    <row r="80" spans="1:6">
      <c r="A80" s="731"/>
      <c r="B80" s="730">
        <f>1-B79</f>
        <v>0.79</v>
      </c>
      <c r="C80" s="701" t="s">
        <v>1862</v>
      </c>
      <c r="E80" s="701"/>
    </row>
    <row r="81" spans="1:5">
      <c r="A81" s="729" t="s">
        <v>1863</v>
      </c>
      <c r="B81" s="732">
        <f>(1/B80)</f>
        <v>1.2658227848101264</v>
      </c>
      <c r="C81" s="701" t="s">
        <v>1864</v>
      </c>
      <c r="E81" s="701"/>
    </row>
    <row r="82" spans="1:5">
      <c r="A82" s="729"/>
      <c r="B82" s="732"/>
      <c r="C82" s="701"/>
      <c r="E82" s="701"/>
    </row>
    <row r="83" spans="1:5">
      <c r="A83" s="733" t="s">
        <v>76</v>
      </c>
      <c r="B83" s="404"/>
      <c r="D83" s="404"/>
      <c r="E83" s="701"/>
    </row>
    <row r="84" spans="1:5">
      <c r="A84" s="702" t="str">
        <f>A42</f>
        <v>[1] Source: Exhibit (OCS-3.11), Page 1.</v>
      </c>
      <c r="B84" s="404"/>
      <c r="D84" s="404"/>
      <c r="E84" s="701"/>
    </row>
    <row r="85" spans="1:5">
      <c r="A85" s="702" t="s">
        <v>1865</v>
      </c>
    </row>
  </sheetData>
  <mergeCells count="8">
    <mergeCell ref="A47:H47"/>
    <mergeCell ref="A54:H54"/>
    <mergeCell ref="A2:H2"/>
    <mergeCell ref="A3:H3"/>
    <mergeCell ref="A5:H5"/>
    <mergeCell ref="A12:H12"/>
    <mergeCell ref="A44:H44"/>
    <mergeCell ref="A45:H45"/>
  </mergeCells>
  <printOptions horizontalCentered="1"/>
  <pageMargins left="0.7" right="0.7" top="0.75" bottom="0.75" header="0.3" footer="0.3"/>
  <pageSetup scale="73" orientation="landscape" useFirstPageNumber="1" r:id="rId1"/>
  <headerFooter>
    <oddHeader>&amp;R&amp;"Arial,Regular"&amp;10DEU Exhibit 2.14R
Page &amp;P of 2</oddHeader>
  </headerFooter>
  <rowBreaks count="1" manualBreakCount="1">
    <brk id="43"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33"/>
  <sheetViews>
    <sheetView view="pageLayout" zoomScale="85" zoomScaleNormal="70" zoomScaleSheetLayoutView="85" zoomScalePageLayoutView="85" workbookViewId="0">
      <selection activeCell="E2" sqref="E2"/>
    </sheetView>
  </sheetViews>
  <sheetFormatPr defaultColWidth="8.375" defaultRowHeight="12.75"/>
  <cols>
    <col min="1" max="1" width="2.25" style="421" customWidth="1"/>
    <col min="2" max="2" width="31.875" style="421" customWidth="1"/>
    <col min="3" max="3" width="8.375" style="421"/>
    <col min="4" max="4" width="1.125" style="421" customWidth="1"/>
    <col min="5" max="5" width="9.875" style="421" customWidth="1"/>
    <col min="6" max="8" width="8.375" style="421"/>
    <col min="9" max="12" width="9.375" style="421" customWidth="1"/>
    <col min="13" max="13" width="8.375" style="421"/>
    <col min="14" max="14" width="1.125" style="421" customWidth="1"/>
    <col min="15" max="17" width="8.375" style="421"/>
    <col min="18" max="18" width="8" style="421" customWidth="1"/>
    <col min="19" max="16384" width="8.375" style="421"/>
  </cols>
  <sheetData>
    <row r="2" spans="2:18">
      <c r="B2" s="422" t="s">
        <v>1878</v>
      </c>
      <c r="C2" s="422"/>
      <c r="D2" s="422"/>
      <c r="E2" s="422"/>
      <c r="F2" s="422"/>
      <c r="G2" s="422"/>
      <c r="H2" s="422"/>
      <c r="I2" s="422"/>
      <c r="J2" s="422"/>
      <c r="K2" s="422"/>
      <c r="L2" s="422"/>
      <c r="M2" s="422"/>
      <c r="N2" s="422"/>
      <c r="O2" s="422"/>
      <c r="P2" s="422"/>
      <c r="Q2" s="422"/>
    </row>
    <row r="3" spans="2:18">
      <c r="B3" s="422" t="s">
        <v>26</v>
      </c>
      <c r="C3" s="422"/>
      <c r="D3" s="422"/>
      <c r="E3" s="422"/>
      <c r="F3" s="422"/>
      <c r="G3" s="422"/>
      <c r="H3" s="422"/>
      <c r="I3" s="422"/>
      <c r="J3" s="422"/>
      <c r="K3" s="422"/>
      <c r="L3" s="422"/>
      <c r="M3" s="422"/>
      <c r="N3" s="422"/>
      <c r="O3" s="422"/>
      <c r="P3" s="422"/>
      <c r="Q3" s="422"/>
    </row>
    <row r="5" spans="2:18">
      <c r="B5" s="425"/>
      <c r="C5" s="425"/>
      <c r="D5" s="317"/>
      <c r="E5" s="426" t="s">
        <v>50</v>
      </c>
      <c r="F5" s="426" t="s">
        <v>51</v>
      </c>
      <c r="G5" s="426" t="s">
        <v>52</v>
      </c>
      <c r="H5" s="426" t="s">
        <v>53</v>
      </c>
      <c r="I5" s="426" t="s">
        <v>54</v>
      </c>
      <c r="J5" s="426" t="s">
        <v>55</v>
      </c>
      <c r="K5" s="426" t="s">
        <v>56</v>
      </c>
      <c r="L5" s="426" t="s">
        <v>57</v>
      </c>
      <c r="M5" s="426" t="s">
        <v>58</v>
      </c>
      <c r="N5" s="426"/>
      <c r="O5" s="426" t="s">
        <v>59</v>
      </c>
      <c r="P5" s="426" t="s">
        <v>60</v>
      </c>
      <c r="Q5" s="426" t="s">
        <v>61</v>
      </c>
    </row>
    <row r="6" spans="2:18" ht="38.25">
      <c r="B6" s="427" t="s">
        <v>1</v>
      </c>
      <c r="C6" s="427" t="s">
        <v>0</v>
      </c>
      <c r="D6" s="428"/>
      <c r="E6" s="429" t="s">
        <v>62</v>
      </c>
      <c r="F6" s="429" t="s">
        <v>63</v>
      </c>
      <c r="G6" s="429" t="s">
        <v>64</v>
      </c>
      <c r="H6" s="429" t="s">
        <v>65</v>
      </c>
      <c r="I6" s="429" t="s">
        <v>66</v>
      </c>
      <c r="J6" s="429" t="s">
        <v>67</v>
      </c>
      <c r="K6" s="429" t="s">
        <v>68</v>
      </c>
      <c r="L6" s="442" t="s">
        <v>69</v>
      </c>
      <c r="M6" s="429" t="s">
        <v>70</v>
      </c>
      <c r="N6" s="428"/>
      <c r="O6" s="429" t="s">
        <v>71</v>
      </c>
      <c r="P6" s="429" t="s">
        <v>72</v>
      </c>
      <c r="Q6" s="429" t="s">
        <v>73</v>
      </c>
    </row>
    <row r="7" spans="2:18">
      <c r="B7" s="430"/>
      <c r="C7" s="430"/>
      <c r="D7" s="430"/>
      <c r="E7" s="430"/>
      <c r="F7" s="430"/>
      <c r="G7" s="430"/>
      <c r="H7" s="430"/>
      <c r="I7" s="430"/>
      <c r="J7" s="430"/>
      <c r="K7" s="430"/>
      <c r="L7" s="430"/>
      <c r="M7" s="430"/>
      <c r="N7" s="430"/>
      <c r="P7" s="430"/>
      <c r="Q7" s="430"/>
    </row>
    <row r="8" spans="2:18">
      <c r="B8" s="421" t="s">
        <v>33</v>
      </c>
      <c r="C8" s="317" t="s">
        <v>34</v>
      </c>
      <c r="D8" s="424"/>
      <c r="E8" s="431">
        <v>2.1</v>
      </c>
      <c r="F8" s="431">
        <v>101.11333333333333</v>
      </c>
      <c r="G8" s="424">
        <f t="shared" ref="G8:G15" si="0">E8/F8</f>
        <v>2.076877431265247E-2</v>
      </c>
      <c r="H8" s="424">
        <f t="shared" ref="H8:H15" si="1">G8*(1+0.5*M8)</f>
        <v>2.1561662650537584E-2</v>
      </c>
      <c r="I8" s="424">
        <v>6.5000000000000002E-2</v>
      </c>
      <c r="J8" s="424">
        <v>6.4500000000000002E-2</v>
      </c>
      <c r="K8" s="424">
        <v>7.4999999999999997E-2</v>
      </c>
      <c r="L8" s="424">
        <v>0.10091555354167581</v>
      </c>
      <c r="M8" s="424">
        <f>AVERAGE(I8:L8)</f>
        <v>7.6353888385418955E-2</v>
      </c>
      <c r="N8" s="424"/>
      <c r="O8" s="424">
        <f>G8*(1+0.5*MIN(I8:L8))+MIN(I8:L8)</f>
        <v>8.5938567284235517E-2</v>
      </c>
      <c r="P8" s="424">
        <f>H8+M8</f>
        <v>9.7915551035956533E-2</v>
      </c>
      <c r="Q8" s="424">
        <f>G8*(1+0.5*MAX(I8:L8))+MAX(I8:L8)</f>
        <v>0.1227322740324</v>
      </c>
    </row>
    <row r="9" spans="2:18">
      <c r="B9" s="432" t="s">
        <v>35</v>
      </c>
      <c r="C9" s="443" t="s">
        <v>32</v>
      </c>
      <c r="D9" s="424"/>
      <c r="E9" s="431">
        <v>1.62</v>
      </c>
      <c r="F9" s="431">
        <v>92.439333333333323</v>
      </c>
      <c r="G9" s="424">
        <f>E9/F9</f>
        <v>1.7525007392235632E-2</v>
      </c>
      <c r="H9" s="424">
        <f t="shared" si="1"/>
        <v>1.82179874895756E-2</v>
      </c>
      <c r="I9" s="424">
        <v>0.06</v>
      </c>
      <c r="J9" s="424">
        <v>0.06</v>
      </c>
      <c r="K9" s="424">
        <v>0.09</v>
      </c>
      <c r="L9" s="424">
        <v>0.10633885536481549</v>
      </c>
      <c r="M9" s="424">
        <f>AVERAGE(I9:L9)</f>
        <v>7.9084713841203871E-2</v>
      </c>
      <c r="N9" s="424"/>
      <c r="O9" s="424">
        <f>G9*(1+0.5*MIN(I9:L9))+MIN(I9:L9)</f>
        <v>7.8050757614002694E-2</v>
      </c>
      <c r="P9" s="424">
        <f>H9+M9</f>
        <v>9.7302701330779479E-2</v>
      </c>
      <c r="Q9" s="424">
        <f>G9*(1+0.5*MAX(I9:L9))+MAX(I9:L9)</f>
        <v>0.12479565737022626</v>
      </c>
    </row>
    <row r="10" spans="2:18">
      <c r="B10" s="421" t="s">
        <v>36</v>
      </c>
      <c r="C10" s="317" t="s">
        <v>37</v>
      </c>
      <c r="D10" s="424"/>
      <c r="E10" s="431">
        <v>1.17</v>
      </c>
      <c r="F10" s="431">
        <v>49.404666666666671</v>
      </c>
      <c r="G10" s="424">
        <f t="shared" si="0"/>
        <v>2.3681973362840215E-2</v>
      </c>
      <c r="H10" s="424">
        <f t="shared" si="1"/>
        <v>2.4303165651919017E-2</v>
      </c>
      <c r="I10" s="424">
        <v>7.0000000000000007E-2</v>
      </c>
      <c r="J10" s="424">
        <v>0.06</v>
      </c>
      <c r="K10" s="424">
        <v>2.5000000000000001E-2</v>
      </c>
      <c r="L10" s="424">
        <v>5.4844772498063347E-2</v>
      </c>
      <c r="M10" s="424">
        <f t="shared" ref="M10:M15" si="2">AVERAGE(I10:L10)</f>
        <v>5.2461193124515838E-2</v>
      </c>
      <c r="N10" s="424"/>
      <c r="O10" s="424" t="s">
        <v>1606</v>
      </c>
      <c r="P10" s="424">
        <f>H10+M10</f>
        <v>7.6764358776434852E-2</v>
      </c>
      <c r="Q10" s="424">
        <f>G10*(1+0.5*MAX(I10:L10))+MAX(I10:L10)</f>
        <v>9.4510842430539629E-2</v>
      </c>
    </row>
    <row r="11" spans="2:18">
      <c r="B11" s="421" t="s">
        <v>1172</v>
      </c>
      <c r="C11" s="317" t="s">
        <v>39</v>
      </c>
      <c r="D11" s="424"/>
      <c r="E11" s="431">
        <v>1.9</v>
      </c>
      <c r="F11" s="431">
        <v>66.823333333333338</v>
      </c>
      <c r="G11" s="424">
        <f t="shared" si="0"/>
        <v>2.8433182022247715E-2</v>
      </c>
      <c r="H11" s="424">
        <f t="shared" si="1"/>
        <v>2.9869793313378617E-2</v>
      </c>
      <c r="I11" s="424">
        <v>4.4999999999999998E-2</v>
      </c>
      <c r="J11" s="424">
        <v>0.04</v>
      </c>
      <c r="K11" s="424">
        <v>0.255</v>
      </c>
      <c r="L11" s="424">
        <v>6.42069691691394E-2</v>
      </c>
      <c r="M11" s="424">
        <f t="shared" si="2"/>
        <v>0.10105174229228484</v>
      </c>
      <c r="N11" s="424"/>
      <c r="O11" s="424" t="s">
        <v>1606</v>
      </c>
      <c r="P11" s="424" t="s">
        <v>1606</v>
      </c>
      <c r="Q11" s="424" t="s">
        <v>1606</v>
      </c>
    </row>
    <row r="12" spans="2:18">
      <c r="B12" s="421" t="s">
        <v>40</v>
      </c>
      <c r="C12" s="317" t="s">
        <v>46</v>
      </c>
      <c r="D12" s="424"/>
      <c r="E12" s="431">
        <v>2</v>
      </c>
      <c r="F12" s="431">
        <v>87.474999999999994</v>
      </c>
      <c r="G12" s="424">
        <f t="shared" si="0"/>
        <v>2.2863675335810234E-2</v>
      </c>
      <c r="H12" s="424">
        <f t="shared" si="1"/>
        <v>2.3583096285983506E-2</v>
      </c>
      <c r="I12" s="424">
        <v>5.9000000000000004E-2</v>
      </c>
      <c r="J12" s="424">
        <v>0.05</v>
      </c>
      <c r="K12" s="424">
        <v>0.09</v>
      </c>
      <c r="L12" s="424">
        <v>5.2725390465629018E-2</v>
      </c>
      <c r="M12" s="424">
        <f t="shared" si="2"/>
        <v>6.2931347616407257E-2</v>
      </c>
      <c r="N12" s="424"/>
      <c r="O12" s="424" t="s">
        <v>1606</v>
      </c>
      <c r="P12" s="424">
        <f>H12+M12</f>
        <v>8.651444390239077E-2</v>
      </c>
      <c r="Q12" s="424">
        <f>G12*(1+0.5*MAX(I12:L12))+MAX(I12:L12)</f>
        <v>0.11389254072592168</v>
      </c>
    </row>
    <row r="13" spans="2:18">
      <c r="B13" s="421" t="s">
        <v>48</v>
      </c>
      <c r="C13" s="317" t="s">
        <v>41</v>
      </c>
      <c r="D13" s="424"/>
      <c r="E13" s="431">
        <v>1.1499999999999999</v>
      </c>
      <c r="F13" s="431">
        <v>31.968000000000004</v>
      </c>
      <c r="G13" s="424">
        <f t="shared" si="0"/>
        <v>3.5973473473473468E-2</v>
      </c>
      <c r="H13" s="424">
        <f t="shared" si="1"/>
        <v>3.7306531021755233E-2</v>
      </c>
      <c r="I13" s="424">
        <v>7.2000000000000008E-2</v>
      </c>
      <c r="J13" s="424">
        <v>5.8999999999999997E-2</v>
      </c>
      <c r="K13" s="424">
        <v>9.5000000000000001E-2</v>
      </c>
      <c r="L13" s="424">
        <v>7.0453451850237048E-2</v>
      </c>
      <c r="M13" s="424">
        <f t="shared" si="2"/>
        <v>7.411336296255927E-2</v>
      </c>
      <c r="N13" s="424"/>
      <c r="O13" s="424">
        <f>G13*(1+0.5*MIN(I13:L13))+MIN(I13:L13)</f>
        <v>9.6034690940940942E-2</v>
      </c>
      <c r="P13" s="424">
        <f>H13+M13</f>
        <v>0.11141989398431451</v>
      </c>
      <c r="Q13" s="424" t="s">
        <v>1606</v>
      </c>
    </row>
    <row r="14" spans="2:18">
      <c r="B14" s="421" t="s">
        <v>44</v>
      </c>
      <c r="C14" s="317" t="s">
        <v>45</v>
      </c>
      <c r="D14" s="424"/>
      <c r="E14" s="431">
        <v>2.37</v>
      </c>
      <c r="F14" s="431">
        <v>83.362666666666669</v>
      </c>
      <c r="G14" s="424">
        <f t="shared" si="0"/>
        <v>2.8429992642589809E-2</v>
      </c>
      <c r="H14" s="424">
        <f t="shared" si="1"/>
        <v>2.9068623968810235E-2</v>
      </c>
      <c r="I14" s="424">
        <v>3.7999999999999999E-2</v>
      </c>
      <c r="J14" s="424">
        <v>2.8199999999999999E-2</v>
      </c>
      <c r="K14" s="424">
        <v>5.5E-2</v>
      </c>
      <c r="L14" s="424">
        <v>5.8506364120184118E-2</v>
      </c>
      <c r="M14" s="424">
        <f t="shared" si="2"/>
        <v>4.492659103004603E-2</v>
      </c>
      <c r="N14" s="424"/>
      <c r="O14" s="424" t="s">
        <v>1606</v>
      </c>
      <c r="P14" s="424" t="s">
        <v>1606</v>
      </c>
      <c r="Q14" s="424">
        <f>G14*(1+0.5*MAX(I14:L14))+MAX(I14:L14)</f>
        <v>8.7768024513514689E-2</v>
      </c>
    </row>
    <row r="15" spans="2:18">
      <c r="B15" s="421" t="s">
        <v>42</v>
      </c>
      <c r="C15" s="317" t="s">
        <v>43</v>
      </c>
      <c r="D15" s="424"/>
      <c r="E15" s="431">
        <v>2.1800000000000002</v>
      </c>
      <c r="F15" s="431">
        <v>82.857000000000014</v>
      </c>
      <c r="G15" s="424">
        <f t="shared" si="0"/>
        <v>2.6310390190327913E-2</v>
      </c>
      <c r="H15" s="424">
        <f t="shared" si="1"/>
        <v>2.7237074430283708E-2</v>
      </c>
      <c r="I15" s="424">
        <v>6.2E-2</v>
      </c>
      <c r="J15" s="424">
        <v>6.3E-2</v>
      </c>
      <c r="K15" s="424">
        <v>8.5000000000000006E-2</v>
      </c>
      <c r="L15" s="424">
        <v>7.1769820440430565E-2</v>
      </c>
      <c r="M15" s="424">
        <f t="shared" si="2"/>
        <v>7.0442455110107646E-2</v>
      </c>
      <c r="N15" s="424"/>
      <c r="O15" s="424">
        <f>G15*(1+0.5*MIN(I15:L15))+MIN(I15:L15)</f>
        <v>8.9126012286228073E-2</v>
      </c>
      <c r="P15" s="424">
        <f>H15+M15</f>
        <v>9.7679529540391358E-2</v>
      </c>
      <c r="Q15" s="424">
        <f>G15*(1+0.5*MAX(I15:L15))+MAX(I15:L15)</f>
        <v>0.11242858177341686</v>
      </c>
    </row>
    <row r="16" spans="2:18">
      <c r="R16" s="421" t="s">
        <v>1607</v>
      </c>
    </row>
    <row r="17" spans="2:18">
      <c r="B17" s="433" t="s">
        <v>74</v>
      </c>
      <c r="C17" s="433"/>
      <c r="D17" s="424"/>
      <c r="E17" s="433"/>
      <c r="F17" s="433"/>
      <c r="G17" s="434">
        <f>AVERAGE(G8:G15)</f>
        <v>2.5498308591522179E-2</v>
      </c>
      <c r="H17" s="434">
        <f t="shared" ref="H17:M17" si="3">AVERAGE(H8:H15)</f>
        <v>2.6393491851530438E-2</v>
      </c>
      <c r="I17" s="434">
        <f t="shared" si="3"/>
        <v>5.8874999999999997E-2</v>
      </c>
      <c r="J17" s="434">
        <f t="shared" si="3"/>
        <v>5.3087500000000003E-2</v>
      </c>
      <c r="K17" s="434">
        <f t="shared" si="3"/>
        <v>9.6249999999999988E-2</v>
      </c>
      <c r="L17" s="434">
        <f t="shared" si="3"/>
        <v>7.2470147181271857E-2</v>
      </c>
      <c r="M17" s="434">
        <f t="shared" si="3"/>
        <v>7.017066179531796E-2</v>
      </c>
      <c r="N17" s="424"/>
      <c r="O17" s="434">
        <f>AVERAGE(O8:O15)</f>
        <v>8.7287507031351796E-2</v>
      </c>
      <c r="P17" s="434">
        <f t="shared" ref="P17:Q17" si="4">AVERAGE(P8:P15)</f>
        <v>9.4599413095044591E-2</v>
      </c>
      <c r="Q17" s="434">
        <f t="shared" si="4"/>
        <v>0.10935465347433652</v>
      </c>
      <c r="R17" s="423">
        <f>AVERAGE(O17,Q17)</f>
        <v>9.8321080252844167E-2</v>
      </c>
    </row>
    <row r="18" spans="2:18">
      <c r="B18" s="435" t="s">
        <v>75</v>
      </c>
      <c r="C18" s="435"/>
      <c r="E18" s="435"/>
      <c r="F18" s="435"/>
      <c r="G18" s="436">
        <f>MEDIAN(G8:G15)</f>
        <v>2.4996181776584064E-2</v>
      </c>
      <c r="H18" s="436">
        <f t="shared" ref="H18:L18" si="5">MEDIAN(H8:H15)</f>
        <v>2.5770120041101362E-2</v>
      </c>
      <c r="I18" s="436">
        <f t="shared" si="5"/>
        <v>6.0999999999999999E-2</v>
      </c>
      <c r="J18" s="436">
        <f t="shared" si="5"/>
        <v>5.9499999999999997E-2</v>
      </c>
      <c r="K18" s="436">
        <f t="shared" si="5"/>
        <v>8.7499999999999994E-2</v>
      </c>
      <c r="L18" s="436">
        <f t="shared" si="5"/>
        <v>6.7330210509688224E-2</v>
      </c>
      <c r="M18" s="436">
        <f>MEDIAN(M8:M15)</f>
        <v>7.2277909036333465E-2</v>
      </c>
      <c r="N18" s="424"/>
      <c r="O18" s="436">
        <f>MEDIAN(O8:O15)</f>
        <v>8.7532289785231795E-2</v>
      </c>
      <c r="P18" s="436">
        <f t="shared" ref="P18:Q18" si="6">MEDIAN(P8:P15)</f>
        <v>9.7491115435585418E-2</v>
      </c>
      <c r="Q18" s="436">
        <f t="shared" si="6"/>
        <v>0.11316056124966928</v>
      </c>
      <c r="R18" s="423">
        <f>AVERAGE(O18,Q18)</f>
        <v>0.10034642551745054</v>
      </c>
    </row>
    <row r="19" spans="2:18">
      <c r="M19" s="437"/>
      <c r="N19" s="424"/>
      <c r="O19" s="424"/>
      <c r="P19" s="424"/>
      <c r="Q19" s="424"/>
      <c r="R19" s="423">
        <f>AVERAGE(R17:R18)</f>
        <v>9.9333752885147356E-2</v>
      </c>
    </row>
    <row r="20" spans="2:18">
      <c r="B20" s="435" t="s">
        <v>76</v>
      </c>
      <c r="I20" s="438"/>
      <c r="J20" s="438"/>
      <c r="K20" s="438"/>
    </row>
    <row r="21" spans="2:18">
      <c r="B21" s="421" t="s">
        <v>77</v>
      </c>
      <c r="I21" s="438"/>
      <c r="J21" s="438"/>
      <c r="K21" s="438"/>
      <c r="L21" s="424"/>
      <c r="R21" s="423">
        <f>AVERAGE(O8:Q15)</f>
        <v>9.8304651721355857E-2</v>
      </c>
    </row>
    <row r="22" spans="2:18">
      <c r="B22" s="421" t="s">
        <v>1605</v>
      </c>
      <c r="K22" s="424"/>
      <c r="L22" s="424"/>
      <c r="R22" s="423"/>
    </row>
    <row r="23" spans="2:18">
      <c r="B23" s="439" t="s">
        <v>78</v>
      </c>
      <c r="K23" s="424"/>
      <c r="L23" s="424"/>
    </row>
    <row r="24" spans="2:18">
      <c r="B24" s="439" t="s">
        <v>79</v>
      </c>
      <c r="K24" s="424"/>
      <c r="L24" s="424"/>
    </row>
    <row r="25" spans="2:18">
      <c r="B25" s="439" t="s">
        <v>80</v>
      </c>
      <c r="K25" s="424"/>
      <c r="L25" s="317"/>
    </row>
    <row r="26" spans="2:18">
      <c r="B26" s="439" t="s">
        <v>81</v>
      </c>
      <c r="K26" s="424"/>
      <c r="L26" s="424"/>
    </row>
    <row r="27" spans="2:18">
      <c r="B27" s="439" t="s">
        <v>82</v>
      </c>
      <c r="K27" s="424"/>
      <c r="L27" s="424"/>
    </row>
    <row r="28" spans="2:18">
      <c r="B28" s="439" t="s">
        <v>1189</v>
      </c>
      <c r="K28" s="424"/>
      <c r="L28" s="424"/>
    </row>
    <row r="29" spans="2:18">
      <c r="B29" s="439" t="s">
        <v>83</v>
      </c>
      <c r="K29" s="424"/>
      <c r="L29" s="424"/>
    </row>
    <row r="30" spans="2:18">
      <c r="B30" s="439" t="s">
        <v>84</v>
      </c>
      <c r="K30" s="424"/>
      <c r="L30" s="424"/>
    </row>
    <row r="31" spans="2:18">
      <c r="B31" s="439" t="s">
        <v>85</v>
      </c>
    </row>
    <row r="32" spans="2:18">
      <c r="B32" s="439" t="s">
        <v>86</v>
      </c>
    </row>
    <row r="33" spans="2:2">
      <c r="B33" s="439"/>
    </row>
  </sheetData>
  <printOptions horizontalCentered="1"/>
  <pageMargins left="0.7" right="0.7" top="0.75" bottom="0.75" header="0.3" footer="0.3"/>
  <pageSetup scale="71" fitToHeight="0" orientation="landscape" useFirstPageNumber="1" r:id="rId1"/>
  <headerFooter scaleWithDoc="0">
    <oddHeader>&amp;R&amp;10DEU Exhibit 2.15R
Page &amp;P of 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FZ46"/>
  <sheetViews>
    <sheetView view="pageBreakPreview" zoomScale="85" zoomScaleNormal="70" zoomScaleSheetLayoutView="85" zoomScalePageLayoutView="85" workbookViewId="0">
      <selection activeCell="C11" sqref="C11"/>
    </sheetView>
  </sheetViews>
  <sheetFormatPr defaultColWidth="8.375" defaultRowHeight="12.75"/>
  <cols>
    <col min="1" max="1" width="2.25" style="421" customWidth="1"/>
    <col min="2" max="2" width="31.875" style="421" customWidth="1"/>
    <col min="3" max="3" width="8.375" style="421"/>
    <col min="4" max="4" width="1.125" style="421" customWidth="1"/>
    <col min="5" max="5" width="9.875" style="421" customWidth="1"/>
    <col min="6" max="6" width="8.875" style="421" customWidth="1"/>
    <col min="7" max="9" width="8.375" style="421"/>
    <col min="10" max="10" width="9.25" style="421" customWidth="1"/>
    <col min="11" max="12" width="8.375" style="421"/>
    <col min="13" max="13" width="14.875" style="421" bestFit="1" customWidth="1"/>
    <col min="14" max="14" width="8.125" style="421" customWidth="1"/>
    <col min="15" max="15" width="6.5" style="421" bestFit="1" customWidth="1"/>
    <col min="16" max="16" width="8.875" style="421" customWidth="1"/>
    <col min="17" max="26" width="8.375" style="421"/>
    <col min="27" max="27" width="9" style="421" customWidth="1"/>
    <col min="28" max="30" width="8.375" style="421"/>
    <col min="31" max="31" width="9.375" style="421" bestFit="1" customWidth="1"/>
    <col min="32" max="35" width="8.5" style="421" bestFit="1" customWidth="1"/>
    <col min="36" max="181" width="9.5" style="421" bestFit="1" customWidth="1"/>
    <col min="182" max="182" width="8.5" style="421" bestFit="1" customWidth="1"/>
    <col min="183" max="16384" width="8.375" style="421"/>
  </cols>
  <sheetData>
    <row r="4" spans="2:182">
      <c r="B4" s="422" t="s">
        <v>1879</v>
      </c>
      <c r="C4" s="422"/>
      <c r="D4" s="422"/>
      <c r="E4" s="422"/>
      <c r="F4" s="422"/>
      <c r="G4" s="422"/>
      <c r="H4" s="422"/>
      <c r="I4" s="422"/>
      <c r="J4" s="422"/>
      <c r="K4" s="422"/>
      <c r="L4" s="422"/>
    </row>
    <row r="5" spans="2:182">
      <c r="B5" s="422" t="s">
        <v>1880</v>
      </c>
      <c r="C5" s="422"/>
      <c r="D5" s="422"/>
      <c r="E5" s="422"/>
      <c r="F5" s="422"/>
      <c r="G5" s="422"/>
      <c r="H5" s="422"/>
      <c r="I5" s="422"/>
      <c r="J5" s="422"/>
      <c r="K5" s="422"/>
      <c r="L5" s="422"/>
    </row>
    <row r="7" spans="2:182">
      <c r="B7" s="425"/>
      <c r="C7" s="425"/>
      <c r="D7" s="317"/>
      <c r="E7" s="426" t="s">
        <v>50</v>
      </c>
      <c r="F7" s="426" t="s">
        <v>51</v>
      </c>
      <c r="G7" s="426" t="s">
        <v>52</v>
      </c>
      <c r="H7" s="426" t="s">
        <v>53</v>
      </c>
      <c r="I7" s="426" t="s">
        <v>54</v>
      </c>
      <c r="J7" s="426" t="s">
        <v>55</v>
      </c>
      <c r="K7" s="426" t="s">
        <v>56</v>
      </c>
    </row>
    <row r="8" spans="2:182" ht="38.25">
      <c r="B8" s="427" t="s">
        <v>1</v>
      </c>
      <c r="C8" s="427" t="s">
        <v>0</v>
      </c>
      <c r="D8" s="428"/>
      <c r="E8" s="429" t="s">
        <v>63</v>
      </c>
      <c r="F8" s="429" t="s">
        <v>62</v>
      </c>
      <c r="G8" s="429" t="s">
        <v>64</v>
      </c>
      <c r="H8" s="429" t="s">
        <v>65</v>
      </c>
      <c r="I8" s="429" t="s">
        <v>1624</v>
      </c>
      <c r="J8" s="429" t="s">
        <v>72</v>
      </c>
      <c r="K8" s="429" t="s">
        <v>1625</v>
      </c>
      <c r="AE8" s="441" t="s">
        <v>1619</v>
      </c>
      <c r="AF8" s="737">
        <v>1</v>
      </c>
      <c r="AG8" s="737">
        <f>AF8+1</f>
        <v>2</v>
      </c>
      <c r="AH8" s="737">
        <f t="shared" ref="AH8:CS8" si="0">AG8+1</f>
        <v>3</v>
      </c>
      <c r="AI8" s="737">
        <f t="shared" si="0"/>
        <v>4</v>
      </c>
      <c r="AJ8" s="737">
        <f t="shared" si="0"/>
        <v>5</v>
      </c>
      <c r="AK8" s="737">
        <f t="shared" si="0"/>
        <v>6</v>
      </c>
      <c r="AL8" s="737">
        <f t="shared" si="0"/>
        <v>7</v>
      </c>
      <c r="AM8" s="737">
        <f t="shared" si="0"/>
        <v>8</v>
      </c>
      <c r="AN8" s="737">
        <f t="shared" si="0"/>
        <v>9</v>
      </c>
      <c r="AO8" s="737">
        <f t="shared" si="0"/>
        <v>10</v>
      </c>
      <c r="AP8" s="737">
        <f t="shared" si="0"/>
        <v>11</v>
      </c>
      <c r="AQ8" s="737">
        <f t="shared" si="0"/>
        <v>12</v>
      </c>
      <c r="AR8" s="737">
        <f t="shared" si="0"/>
        <v>13</v>
      </c>
      <c r="AS8" s="737">
        <f t="shared" si="0"/>
        <v>14</v>
      </c>
      <c r="AT8" s="737">
        <f t="shared" si="0"/>
        <v>15</v>
      </c>
      <c r="AU8" s="737">
        <f t="shared" si="0"/>
        <v>16</v>
      </c>
      <c r="AV8" s="737">
        <f t="shared" si="0"/>
        <v>17</v>
      </c>
      <c r="AW8" s="737">
        <f t="shared" si="0"/>
        <v>18</v>
      </c>
      <c r="AX8" s="737">
        <f t="shared" si="0"/>
        <v>19</v>
      </c>
      <c r="AY8" s="737">
        <f t="shared" si="0"/>
        <v>20</v>
      </c>
      <c r="AZ8" s="737">
        <f t="shared" si="0"/>
        <v>21</v>
      </c>
      <c r="BA8" s="737">
        <f t="shared" si="0"/>
        <v>22</v>
      </c>
      <c r="BB8" s="737">
        <f t="shared" si="0"/>
        <v>23</v>
      </c>
      <c r="BC8" s="737">
        <f t="shared" si="0"/>
        <v>24</v>
      </c>
      <c r="BD8" s="737">
        <f t="shared" si="0"/>
        <v>25</v>
      </c>
      <c r="BE8" s="737">
        <f t="shared" si="0"/>
        <v>26</v>
      </c>
      <c r="BF8" s="737">
        <f t="shared" si="0"/>
        <v>27</v>
      </c>
      <c r="BG8" s="737">
        <f t="shared" si="0"/>
        <v>28</v>
      </c>
      <c r="BH8" s="737">
        <f t="shared" si="0"/>
        <v>29</v>
      </c>
      <c r="BI8" s="737">
        <f t="shared" si="0"/>
        <v>30</v>
      </c>
      <c r="BJ8" s="737">
        <f t="shared" si="0"/>
        <v>31</v>
      </c>
      <c r="BK8" s="737">
        <f t="shared" si="0"/>
        <v>32</v>
      </c>
      <c r="BL8" s="737">
        <f t="shared" si="0"/>
        <v>33</v>
      </c>
      <c r="BM8" s="737">
        <f t="shared" si="0"/>
        <v>34</v>
      </c>
      <c r="BN8" s="737">
        <f t="shared" si="0"/>
        <v>35</v>
      </c>
      <c r="BO8" s="737">
        <f t="shared" si="0"/>
        <v>36</v>
      </c>
      <c r="BP8" s="737">
        <f t="shared" si="0"/>
        <v>37</v>
      </c>
      <c r="BQ8" s="737">
        <f t="shared" si="0"/>
        <v>38</v>
      </c>
      <c r="BR8" s="737">
        <f t="shared" si="0"/>
        <v>39</v>
      </c>
      <c r="BS8" s="737">
        <f t="shared" si="0"/>
        <v>40</v>
      </c>
      <c r="BT8" s="737">
        <f t="shared" si="0"/>
        <v>41</v>
      </c>
      <c r="BU8" s="737">
        <f t="shared" si="0"/>
        <v>42</v>
      </c>
      <c r="BV8" s="737">
        <f t="shared" si="0"/>
        <v>43</v>
      </c>
      <c r="BW8" s="737">
        <f t="shared" si="0"/>
        <v>44</v>
      </c>
      <c r="BX8" s="737">
        <f t="shared" si="0"/>
        <v>45</v>
      </c>
      <c r="BY8" s="737">
        <f t="shared" si="0"/>
        <v>46</v>
      </c>
      <c r="BZ8" s="737">
        <f t="shared" si="0"/>
        <v>47</v>
      </c>
      <c r="CA8" s="737">
        <f t="shared" si="0"/>
        <v>48</v>
      </c>
      <c r="CB8" s="737">
        <f t="shared" si="0"/>
        <v>49</v>
      </c>
      <c r="CC8" s="737">
        <f t="shared" si="0"/>
        <v>50</v>
      </c>
      <c r="CD8" s="737">
        <f t="shared" si="0"/>
        <v>51</v>
      </c>
      <c r="CE8" s="737">
        <f t="shared" si="0"/>
        <v>52</v>
      </c>
      <c r="CF8" s="737">
        <f t="shared" si="0"/>
        <v>53</v>
      </c>
      <c r="CG8" s="737">
        <f t="shared" si="0"/>
        <v>54</v>
      </c>
      <c r="CH8" s="737">
        <f t="shared" si="0"/>
        <v>55</v>
      </c>
      <c r="CI8" s="737">
        <f t="shared" si="0"/>
        <v>56</v>
      </c>
      <c r="CJ8" s="737">
        <f t="shared" si="0"/>
        <v>57</v>
      </c>
      <c r="CK8" s="737">
        <f t="shared" si="0"/>
        <v>58</v>
      </c>
      <c r="CL8" s="737">
        <f t="shared" si="0"/>
        <v>59</v>
      </c>
      <c r="CM8" s="737">
        <f t="shared" si="0"/>
        <v>60</v>
      </c>
      <c r="CN8" s="737">
        <f t="shared" si="0"/>
        <v>61</v>
      </c>
      <c r="CO8" s="737">
        <f t="shared" si="0"/>
        <v>62</v>
      </c>
      <c r="CP8" s="737">
        <f t="shared" si="0"/>
        <v>63</v>
      </c>
      <c r="CQ8" s="737">
        <f t="shared" si="0"/>
        <v>64</v>
      </c>
      <c r="CR8" s="737">
        <f t="shared" si="0"/>
        <v>65</v>
      </c>
      <c r="CS8" s="737">
        <f t="shared" si="0"/>
        <v>66</v>
      </c>
      <c r="CT8" s="737">
        <f t="shared" ref="CT8:FE8" si="1">CS8+1</f>
        <v>67</v>
      </c>
      <c r="CU8" s="737">
        <f t="shared" si="1"/>
        <v>68</v>
      </c>
      <c r="CV8" s="737">
        <f t="shared" si="1"/>
        <v>69</v>
      </c>
      <c r="CW8" s="737">
        <f t="shared" si="1"/>
        <v>70</v>
      </c>
      <c r="CX8" s="737">
        <f t="shared" si="1"/>
        <v>71</v>
      </c>
      <c r="CY8" s="737">
        <f t="shared" si="1"/>
        <v>72</v>
      </c>
      <c r="CZ8" s="737">
        <f t="shared" si="1"/>
        <v>73</v>
      </c>
      <c r="DA8" s="737">
        <f t="shared" si="1"/>
        <v>74</v>
      </c>
      <c r="DB8" s="737">
        <f t="shared" si="1"/>
        <v>75</v>
      </c>
      <c r="DC8" s="737">
        <f t="shared" si="1"/>
        <v>76</v>
      </c>
      <c r="DD8" s="737">
        <f t="shared" si="1"/>
        <v>77</v>
      </c>
      <c r="DE8" s="737">
        <f t="shared" si="1"/>
        <v>78</v>
      </c>
      <c r="DF8" s="737">
        <f t="shared" si="1"/>
        <v>79</v>
      </c>
      <c r="DG8" s="737">
        <f t="shared" si="1"/>
        <v>80</v>
      </c>
      <c r="DH8" s="737">
        <f t="shared" si="1"/>
        <v>81</v>
      </c>
      <c r="DI8" s="737">
        <f t="shared" si="1"/>
        <v>82</v>
      </c>
      <c r="DJ8" s="737">
        <f t="shared" si="1"/>
        <v>83</v>
      </c>
      <c r="DK8" s="737">
        <f t="shared" si="1"/>
        <v>84</v>
      </c>
      <c r="DL8" s="737">
        <f t="shared" si="1"/>
        <v>85</v>
      </c>
      <c r="DM8" s="737">
        <f t="shared" si="1"/>
        <v>86</v>
      </c>
      <c r="DN8" s="737">
        <f t="shared" si="1"/>
        <v>87</v>
      </c>
      <c r="DO8" s="737">
        <f t="shared" si="1"/>
        <v>88</v>
      </c>
      <c r="DP8" s="737">
        <f t="shared" si="1"/>
        <v>89</v>
      </c>
      <c r="DQ8" s="737">
        <f t="shared" si="1"/>
        <v>90</v>
      </c>
      <c r="DR8" s="737">
        <f t="shared" si="1"/>
        <v>91</v>
      </c>
      <c r="DS8" s="737">
        <f t="shared" si="1"/>
        <v>92</v>
      </c>
      <c r="DT8" s="737">
        <f t="shared" si="1"/>
        <v>93</v>
      </c>
      <c r="DU8" s="737">
        <f t="shared" si="1"/>
        <v>94</v>
      </c>
      <c r="DV8" s="737">
        <f t="shared" si="1"/>
        <v>95</v>
      </c>
      <c r="DW8" s="737">
        <f t="shared" si="1"/>
        <v>96</v>
      </c>
      <c r="DX8" s="737">
        <f t="shared" si="1"/>
        <v>97</v>
      </c>
      <c r="DY8" s="737">
        <f t="shared" si="1"/>
        <v>98</v>
      </c>
      <c r="DZ8" s="737">
        <f t="shared" si="1"/>
        <v>99</v>
      </c>
      <c r="EA8" s="737">
        <f t="shared" si="1"/>
        <v>100</v>
      </c>
      <c r="EB8" s="737">
        <f t="shared" si="1"/>
        <v>101</v>
      </c>
      <c r="EC8" s="737">
        <f t="shared" si="1"/>
        <v>102</v>
      </c>
      <c r="ED8" s="737">
        <f t="shared" si="1"/>
        <v>103</v>
      </c>
      <c r="EE8" s="737">
        <f t="shared" si="1"/>
        <v>104</v>
      </c>
      <c r="EF8" s="737">
        <f t="shared" si="1"/>
        <v>105</v>
      </c>
      <c r="EG8" s="737">
        <f t="shared" si="1"/>
        <v>106</v>
      </c>
      <c r="EH8" s="737">
        <f t="shared" si="1"/>
        <v>107</v>
      </c>
      <c r="EI8" s="737">
        <f t="shared" si="1"/>
        <v>108</v>
      </c>
      <c r="EJ8" s="737">
        <f t="shared" si="1"/>
        <v>109</v>
      </c>
      <c r="EK8" s="737">
        <f t="shared" si="1"/>
        <v>110</v>
      </c>
      <c r="EL8" s="737">
        <f t="shared" si="1"/>
        <v>111</v>
      </c>
      <c r="EM8" s="737">
        <f t="shared" si="1"/>
        <v>112</v>
      </c>
      <c r="EN8" s="737">
        <f t="shared" si="1"/>
        <v>113</v>
      </c>
      <c r="EO8" s="737">
        <f t="shared" si="1"/>
        <v>114</v>
      </c>
      <c r="EP8" s="737">
        <f t="shared" si="1"/>
        <v>115</v>
      </c>
      <c r="EQ8" s="737">
        <f t="shared" si="1"/>
        <v>116</v>
      </c>
      <c r="ER8" s="737">
        <f t="shared" si="1"/>
        <v>117</v>
      </c>
      <c r="ES8" s="737">
        <f t="shared" si="1"/>
        <v>118</v>
      </c>
      <c r="ET8" s="737">
        <f t="shared" si="1"/>
        <v>119</v>
      </c>
      <c r="EU8" s="737">
        <f t="shared" si="1"/>
        <v>120</v>
      </c>
      <c r="EV8" s="737">
        <f t="shared" si="1"/>
        <v>121</v>
      </c>
      <c r="EW8" s="737">
        <f t="shared" si="1"/>
        <v>122</v>
      </c>
      <c r="EX8" s="737">
        <f t="shared" si="1"/>
        <v>123</v>
      </c>
      <c r="EY8" s="737">
        <f t="shared" si="1"/>
        <v>124</v>
      </c>
      <c r="EZ8" s="737">
        <f t="shared" si="1"/>
        <v>125</v>
      </c>
      <c r="FA8" s="737">
        <f t="shared" si="1"/>
        <v>126</v>
      </c>
      <c r="FB8" s="737">
        <f t="shared" si="1"/>
        <v>127</v>
      </c>
      <c r="FC8" s="737">
        <f t="shared" si="1"/>
        <v>128</v>
      </c>
      <c r="FD8" s="737">
        <f t="shared" si="1"/>
        <v>129</v>
      </c>
      <c r="FE8" s="737">
        <f t="shared" si="1"/>
        <v>130</v>
      </c>
      <c r="FF8" s="737">
        <f t="shared" ref="FF8:FY8" si="2">FE8+1</f>
        <v>131</v>
      </c>
      <c r="FG8" s="737">
        <f t="shared" si="2"/>
        <v>132</v>
      </c>
      <c r="FH8" s="737">
        <f t="shared" si="2"/>
        <v>133</v>
      </c>
      <c r="FI8" s="737">
        <f t="shared" si="2"/>
        <v>134</v>
      </c>
      <c r="FJ8" s="737">
        <f t="shared" si="2"/>
        <v>135</v>
      </c>
      <c r="FK8" s="737">
        <f t="shared" si="2"/>
        <v>136</v>
      </c>
      <c r="FL8" s="737">
        <f t="shared" si="2"/>
        <v>137</v>
      </c>
      <c r="FM8" s="737">
        <f t="shared" si="2"/>
        <v>138</v>
      </c>
      <c r="FN8" s="737">
        <f t="shared" si="2"/>
        <v>139</v>
      </c>
      <c r="FO8" s="737">
        <f t="shared" si="2"/>
        <v>140</v>
      </c>
      <c r="FP8" s="737">
        <f t="shared" si="2"/>
        <v>141</v>
      </c>
      <c r="FQ8" s="737">
        <f t="shared" si="2"/>
        <v>142</v>
      </c>
      <c r="FR8" s="737">
        <f t="shared" si="2"/>
        <v>143</v>
      </c>
      <c r="FS8" s="737">
        <f t="shared" si="2"/>
        <v>144</v>
      </c>
      <c r="FT8" s="737">
        <f t="shared" si="2"/>
        <v>145</v>
      </c>
      <c r="FU8" s="737">
        <f t="shared" si="2"/>
        <v>146</v>
      </c>
      <c r="FV8" s="737">
        <f t="shared" si="2"/>
        <v>147</v>
      </c>
      <c r="FW8" s="737">
        <f t="shared" si="2"/>
        <v>148</v>
      </c>
      <c r="FX8" s="737">
        <f t="shared" si="2"/>
        <v>149</v>
      </c>
      <c r="FY8" s="737">
        <f t="shared" si="2"/>
        <v>150</v>
      </c>
      <c r="FZ8" s="737" t="s">
        <v>1620</v>
      </c>
    </row>
    <row r="9" spans="2:182">
      <c r="B9" s="430"/>
      <c r="C9" s="430"/>
      <c r="D9" s="430"/>
      <c r="E9" s="430"/>
      <c r="F9" s="430"/>
      <c r="G9" s="430"/>
      <c r="H9" s="430"/>
      <c r="I9" s="430"/>
      <c r="J9" s="430"/>
      <c r="K9" s="430"/>
      <c r="AE9" s="738"/>
      <c r="AF9" s="738"/>
      <c r="AG9" s="738"/>
      <c r="AH9" s="738"/>
      <c r="AI9" s="738"/>
      <c r="AJ9" s="738"/>
      <c r="AK9" s="738"/>
      <c r="AL9" s="738"/>
      <c r="AM9" s="738"/>
      <c r="AN9" s="738"/>
      <c r="AO9" s="738"/>
      <c r="AP9" s="738"/>
      <c r="AQ9" s="738"/>
      <c r="AR9" s="738"/>
      <c r="AS9" s="738"/>
      <c r="AT9" s="738"/>
      <c r="AU9" s="738"/>
      <c r="AV9" s="738"/>
      <c r="AW9" s="738"/>
      <c r="AX9" s="738"/>
      <c r="AY9" s="738"/>
      <c r="AZ9" s="738"/>
      <c r="BA9" s="738"/>
      <c r="BB9" s="738"/>
      <c r="BC9" s="738"/>
      <c r="BD9" s="738"/>
      <c r="BE9" s="738"/>
      <c r="BF9" s="738"/>
      <c r="BG9" s="738"/>
      <c r="BH9" s="738"/>
      <c r="BI9" s="738"/>
      <c r="BJ9" s="738"/>
      <c r="BK9" s="738"/>
      <c r="BL9" s="738"/>
      <c r="BM9" s="738"/>
      <c r="BN9" s="738"/>
      <c r="BO9" s="738"/>
      <c r="BP9" s="738"/>
      <c r="BQ9" s="738"/>
      <c r="BR9" s="738"/>
      <c r="BS9" s="738"/>
      <c r="BT9" s="738"/>
      <c r="BU9" s="738"/>
      <c r="BV9" s="738"/>
      <c r="BW9" s="738"/>
      <c r="BX9" s="738"/>
      <c r="BY9" s="738"/>
      <c r="BZ9" s="738"/>
      <c r="CA9" s="738"/>
      <c r="CB9" s="738"/>
      <c r="CC9" s="738"/>
      <c r="CD9" s="738"/>
      <c r="CE9" s="738"/>
      <c r="CF9" s="738"/>
      <c r="CG9" s="738"/>
      <c r="CH9" s="738"/>
      <c r="CI9" s="738"/>
      <c r="CJ9" s="738"/>
      <c r="CK9" s="738"/>
      <c r="CL9" s="738"/>
      <c r="CM9" s="738"/>
      <c r="CN9" s="738"/>
      <c r="CO9" s="738"/>
      <c r="CP9" s="738"/>
      <c r="CQ9" s="738"/>
      <c r="CR9" s="738"/>
      <c r="CS9" s="738"/>
      <c r="CT9" s="738"/>
      <c r="CU9" s="738"/>
      <c r="CV9" s="738"/>
      <c r="CW9" s="738"/>
      <c r="CX9" s="738"/>
      <c r="CY9" s="738"/>
      <c r="CZ9" s="738"/>
      <c r="DA9" s="738"/>
      <c r="DB9" s="738"/>
      <c r="DC9" s="738"/>
      <c r="DD9" s="738"/>
      <c r="DE9" s="738"/>
      <c r="DF9" s="738"/>
      <c r="DG9" s="738"/>
      <c r="DH9" s="738"/>
      <c r="DI9" s="738"/>
      <c r="DJ9" s="738"/>
      <c r="DK9" s="738"/>
      <c r="DL9" s="738"/>
      <c r="DM9" s="738"/>
      <c r="DN9" s="738"/>
      <c r="DO9" s="738"/>
      <c r="DP9" s="738"/>
      <c r="DQ9" s="738"/>
      <c r="DR9" s="738"/>
      <c r="DS9" s="738"/>
      <c r="DT9" s="738"/>
      <c r="DU9" s="738"/>
      <c r="DV9" s="738"/>
      <c r="DW9" s="738"/>
      <c r="DX9" s="738"/>
      <c r="DY9" s="738"/>
      <c r="DZ9" s="738"/>
      <c r="EA9" s="738"/>
      <c r="EB9" s="738"/>
      <c r="EC9" s="738"/>
      <c r="ED9" s="738"/>
      <c r="EE9" s="738"/>
      <c r="EF9" s="738"/>
      <c r="EG9" s="738"/>
      <c r="EH9" s="738"/>
      <c r="EI9" s="738"/>
      <c r="EJ9" s="738"/>
      <c r="EK9" s="738"/>
      <c r="EL9" s="738"/>
      <c r="EM9" s="738"/>
      <c r="EN9" s="738"/>
      <c r="EO9" s="738"/>
      <c r="EP9" s="738"/>
      <c r="EQ9" s="738"/>
      <c r="ER9" s="738"/>
      <c r="ES9" s="738"/>
      <c r="ET9" s="738"/>
      <c r="EU9" s="738"/>
      <c r="EV9" s="738"/>
      <c r="EW9" s="738"/>
      <c r="EX9" s="738"/>
      <c r="EY9" s="738"/>
      <c r="EZ9" s="738"/>
      <c r="FA9" s="738"/>
      <c r="FB9" s="738"/>
      <c r="FC9" s="738"/>
      <c r="FD9" s="738"/>
      <c r="FE9" s="738"/>
      <c r="FF9" s="738"/>
      <c r="FG9" s="738"/>
      <c r="FH9" s="738"/>
      <c r="FI9" s="738"/>
      <c r="FJ9" s="738"/>
      <c r="FK9" s="738"/>
      <c r="FL9" s="738"/>
      <c r="FM9" s="738"/>
      <c r="FN9" s="738"/>
      <c r="FO9" s="738"/>
      <c r="FP9" s="738"/>
      <c r="FQ9" s="738"/>
      <c r="FR9" s="738"/>
      <c r="FS9" s="738"/>
      <c r="FT9" s="738"/>
      <c r="FU9" s="738"/>
      <c r="FV9" s="738"/>
      <c r="FW9" s="738"/>
      <c r="FX9" s="738"/>
      <c r="FY9" s="738"/>
      <c r="FZ9" s="739"/>
    </row>
    <row r="10" spans="2:182">
      <c r="B10" s="421" t="s">
        <v>33</v>
      </c>
      <c r="C10" s="317" t="s">
        <v>34</v>
      </c>
      <c r="D10" s="424"/>
      <c r="E10" s="431">
        <v>110.76333333333334</v>
      </c>
      <c r="F10" s="431">
        <v>2.1</v>
      </c>
      <c r="G10" s="424">
        <f>F10/E10</f>
        <v>1.8959342742784917E-2</v>
      </c>
      <c r="H10" s="424">
        <f t="shared" ref="H10:H17" si="3">G10*(1+0.5*I10)</f>
        <v>1.9612492100273861E-2</v>
      </c>
      <c r="I10" s="424">
        <v>6.8900000000000003E-2</v>
      </c>
      <c r="J10" s="424">
        <f t="shared" ref="J10:J16" si="4">H10+I10</f>
        <v>8.8512492100273871E-2</v>
      </c>
      <c r="K10" s="424">
        <f>J10</f>
        <v>8.8512492100273871E-2</v>
      </c>
      <c r="AE10" s="738">
        <f t="shared" ref="AE10:AE17" si="5">-1*H33</f>
        <v>-110.76333333333334</v>
      </c>
      <c r="AF10" s="738">
        <f t="shared" ref="AF10:AI17" si="6">I33</f>
        <v>2.2400000000000002</v>
      </c>
      <c r="AG10" s="738">
        <f t="shared" si="6"/>
        <v>2.3933333333333335</v>
      </c>
      <c r="AH10" s="738">
        <f t="shared" si="6"/>
        <v>2.5466666666666669</v>
      </c>
      <c r="AI10" s="738">
        <f t="shared" si="6"/>
        <v>2.7</v>
      </c>
      <c r="AJ10" s="738">
        <f t="shared" ref="AJ10:BO10" si="7">(1+$N$33)*AI10</f>
        <v>3.0342975420531308</v>
      </c>
      <c r="AK10" s="738">
        <f t="shared" si="7"/>
        <v>3.4099857680406189</v>
      </c>
      <c r="AL10" s="738">
        <f t="shared" si="7"/>
        <v>3.8321894201488171</v>
      </c>
      <c r="AM10" s="738">
        <f t="shared" si="7"/>
        <v>4.3066677549035433</v>
      </c>
      <c r="AN10" s="738">
        <f t="shared" si="7"/>
        <v>4.8398931048678868</v>
      </c>
      <c r="AO10" s="738">
        <f t="shared" si="7"/>
        <v>5.4391391673705645</v>
      </c>
      <c r="AP10" s="738">
        <f t="shared" si="7"/>
        <v>6.1125802246064502</v>
      </c>
      <c r="AQ10" s="738">
        <f t="shared" si="7"/>
        <v>6.8694026485651571</v>
      </c>
      <c r="AR10" s="738">
        <f t="shared" si="7"/>
        <v>7.7199302118201931</v>
      </c>
      <c r="AS10" s="738">
        <f t="shared" si="7"/>
        <v>8.6757649135361916</v>
      </c>
      <c r="AT10" s="738">
        <f t="shared" si="7"/>
        <v>9.7499452416939469</v>
      </c>
      <c r="AU10" s="738">
        <f t="shared" si="7"/>
        <v>10.957124030379466</v>
      </c>
      <c r="AV10" s="738">
        <f t="shared" si="7"/>
        <v>12.313768338278409</v>
      </c>
      <c r="AW10" s="738">
        <f t="shared" si="7"/>
        <v>13.838384074907347</v>
      </c>
      <c r="AX10" s="738">
        <f t="shared" si="7"/>
        <v>15.55176843869576</v>
      </c>
      <c r="AY10" s="738">
        <f t="shared" si="7"/>
        <v>17.477293610412591</v>
      </c>
      <c r="AZ10" s="738">
        <f t="shared" si="7"/>
        <v>19.641225571783632</v>
      </c>
      <c r="BA10" s="738">
        <f t="shared" si="7"/>
        <v>22.073082398286729</v>
      </c>
      <c r="BB10" s="738">
        <f t="shared" si="7"/>
        <v>24.806036913576904</v>
      </c>
      <c r="BC10" s="738">
        <f t="shared" si="7"/>
        <v>27.877369198128008</v>
      </c>
      <c r="BD10" s="738">
        <f t="shared" si="7"/>
        <v>31.3289751247361</v>
      </c>
      <c r="BE10" s="738">
        <f t="shared" si="7"/>
        <v>35.207937857789041</v>
      </c>
      <c r="BF10" s="738">
        <f t="shared" si="7"/>
        <v>39.567170112092093</v>
      </c>
      <c r="BG10" s="738">
        <f t="shared" si="7"/>
        <v>44.466135932266347</v>
      </c>
      <c r="BH10" s="738">
        <f t="shared" si="7"/>
        <v>49.971661838472656</v>
      </c>
      <c r="BI10" s="738">
        <f t="shared" si="7"/>
        <v>56.158848403254744</v>
      </c>
      <c r="BJ10" s="738">
        <f t="shared" si="7"/>
        <v>63.112094694270461</v>
      </c>
      <c r="BK10" s="738">
        <f t="shared" si="7"/>
        <v>70.926249557277515</v>
      </c>
      <c r="BL10" s="738">
        <f t="shared" si="7"/>
        <v>79.707905443960783</v>
      </c>
      <c r="BM10" s="738">
        <f t="shared" si="7"/>
        <v>89.576852433634642</v>
      </c>
      <c r="BN10" s="738">
        <f t="shared" si="7"/>
        <v>100.66771228304947</v>
      </c>
      <c r="BO10" s="738">
        <f t="shared" si="7"/>
        <v>113.13177479428472</v>
      </c>
      <c r="BP10" s="738">
        <f t="shared" ref="BP10:CU10" si="8">(1+$N$33)*BO10</f>
        <v>127.13906155052091</v>
      </c>
      <c r="BQ10" s="738">
        <f t="shared" si="8"/>
        <v>142.88064517099528</v>
      </c>
      <c r="BR10" s="738">
        <f t="shared" si="8"/>
        <v>160.57125572196907</v>
      </c>
      <c r="BS10" s="738">
        <f t="shared" si="8"/>
        <v>180.45220983761311</v>
      </c>
      <c r="BT10" s="738">
        <f t="shared" si="8"/>
        <v>202.7947025067871</v>
      </c>
      <c r="BU10" s="738">
        <f t="shared" si="8"/>
        <v>227.90350642879258</v>
      </c>
      <c r="BV10" s="738">
        <f t="shared" si="8"/>
        <v>256.12112940080561</v>
      </c>
      <c r="BW10" s="738">
        <f t="shared" si="8"/>
        <v>287.83248644768008</v>
      </c>
      <c r="BX10" s="738">
        <f t="shared" si="8"/>
        <v>323.47015042638395</v>
      </c>
      <c r="BY10" s="738">
        <f t="shared" si="8"/>
        <v>363.52025272827154</v>
      </c>
      <c r="BZ10" s="738">
        <f t="shared" si="8"/>
        <v>408.52911457034338</v>
      </c>
      <c r="CA10" s="738">
        <f t="shared" si="8"/>
        <v>459.1106993325684</v>
      </c>
      <c r="CB10" s="738">
        <f t="shared" si="8"/>
        <v>515.95498759818747</v>
      </c>
      <c r="CC10" s="738">
        <f t="shared" si="8"/>
        <v>579.83738914045693</v>
      </c>
      <c r="CD10" s="738">
        <f t="shared" si="8"/>
        <v>651.62932024421968</v>
      </c>
      <c r="CE10" s="738">
        <f t="shared" si="8"/>
        <v>732.31009064695854</v>
      </c>
      <c r="CF10" s="738">
        <f t="shared" si="8"/>
        <v>822.98026224843386</v>
      </c>
      <c r="CG10" s="738">
        <f t="shared" si="8"/>
        <v>924.87666181431985</v>
      </c>
      <c r="CH10" s="738">
        <f t="shared" si="8"/>
        <v>1039.3892524612945</v>
      </c>
      <c r="CI10" s="738">
        <f t="shared" si="8"/>
        <v>1168.0800940665729</v>
      </c>
      <c r="CJ10" s="738">
        <f t="shared" si="8"/>
        <v>1312.7046512397746</v>
      </c>
      <c r="CK10" s="738">
        <f t="shared" si="8"/>
        <v>1475.2357395179852</v>
      </c>
      <c r="CL10" s="738">
        <f t="shared" si="8"/>
        <v>1657.8904364327241</v>
      </c>
      <c r="CM10" s="738">
        <f t="shared" si="8"/>
        <v>1863.1603245411877</v>
      </c>
      <c r="CN10" s="738">
        <f t="shared" si="8"/>
        <v>2093.8454789652737</v>
      </c>
      <c r="CO10" s="738">
        <f t="shared" si="8"/>
        <v>2353.092663060515</v>
      </c>
      <c r="CP10" s="738">
        <f t="shared" si="8"/>
        <v>2644.4382532399168</v>
      </c>
      <c r="CQ10" s="738">
        <f t="shared" si="8"/>
        <v>2971.8564784878345</v>
      </c>
      <c r="CR10" s="738">
        <f t="shared" si="8"/>
        <v>3339.8136325964106</v>
      </c>
      <c r="CS10" s="738">
        <f t="shared" si="8"/>
        <v>3753.3289986306763</v>
      </c>
      <c r="CT10" s="738">
        <f t="shared" si="8"/>
        <v>4218.0433166895555</v>
      </c>
      <c r="CU10" s="738">
        <f t="shared" si="8"/>
        <v>4740.2957289276865</v>
      </c>
      <c r="CV10" s="738">
        <f t="shared" ref="CV10:EA10" si="9">(1+$N$33)*CU10</f>
        <v>5327.2102514408271</v>
      </c>
      <c r="CW10" s="738">
        <f t="shared" si="9"/>
        <v>5986.7929525730151</v>
      </c>
      <c r="CX10" s="738">
        <f t="shared" si="9"/>
        <v>6728.0411632493715</v>
      </c>
      <c r="CY10" s="738">
        <f t="shared" si="9"/>
        <v>7561.0662090666119</v>
      </c>
      <c r="CZ10" s="738">
        <f t="shared" si="9"/>
        <v>8497.2313383228902</v>
      </c>
      <c r="DA10" s="738">
        <f t="shared" si="9"/>
        <v>9549.3067274555469</v>
      </c>
      <c r="DB10" s="738">
        <f t="shared" si="9"/>
        <v>10731.64367830733</v>
      </c>
      <c r="DC10" s="738">
        <f t="shared" si="9"/>
        <v>12060.370383436277</v>
      </c>
      <c r="DD10" s="738">
        <f t="shared" si="9"/>
        <v>13553.611929892988</v>
      </c>
      <c r="DE10" s="738">
        <f t="shared" si="9"/>
        <v>15231.737542524548</v>
      </c>
      <c r="DF10" s="738">
        <f t="shared" si="9"/>
        <v>17117.638439437269</v>
      </c>
      <c r="DG10" s="738">
        <f t="shared" si="9"/>
        <v>19237.040089829145</v>
      </c>
      <c r="DH10" s="738">
        <f t="shared" si="9"/>
        <v>21618.853133683744</v>
      </c>
      <c r="DI10" s="738">
        <f t="shared" si="9"/>
        <v>24295.567750201557</v>
      </c>
      <c r="DJ10" s="738">
        <f t="shared" si="9"/>
        <v>27303.696854526628</v>
      </c>
      <c r="DK10" s="738">
        <f t="shared" si="9"/>
        <v>30684.274168390348</v>
      </c>
      <c r="DL10" s="738">
        <f t="shared" si="9"/>
        <v>34483.413958826372</v>
      </c>
      <c r="DM10" s="738">
        <f t="shared" si="9"/>
        <v>38752.940080321285</v>
      </c>
      <c r="DN10" s="738">
        <f t="shared" si="9"/>
        <v>43551.092901130047</v>
      </c>
      <c r="DO10" s="738">
        <f t="shared" si="9"/>
        <v>48943.323756898681</v>
      </c>
      <c r="DP10" s="738">
        <f t="shared" si="9"/>
        <v>55003.187768691947</v>
      </c>
      <c r="DQ10" s="738">
        <f t="shared" si="9"/>
        <v>61813.347204306956</v>
      </c>
      <c r="DR10" s="738">
        <f t="shared" si="9"/>
        <v>69466.699069668641</v>
      </c>
      <c r="DS10" s="738">
        <f t="shared" si="9"/>
        <v>78067.642311718533</v>
      </c>
      <c r="DT10" s="738">
        <f t="shared" si="9"/>
        <v>87733.501918640934</v>
      </c>
      <c r="DU10" s="738">
        <f t="shared" si="9"/>
        <v>98596.12934349844</v>
      </c>
      <c r="DV10" s="738">
        <f t="shared" si="9"/>
        <v>110803.70108256661</v>
      </c>
      <c r="DW10" s="738">
        <f t="shared" si="9"/>
        <v>124522.73994267469</v>
      </c>
      <c r="DX10" s="738">
        <f t="shared" si="9"/>
        <v>139940.38656954776</v>
      </c>
      <c r="DY10" s="738">
        <f t="shared" si="9"/>
        <v>157266.95222294211</v>
      </c>
      <c r="DZ10" s="738">
        <f t="shared" si="9"/>
        <v>176738.78762083719</v>
      </c>
      <c r="EA10" s="738">
        <f t="shared" si="9"/>
        <v>198621.50698642834</v>
      </c>
      <c r="EB10" s="738">
        <f t="shared" ref="EB10:FG10" si="10">(1+$N$33)*EA10</f>
        <v>223213.611276966</v>
      </c>
      <c r="EC10" s="738">
        <f t="shared" si="10"/>
        <v>250850.56001870404</v>
      </c>
      <c r="ED10" s="738">
        <f t="shared" si="10"/>
        <v>281909.34729163145</v>
      </c>
      <c r="EE10" s="738">
        <f t="shared" si="10"/>
        <v>316813.64428474061</v>
      </c>
      <c r="EF10" s="738">
        <f t="shared" si="10"/>
        <v>356039.57857114193</v>
      </c>
      <c r="EG10" s="738">
        <f t="shared" si="10"/>
        <v>400122.22893779573</v>
      </c>
      <c r="EH10" s="738">
        <f t="shared" si="10"/>
        <v>449662.9243654717</v>
      </c>
      <c r="EI10" s="738">
        <f t="shared" si="10"/>
        <v>505337.4467239161</v>
      </c>
      <c r="EJ10" s="738">
        <f t="shared" si="10"/>
        <v>567905.24907473463</v>
      </c>
      <c r="EK10" s="738">
        <f t="shared" si="10"/>
        <v>638219.8153283475</v>
      </c>
      <c r="EL10" s="738">
        <f t="shared" si="10"/>
        <v>717240.30257052137</v>
      </c>
      <c r="EM10" s="738">
        <f t="shared" si="10"/>
        <v>806044.62487080612</v>
      </c>
      <c r="EN10" s="738">
        <f t="shared" si="10"/>
        <v>905844.15704837954</v>
      </c>
      <c r="EO10" s="738">
        <f t="shared" si="10"/>
        <v>1018000.2589685512</v>
      </c>
      <c r="EP10" s="738">
        <f t="shared" si="10"/>
        <v>1144042.8457769353</v>
      </c>
      <c r="EQ10" s="738">
        <f t="shared" si="10"/>
        <v>1285691.2573868237</v>
      </c>
      <c r="ER10" s="738">
        <f t="shared" si="10"/>
        <v>1444877.7118992733</v>
      </c>
      <c r="ES10" s="738">
        <f t="shared" si="10"/>
        <v>1623773.6628827099</v>
      </c>
      <c r="ET10" s="738">
        <f t="shared" si="10"/>
        <v>1824819.4200502278</v>
      </c>
      <c r="EU10" s="738">
        <f t="shared" si="10"/>
        <v>2050757.4373886019</v>
      </c>
      <c r="EV10" s="738">
        <f t="shared" si="10"/>
        <v>2304669.7228205227</v>
      </c>
      <c r="EW10" s="738">
        <f t="shared" si="10"/>
        <v>2590019.8797031785</v>
      </c>
      <c r="EX10" s="738">
        <f t="shared" si="10"/>
        <v>2910700.3536489257</v>
      </c>
      <c r="EY10" s="738">
        <f t="shared" si="10"/>
        <v>3271085.529159301</v>
      </c>
      <c r="EZ10" s="738">
        <f t="shared" si="10"/>
        <v>3676091.4003606038</v>
      </c>
      <c r="FA10" s="738">
        <f t="shared" si="10"/>
        <v>4131242.6298062336</v>
      </c>
      <c r="FB10" s="738">
        <f t="shared" si="10"/>
        <v>4642747.9100911729</v>
      </c>
      <c r="FC10" s="738">
        <f t="shared" si="10"/>
        <v>5217584.6562822051</v>
      </c>
      <c r="FD10" s="738">
        <f t="shared" si="10"/>
        <v>5863594.1844486007</v>
      </c>
      <c r="FE10" s="738">
        <f t="shared" si="10"/>
        <v>6589588.6746183038</v>
      </c>
      <c r="FF10" s="738">
        <f t="shared" si="10"/>
        <v>7405471.3772353576</v>
      </c>
      <c r="FG10" s="738">
        <f t="shared" si="10"/>
        <v>8322371.702848169</v>
      </c>
      <c r="FH10" s="738">
        <f t="shared" ref="FH10:FY10" si="11">(1+$N$33)*FG10</f>
        <v>9352797.0377795286</v>
      </c>
      <c r="FI10" s="738">
        <f t="shared" si="11"/>
        <v>10510803.35668749</v>
      </c>
      <c r="FJ10" s="738">
        <f t="shared" si="11"/>
        <v>11812186.959333573</v>
      </c>
      <c r="FK10" s="738">
        <f t="shared" si="11"/>
        <v>13274699.947028853</v>
      </c>
      <c r="FL10" s="738">
        <f t="shared" si="11"/>
        <v>14918292.378060175</v>
      </c>
      <c r="FM10" s="738">
        <f t="shared" si="11"/>
        <v>16765384.405325163</v>
      </c>
      <c r="FN10" s="738">
        <f t="shared" si="11"/>
        <v>18841172.10839038</v>
      </c>
      <c r="FO10" s="738">
        <f t="shared" si="11"/>
        <v>21173971.191810716</v>
      </c>
      <c r="FP10" s="738">
        <f t="shared" si="11"/>
        <v>23795603.238079648</v>
      </c>
      <c r="FQ10" s="738">
        <f t="shared" si="11"/>
        <v>26741829.784065403</v>
      </c>
      <c r="FR10" s="738">
        <f t="shared" si="11"/>
        <v>30052840.1421455</v>
      </c>
      <c r="FS10" s="738">
        <f t="shared" si="11"/>
        <v>33773799.620380647</v>
      </c>
      <c r="FT10" s="738">
        <f t="shared" si="11"/>
        <v>37955465.619968869</v>
      </c>
      <c r="FU10" s="738">
        <f t="shared" si="11"/>
        <v>42654880.01413098</v>
      </c>
      <c r="FV10" s="738">
        <f t="shared" si="11"/>
        <v>47936147.253129199</v>
      </c>
      <c r="FW10" s="738">
        <f t="shared" si="11"/>
        <v>53871308.809506245</v>
      </c>
      <c r="FX10" s="738">
        <f t="shared" si="11"/>
        <v>60541325.891803689</v>
      </c>
      <c r="FY10" s="738">
        <f t="shared" si="11"/>
        <v>68037183.831902772</v>
      </c>
      <c r="FZ10" s="739">
        <f>IRR(AE10:FY10,0.1)</f>
        <v>0.13867354262834475</v>
      </c>
    </row>
    <row r="11" spans="2:182">
      <c r="B11" s="432" t="s">
        <v>35</v>
      </c>
      <c r="C11" s="443" t="s">
        <v>32</v>
      </c>
      <c r="D11" s="424"/>
      <c r="E11" s="431">
        <v>94.90000000000002</v>
      </c>
      <c r="F11" s="431">
        <v>1.62</v>
      </c>
      <c r="G11" s="424">
        <f t="shared" ref="G11:G16" si="12">F11/E11</f>
        <v>1.7070600632244467E-2</v>
      </c>
      <c r="H11" s="424">
        <f t="shared" si="3"/>
        <v>1.7696522655426764E-2</v>
      </c>
      <c r="I11" s="424">
        <v>7.3333333333333334E-2</v>
      </c>
      <c r="J11" s="424">
        <f t="shared" si="4"/>
        <v>9.1029855988760094E-2</v>
      </c>
      <c r="K11" s="424">
        <f>J11</f>
        <v>9.1029855988760094E-2</v>
      </c>
      <c r="AE11" s="738">
        <f t="shared" si="5"/>
        <v>-94.90000000000002</v>
      </c>
      <c r="AF11" s="738">
        <f t="shared" si="6"/>
        <v>1.68</v>
      </c>
      <c r="AG11" s="738">
        <f t="shared" si="6"/>
        <v>1.8366666666666667</v>
      </c>
      <c r="AH11" s="738">
        <f t="shared" si="6"/>
        <v>1.9933333333333334</v>
      </c>
      <c r="AI11" s="738">
        <f t="shared" si="6"/>
        <v>2.15</v>
      </c>
      <c r="AJ11" s="738">
        <f t="shared" ref="AJ11:BO11" si="13">(1+$N$34)*AI11</f>
        <v>2.409932642876782</v>
      </c>
      <c r="AK11" s="738">
        <f t="shared" si="13"/>
        <v>2.7012908573037544</v>
      </c>
      <c r="AL11" s="738">
        <f t="shared" si="13"/>
        <v>3.0278739604283378</v>
      </c>
      <c r="AM11" s="738">
        <f t="shared" si="13"/>
        <v>3.3939406026757459</v>
      </c>
      <c r="AN11" s="738">
        <f t="shared" si="13"/>
        <v>3.804264300638688</v>
      </c>
      <c r="AO11" s="738">
        <f t="shared" si="13"/>
        <v>4.2641956838325523</v>
      </c>
      <c r="AP11" s="738">
        <f t="shared" si="13"/>
        <v>4.7797322670150466</v>
      </c>
      <c r="AQ11" s="738">
        <f t="shared" si="13"/>
        <v>5.3575966579027927</v>
      </c>
      <c r="AR11" s="738">
        <f t="shared" si="13"/>
        <v>6.0053242201151127</v>
      </c>
      <c r="AS11" s="738">
        <f t="shared" si="13"/>
        <v>6.7313613344716119</v>
      </c>
      <c r="AT11" s="738">
        <f t="shared" si="13"/>
        <v>7.5451755399729095</v>
      </c>
      <c r="AU11" s="738">
        <f t="shared" si="13"/>
        <v>8.4573789907051928</v>
      </c>
      <c r="AV11" s="738">
        <f t="shared" si="13"/>
        <v>9.4798668385491816</v>
      </c>
      <c r="AW11" s="738">
        <f t="shared" si="13"/>
        <v>10.625972346206881</v>
      </c>
      <c r="AX11" s="738">
        <f t="shared" si="13"/>
        <v>11.910640753223234</v>
      </c>
      <c r="AY11" s="738">
        <f t="shared" si="13"/>
        <v>13.350624162219152</v>
      </c>
      <c r="AZ11" s="738">
        <f t="shared" si="13"/>
        <v>14.964699986656479</v>
      </c>
      <c r="BA11" s="738">
        <f t="shared" si="13"/>
        <v>16.773915808698231</v>
      </c>
      <c r="BB11" s="738">
        <f t="shared" si="13"/>
        <v>18.801863840115704</v>
      </c>
      <c r="BC11" s="738">
        <f t="shared" si="13"/>
        <v>21.074988565218348</v>
      </c>
      <c r="BD11" s="738">
        <f t="shared" si="13"/>
        <v>23.622931577476567</v>
      </c>
      <c r="BE11" s="738">
        <f t="shared" si="13"/>
        <v>26.478918106514186</v>
      </c>
      <c r="BF11" s="738">
        <f t="shared" si="13"/>
        <v>29.680190275790519</v>
      </c>
      <c r="BG11" s="738">
        <f t="shared" si="13"/>
        <v>33.268492740661216</v>
      </c>
      <c r="BH11" s="738">
        <f t="shared" si="13"/>
        <v>37.290617039548245</v>
      </c>
      <c r="BI11" s="738">
        <f t="shared" si="13"/>
        <v>41.79901175656952</v>
      </c>
      <c r="BJ11" s="738">
        <f t="shared" si="13"/>
        <v>46.852466452161522</v>
      </c>
      <c r="BK11" s="738">
        <f t="shared" si="13"/>
        <v>52.51687828016437</v>
      </c>
      <c r="BL11" s="738">
        <f t="shared" si="13"/>
        <v>58.866111288072005</v>
      </c>
      <c r="BM11" s="738">
        <f t="shared" si="13"/>
        <v>65.982959605740533</v>
      </c>
      <c r="BN11" s="738">
        <f t="shared" si="13"/>
        <v>73.960227082555463</v>
      </c>
      <c r="BO11" s="738">
        <f t="shared" si="13"/>
        <v>82.901937451548775</v>
      </c>
      <c r="BP11" s="738">
        <f t="shared" ref="BP11:CU11" si="14">(1+$N$34)*BO11</f>
        <v>92.924690801030991</v>
      </c>
      <c r="BQ11" s="738">
        <f t="shared" si="14"/>
        <v>104.15918404215648</v>
      </c>
      <c r="BR11" s="738">
        <f t="shared" si="14"/>
        <v>116.75191519935039</v>
      </c>
      <c r="BS11" s="738">
        <f t="shared" si="14"/>
        <v>130.86709374757976</v>
      </c>
      <c r="BT11" s="738">
        <f t="shared" si="14"/>
        <v>146.68878190730629</v>
      </c>
      <c r="BU11" s="738">
        <f t="shared" si="14"/>
        <v>164.42329481965143</v>
      </c>
      <c r="BV11" s="738">
        <f t="shared" si="14"/>
        <v>184.3018909001074</v>
      </c>
      <c r="BW11" s="738">
        <f t="shared" si="14"/>
        <v>206.58378745306243</v>
      </c>
      <c r="BX11" s="738">
        <f t="shared" si="14"/>
        <v>231.55954087081591</v>
      </c>
      <c r="BY11" s="738">
        <f t="shared" si="14"/>
        <v>259.55483549494869</v>
      </c>
      <c r="BZ11" s="738">
        <f t="shared" si="14"/>
        <v>290.93473054687917</v>
      </c>
      <c r="CA11" s="738">
        <f t="shared" si="14"/>
        <v>326.10842050766746</v>
      </c>
      <c r="CB11" s="738">
        <f t="shared" si="14"/>
        <v>365.53457102251912</v>
      </c>
      <c r="CC11" s="738">
        <f t="shared" si="14"/>
        <v>409.7272999102932</v>
      </c>
      <c r="CD11" s="738">
        <f t="shared" si="14"/>
        <v>459.26288127050276</v>
      </c>
      <c r="CE11" s="738">
        <f t="shared" si="14"/>
        <v>514.78726010950163</v>
      </c>
      <c r="CF11" s="738">
        <f t="shared" si="14"/>
        <v>577.02447547673898</v>
      </c>
      <c r="CG11" s="738">
        <f t="shared" si="14"/>
        <v>646.78610194895191</v>
      </c>
      <c r="CH11" s="738">
        <f t="shared" si="14"/>
        <v>724.98183257944629</v>
      </c>
      <c r="CI11" s="738">
        <f t="shared" si="14"/>
        <v>812.63134131434322</v>
      </c>
      <c r="CJ11" s="738">
        <f t="shared" si="14"/>
        <v>910.877579561944</v>
      </c>
      <c r="CK11" s="738">
        <f t="shared" si="14"/>
        <v>1021.0016803027545</v>
      </c>
      <c r="CL11" s="738">
        <f t="shared" si="14"/>
        <v>1144.4396640900711</v>
      </c>
      <c r="CM11" s="738">
        <f t="shared" si="14"/>
        <v>1282.801164787722</v>
      </c>
      <c r="CN11" s="738">
        <f t="shared" si="14"/>
        <v>1437.890419228972</v>
      </c>
      <c r="CO11" s="738">
        <f t="shared" si="14"/>
        <v>1611.7297945021771</v>
      </c>
      <c r="CP11" s="738">
        <f t="shared" si="14"/>
        <v>1806.5861596594814</v>
      </c>
      <c r="CQ11" s="738">
        <f t="shared" si="14"/>
        <v>2025.0004457361815</v>
      </c>
      <c r="CR11" s="738">
        <f t="shared" si="14"/>
        <v>2269.8207795440271</v>
      </c>
      <c r="CS11" s="738">
        <f t="shared" si="14"/>
        <v>2544.2396233038025</v>
      </c>
      <c r="CT11" s="738">
        <f t="shared" si="14"/>
        <v>2851.8354044187731</v>
      </c>
      <c r="CU11" s="738">
        <f t="shared" si="14"/>
        <v>3196.6191782420983</v>
      </c>
      <c r="CV11" s="738">
        <f t="shared" ref="CV11:EA11" si="15">(1+$N$34)*CU11</f>
        <v>3583.0869323216689</v>
      </c>
      <c r="CW11" s="738">
        <f t="shared" si="15"/>
        <v>4016.2782141708008</v>
      </c>
      <c r="CX11" s="738">
        <f t="shared" si="15"/>
        <v>4501.8418470721308</v>
      </c>
      <c r="CY11" s="738">
        <f t="shared" si="15"/>
        <v>5046.1095908501557</v>
      </c>
      <c r="CZ11" s="738">
        <f t="shared" si="15"/>
        <v>5656.1787081504162</v>
      </c>
      <c r="DA11" s="738">
        <f t="shared" si="15"/>
        <v>6340.0045128913098</v>
      </c>
      <c r="DB11" s="738">
        <f t="shared" si="15"/>
        <v>7106.5041077222704</v>
      </c>
      <c r="DC11" s="738">
        <f t="shared" si="15"/>
        <v>7965.6726632269028</v>
      </c>
      <c r="DD11" s="738">
        <f t="shared" si="15"/>
        <v>8928.7137551543001</v>
      </c>
      <c r="DE11" s="738">
        <f t="shared" si="15"/>
        <v>10008.185459278735</v>
      </c>
      <c r="DF11" s="738">
        <f t="shared" si="15"/>
        <v>11218.164108967714</v>
      </c>
      <c r="DG11" s="738">
        <f t="shared" si="15"/>
        <v>12574.427850860477</v>
      </c>
      <c r="DH11" s="738">
        <f t="shared" si="15"/>
        <v>14094.662392226794</v>
      </c>
      <c r="DI11" s="738">
        <f t="shared" si="15"/>
        <v>15798.691622955865</v>
      </c>
      <c r="DJ11" s="738">
        <f t="shared" si="15"/>
        <v>17708.736119490841</v>
      </c>
      <c r="DK11" s="738">
        <f t="shared" si="15"/>
        <v>19849.702901605626</v>
      </c>
      <c r="DL11" s="738">
        <f t="shared" si="15"/>
        <v>22249.510220458316</v>
      </c>
      <c r="DM11" s="738">
        <f t="shared" si="15"/>
        <v>24939.451613164227</v>
      </c>
      <c r="DN11" s="738">
        <f t="shared" si="15"/>
        <v>27954.603971167671</v>
      </c>
      <c r="DO11" s="738">
        <f t="shared" si="15"/>
        <v>31334.284943632512</v>
      </c>
      <c r="DP11" s="738">
        <f t="shared" si="15"/>
        <v>35122.565640401146</v>
      </c>
      <c r="DQ11" s="738">
        <f t="shared" si="15"/>
        <v>39368.845320179164</v>
      </c>
      <c r="DR11" s="738">
        <f t="shared" si="15"/>
        <v>44128.495557891445</v>
      </c>
      <c r="DS11" s="738">
        <f t="shared" si="15"/>
        <v>49463.582291165432</v>
      </c>
      <c r="DT11" s="738">
        <f t="shared" si="15"/>
        <v>55443.675161442567</v>
      </c>
      <c r="DU11" s="738">
        <f t="shared" si="15"/>
        <v>62146.754703542836</v>
      </c>
      <c r="DV11" s="738">
        <f t="shared" si="15"/>
        <v>69660.229213453058</v>
      </c>
      <c r="DW11" s="738">
        <f t="shared" si="15"/>
        <v>78082.074554315986</v>
      </c>
      <c r="DX11" s="738">
        <f t="shared" si="15"/>
        <v>87522.111763713809</v>
      </c>
      <c r="DY11" s="738">
        <f t="shared" si="15"/>
        <v>98103.439122271593</v>
      </c>
      <c r="DZ11" s="738">
        <f t="shared" si="15"/>
        <v>109964.03735778488</v>
      </c>
      <c r="EA11" s="738">
        <f t="shared" si="15"/>
        <v>123258.56891676639</v>
      </c>
      <c r="EB11" s="738">
        <f t="shared" ref="EB11:FG11" si="16">(1+$N$34)*EA11</f>
        <v>138160.39476595016</v>
      </c>
      <c r="EC11" s="738">
        <f t="shared" si="16"/>
        <v>154863.83502288643</v>
      </c>
      <c r="ED11" s="738">
        <f t="shared" si="16"/>
        <v>173586.70289429705</v>
      </c>
      <c r="EE11" s="738">
        <f t="shared" si="16"/>
        <v>194573.14496480004</v>
      </c>
      <c r="EF11" s="738">
        <f t="shared" si="16"/>
        <v>218096.8248734269</v>
      </c>
      <c r="EG11" s="738">
        <f t="shared" si="16"/>
        <v>244464.49189314066</v>
      </c>
      <c r="EH11" s="738">
        <f t="shared" si="16"/>
        <v>274019.98094770522</v>
      </c>
      <c r="EI11" s="738">
        <f t="shared" si="16"/>
        <v>307148.6962262087</v>
      </c>
      <c r="EJ11" s="738">
        <f t="shared" si="16"/>
        <v>344282.6368616675</v>
      </c>
      <c r="EK11" s="738">
        <f t="shared" si="16"/>
        <v>385906.0302086632</v>
      </c>
      <c r="EL11" s="738">
        <f t="shared" si="16"/>
        <v>432561.64617807028</v>
      </c>
      <c r="EM11" s="738">
        <f t="shared" si="16"/>
        <v>484857.87496792956</v>
      </c>
      <c r="EN11" s="738">
        <f t="shared" si="16"/>
        <v>543476.66048422467</v>
      </c>
      <c r="EO11" s="738">
        <f t="shared" si="16"/>
        <v>609182.39290353272</v>
      </c>
      <c r="EP11" s="738">
        <f t="shared" si="16"/>
        <v>682831.87633675023</v>
      </c>
      <c r="EQ11" s="738">
        <f t="shared" si="16"/>
        <v>765385.50157243561</v>
      </c>
      <c r="ER11" s="738">
        <f t="shared" si="16"/>
        <v>857919.7695925727</v>
      </c>
      <c r="ES11" s="738">
        <f t="shared" si="16"/>
        <v>961641.32916765998</v>
      </c>
      <c r="ET11" s="738">
        <f t="shared" si="16"/>
        <v>1077902.711581656</v>
      </c>
      <c r="EU11" s="738">
        <f t="shared" si="16"/>
        <v>1208219.967667921</v>
      </c>
      <c r="EV11" s="738">
        <f t="shared" si="16"/>
        <v>1354292.4371434667</v>
      </c>
      <c r="EW11" s="738">
        <f t="shared" si="16"/>
        <v>1518024.9080340434</v>
      </c>
      <c r="EX11" s="738">
        <f t="shared" si="16"/>
        <v>1701552.4551494264</v>
      </c>
      <c r="EY11" s="738">
        <f t="shared" si="16"/>
        <v>1907268.2815031323</v>
      </c>
      <c r="EZ11" s="738">
        <f t="shared" si="16"/>
        <v>2137854.9257292571</v>
      </c>
      <c r="FA11" s="738">
        <f t="shared" si="16"/>
        <v>2396319.2424417934</v>
      </c>
      <c r="FB11" s="738">
        <f t="shared" si="16"/>
        <v>2686031.6116810418</v>
      </c>
      <c r="FC11" s="738">
        <f t="shared" si="16"/>
        <v>3010769.8887391053</v>
      </c>
      <c r="FD11" s="738">
        <f t="shared" si="16"/>
        <v>3374768.6674711015</v>
      </c>
      <c r="FE11" s="738">
        <f t="shared" si="16"/>
        <v>3782774.4994866922</v>
      </c>
      <c r="FF11" s="738">
        <f t="shared" si="16"/>
        <v>4240107.789281331</v>
      </c>
      <c r="FG11" s="738">
        <f t="shared" si="16"/>
        <v>4752732.1724210177</v>
      </c>
      <c r="FH11" s="738">
        <f t="shared" ref="FH11:FY11" si="17">(1+$N$34)*FG11</f>
        <v>5327332.2814735323</v>
      </c>
      <c r="FI11" s="738">
        <f t="shared" si="17"/>
        <v>5971400.9137554923</v>
      </c>
      <c r="FJ11" s="738">
        <f t="shared" si="17"/>
        <v>6693336.7375644678</v>
      </c>
      <c r="FK11" s="738">
        <f t="shared" si="17"/>
        <v>7502553.8109874409</v>
      </c>
      <c r="FL11" s="738">
        <f t="shared" si="17"/>
        <v>8409604.3414131347</v>
      </c>
      <c r="FM11" s="738">
        <f t="shared" si="17"/>
        <v>9426316.2865347993</v>
      </c>
      <c r="FN11" s="738">
        <f t="shared" si="17"/>
        <v>10565947.591163378</v>
      </c>
      <c r="FO11" s="738">
        <f t="shared" si="17"/>
        <v>11843359.071102293</v>
      </c>
      <c r="FP11" s="738">
        <f t="shared" si="17"/>
        <v>13275208.198493145</v>
      </c>
      <c r="FQ11" s="738">
        <f t="shared" si="17"/>
        <v>14880166.315597262</v>
      </c>
      <c r="FR11" s="738">
        <f t="shared" si="17"/>
        <v>16679162.109485295</v>
      </c>
      <c r="FS11" s="738">
        <f t="shared" si="17"/>
        <v>18695654.522549853</v>
      </c>
      <c r="FT11" s="738">
        <f t="shared" si="17"/>
        <v>20955938.657599922</v>
      </c>
      <c r="FU11" s="738">
        <f t="shared" si="17"/>
        <v>23489488.666545819</v>
      </c>
      <c r="FV11" s="738">
        <f t="shared" si="17"/>
        <v>26329342.093950227</v>
      </c>
      <c r="FW11" s="738">
        <f t="shared" si="17"/>
        <v>29512530.687293202</v>
      </c>
      <c r="FX11" s="738">
        <f t="shared" si="17"/>
        <v>33080563.291725881</v>
      </c>
      <c r="FY11" s="738">
        <f t="shared" si="17"/>
        <v>37079967.126270525</v>
      </c>
      <c r="FZ11" s="739">
        <f t="shared" ref="FZ11:FZ16" si="18">IRR(AE11:FY11,0.1)</f>
        <v>0.13433194914241064</v>
      </c>
    </row>
    <row r="12" spans="2:182">
      <c r="B12" s="421" t="s">
        <v>36</v>
      </c>
      <c r="C12" s="317" t="s">
        <v>37</v>
      </c>
      <c r="D12" s="424"/>
      <c r="E12" s="431">
        <v>45.043333333333329</v>
      </c>
      <c r="F12" s="431">
        <v>1.252</v>
      </c>
      <c r="G12" s="424">
        <f t="shared" si="12"/>
        <v>2.7795456227336642E-2</v>
      </c>
      <c r="H12" s="424">
        <f t="shared" si="3"/>
        <v>2.8559831273588403E-2</v>
      </c>
      <c r="I12" s="424">
        <v>5.5E-2</v>
      </c>
      <c r="J12" s="424">
        <f t="shared" si="4"/>
        <v>8.3559831273588403E-2</v>
      </c>
      <c r="K12" s="424" t="s">
        <v>1606</v>
      </c>
      <c r="AE12" s="738">
        <f t="shared" si="5"/>
        <v>-45.043333333333329</v>
      </c>
      <c r="AF12" s="738">
        <f t="shared" si="6"/>
        <v>1.21</v>
      </c>
      <c r="AG12" s="738">
        <f t="shared" si="6"/>
        <v>1.25</v>
      </c>
      <c r="AH12" s="738">
        <f t="shared" si="6"/>
        <v>1.29</v>
      </c>
      <c r="AI12" s="738">
        <f t="shared" si="6"/>
        <v>1.33</v>
      </c>
      <c r="AJ12" s="738">
        <f t="shared" ref="AJ12:BO12" si="19">(1+$N$35)*AI12</f>
        <v>1.4071899176969263</v>
      </c>
      <c r="AK12" s="738">
        <f t="shared" si="19"/>
        <v>1.4888597477202121</v>
      </c>
      <c r="AL12" s="738">
        <f t="shared" si="19"/>
        <v>1.5752694931253171</v>
      </c>
      <c r="AM12" s="738">
        <f t="shared" si="19"/>
        <v>1.6666942469033785</v>
      </c>
      <c r="AN12" s="738">
        <f t="shared" si="19"/>
        <v>1.7634250677638388</v>
      </c>
      <c r="AO12" s="738">
        <f t="shared" si="19"/>
        <v>1.8657699067453331</v>
      </c>
      <c r="AP12" s="738">
        <f t="shared" si="19"/>
        <v>1.9740545876047872</v>
      </c>
      <c r="AQ12" s="738">
        <f t="shared" si="19"/>
        <v>2.08862384410588</v>
      </c>
      <c r="AR12" s="738">
        <f t="shared" si="19"/>
        <v>2.209842417509166</v>
      </c>
      <c r="AS12" s="738">
        <f t="shared" si="19"/>
        <v>2.3380962177578195</v>
      </c>
      <c r="AT12" s="738">
        <f t="shared" si="19"/>
        <v>2.4737935520557297</v>
      </c>
      <c r="AU12" s="738">
        <f t="shared" si="19"/>
        <v>2.6173664247492399</v>
      </c>
      <c r="AV12" s="738">
        <f t="shared" si="19"/>
        <v>2.7692719126508125</v>
      </c>
      <c r="AW12" s="738">
        <f t="shared" si="19"/>
        <v>2.9299936201830876</v>
      </c>
      <c r="AX12" s="738">
        <f t="shared" si="19"/>
        <v>3.1000432189759084</v>
      </c>
      <c r="AY12" s="738">
        <f t="shared" si="19"/>
        <v>3.2799620768177613</v>
      </c>
      <c r="AZ12" s="738">
        <f t="shared" si="19"/>
        <v>3.4703229811475373</v>
      </c>
      <c r="BA12" s="738">
        <f t="shared" si="19"/>
        <v>3.6717319625734999</v>
      </c>
      <c r="BB12" s="738">
        <f t="shared" si="19"/>
        <v>3.8848302242247943</v>
      </c>
      <c r="BC12" s="738">
        <f t="shared" si="19"/>
        <v>4.1102961830777591</v>
      </c>
      <c r="BD12" s="738">
        <f t="shared" si="19"/>
        <v>4.3488476297557757</v>
      </c>
      <c r="BE12" s="738">
        <f t="shared" si="19"/>
        <v>4.6012440136785733</v>
      </c>
      <c r="BF12" s="738">
        <f t="shared" si="19"/>
        <v>4.8682888608359596</v>
      </c>
      <c r="BG12" s="738">
        <f t="shared" si="19"/>
        <v>5.1508323318831701</v>
      </c>
      <c r="BH12" s="738">
        <f t="shared" si="19"/>
        <v>5.449773928701763</v>
      </c>
      <c r="BI12" s="738">
        <f t="shared" si="19"/>
        <v>5.7660653580426224</v>
      </c>
      <c r="BJ12" s="738">
        <f t="shared" si="19"/>
        <v>6.1007135613677406</v>
      </c>
      <c r="BK12" s="738">
        <f t="shared" si="19"/>
        <v>6.4547839205365358</v>
      </c>
      <c r="BL12" s="738">
        <f t="shared" si="19"/>
        <v>6.8294036495422938</v>
      </c>
      <c r="BM12" s="738">
        <f t="shared" si="19"/>
        <v>7.2257653830966229</v>
      </c>
      <c r="BN12" s="738">
        <f t="shared" si="19"/>
        <v>7.6451309734864923</v>
      </c>
      <c r="BO12" s="738">
        <f t="shared" si="19"/>
        <v>8.0888355077914884</v>
      </c>
      <c r="BP12" s="738">
        <f t="shared" ref="BP12:CU12" si="20">(1+$N$35)*BO12</f>
        <v>8.5582915582504349</v>
      </c>
      <c r="BQ12" s="738">
        <f t="shared" si="20"/>
        <v>9.0549936793088186</v>
      </c>
      <c r="BR12" s="738">
        <f t="shared" si="20"/>
        <v>9.5805231656637311</v>
      </c>
      <c r="BS12" s="738">
        <f t="shared" si="20"/>
        <v>10.136553086454015</v>
      </c>
      <c r="BT12" s="738">
        <f t="shared" si="20"/>
        <v>10.724853611622367</v>
      </c>
      <c r="BU12" s="738">
        <f t="shared" si="20"/>
        <v>11.347297647406361</v>
      </c>
      <c r="BV12" s="738">
        <f t="shared" si="20"/>
        <v>12.00586679889946</v>
      </c>
      <c r="BW12" s="738">
        <f t="shared" si="20"/>
        <v>12.702657678664353</v>
      </c>
      <c r="BX12" s="738">
        <f t="shared" si="20"/>
        <v>13.439888581482647</v>
      </c>
      <c r="BY12" s="738">
        <f t="shared" si="20"/>
        <v>14.219906546490545</v>
      </c>
      <c r="BZ12" s="738">
        <f t="shared" si="20"/>
        <v>15.045194829183469</v>
      </c>
      <c r="CA12" s="738">
        <f t="shared" si="20"/>
        <v>15.918380807077373</v>
      </c>
      <c r="CB12" s="738">
        <f t="shared" si="20"/>
        <v>16.842244344195141</v>
      </c>
      <c r="CC12" s="738">
        <f t="shared" si="20"/>
        <v>17.819726641007129</v>
      </c>
      <c r="CD12" s="738">
        <f t="shared" si="20"/>
        <v>18.853939598000409</v>
      </c>
      <c r="CE12" s="738">
        <f t="shared" si="20"/>
        <v>19.948175722686475</v>
      </c>
      <c r="CF12" s="738">
        <f t="shared" si="20"/>
        <v>21.105918611587221</v>
      </c>
      <c r="CG12" s="738">
        <f t="shared" si="20"/>
        <v>22.330854040569506</v>
      </c>
      <c r="CH12" s="738">
        <f t="shared" si="20"/>
        <v>23.626881698835394</v>
      </c>
      <c r="CI12" s="738">
        <f t="shared" si="20"/>
        <v>24.998127603924203</v>
      </c>
      <c r="CJ12" s="738">
        <f t="shared" si="20"/>
        <v>26.448957237250646</v>
      </c>
      <c r="CK12" s="738">
        <f t="shared" si="20"/>
        <v>27.983989441997185</v>
      </c>
      <c r="CL12" s="738">
        <f t="shared" si="20"/>
        <v>29.608111127605767</v>
      </c>
      <c r="CM12" s="738">
        <f t="shared" si="20"/>
        <v>31.326492827681957</v>
      </c>
      <c r="CN12" s="738">
        <f t="shared" si="20"/>
        <v>33.144605160841444</v>
      </c>
      <c r="CO12" s="738">
        <f t="shared" si="20"/>
        <v>35.068236246903446</v>
      </c>
      <c r="CP12" s="738">
        <f t="shared" si="20"/>
        <v>37.103510133877009</v>
      </c>
      <c r="CQ12" s="738">
        <f t="shared" si="20"/>
        <v>39.256906294404104</v>
      </c>
      <c r="CR12" s="738">
        <f t="shared" si="20"/>
        <v>41.53528025372816</v>
      </c>
      <c r="CS12" s="738">
        <f t="shared" si="20"/>
        <v>43.945885414859021</v>
      </c>
      <c r="CT12" s="738">
        <f t="shared" si="20"/>
        <v>46.496396150416551</v>
      </c>
      <c r="CU12" s="738">
        <f t="shared" si="20"/>
        <v>49.194932234667924</v>
      </c>
      <c r="CV12" s="738">
        <f t="shared" ref="CV12:EA12" si="21">(1+$N$35)*CU12</f>
        <v>52.050084693540015</v>
      </c>
      <c r="CW12" s="738">
        <f t="shared" si="21"/>
        <v>55.070943154902714</v>
      </c>
      <c r="CX12" s="738">
        <f t="shared" si="21"/>
        <v>58.267124786195225</v>
      </c>
      <c r="CY12" s="738">
        <f t="shared" si="21"/>
        <v>61.648804911520742</v>
      </c>
      <c r="CZ12" s="738">
        <f t="shared" si="21"/>
        <v>65.226749405681758</v>
      </c>
      <c r="DA12" s="738">
        <f t="shared" si="21"/>
        <v>69.012348968285224</v>
      </c>
      <c r="DB12" s="738">
        <f t="shared" si="21"/>
        <v>73.017655387032207</v>
      </c>
      <c r="DC12" s="738">
        <f t="shared" si="21"/>
        <v>77.255419905639371</v>
      </c>
      <c r="DD12" s="738">
        <f t="shared" si="21"/>
        <v>81.739133818539955</v>
      </c>
      <c r="DE12" s="738">
        <f t="shared" si="21"/>
        <v>86.483071421600954</v>
      </c>
      <c r="DF12" s="738">
        <f t="shared" si="21"/>
        <v>91.502335455594007</v>
      </c>
      <c r="DG12" s="738">
        <f t="shared" si="21"/>
        <v>96.812905187093136</v>
      </c>
      <c r="DH12" s="738">
        <f t="shared" si="21"/>
        <v>102.43168727986911</v>
      </c>
      <c r="DI12" s="738">
        <f t="shared" si="21"/>
        <v>108.37656961873405</v>
      </c>
      <c r="DJ12" s="738">
        <f t="shared" si="21"/>
        <v>114.66647825718914</v>
      </c>
      <c r="DK12" s="738">
        <f t="shared" si="21"/>
        <v>121.32143767017321</v>
      </c>
      <c r="DL12" s="738">
        <f t="shared" si="21"/>
        <v>128.36263450373218</v>
      </c>
      <c r="DM12" s="738">
        <f t="shared" si="21"/>
        <v>135.81248502456205</v>
      </c>
      <c r="DN12" s="738">
        <f t="shared" si="21"/>
        <v>143.69470648415677</v>
      </c>
      <c r="DO12" s="738">
        <f t="shared" si="21"/>
        <v>152.0343926247553</v>
      </c>
      <c r="DP12" s="738">
        <f t="shared" si="21"/>
        <v>160.85809356746734</v>
      </c>
      <c r="DQ12" s="738">
        <f t="shared" si="21"/>
        <v>170.19390033690888</v>
      </c>
      <c r="DR12" s="738">
        <f t="shared" si="21"/>
        <v>180.07153429143884</v>
      </c>
      <c r="DS12" s="738">
        <f t="shared" si="21"/>
        <v>190.52244174370605</v>
      </c>
      <c r="DT12" s="738">
        <f t="shared" si="21"/>
        <v>201.57989407273919</v>
      </c>
      <c r="DU12" s="738">
        <f t="shared" si="21"/>
        <v>213.27909364629548</v>
      </c>
      <c r="DV12" s="738">
        <f t="shared" si="21"/>
        <v>225.65728589068087</v>
      </c>
      <c r="DW12" s="738">
        <f t="shared" si="21"/>
        <v>238.75387786482628</v>
      </c>
      <c r="DX12" s="738">
        <f t="shared" si="21"/>
        <v>252.61056371611042</v>
      </c>
      <c r="DY12" s="738">
        <f t="shared" si="21"/>
        <v>267.27145741732897</v>
      </c>
      <c r="DZ12" s="738">
        <f t="shared" si="21"/>
        <v>282.78323320738997</v>
      </c>
      <c r="EA12" s="738">
        <f t="shared" si="21"/>
        <v>299.19527418284042</v>
      </c>
      <c r="EB12" s="738">
        <f t="shared" ref="EB12:FG12" si="22">(1+$N$35)*EA12</f>
        <v>316.55982951327854</v>
      </c>
      <c r="EC12" s="738">
        <f t="shared" si="22"/>
        <v>334.93218078116047</v>
      </c>
      <c r="ED12" s="738">
        <f t="shared" si="22"/>
        <v>354.37081797555879</v>
      </c>
      <c r="EE12" s="738">
        <f t="shared" si="22"/>
        <v>374.93762570016469</v>
      </c>
      <c r="EF12" s="738">
        <f t="shared" si="22"/>
        <v>396.6980801883426</v>
      </c>
      <c r="EG12" s="738">
        <f t="shared" si="22"/>
        <v>419.72145775245298</v>
      </c>
      <c r="EH12" s="738">
        <f t="shared" si="22"/>
        <v>444.08105533105879</v>
      </c>
      <c r="EI12" s="738">
        <f t="shared" si="22"/>
        <v>469.85442383614793</v>
      </c>
      <c r="EJ12" s="738">
        <f t="shared" si="22"/>
        <v>497.12361504325241</v>
      </c>
      <c r="EK12" s="738">
        <f t="shared" si="22"/>
        <v>525.97544281046078</v>
      </c>
      <c r="EL12" s="738">
        <f t="shared" si="22"/>
        <v>556.50175945793728</v>
      </c>
      <c r="EM12" s="738">
        <f t="shared" si="22"/>
        <v>588.79974818782659</v>
      </c>
      <c r="EN12" s="738">
        <f t="shared" si="22"/>
        <v>622.97223247548766</v>
      </c>
      <c r="EO12" s="738">
        <f t="shared" si="22"/>
        <v>659.12800341703144</v>
      </c>
      <c r="EP12" s="738">
        <f t="shared" si="22"/>
        <v>697.38216607530205</v>
      </c>
      <c r="EQ12" s="738">
        <f t="shared" si="22"/>
        <v>737.85650592692366</v>
      </c>
      <c r="ER12" s="738">
        <f t="shared" si="22"/>
        <v>780.67987657702952</v>
      </c>
      <c r="ES12" s="738">
        <f t="shared" si="22"/>
        <v>825.98860997599752</v>
      </c>
      <c r="ET12" s="738">
        <f t="shared" si="22"/>
        <v>873.92695044415223</v>
      </c>
      <c r="EU12" s="738">
        <f t="shared" si="22"/>
        <v>924.6475138861897</v>
      </c>
      <c r="EV12" s="738">
        <f t="shared" si="22"/>
        <v>978.31177365727422</v>
      </c>
      <c r="EW12" s="738">
        <f t="shared" si="22"/>
        <v>1035.0905746276042</v>
      </c>
      <c r="EX12" s="738">
        <f t="shared" si="22"/>
        <v>1095.1646770820169</v>
      </c>
      <c r="EY12" s="738">
        <f t="shared" si="22"/>
        <v>1158.7253321861836</v>
      </c>
      <c r="EZ12" s="738">
        <f t="shared" si="22"/>
        <v>1225.974890851443</v>
      </c>
      <c r="FA12" s="738">
        <f t="shared" si="22"/>
        <v>1297.1274479366468</v>
      </c>
      <c r="FB12" s="738">
        <f t="shared" si="22"/>
        <v>1372.4095238378902</v>
      </c>
      <c r="FC12" s="738">
        <f t="shared" si="22"/>
        <v>1452.0607856360289</v>
      </c>
      <c r="FD12" s="738">
        <f t="shared" si="22"/>
        <v>1536.3348100978176</v>
      </c>
      <c r="FE12" s="738">
        <f t="shared" si="22"/>
        <v>1625.4998909597523</v>
      </c>
      <c r="FF12" s="738">
        <f t="shared" si="22"/>
        <v>1719.839893064674</v>
      </c>
      <c r="FG12" s="738">
        <f t="shared" si="22"/>
        <v>1819.6551560703526</v>
      </c>
      <c r="FH12" s="738">
        <f t="shared" ref="FH12:FY12" si="23">(1+$N$35)*FG12</f>
        <v>1925.2634506070879</v>
      </c>
      <c r="FI12" s="738">
        <f t="shared" si="23"/>
        <v>2037.000989928337</v>
      </c>
      <c r="FJ12" s="738">
        <f t="shared" si="23"/>
        <v>2155.2235002750481</v>
      </c>
      <c r="FK12" s="738">
        <f t="shared" si="23"/>
        <v>2280.3073533612978</v>
      </c>
      <c r="FL12" s="738">
        <f t="shared" si="23"/>
        <v>2412.6507645866018</v>
      </c>
      <c r="FM12" s="738">
        <f t="shared" si="23"/>
        <v>2552.6750607895083</v>
      </c>
      <c r="FN12" s="738">
        <f t="shared" si="23"/>
        <v>2700.8260215784844</v>
      </c>
      <c r="FO12" s="738">
        <f t="shared" si="23"/>
        <v>2857.5752985103341</v>
      </c>
      <c r="FP12" s="738">
        <f t="shared" si="23"/>
        <v>3023.4219166342305</v>
      </c>
      <c r="FQ12" s="738">
        <f t="shared" si="23"/>
        <v>3198.8938631816582</v>
      </c>
      <c r="FR12" s="738">
        <f t="shared" si="23"/>
        <v>3384.54976846</v>
      </c>
      <c r="FS12" s="738">
        <f t="shared" si="23"/>
        <v>3580.980684301036</v>
      </c>
      <c r="FT12" s="738">
        <f t="shared" si="23"/>
        <v>3788.8119657262087</v>
      </c>
      <c r="FU12" s="738">
        <f t="shared" si="23"/>
        <v>4008.7052618190924</v>
      </c>
      <c r="FV12" s="738">
        <f t="shared" si="23"/>
        <v>4241.360622143191</v>
      </c>
      <c r="FW12" s="738">
        <f t="shared" si="23"/>
        <v>4487.5187254110233</v>
      </c>
      <c r="FX12" s="738">
        <f t="shared" si="23"/>
        <v>4747.9632374996636</v>
      </c>
      <c r="FY12" s="738">
        <f t="shared" si="23"/>
        <v>5023.5233063196865</v>
      </c>
      <c r="FZ12" s="739">
        <f t="shared" si="18"/>
        <v>8.2211253356566205E-2</v>
      </c>
    </row>
    <row r="13" spans="2:182">
      <c r="B13" s="421" t="s">
        <v>1172</v>
      </c>
      <c r="C13" s="317" t="s">
        <v>39</v>
      </c>
      <c r="D13" s="424"/>
      <c r="E13" s="431">
        <v>71.339999999999989</v>
      </c>
      <c r="F13" s="431">
        <v>1.9</v>
      </c>
      <c r="G13" s="424">
        <f t="shared" si="12"/>
        <v>2.6633024950939166E-2</v>
      </c>
      <c r="H13" s="424">
        <f t="shared" si="3"/>
        <v>2.8208812260536398E-2</v>
      </c>
      <c r="I13" s="424">
        <v>0.11833333333333333</v>
      </c>
      <c r="J13" s="424">
        <f t="shared" si="4"/>
        <v>0.14654214559386974</v>
      </c>
      <c r="K13" s="424" t="s">
        <v>1606</v>
      </c>
      <c r="AE13" s="738">
        <f t="shared" si="5"/>
        <v>-71.339999999999989</v>
      </c>
      <c r="AF13" s="738">
        <f t="shared" si="6"/>
        <v>1.97</v>
      </c>
      <c r="AG13" s="738">
        <f t="shared" si="6"/>
        <v>2.0466666666666669</v>
      </c>
      <c r="AH13" s="738">
        <f t="shared" si="6"/>
        <v>2.1233333333333335</v>
      </c>
      <c r="AI13" s="738">
        <f t="shared" si="6"/>
        <v>2.2000000000000002</v>
      </c>
      <c r="AJ13" s="738">
        <f t="shared" ref="AJ13:BO13" si="24">(1+$N$36)*AI13</f>
        <v>2.3738885497143856</v>
      </c>
      <c r="AK13" s="738">
        <f t="shared" si="24"/>
        <v>2.5615212938477585</v>
      </c>
      <c r="AL13" s="738">
        <f t="shared" si="24"/>
        <v>2.7639845769612599</v>
      </c>
      <c r="AM13" s="738">
        <f t="shared" si="24"/>
        <v>2.9824506085615883</v>
      </c>
      <c r="AN13" s="738">
        <f t="shared" si="24"/>
        <v>3.2181842498877522</v>
      </c>
      <c r="AO13" s="738">
        <f t="shared" si="24"/>
        <v>3.4725503371271427</v>
      </c>
      <c r="AP13" s="738">
        <f t="shared" si="24"/>
        <v>3.747021583460433</v>
      </c>
      <c r="AQ13" s="738">
        <f t="shared" si="24"/>
        <v>4.0431871056860853</v>
      </c>
      <c r="AR13" s="738">
        <f t="shared" si="24"/>
        <v>4.3627616247913839</v>
      </c>
      <c r="AS13" s="738">
        <f t="shared" si="24"/>
        <v>4.7075953937389068</v>
      </c>
      <c r="AT13" s="738">
        <f t="shared" si="24"/>
        <v>5.0796849099477157</v>
      </c>
      <c r="AU13" s="738">
        <f t="shared" si="24"/>
        <v>5.4811844744917417</v>
      </c>
      <c r="AV13" s="738">
        <f t="shared" si="24"/>
        <v>5.9144186649400936</v>
      </c>
      <c r="AW13" s="738">
        <f t="shared" si="24"/>
        <v>6.3818957940537864</v>
      </c>
      <c r="AX13" s="738">
        <f t="shared" si="24"/>
        <v>6.8863224322612178</v>
      </c>
      <c r="AY13" s="738">
        <f t="shared" si="24"/>
        <v>7.4306190779937369</v>
      </c>
      <c r="AZ13" s="738">
        <f t="shared" si="24"/>
        <v>8.017937066608452</v>
      </c>
      <c r="BA13" s="738">
        <f t="shared" si="24"/>
        <v>8.6516768157965238</v>
      </c>
      <c r="BB13" s="738">
        <f t="shared" si="24"/>
        <v>9.3355075131130825</v>
      </c>
      <c r="BC13" s="738">
        <f t="shared" si="24"/>
        <v>10.073388359614439</v>
      </c>
      <c r="BD13" s="738">
        <f t="shared" si="24"/>
        <v>10.869591492597678</v>
      </c>
      <c r="BE13" s="738">
        <f t="shared" si="24"/>
        <v>11.728726720159329</v>
      </c>
      <c r="BF13" s="738">
        <f t="shared" si="24"/>
        <v>12.655768210779723</v>
      </c>
      <c r="BG13" s="738">
        <f t="shared" si="24"/>
        <v>13.656083292458773</v>
      </c>
      <c r="BH13" s="738">
        <f t="shared" si="24"/>
        <v>14.735463528142638</v>
      </c>
      <c r="BI13" s="738">
        <f t="shared" si="24"/>
        <v>15.900158247359887</v>
      </c>
      <c r="BJ13" s="738">
        <f t="shared" si="24"/>
        <v>17.15691072820654</v>
      </c>
      <c r="BK13" s="738">
        <f t="shared" si="24"/>
        <v>18.512997239164275</v>
      </c>
      <c r="BL13" s="738">
        <f t="shared" si="24"/>
        <v>19.976269166793681</v>
      </c>
      <c r="BM13" s="738">
        <f t="shared" si="24"/>
        <v>21.555198473210933</v>
      </c>
      <c r="BN13" s="738">
        <f t="shared" si="24"/>
        <v>23.258926746534744</v>
      </c>
      <c r="BO13" s="738">
        <f t="shared" si="24"/>
        <v>25.097318128292951</v>
      </c>
      <c r="BP13" s="738">
        <f t="shared" ref="BP13:CU13" si="25">(1+$N$36)*BO13</f>
        <v>27.081016424224504</v>
      </c>
      <c r="BQ13" s="738">
        <f t="shared" si="25"/>
        <v>29.221506729133527</v>
      </c>
      <c r="BR13" s="738">
        <f t="shared" si="25"/>
        <v>31.531181922587248</v>
      </c>
      <c r="BS13" s="738">
        <f t="shared" si="25"/>
        <v>34.023414420450493</v>
      </c>
      <c r="BT13" s="738">
        <f t="shared" si="25"/>
        <v>36.712633597679421</v>
      </c>
      <c r="BU13" s="738">
        <f t="shared" si="25"/>
        <v>39.614409330632192</v>
      </c>
      <c r="BV13" s="738">
        <f t="shared" si="25"/>
        <v>42.74554214258476</v>
      </c>
      <c r="BW13" s="738">
        <f t="shared" si="25"/>
        <v>46.124160474370768</v>
      </c>
      <c r="BX13" s="738">
        <f t="shared" si="25"/>
        <v>49.769825643317091</v>
      </c>
      <c r="BY13" s="738">
        <f t="shared" si="25"/>
        <v>53.703645098159924</v>
      </c>
      <c r="BZ13" s="738">
        <f t="shared" si="25"/>
        <v>57.948394625657698</v>
      </c>
      <c r="CA13" s="738">
        <f t="shared" si="25"/>
        <v>62.5286502164452</v>
      </c>
      <c r="CB13" s="738">
        <f t="shared" si="25"/>
        <v>67.470930353597808</v>
      </c>
      <c r="CC13" s="738">
        <f t="shared" si="25"/>
        <v>72.803849547719366</v>
      </c>
      <c r="CD13" s="738">
        <f t="shared" si="25"/>
        <v>78.558284007481745</v>
      </c>
      <c r="CE13" s="738">
        <f t="shared" si="25"/>
        <v>84.767550404805291</v>
      </c>
      <c r="CF13" s="738">
        <f t="shared" si="25"/>
        <v>91.467598769683775</v>
      </c>
      <c r="CG13" s="738">
        <f t="shared" si="25"/>
        <v>98.697220631464518</v>
      </c>
      <c r="CH13" s="738">
        <f t="shared" si="25"/>
        <v>106.49827361166729</v>
      </c>
      <c r="CI13" s="738">
        <f t="shared" si="25"/>
        <v>114.91592376867575</v>
      </c>
      <c r="CJ13" s="738">
        <f t="shared" si="25"/>
        <v>123.99890709741389</v>
      </c>
      <c r="CK13" s="738">
        <f t="shared" si="25"/>
        <v>133.79981169802213</v>
      </c>
      <c r="CL13" s="738">
        <f t="shared" si="25"/>
        <v>144.37538224721618</v>
      </c>
      <c r="CM13" s="738">
        <f t="shared" si="25"/>
        <v>155.7868485351382</v>
      </c>
      <c r="CN13" s="738">
        <f t="shared" si="25"/>
        <v>168.10027996984266</v>
      </c>
      <c r="CO13" s="738">
        <f t="shared" si="25"/>
        <v>181.38696810190544</v>
      </c>
      <c r="CP13" s="738">
        <f t="shared" si="25"/>
        <v>195.72383938387355</v>
      </c>
      <c r="CQ13" s="738">
        <f t="shared" si="25"/>
        <v>211.19390055432496</v>
      </c>
      <c r="CR13" s="738">
        <f t="shared" si="25"/>
        <v>227.88671922519575</v>
      </c>
      <c r="CS13" s="738">
        <f t="shared" si="25"/>
        <v>245.89894245484967</v>
      </c>
      <c r="CT13" s="738">
        <f t="shared" si="25"/>
        <v>265.33485630929283</v>
      </c>
      <c r="CU13" s="738">
        <f t="shared" si="25"/>
        <v>286.3069896512464</v>
      </c>
      <c r="CV13" s="738">
        <f t="shared" ref="CV13:EA13" si="26">(1+$N$36)*CU13</f>
        <v>308.93676565285858</v>
      </c>
      <c r="CW13" s="738">
        <f t="shared" si="26"/>
        <v>333.35520480414431</v>
      </c>
      <c r="CX13" s="738">
        <f t="shared" si="26"/>
        <v>359.70368348738731</v>
      </c>
      <c r="CY13" s="738">
        <f t="shared" si="26"/>
        <v>388.13475250945282</v>
      </c>
      <c r="CZ13" s="738">
        <f t="shared" si="26"/>
        <v>418.81302033109858</v>
      </c>
      <c r="DA13" s="738">
        <f t="shared" si="26"/>
        <v>451.91610610695142</v>
      </c>
      <c r="DB13" s="738">
        <f t="shared" si="26"/>
        <v>487.63566805400148</v>
      </c>
      <c r="DC13" s="738">
        <f t="shared" si="26"/>
        <v>526.1785131025996</v>
      </c>
      <c r="DD13" s="738">
        <f t="shared" si="26"/>
        <v>567.76779425454629</v>
      </c>
      <c r="DE13" s="738">
        <f t="shared" si="26"/>
        <v>612.64430258066386</v>
      </c>
      <c r="DF13" s="738">
        <f t="shared" si="26"/>
        <v>661.06786133817877</v>
      </c>
      <c r="DG13" s="738">
        <f t="shared" si="26"/>
        <v>713.31883027949073</v>
      </c>
      <c r="DH13" s="738">
        <f t="shared" si="26"/>
        <v>769.69972886188282</v>
      </c>
      <c r="DI13" s="738">
        <f t="shared" si="26"/>
        <v>830.53698775613213</v>
      </c>
      <c r="DJ13" s="738">
        <f t="shared" si="26"/>
        <v>896.18283879479952</v>
      </c>
      <c r="DK13" s="738">
        <f t="shared" si="26"/>
        <v>967.01735430250346</v>
      </c>
      <c r="DL13" s="738">
        <f t="shared" si="26"/>
        <v>1043.450647615369</v>
      </c>
      <c r="DM13" s="738">
        <f t="shared" si="26"/>
        <v>1125.9252475300839</v>
      </c>
      <c r="DN13" s="738">
        <f t="shared" si="26"/>
        <v>1214.9186604300005</v>
      </c>
      <c r="DO13" s="738">
        <f t="shared" si="26"/>
        <v>1310.9461349223263</v>
      </c>
      <c r="DP13" s="738">
        <f t="shared" si="26"/>
        <v>1414.5636449929275</v>
      </c>
      <c r="DQ13" s="738">
        <f t="shared" si="26"/>
        <v>1526.3711089504343</v>
      </c>
      <c r="DR13" s="738">
        <f t="shared" si="26"/>
        <v>1647.0158627964931</v>
      </c>
      <c r="DS13" s="738">
        <f t="shared" si="26"/>
        <v>1777.1964081320702</v>
      </c>
      <c r="DT13" s="738">
        <f t="shared" si="26"/>
        <v>1917.6664562992071</v>
      </c>
      <c r="DU13" s="738">
        <f t="shared" si="26"/>
        <v>2069.2392921727496</v>
      </c>
      <c r="DV13" s="738">
        <f t="shared" si="26"/>
        <v>2232.7924828672681</v>
      </c>
      <c r="DW13" s="738">
        <f t="shared" si="26"/>
        <v>2409.2729586213459</v>
      </c>
      <c r="DX13" s="738">
        <f t="shared" si="26"/>
        <v>2599.7024952762335</v>
      </c>
      <c r="DY13" s="738">
        <f t="shared" si="26"/>
        <v>2805.1836300909849</v>
      </c>
      <c r="DZ13" s="738">
        <f t="shared" si="26"/>
        <v>3026.9060451451014</v>
      </c>
      <c r="EA13" s="738">
        <f t="shared" si="26"/>
        <v>3266.1534552869143</v>
      </c>
      <c r="EB13" s="738">
        <f t="shared" ref="EB13:FG13" si="27">(1+$N$36)*EA13</f>
        <v>3524.3110405071284</v>
      </c>
      <c r="EC13" s="738">
        <f t="shared" si="27"/>
        <v>3802.8734657690288</v>
      </c>
      <c r="ED13" s="738">
        <f t="shared" si="27"/>
        <v>4103.4535347280716</v>
      </c>
      <c r="EE13" s="738">
        <f t="shared" si="27"/>
        <v>4427.7915274436318</v>
      </c>
      <c r="EF13" s="738">
        <f t="shared" si="27"/>
        <v>4777.7652761458212</v>
      </c>
      <c r="EG13" s="738">
        <f t="shared" si="27"/>
        <v>5155.4010373934334</v>
      </c>
      <c r="EH13" s="738">
        <f t="shared" si="27"/>
        <v>5562.8852235699705</v>
      </c>
      <c r="EI13" s="738">
        <f t="shared" si="27"/>
        <v>6002.5770616400468</v>
      </c>
      <c r="EJ13" s="738">
        <f t="shared" si="27"/>
        <v>6477.0222524570581</v>
      </c>
      <c r="EK13" s="738">
        <f t="shared" si="27"/>
        <v>6988.9677097059493</v>
      </c>
      <c r="EL13" s="738">
        <f t="shared" si="27"/>
        <v>7541.3774638156938</v>
      </c>
      <c r="EM13" s="738">
        <f t="shared" si="27"/>
        <v>8137.4498229209948</v>
      </c>
      <c r="EN13" s="738">
        <f t="shared" si="27"/>
        <v>8780.6358902306838</v>
      </c>
      <c r="EO13" s="738">
        <f t="shared" si="27"/>
        <v>9474.6595450135446</v>
      </c>
      <c r="EP13" s="738">
        <f t="shared" si="27"/>
        <v>10223.539002886257</v>
      </c>
      <c r="EQ13" s="738">
        <f t="shared" si="27"/>
        <v>11031.610080231869</v>
      </c>
      <c r="ER13" s="738">
        <f t="shared" si="27"/>
        <v>11903.551297443739</v>
      </c>
      <c r="ES13" s="738">
        <f t="shared" si="27"/>
        <v>12844.41096633614</v>
      </c>
      <c r="ET13" s="738">
        <f t="shared" si="27"/>
        <v>13859.636418550566</v>
      </c>
      <c r="EU13" s="738">
        <f t="shared" si="27"/>
        <v>14955.105544182583</v>
      </c>
      <c r="EV13" s="738">
        <f t="shared" si="27"/>
        <v>16137.160823229617</v>
      </c>
      <c r="EW13" s="738">
        <f t="shared" si="27"/>
        <v>17412.646046892889</v>
      </c>
      <c r="EX13" s="738">
        <f t="shared" si="27"/>
        <v>18788.945941340222</v>
      </c>
      <c r="EY13" s="738">
        <f t="shared" si="27"/>
        <v>20274.028923340968</v>
      </c>
      <c r="EZ13" s="738">
        <f t="shared" si="27"/>
        <v>21876.493235316997</v>
      </c>
      <c r="FA13" s="738">
        <f t="shared" si="27"/>
        <v>23605.616726919648</v>
      </c>
      <c r="FB13" s="738">
        <f t="shared" si="27"/>
        <v>25471.410571354965</v>
      </c>
      <c r="FC13" s="738">
        <f t="shared" si="27"/>
        <v>27484.677227460685</v>
      </c>
      <c r="FD13" s="738">
        <f t="shared" si="27"/>
        <v>29657.072983120292</v>
      </c>
      <c r="FE13" s="738">
        <f t="shared" si="27"/>
        <v>32001.175442124142</v>
      </c>
      <c r="FF13" s="738">
        <f t="shared" si="27"/>
        <v>34530.556345208948</v>
      </c>
      <c r="FG13" s="738">
        <f t="shared" si="27"/>
        <v>37259.860146890431</v>
      </c>
      <c r="FH13" s="738">
        <f t="shared" ref="FH13:FY13" si="28">(1+$N$36)*FG13</f>
        <v>40204.888803028436</v>
      </c>
      <c r="FI13" s="738">
        <f t="shared" si="28"/>
        <v>43382.69326002241</v>
      </c>
      <c r="FJ13" s="738">
        <f t="shared" si="28"/>
        <v>46811.672175335749</v>
      </c>
      <c r="FK13" s="738">
        <f t="shared" si="28"/>
        <v>50511.678440915013</v>
      </c>
      <c r="FL13" s="738">
        <f t="shared" si="28"/>
        <v>54504.134126246878</v>
      </c>
      <c r="FM13" s="738">
        <f t="shared" si="28"/>
        <v>58812.154506542975</v>
      </c>
      <c r="FN13" s="738">
        <f t="shared" si="28"/>
        <v>63460.681894143483</v>
      </c>
      <c r="FO13" s="738">
        <f t="shared" si="28"/>
        <v>68476.630047988292</v>
      </c>
      <c r="FP13" s="738">
        <f t="shared" si="28"/>
        <v>73889.039997248838</v>
      </c>
      <c r="FQ13" s="738">
        <f t="shared" si="28"/>
        <v>79729.248181298753</v>
      </c>
      <c r="FR13" s="738">
        <f t="shared" si="28"/>
        <v>86031.067879509821</v>
      </c>
      <c r="FS13" s="738">
        <f t="shared" si="28"/>
        <v>92830.984981304282</v>
      </c>
      <c r="FT13" s="738">
        <f t="shared" si="28"/>
        <v>100168.36922992105</v>
      </c>
      <c r="FU13" s="738">
        <f t="shared" si="28"/>
        <v>108085.70216294198</v>
      </c>
      <c r="FV13" s="738">
        <f t="shared" si="28"/>
        <v>116628.82306929425</v>
      </c>
      <c r="FW13" s="738">
        <f t="shared" si="28"/>
        <v>125847.19438675571</v>
      </c>
      <c r="FX13" s="738">
        <f t="shared" si="28"/>
        <v>135794.1880765454</v>
      </c>
      <c r="FY13" s="738">
        <f t="shared" si="28"/>
        <v>146527.39463303311</v>
      </c>
      <c r="FZ13" s="739">
        <f t="shared" si="18"/>
        <v>0.10277752225312997</v>
      </c>
    </row>
    <row r="14" spans="2:182">
      <c r="B14" s="421" t="s">
        <v>40</v>
      </c>
      <c r="C14" s="317" t="s">
        <v>46</v>
      </c>
      <c r="D14" s="424"/>
      <c r="E14" s="431">
        <v>93.866666666666674</v>
      </c>
      <c r="F14" s="431">
        <v>2</v>
      </c>
      <c r="G14" s="424">
        <f t="shared" si="12"/>
        <v>2.130681818181818E-2</v>
      </c>
      <c r="H14" s="424">
        <f t="shared" si="3"/>
        <v>2.1976207386363633E-2</v>
      </c>
      <c r="I14" s="424">
        <v>6.2833333333333338E-2</v>
      </c>
      <c r="J14" s="424">
        <f t="shared" si="4"/>
        <v>8.4809540719696971E-2</v>
      </c>
      <c r="K14" s="424" t="s">
        <v>1606</v>
      </c>
      <c r="AE14" s="738">
        <f t="shared" si="5"/>
        <v>-93.866666666666674</v>
      </c>
      <c r="AF14" s="738">
        <f t="shared" si="6"/>
        <v>2.16</v>
      </c>
      <c r="AG14" s="738">
        <f t="shared" si="6"/>
        <v>2.3233333333333333</v>
      </c>
      <c r="AH14" s="738">
        <f t="shared" si="6"/>
        <v>2.4866666666666664</v>
      </c>
      <c r="AI14" s="738">
        <f t="shared" si="6"/>
        <v>2.6499999999999995</v>
      </c>
      <c r="AJ14" s="738">
        <f t="shared" ref="AJ14:BO14" si="29">(1+$N$37)*AI14</f>
        <v>2.8040895456311885</v>
      </c>
      <c r="AK14" s="738">
        <f t="shared" si="29"/>
        <v>2.967138935818161</v>
      </c>
      <c r="AL14" s="738">
        <f t="shared" si="29"/>
        <v>3.1396691586275307</v>
      </c>
      <c r="AM14" s="738">
        <f t="shared" si="29"/>
        <v>3.322231496018162</v>
      </c>
      <c r="AN14" s="738">
        <f t="shared" si="29"/>
        <v>3.5154092853400729</v>
      </c>
      <c r="AO14" s="738">
        <f t="shared" si="29"/>
        <v>3.7198197832592106</v>
      </c>
      <c r="AP14" s="738">
        <f t="shared" si="29"/>
        <v>3.9361161380638592</v>
      </c>
      <c r="AQ14" s="738">
        <f t="shared" si="29"/>
        <v>4.1649894766547462</v>
      </c>
      <c r="AR14" s="738">
        <f t="shared" si="29"/>
        <v>4.4071711128873545</v>
      </c>
      <c r="AS14" s="738">
        <f t="shared" si="29"/>
        <v>4.6634348843227178</v>
      </c>
      <c r="AT14" s="738">
        <f t="shared" si="29"/>
        <v>4.9345996248532549</v>
      </c>
      <c r="AU14" s="738">
        <f t="shared" si="29"/>
        <v>5.2215317811043764</v>
      </c>
      <c r="AV14" s="738">
        <f t="shared" si="29"/>
        <v>5.5251481809719936</v>
      </c>
      <c r="AW14" s="738">
        <f t="shared" si="29"/>
        <v>5.8464189631421686</v>
      </c>
      <c r="AX14" s="738">
        <f t="shared" si="29"/>
        <v>6.1863706769535431</v>
      </c>
      <c r="AY14" s="738">
        <f t="shared" si="29"/>
        <v>6.5460895625074604</v>
      </c>
      <c r="AZ14" s="738">
        <f t="shared" si="29"/>
        <v>6.9267250215066465</v>
      </c>
      <c r="BA14" s="738">
        <f t="shared" si="29"/>
        <v>7.3294932899127394</v>
      </c>
      <c r="BB14" s="738">
        <f t="shared" si="29"/>
        <v>7.7556813241578348</v>
      </c>
      <c r="BC14" s="738">
        <f t="shared" si="29"/>
        <v>8.2066509133275627</v>
      </c>
      <c r="BD14" s="738">
        <f t="shared" si="29"/>
        <v>8.6838430304552698</v>
      </c>
      <c r="BE14" s="738">
        <f t="shared" si="29"/>
        <v>9.1887824368309001</v>
      </c>
      <c r="BF14" s="738">
        <f t="shared" si="29"/>
        <v>9.7230825540366066</v>
      </c>
      <c r="BG14" s="738">
        <f t="shared" si="29"/>
        <v>10.288450619276622</v>
      </c>
      <c r="BH14" s="738">
        <f t="shared" si="29"/>
        <v>10.886693140474078</v>
      </c>
      <c r="BI14" s="738">
        <f t="shared" si="29"/>
        <v>11.519721668565335</v>
      </c>
      <c r="BJ14" s="738">
        <f t="shared" si="29"/>
        <v>12.189558905435899</v>
      </c>
      <c r="BK14" s="738">
        <f t="shared" si="29"/>
        <v>12.898345167014476</v>
      </c>
      <c r="BL14" s="738">
        <f t="shared" si="29"/>
        <v>13.648345222176552</v>
      </c>
      <c r="BM14" s="738">
        <f t="shared" si="29"/>
        <v>14.441955529309681</v>
      </c>
      <c r="BN14" s="738">
        <f t="shared" si="29"/>
        <v>15.281711893663328</v>
      </c>
      <c r="BO14" s="738">
        <f t="shared" si="29"/>
        <v>16.170297569950616</v>
      </c>
      <c r="BP14" s="738">
        <f t="shared" ref="BP14:CU14" si="30">(1+$N$37)*BO14</f>
        <v>17.110551836092053</v>
      </c>
      <c r="BQ14" s="738">
        <f t="shared" si="30"/>
        <v>18.105479065496706</v>
      </c>
      <c r="BR14" s="738">
        <f t="shared" si="30"/>
        <v>19.158258326869305</v>
      </c>
      <c r="BS14" s="738">
        <f t="shared" si="30"/>
        <v>20.272253542217317</v>
      </c>
      <c r="BT14" s="738">
        <f t="shared" si="30"/>
        <v>21.451024235515629</v>
      </c>
      <c r="BU14" s="738">
        <f t="shared" si="30"/>
        <v>22.698336906373825</v>
      </c>
      <c r="BV14" s="738">
        <f t="shared" si="30"/>
        <v>24.018177065048086</v>
      </c>
      <c r="BW14" s="738">
        <f t="shared" si="30"/>
        <v>25.414761967252879</v>
      </c>
      <c r="BX14" s="738">
        <f t="shared" si="30"/>
        <v>26.892554089463754</v>
      </c>
      <c r="BY14" s="738">
        <f t="shared" si="30"/>
        <v>28.456275387768525</v>
      </c>
      <c r="BZ14" s="738">
        <f t="shared" si="30"/>
        <v>30.110922385827859</v>
      </c>
      <c r="CA14" s="738">
        <f t="shared" si="30"/>
        <v>31.861782140155483</v>
      </c>
      <c r="CB14" s="738">
        <f t="shared" si="30"/>
        <v>33.714449133731513</v>
      </c>
      <c r="CC14" s="738">
        <f t="shared" si="30"/>
        <v>35.674843151928691</v>
      </c>
      <c r="CD14" s="738">
        <f t="shared" si="30"/>
        <v>37.74922819787006</v>
      </c>
      <c r="CE14" s="738">
        <f t="shared" si="30"/>
        <v>39.944232507657929</v>
      </c>
      <c r="CF14" s="738">
        <f t="shared" si="30"/>
        <v>42.266869729428336</v>
      </c>
      <c r="CG14" s="738">
        <f t="shared" si="30"/>
        <v>44.724561333903907</v>
      </c>
      <c r="CH14" s="738">
        <f t="shared" si="30"/>
        <v>47.325160328053151</v>
      </c>
      <c r="CI14" s="738">
        <f t="shared" si="30"/>
        <v>50.07697634762782</v>
      </c>
      <c r="CJ14" s="738">
        <f t="shared" si="30"/>
        <v>52.988802208756034</v>
      </c>
      <c r="CK14" s="738">
        <f t="shared" si="30"/>
        <v>56.06994200343081</v>
      </c>
      <c r="CL14" s="738">
        <f t="shared" si="30"/>
        <v>59.330240828666952</v>
      </c>
      <c r="CM14" s="738">
        <f t="shared" si="30"/>
        <v>62.780116244319139</v>
      </c>
      <c r="CN14" s="738">
        <f t="shared" si="30"/>
        <v>66.430591560077758</v>
      </c>
      <c r="CO14" s="738">
        <f t="shared" si="30"/>
        <v>70.293331058003602</v>
      </c>
      <c r="CP14" s="738">
        <f t="shared" si="30"/>
        <v>74.380677263147192</v>
      </c>
      <c r="CQ14" s="738">
        <f t="shared" si="30"/>
        <v>78.705690381342833</v>
      </c>
      <c r="CR14" s="738">
        <f t="shared" si="30"/>
        <v>83.282190030191941</v>
      </c>
      <c r="CS14" s="738">
        <f t="shared" si="30"/>
        <v>88.124799396577828</v>
      </c>
      <c r="CT14" s="738">
        <f t="shared" si="30"/>
        <v>93.248991961807391</v>
      </c>
      <c r="CU14" s="738">
        <f t="shared" si="30"/>
        <v>98.671140943679575</v>
      </c>
      <c r="CV14" s="738">
        <f t="shared" ref="CV14:EA14" si="31">(1+$N$37)*CU14</f>
        <v>104.40857161346169</v>
      </c>
      <c r="CW14" s="738">
        <f t="shared" si="31"/>
        <v>110.47961665494084</v>
      </c>
      <c r="CX14" s="738">
        <f t="shared" si="31"/>
        <v>116.90367474243811</v>
      </c>
      <c r="CY14" s="738">
        <f t="shared" si="31"/>
        <v>123.70127252495833</v>
      </c>
      <c r="CZ14" s="738">
        <f t="shared" si="31"/>
        <v>130.89413021453217</v>
      </c>
      <c r="DA14" s="738">
        <f t="shared" si="31"/>
        <v>138.50523098832346</v>
      </c>
      <c r="DB14" s="738">
        <f t="shared" si="31"/>
        <v>146.55889442626068</v>
      </c>
      <c r="DC14" s="738">
        <f t="shared" si="31"/>
        <v>155.0808542188463</v>
      </c>
      <c r="DD14" s="738">
        <f t="shared" si="31"/>
        <v>164.09834039344202</v>
      </c>
      <c r="DE14" s="738">
        <f t="shared" si="31"/>
        <v>173.64016632176566</v>
      </c>
      <c r="DF14" s="738">
        <f t="shared" si="31"/>
        <v>183.73682078661281</v>
      </c>
      <c r="DG14" s="738">
        <f t="shared" si="31"/>
        <v>194.420565401982</v>
      </c>
      <c r="DH14" s="738">
        <f t="shared" si="31"/>
        <v>205.72553769788775</v>
      </c>
      <c r="DI14" s="738">
        <f t="shared" si="31"/>
        <v>217.68786019924607</v>
      </c>
      <c r="DJ14" s="738">
        <f t="shared" si="31"/>
        <v>230.3457558473697</v>
      </c>
      <c r="DK14" s="738">
        <f t="shared" si="31"/>
        <v>243.73967013287685</v>
      </c>
      <c r="DL14" s="738">
        <f t="shared" si="31"/>
        <v>257.91240033026207</v>
      </c>
      <c r="DM14" s="738">
        <f t="shared" si="31"/>
        <v>272.90923224706938</v>
      </c>
      <c r="DN14" s="738">
        <f t="shared" si="31"/>
        <v>288.77808492461941</v>
      </c>
      <c r="DO14" s="738">
        <f t="shared" si="31"/>
        <v>305.56966375264938</v>
      </c>
      <c r="DP14" s="738">
        <f t="shared" si="31"/>
        <v>323.33762248711008</v>
      </c>
      <c r="DQ14" s="738">
        <f t="shared" si="31"/>
        <v>342.1387346888111</v>
      </c>
      <c r="DR14" s="738">
        <f t="shared" si="31"/>
        <v>362.03307513070877</v>
      </c>
      <c r="DS14" s="738">
        <f t="shared" si="31"/>
        <v>383.08421175348349</v>
      </c>
      <c r="DT14" s="738">
        <f t="shared" si="31"/>
        <v>405.35940878275761</v>
      </c>
      <c r="DU14" s="738">
        <f t="shared" si="31"/>
        <v>428.92984165696987</v>
      </c>
      <c r="DV14" s="738">
        <f t="shared" si="31"/>
        <v>453.87082445266054</v>
      </c>
      <c r="DW14" s="738">
        <f t="shared" si="31"/>
        <v>480.26205053385434</v>
      </c>
      <c r="DX14" s="738">
        <f t="shared" si="31"/>
        <v>508.18784719448252</v>
      </c>
      <c r="DY14" s="738">
        <f t="shared" si="31"/>
        <v>537.73744510749759</v>
      </c>
      <c r="DZ14" s="738">
        <f t="shared" si="31"/>
        <v>569.00526344164507</v>
      </c>
      <c r="EA14" s="738">
        <f t="shared" si="31"/>
        <v>602.0912115569198</v>
      </c>
      <c r="EB14" s="738">
        <f t="shared" ref="EB14:FG14" si="32">(1+$N$37)*EA14</f>
        <v>637.10100824270762</v>
      </c>
      <c r="EC14" s="738">
        <f t="shared" si="32"/>
        <v>674.14651951866654</v>
      </c>
      <c r="ED14" s="738">
        <f t="shared" si="32"/>
        <v>713.34611607771512</v>
      </c>
      <c r="EE14" s="738">
        <f t="shared" si="32"/>
        <v>754.8250515132579</v>
      </c>
      <c r="EF14" s="738">
        <f t="shared" si="32"/>
        <v>798.71586253918872</v>
      </c>
      <c r="EG14" s="738">
        <f t="shared" si="32"/>
        <v>845.15879248148565</v>
      </c>
      <c r="EH14" s="738">
        <f t="shared" si="32"/>
        <v>894.30223939457107</v>
      </c>
      <c r="EI14" s="738">
        <f t="shared" si="32"/>
        <v>946.30323023429344</v>
      </c>
      <c r="EJ14" s="738">
        <f t="shared" si="32"/>
        <v>1001.3279226026439</v>
      </c>
      <c r="EK14" s="738">
        <f t="shared" si="32"/>
        <v>1059.5521356674226</v>
      </c>
      <c r="EL14" s="738">
        <f t="shared" si="32"/>
        <v>1121.1619119532902</v>
      </c>
      <c r="EM14" s="738">
        <f t="shared" si="32"/>
        <v>1186.3541117992818</v>
      </c>
      <c r="EN14" s="738">
        <f t="shared" si="32"/>
        <v>1255.3370423822419</v>
      </c>
      <c r="EO14" s="738">
        <f t="shared" si="32"/>
        <v>1328.3311233160834</v>
      </c>
      <c r="EP14" s="738">
        <f t="shared" si="32"/>
        <v>1405.5695909536464</v>
      </c>
      <c r="EQ14" s="738">
        <f t="shared" si="32"/>
        <v>1487.2992436415948</v>
      </c>
      <c r="ER14" s="738">
        <f t="shared" si="32"/>
        <v>1573.7812303096491</v>
      </c>
      <c r="ES14" s="738">
        <f t="shared" si="32"/>
        <v>1665.291884913916</v>
      </c>
      <c r="ET14" s="738">
        <f t="shared" si="32"/>
        <v>1762.1236094005919</v>
      </c>
      <c r="EU14" s="738">
        <f t="shared" si="32"/>
        <v>1864.5858080113571</v>
      </c>
      <c r="EV14" s="738">
        <f t="shared" si="32"/>
        <v>1973.0058759158226</v>
      </c>
      <c r="EW14" s="738">
        <f t="shared" si="32"/>
        <v>2087.7302453299867</v>
      </c>
      <c r="EX14" s="738">
        <f t="shared" si="32"/>
        <v>2209.1254924633408</v>
      </c>
      <c r="EY14" s="738">
        <f t="shared" si="32"/>
        <v>2337.5795088316249</v>
      </c>
      <c r="EZ14" s="738">
        <f t="shared" si="32"/>
        <v>2473.5027406779054</v>
      </c>
      <c r="FA14" s="738">
        <f t="shared" si="32"/>
        <v>2617.3295004622673</v>
      </c>
      <c r="FB14" s="738">
        <f t="shared" si="32"/>
        <v>2769.5193546106966</v>
      </c>
      <c r="FC14" s="738">
        <f t="shared" si="32"/>
        <v>2930.5585919573932</v>
      </c>
      <c r="FD14" s="738">
        <f t="shared" si="32"/>
        <v>3100.9617775725974</v>
      </c>
      <c r="FE14" s="738">
        <f t="shared" si="32"/>
        <v>3281.2733969408409</v>
      </c>
      <c r="FF14" s="738">
        <f t="shared" si="32"/>
        <v>3472.0695957432267</v>
      </c>
      <c r="FG14" s="738">
        <f t="shared" si="32"/>
        <v>3673.9600208028264</v>
      </c>
      <c r="FH14" s="738">
        <f t="shared" ref="FH14:FY14" si="33">(1+$N$37)*FG14</f>
        <v>3887.5897680755288</v>
      </c>
      <c r="FI14" s="738">
        <f t="shared" si="33"/>
        <v>4113.6414439107048</v>
      </c>
      <c r="FJ14" s="738">
        <f t="shared" si="33"/>
        <v>4352.8373461679985</v>
      </c>
      <c r="FK14" s="738">
        <f t="shared" si="33"/>
        <v>4605.9417721595064</v>
      </c>
      <c r="FL14" s="738">
        <f t="shared" si="33"/>
        <v>4873.7634607918726</v>
      </c>
      <c r="FM14" s="738">
        <f t="shared" si="33"/>
        <v>5157.1581767116122</v>
      </c>
      <c r="FN14" s="738">
        <f t="shared" si="33"/>
        <v>5457.0314447107303</v>
      </c>
      <c r="FO14" s="738">
        <f t="shared" si="33"/>
        <v>5774.3414431298197</v>
      </c>
      <c r="FP14" s="738">
        <f t="shared" si="33"/>
        <v>6110.1020655038637</v>
      </c>
      <c r="FQ14" s="738">
        <f t="shared" si="33"/>
        <v>6465.3861602335537</v>
      </c>
      <c r="FR14" s="738">
        <f t="shared" si="33"/>
        <v>6841.3289586337669</v>
      </c>
      <c r="FS14" s="738">
        <f t="shared" si="33"/>
        <v>7239.1317023127749</v>
      </c>
      <c r="FT14" s="738">
        <f t="shared" si="33"/>
        <v>7660.0654814726659</v>
      </c>
      <c r="FU14" s="738">
        <f t="shared" si="33"/>
        <v>8105.4752963954115</v>
      </c>
      <c r="FV14" s="738">
        <f t="shared" si="33"/>
        <v>8576.7843550921643</v>
      </c>
      <c r="FW14" s="738">
        <f t="shared" si="33"/>
        <v>9075.4986208479531</v>
      </c>
      <c r="FX14" s="738">
        <f t="shared" si="33"/>
        <v>9603.2116241924596</v>
      </c>
      <c r="FY14" s="738">
        <f t="shared" si="33"/>
        <v>10161.609554672448</v>
      </c>
      <c r="FZ14" s="739">
        <f t="shared" si="18"/>
        <v>8.0976216258705991E-2</v>
      </c>
    </row>
    <row r="15" spans="2:182">
      <c r="B15" s="421" t="s">
        <v>48</v>
      </c>
      <c r="C15" s="317" t="s">
        <v>41</v>
      </c>
      <c r="D15" s="424"/>
      <c r="E15" s="431">
        <v>32.256666666666668</v>
      </c>
      <c r="F15" s="431">
        <v>1.1479999999999999</v>
      </c>
      <c r="G15" s="424">
        <f t="shared" si="12"/>
        <v>3.5589542213495917E-2</v>
      </c>
      <c r="H15" s="424">
        <f t="shared" si="3"/>
        <v>3.6928302159760257E-2</v>
      </c>
      <c r="I15" s="424">
        <v>7.5233333333333333E-2</v>
      </c>
      <c r="J15" s="424">
        <f t="shared" si="4"/>
        <v>0.11216163549309359</v>
      </c>
      <c r="K15" s="424">
        <f>J15</f>
        <v>0.11216163549309359</v>
      </c>
      <c r="AE15" s="738">
        <f t="shared" si="5"/>
        <v>-32.256666666666668</v>
      </c>
      <c r="AF15" s="738">
        <f t="shared" si="6"/>
        <v>1.25</v>
      </c>
      <c r="AG15" s="738">
        <f t="shared" si="6"/>
        <v>1.3</v>
      </c>
      <c r="AH15" s="738">
        <f t="shared" si="6"/>
        <v>1.35</v>
      </c>
      <c r="AI15" s="738">
        <f t="shared" si="6"/>
        <v>1.4000000000000001</v>
      </c>
      <c r="AJ15" s="738">
        <f t="shared" ref="AJ15:BO15" si="34">(1+$N$38)*AI15</f>
        <v>1.5177116427443949</v>
      </c>
      <c r="AK15" s="738">
        <f t="shared" si="34"/>
        <v>1.6453204503727783</v>
      </c>
      <c r="AL15" s="738">
        <f t="shared" si="34"/>
        <v>1.783658573983012</v>
      </c>
      <c r="AM15" s="738">
        <f t="shared" si="34"/>
        <v>1.9336281317249155</v>
      </c>
      <c r="AN15" s="738">
        <f t="shared" si="34"/>
        <v>2.0962070916121402</v>
      </c>
      <c r="AO15" s="738">
        <f t="shared" si="34"/>
        <v>2.2724556489593652</v>
      </c>
      <c r="AP15" s="738">
        <f t="shared" si="34"/>
        <v>2.4635231400327844</v>
      </c>
      <c r="AQ15" s="738">
        <f t="shared" si="34"/>
        <v>2.6706555369985621</v>
      </c>
      <c r="AR15" s="738">
        <f t="shared" si="34"/>
        <v>2.8952035730446437</v>
      </c>
      <c r="AS15" s="738">
        <f t="shared" si="34"/>
        <v>3.1386315506607341</v>
      </c>
      <c r="AT15" s="738">
        <f t="shared" si="34"/>
        <v>3.4025268905162069</v>
      </c>
      <c r="AU15" s="738">
        <f t="shared" si="34"/>
        <v>3.6886104832052355</v>
      </c>
      <c r="AV15" s="738">
        <f t="shared" si="34"/>
        <v>3.9987479113640099</v>
      </c>
      <c r="AW15" s="738">
        <f t="shared" si="34"/>
        <v>4.3349616153407062</v>
      </c>
      <c r="AX15" s="738">
        <f t="shared" si="34"/>
        <v>4.699444081751885</v>
      </c>
      <c r="AY15" s="738">
        <f t="shared" si="34"/>
        <v>5.0945721409293414</v>
      </c>
      <c r="AZ15" s="738">
        <f t="shared" si="34"/>
        <v>5.5229224664926422</v>
      </c>
      <c r="BA15" s="738">
        <f t="shared" si="34"/>
        <v>5.9872883781217663</v>
      </c>
      <c r="BB15" s="738">
        <f t="shared" si="34"/>
        <v>6.4906980571025779</v>
      </c>
      <c r="BC15" s="738">
        <f t="shared" si="34"/>
        <v>7.0364342934307178</v>
      </c>
      <c r="BD15" s="738">
        <f t="shared" si="34"/>
        <v>7.62805589324695</v>
      </c>
      <c r="BE15" s="738">
        <f t="shared" si="34"/>
        <v>8.2694208862042071</v>
      </c>
      <c r="BF15" s="738">
        <f t="shared" si="34"/>
        <v>8.9647116841041399</v>
      </c>
      <c r="BG15" s="738">
        <f t="shared" si="34"/>
        <v>9.7184623548654034</v>
      </c>
      <c r="BH15" s="738">
        <f t="shared" si="34"/>
        <v>10.535588189680237</v>
      </c>
      <c r="BI15" s="738">
        <f t="shared" si="34"/>
        <v>11.421417756170026</v>
      </c>
      <c r="BJ15" s="738">
        <f t="shared" si="34"/>
        <v>12.381727646562007</v>
      </c>
      <c r="BK15" s="738">
        <f t="shared" si="34"/>
        <v>13.422780147483795</v>
      </c>
      <c r="BL15" s="738">
        <f t="shared" si="34"/>
        <v>14.55136407702463</v>
      </c>
      <c r="BM15" s="738">
        <f t="shared" si="34"/>
        <v>15.774839055366304</v>
      </c>
      <c r="BN15" s="738">
        <f t="shared" si="34"/>
        <v>17.10118349767745</v>
      </c>
      <c r="BO15" s="738">
        <f t="shared" si="34"/>
        <v>18.539046642238127</v>
      </c>
      <c r="BP15" s="738">
        <f t="shared" ref="BP15:CU15" si="35">(1+$N$38)*BO15</f>
        <v>20.097804953075844</v>
      </c>
      <c r="BQ15" s="738">
        <f t="shared" si="35"/>
        <v>21.787623264920839</v>
      </c>
      <c r="BR15" s="738">
        <f t="shared" si="35"/>
        <v>23.619521069213572</v>
      </c>
      <c r="BS15" s="738">
        <f t="shared" si="35"/>
        <v>25.605444373422838</v>
      </c>
      <c r="BT15" s="738">
        <f t="shared" si="35"/>
        <v>27.758343602276998</v>
      </c>
      <c r="BU15" s="738">
        <f t="shared" si="35"/>
        <v>30.092258048910846</v>
      </c>
      <c r="BV15" s="738">
        <f t="shared" si="35"/>
        <v>32.62240742664337</v>
      </c>
      <c r="BW15" s="738">
        <f t="shared" si="35"/>
        <v>35.365291118405608</v>
      </c>
      <c r="BX15" s="738">
        <f t="shared" si="35"/>
        <v>38.338795771035095</v>
      </c>
      <c r="BY15" s="738">
        <f t="shared" si="35"/>
        <v>41.56231193607109</v>
      </c>
      <c r="BZ15" s="738">
        <f t="shared" si="35"/>
        <v>45.05686051767816</v>
      </c>
      <c r="CA15" s="738">
        <f t="shared" si="35"/>
        <v>48.845229852278848</v>
      </c>
      <c r="CB15" s="738">
        <f t="shared" si="35"/>
        <v>52.95212431380692</v>
      </c>
      <c r="CC15" s="738">
        <f t="shared" si="35"/>
        <v>57.404325413652366</v>
      </c>
      <c r="CD15" s="738">
        <f t="shared" si="35"/>
        <v>62.230866445848676</v>
      </c>
      <c r="CE15" s="738">
        <f t="shared" si="35"/>
        <v>67.463221816382884</v>
      </c>
      <c r="CF15" s="738">
        <f t="shared" si="35"/>
        <v>73.135512291265684</v>
      </c>
      <c r="CG15" s="738">
        <f t="shared" si="35"/>
        <v>79.284727501806941</v>
      </c>
      <c r="CH15" s="738">
        <f t="shared" si="35"/>
        <v>85.95096715807793</v>
      </c>
      <c r="CI15" s="738">
        <f t="shared" si="35"/>
        <v>93.177702543539993</v>
      </c>
      <c r="CJ15" s="738">
        <f t="shared" si="35"/>
        <v>101.01205999607475</v>
      </c>
      <c r="CK15" s="738">
        <f t="shared" si="35"/>
        <v>109.50512822402713</v>
      </c>
      <c r="CL15" s="738">
        <f t="shared" si="35"/>
        <v>118.71229146130273</v>
      </c>
      <c r="CM15" s="738">
        <f t="shared" si="35"/>
        <v>128.69359063406083</v>
      </c>
      <c r="CN15" s="738">
        <f t="shared" si="35"/>
        <v>139.51411489421079</v>
      </c>
      <c r="CO15" s="738">
        <f t="shared" si="35"/>
        <v>151.24442607294492</v>
      </c>
      <c r="CP15" s="738">
        <f t="shared" si="35"/>
        <v>163.961018822216</v>
      </c>
      <c r="CQ15" s="738">
        <f t="shared" si="35"/>
        <v>177.74681944479292</v>
      </c>
      <c r="CR15" s="738">
        <f t="shared" si="35"/>
        <v>192.69172666582</v>
      </c>
      <c r="CS15" s="738">
        <f t="shared" si="35"/>
        <v>208.89319787231113</v>
      </c>
      <c r="CT15" s="738">
        <f t="shared" si="35"/>
        <v>226.4568846435109</v>
      </c>
      <c r="CU15" s="738">
        <f t="shared" si="35"/>
        <v>245.49732171648631</v>
      </c>
      <c r="CV15" s="738">
        <f t="shared" ref="CV15:EA15" si="36">(1+$N$38)*CU15</f>
        <v>266.13867387976973</v>
      </c>
      <c r="CW15" s="738">
        <f t="shared" si="36"/>
        <v>288.51554566562862</v>
      </c>
      <c r="CX15" s="738">
        <f t="shared" si="36"/>
        <v>312.77385912105478</v>
      </c>
      <c r="CY15" s="738">
        <f t="shared" si="36"/>
        <v>339.07180538151425</v>
      </c>
      <c r="CZ15" s="738">
        <f t="shared" si="36"/>
        <v>367.58087625277551</v>
      </c>
      <c r="DA15" s="738">
        <f t="shared" si="36"/>
        <v>398.48698252787432</v>
      </c>
      <c r="DB15" s="738">
        <f t="shared" si="36"/>
        <v>431.99166633188361</v>
      </c>
      <c r="DC15" s="738">
        <f t="shared" si="36"/>
        <v>468.31341540032253</v>
      </c>
      <c r="DD15" s="738">
        <f t="shared" si="36"/>
        <v>507.68908786175831</v>
      </c>
      <c r="DE15" s="738">
        <f t="shared" si="36"/>
        <v>550.37545681576614</v>
      </c>
      <c r="DF15" s="738">
        <f t="shared" si="36"/>
        <v>596.65088477860945</v>
      </c>
      <c r="DG15" s="738">
        <f t="shared" si="36"/>
        <v>646.81713891588572</v>
      </c>
      <c r="DH15" s="738">
        <f t="shared" si="36"/>
        <v>701.20135889947028</v>
      </c>
      <c r="DI15" s="738">
        <f t="shared" si="36"/>
        <v>760.1581902213693</v>
      </c>
      <c r="DJ15" s="738">
        <f t="shared" si="36"/>
        <v>824.07209687605757</v>
      </c>
      <c r="DK15" s="738">
        <f t="shared" si="36"/>
        <v>893.35986849255676</v>
      </c>
      <c r="DL15" s="738">
        <f t="shared" si="36"/>
        <v>968.47333826553916</v>
      </c>
      <c r="DM15" s="738">
        <f t="shared" si="36"/>
        <v>1049.9023294093852</v>
      </c>
      <c r="DN15" s="738">
        <f t="shared" si="36"/>
        <v>1138.1778493493462</v>
      </c>
      <c r="DO15" s="738">
        <f t="shared" si="36"/>
        <v>1233.8755524794847</v>
      </c>
      <c r="DP15" s="738">
        <f t="shared" si="36"/>
        <v>1337.6194940684188</v>
      </c>
      <c r="DQ15" s="738">
        <f t="shared" si="36"/>
        <v>1450.0861997925044</v>
      </c>
      <c r="DR15" s="738">
        <f t="shared" si="36"/>
        <v>1572.0090774343275</v>
      </c>
      <c r="DS15" s="738">
        <f t="shared" si="36"/>
        <v>1704.1831995156813</v>
      </c>
      <c r="DT15" s="738">
        <f t="shared" si="36"/>
        <v>1847.4704880531024</v>
      </c>
      <c r="DU15" s="738">
        <f t="shared" si="36"/>
        <v>2002.8053352463305</v>
      </c>
      <c r="DV15" s="738">
        <f t="shared" si="36"/>
        <v>2171.2006967528191</v>
      </c>
      <c r="DW15" s="738">
        <f t="shared" si="36"/>
        <v>2353.754697283211</v>
      </c>
      <c r="DX15" s="738">
        <f t="shared" si="36"/>
        <v>2551.6577915935986</v>
      </c>
      <c r="DY15" s="738">
        <f t="shared" si="36"/>
        <v>2766.2005275721822</v>
      </c>
      <c r="DZ15" s="738">
        <f t="shared" si="36"/>
        <v>2998.7819620442774</v>
      </c>
      <c r="EA15" s="738">
        <f t="shared" si="36"/>
        <v>3250.9187841760568</v>
      </c>
      <c r="EB15" s="738">
        <f t="shared" ref="EB15:FG15" si="37">(1+$N$38)*EA15</f>
        <v>3524.2552059717527</v>
      </c>
      <c r="EC15" s="738">
        <f t="shared" si="37"/>
        <v>3820.573684361339</v>
      </c>
      <c r="ED15" s="738">
        <f t="shared" si="37"/>
        <v>4141.8065447986091</v>
      </c>
      <c r="EE15" s="738">
        <f t="shared" si="37"/>
        <v>4490.048582168416</v>
      </c>
      <c r="EF15" s="738">
        <f t="shared" si="37"/>
        <v>4867.5707211749768</v>
      </c>
      <c r="EG15" s="738">
        <f t="shared" si="37"/>
        <v>5276.8348252921378</v>
      </c>
      <c r="EH15" s="738">
        <f t="shared" si="37"/>
        <v>5720.5097508464014</v>
      </c>
      <c r="EI15" s="738">
        <f t="shared" si="37"/>
        <v>6201.4887509231576</v>
      </c>
      <c r="EJ15" s="738">
        <f t="shared" si="37"/>
        <v>6722.9083425889075</v>
      </c>
      <c r="EK15" s="738">
        <f t="shared" si="37"/>
        <v>7288.1687604647195</v>
      </c>
      <c r="EL15" s="738">
        <f t="shared" si="37"/>
        <v>7900.9561300309206</v>
      </c>
      <c r="EM15" s="738">
        <f t="shared" si="37"/>
        <v>8565.2665052575885</v>
      </c>
      <c r="EN15" s="738">
        <f t="shared" si="37"/>
        <v>9285.4319273128822</v>
      </c>
      <c r="EO15" s="738">
        <f t="shared" si="37"/>
        <v>10066.148674280919</v>
      </c>
      <c r="EP15" s="738">
        <f t="shared" si="37"/>
        <v>10912.507886108719</v>
      </c>
      <c r="EQ15" s="738">
        <f t="shared" si="37"/>
        <v>11830.028764490877</v>
      </c>
      <c r="ER15" s="738">
        <f t="shared" si="37"/>
        <v>12824.694564192065</v>
      </c>
      <c r="ES15" s="738">
        <f t="shared" si="37"/>
        <v>13902.99161051075</v>
      </c>
      <c r="ET15" s="738">
        <f t="shared" si="37"/>
        <v>15071.951597321293</v>
      </c>
      <c r="EU15" s="738">
        <f t="shared" si="37"/>
        <v>16339.197441524646</v>
      </c>
      <c r="EV15" s="738">
        <f t="shared" si="37"/>
        <v>17712.992992929558</v>
      </c>
      <c r="EW15" s="738">
        <f t="shared" si="37"/>
        <v>19202.29692372791</v>
      </c>
      <c r="EX15" s="738">
        <f t="shared" si="37"/>
        <v>20816.821148983374</v>
      </c>
      <c r="EY15" s="738">
        <f t="shared" si="37"/>
        <v>22567.09415909987</v>
      </c>
      <c r="EZ15" s="738">
        <f t="shared" si="37"/>
        <v>24464.529677267787</v>
      </c>
      <c r="FA15" s="738">
        <f t="shared" si="37"/>
        <v>26521.501089610778</v>
      </c>
      <c r="FB15" s="738">
        <f t="shared" si="37"/>
        <v>28751.422133400309</v>
      </c>
      <c r="FC15" s="738">
        <f t="shared" si="37"/>
        <v>31168.834369514669</v>
      </c>
      <c r="FD15" s="738">
        <f t="shared" si="37"/>
        <v>33789.502009560041</v>
      </c>
      <c r="FE15" s="738">
        <f t="shared" si="37"/>
        <v>36630.514716031714</v>
      </c>
      <c r="FF15" s="738">
        <f t="shared" si="37"/>
        <v>39710.399045886588</v>
      </c>
      <c r="FG15" s="738">
        <f t="shared" si="37"/>
        <v>43049.239264262847</v>
      </c>
      <c r="FH15" s="738">
        <f t="shared" ref="FH15:FY15" si="38">(1+$N$38)*FG15</f>
        <v>46668.808316186332</v>
      </c>
      <c r="FI15" s="738">
        <f t="shared" si="38"/>
        <v>50592.709810344597</v>
      </c>
      <c r="FJ15" s="738">
        <f t="shared" si="38"/>
        <v>54846.531940820401</v>
      </c>
      <c r="FK15" s="738">
        <f t="shared" si="38"/>
        <v>59458.014350525322</v>
      </c>
      <c r="FL15" s="738">
        <f t="shared" si="38"/>
        <v>64457.229024468274</v>
      </c>
      <c r="FM15" s="738">
        <f t="shared" si="38"/>
        <v>69876.77639248388</v>
      </c>
      <c r="FN15" s="738">
        <f t="shared" si="38"/>
        <v>75751.997920228183</v>
      </c>
      <c r="FO15" s="738">
        <f t="shared" si="38"/>
        <v>82121.206574771073</v>
      </c>
      <c r="FP15" s="738">
        <f t="shared" si="38"/>
        <v>89025.936667676855</v>
      </c>
      <c r="FQ15" s="738">
        <f t="shared" si="38"/>
        <v>96511.214704827347</v>
      </c>
      <c r="FR15" s="738">
        <f t="shared" si="38"/>
        <v>104625.85300922893</v>
      </c>
      <c r="FS15" s="738">
        <f t="shared" si="38"/>
        <v>113422.76803155029</v>
      </c>
      <c r="FT15" s="738">
        <f t="shared" si="38"/>
        <v>122959.32542412901</v>
      </c>
      <c r="FU15" s="738">
        <f t="shared" si="38"/>
        <v>133297.71412871248</v>
      </c>
      <c r="FV15" s="738">
        <f t="shared" si="38"/>
        <v>144505.35191740067</v>
      </c>
      <c r="FW15" s="738">
        <f t="shared" si="38"/>
        <v>156655.32503136789</v>
      </c>
      <c r="FX15" s="738">
        <f t="shared" si="38"/>
        <v>169826.86478429605</v>
      </c>
      <c r="FY15" s="738">
        <f t="shared" si="38"/>
        <v>184105.86423850298</v>
      </c>
      <c r="FZ15" s="739">
        <f t="shared" si="18"/>
        <v>0.11809351809379609</v>
      </c>
    </row>
    <row r="16" spans="2:182">
      <c r="B16" s="421" t="s">
        <v>44</v>
      </c>
      <c r="C16" s="317" t="s">
        <v>45</v>
      </c>
      <c r="D16" s="424"/>
      <c r="E16" s="431">
        <v>85.61666666666666</v>
      </c>
      <c r="F16" s="431">
        <v>2.37</v>
      </c>
      <c r="G16" s="424">
        <f t="shared" si="12"/>
        <v>2.7681526182596849E-2</v>
      </c>
      <c r="H16" s="424">
        <f t="shared" si="3"/>
        <v>2.8263760949970799E-2</v>
      </c>
      <c r="I16" s="424">
        <v>4.2066666666666669E-2</v>
      </c>
      <c r="J16" s="424">
        <f t="shared" si="4"/>
        <v>7.0330427616637464E-2</v>
      </c>
      <c r="K16" s="424" t="s">
        <v>1606</v>
      </c>
      <c r="AE16" s="738">
        <f t="shared" si="5"/>
        <v>-85.61666666666666</v>
      </c>
      <c r="AF16" s="738">
        <f t="shared" si="6"/>
        <v>2.46</v>
      </c>
      <c r="AG16" s="738">
        <f t="shared" si="6"/>
        <v>2.5299999999999998</v>
      </c>
      <c r="AH16" s="738">
        <f t="shared" si="6"/>
        <v>2.5999999999999996</v>
      </c>
      <c r="AI16" s="738">
        <f t="shared" si="6"/>
        <v>2.6699999999999995</v>
      </c>
      <c r="AJ16" s="738">
        <f t="shared" ref="AJ16:BO16" si="39">(1+$N$39)*AI16</f>
        <v>2.819766794242891</v>
      </c>
      <c r="AK16" s="738">
        <f t="shared" si="39"/>
        <v>2.9779343722527458</v>
      </c>
      <c r="AL16" s="738">
        <f t="shared" si="39"/>
        <v>3.1449739544242856</v>
      </c>
      <c r="AM16" s="738">
        <f t="shared" si="39"/>
        <v>3.321383193050321</v>
      </c>
      <c r="AN16" s="738">
        <f t="shared" si="39"/>
        <v>3.5076876549512068</v>
      </c>
      <c r="AO16" s="738">
        <f t="shared" si="39"/>
        <v>3.7044423872685881</v>
      </c>
      <c r="AP16" s="738">
        <f t="shared" si="39"/>
        <v>3.912233571088326</v>
      </c>
      <c r="AQ16" s="738">
        <f t="shared" si="39"/>
        <v>4.1316802678191564</v>
      </c>
      <c r="AR16" s="738">
        <f t="shared" si="39"/>
        <v>4.3634362635299748</v>
      </c>
      <c r="AS16" s="738">
        <f t="shared" si="39"/>
        <v>4.6081920167404862</v>
      </c>
      <c r="AT16" s="738">
        <f t="shared" si="39"/>
        <v>4.8666767154681665</v>
      </c>
      <c r="AU16" s="738">
        <f t="shared" si="39"/>
        <v>5.1396604496599982</v>
      </c>
      <c r="AV16" s="738">
        <f t="shared" si="39"/>
        <v>5.4279565054811805</v>
      </c>
      <c r="AW16" s="738">
        <f t="shared" si="39"/>
        <v>5.7324237882960736</v>
      </c>
      <c r="AX16" s="738">
        <f t="shared" si="39"/>
        <v>6.0539693815600417</v>
      </c>
      <c r="AY16" s="738">
        <f t="shared" si="39"/>
        <v>6.3935512492457596</v>
      </c>
      <c r="AZ16" s="738">
        <f t="shared" si="39"/>
        <v>6.7521810898551866</v>
      </c>
      <c r="BA16" s="738">
        <f t="shared" si="39"/>
        <v>7.1309273505200119</v>
      </c>
      <c r="BB16" s="738">
        <f t="shared" si="39"/>
        <v>7.530918410170325</v>
      </c>
      <c r="BC16" s="738">
        <f t="shared" si="39"/>
        <v>7.9533459412549625</v>
      </c>
      <c r="BD16" s="738">
        <f t="shared" si="39"/>
        <v>8.3994684600289204</v>
      </c>
      <c r="BE16" s="738">
        <f t="shared" si="39"/>
        <v>8.8706150759850271</v>
      </c>
      <c r="BF16" s="738">
        <f t="shared" si="39"/>
        <v>9.3681894516003599</v>
      </c>
      <c r="BG16" s="738">
        <f t="shared" si="39"/>
        <v>9.8936739841944625</v>
      </c>
      <c r="BH16" s="738">
        <f t="shared" si="39"/>
        <v>10.448634222358169</v>
      </c>
      <c r="BI16" s="738">
        <f t="shared" si="39"/>
        <v>11.034723530110659</v>
      </c>
      <c r="BJ16" s="738">
        <f t="shared" si="39"/>
        <v>11.653688012680425</v>
      </c>
      <c r="BK16" s="738">
        <f t="shared" si="39"/>
        <v>12.307371718585278</v>
      </c>
      <c r="BL16" s="738">
        <f t="shared" si="39"/>
        <v>12.997722133509676</v>
      </c>
      <c r="BM16" s="738">
        <f t="shared" si="39"/>
        <v>13.726795982346985</v>
      </c>
      <c r="BN16" s="738">
        <f t="shared" si="39"/>
        <v>14.49676535669242</v>
      </c>
      <c r="BO16" s="738">
        <f t="shared" si="39"/>
        <v>15.309924186041943</v>
      </c>
      <c r="BP16" s="738">
        <f t="shared" ref="BP16:CU16" si="40">(1+$N$39)*BO16</f>
        <v>16.168695071976479</v>
      </c>
      <c r="BQ16" s="738">
        <f t="shared" si="40"/>
        <v>17.075636505692117</v>
      </c>
      <c r="BR16" s="738">
        <f t="shared" si="40"/>
        <v>18.033450490379156</v>
      </c>
      <c r="BS16" s="738">
        <f t="shared" si="40"/>
        <v>19.044990591158925</v>
      </c>
      <c r="BT16" s="738">
        <f t="shared" si="40"/>
        <v>20.113270436561134</v>
      </c>
      <c r="BU16" s="738">
        <f t="shared" si="40"/>
        <v>21.241472696869778</v>
      </c>
      <c r="BV16" s="738">
        <f t="shared" si="40"/>
        <v>22.432958566086292</v>
      </c>
      <c r="BW16" s="738">
        <f t="shared" si="40"/>
        <v>23.691277775759083</v>
      </c>
      <c r="BX16" s="738">
        <f t="shared" si="40"/>
        <v>25.020179170513128</v>
      </c>
      <c r="BY16" s="738">
        <f t="shared" si="40"/>
        <v>26.423621876786729</v>
      </c>
      <c r="BZ16" s="738">
        <f t="shared" si="40"/>
        <v>27.905787098049906</v>
      </c>
      <c r="CA16" s="738">
        <f t="shared" si="40"/>
        <v>29.471090571645252</v>
      </c>
      <c r="CB16" s="738">
        <f t="shared" si="40"/>
        <v>31.124195724363307</v>
      </c>
      <c r="CC16" s="738">
        <f t="shared" si="40"/>
        <v>32.870027565946152</v>
      </c>
      <c r="CD16" s="738">
        <f t="shared" si="40"/>
        <v>34.713787361911407</v>
      </c>
      <c r="CE16" s="738">
        <f t="shared" si="40"/>
        <v>36.660968129410612</v>
      </c>
      <c r="CF16" s="738">
        <f t="shared" si="40"/>
        <v>38.717371002288004</v>
      </c>
      <c r="CG16" s="738">
        <f t="shared" si="40"/>
        <v>40.889122514095256</v>
      </c>
      <c r="CH16" s="738">
        <f t="shared" si="40"/>
        <v>43.182692850552513</v>
      </c>
      <c r="CI16" s="738">
        <f t="shared" si="40"/>
        <v>45.604915125834417</v>
      </c>
      <c r="CJ16" s="738">
        <f t="shared" si="40"/>
        <v>48.163005740109838</v>
      </c>
      <c r="CK16" s="738">
        <f t="shared" si="40"/>
        <v>50.864585878985579</v>
      </c>
      <c r="CL16" s="738">
        <f t="shared" si="40"/>
        <v>53.717704218906142</v>
      </c>
      <c r="CM16" s="738">
        <f t="shared" si="40"/>
        <v>56.730860906154611</v>
      </c>
      <c r="CN16" s="738">
        <f t="shared" si="40"/>
        <v>59.913032880893994</v>
      </c>
      <c r="CO16" s="738">
        <f t="shared" si="40"/>
        <v>63.273700621695653</v>
      </c>
      <c r="CP16" s="738">
        <f t="shared" si="40"/>
        <v>66.822876390233404</v>
      </c>
      <c r="CQ16" s="738">
        <f t="shared" si="40"/>
        <v>70.571134060291172</v>
      </c>
      <c r="CR16" s="738">
        <f t="shared" si="40"/>
        <v>74.529640619952275</v>
      </c>
      <c r="CS16" s="738">
        <f t="shared" si="40"/>
        <v>78.710189440823072</v>
      </c>
      <c r="CT16" s="738">
        <f t="shared" si="40"/>
        <v>83.125235413408376</v>
      </c>
      <c r="CU16" s="738">
        <f t="shared" si="40"/>
        <v>87.78793205331543</v>
      </c>
      <c r="CV16" s="738">
        <f t="shared" ref="CV16:EA16" si="41">(1+$N$39)*CU16</f>
        <v>92.712170688835215</v>
      </c>
      <c r="CW16" s="738">
        <f t="shared" si="41"/>
        <v>97.912621846650424</v>
      </c>
      <c r="CX16" s="738">
        <f t="shared" si="41"/>
        <v>103.40477895896852</v>
      </c>
      <c r="CY16" s="738">
        <f t="shared" si="41"/>
        <v>109.20500452229417</v>
      </c>
      <c r="CZ16" s="738">
        <f t="shared" si="41"/>
        <v>115.33057884535951</v>
      </c>
      <c r="DA16" s="738">
        <f t="shared" si="41"/>
        <v>121.79975153144434</v>
      </c>
      <c r="DB16" s="738">
        <f t="shared" si="41"/>
        <v>128.63179584846498</v>
      </c>
      <c r="DC16" s="738">
        <f t="shared" si="41"/>
        <v>135.84706614881352</v>
      </c>
      <c r="DD16" s="738">
        <f t="shared" si="41"/>
        <v>143.4670585100157</v>
      </c>
      <c r="DE16" s="738">
        <f t="shared" si="41"/>
        <v>151.51447477687051</v>
      </c>
      <c r="DF16" s="738">
        <f t="shared" si="41"/>
        <v>160.0132901958695</v>
      </c>
      <c r="DG16" s="738">
        <f t="shared" si="41"/>
        <v>168.98882484339492</v>
      </c>
      <c r="DH16" s="738">
        <f t="shared" si="41"/>
        <v>178.46781906049932</v>
      </c>
      <c r="DI16" s="738">
        <f t="shared" si="41"/>
        <v>188.47851311900544</v>
      </c>
      <c r="DJ16" s="738">
        <f t="shared" si="41"/>
        <v>199.05073135627143</v>
      </c>
      <c r="DK16" s="738">
        <f t="shared" si="41"/>
        <v>210.21597102927956</v>
      </c>
      <c r="DL16" s="738">
        <f t="shared" si="41"/>
        <v>222.00749615276709</v>
      </c>
      <c r="DM16" s="738">
        <f t="shared" si="41"/>
        <v>234.46043660096595</v>
      </c>
      <c r="DN16" s="738">
        <f t="shared" si="41"/>
        <v>247.61189276820016</v>
      </c>
      <c r="DO16" s="738">
        <f t="shared" si="41"/>
        <v>261.50104610015069</v>
      </c>
      <c r="DP16" s="738">
        <f t="shared" si="41"/>
        <v>276.16927582508782</v>
      </c>
      <c r="DQ16" s="738">
        <f t="shared" si="41"/>
        <v>291.66028223284223</v>
      </c>
      <c r="DR16" s="738">
        <f t="shared" si="41"/>
        <v>308.02021686879345</v>
      </c>
      <c r="DS16" s="738">
        <f t="shared" si="41"/>
        <v>325.29782003075576</v>
      </c>
      <c r="DT16" s="738">
        <f t="shared" si="41"/>
        <v>343.54456597839896</v>
      </c>
      <c r="DU16" s="738">
        <f t="shared" si="41"/>
        <v>362.81481628781853</v>
      </c>
      <c r="DV16" s="738">
        <f t="shared" si="41"/>
        <v>383.16598180813696</v>
      </c>
      <c r="DW16" s="738">
        <f t="shared" si="41"/>
        <v>404.65869370264431</v>
      </c>
      <c r="DX16" s="738">
        <f t="shared" si="41"/>
        <v>427.35698408405295</v>
      </c>
      <c r="DY16" s="738">
        <f t="shared" si="41"/>
        <v>451.32847678202262</v>
      </c>
      <c r="DZ16" s="738">
        <f t="shared" si="41"/>
        <v>476.64458881130008</v>
      </c>
      <c r="EA16" s="738">
        <f t="shared" si="41"/>
        <v>503.38074314069689</v>
      </c>
      <c r="EB16" s="738">
        <f t="shared" ref="EB16:FG16" si="42">(1+$N$39)*EA16</f>
        <v>531.6165933967967</v>
      </c>
      <c r="EC16" s="738">
        <f t="shared" si="42"/>
        <v>561.43626117183976</v>
      </c>
      <c r="ED16" s="738">
        <f t="shared" si="42"/>
        <v>592.92858664278401</v>
      </c>
      <c r="EE16" s="738">
        <f t="shared" si="42"/>
        <v>626.1873932481991</v>
      </c>
      <c r="EF16" s="738">
        <f t="shared" si="42"/>
        <v>661.31176721153076</v>
      </c>
      <c r="EG16" s="738">
        <f t="shared" si="42"/>
        <v>698.40635274350541</v>
      </c>
      <c r="EH16" s="738">
        <f t="shared" si="42"/>
        <v>737.58166380315515</v>
      </c>
      <c r="EI16" s="738">
        <f t="shared" si="42"/>
        <v>778.95441334627742</v>
      </c>
      <c r="EJ16" s="738">
        <f t="shared" si="42"/>
        <v>822.64786104224152</v>
      </c>
      <c r="EK16" s="738">
        <f t="shared" si="42"/>
        <v>868.79218049507597</v>
      </c>
      <c r="EL16" s="738">
        <f t="shared" si="42"/>
        <v>917.52484706288078</v>
      </c>
      <c r="EM16" s="738">
        <f t="shared" si="42"/>
        <v>968.99104743097325</v>
      </c>
      <c r="EN16" s="738">
        <f t="shared" si="42"/>
        <v>1023.3441121589876</v>
      </c>
      <c r="EO16" s="738">
        <f t="shared" si="42"/>
        <v>1080.7459724905941</v>
      </c>
      <c r="EP16" s="738">
        <f t="shared" si="42"/>
        <v>1141.3676427867861</v>
      </c>
      <c r="EQ16" s="738">
        <f t="shared" si="42"/>
        <v>1205.3897300200229</v>
      </c>
      <c r="ER16" s="738">
        <f t="shared" si="42"/>
        <v>1273.0029718471401</v>
      </c>
      <c r="ES16" s="738">
        <f t="shared" si="42"/>
        <v>1344.4088048640763</v>
      </c>
      <c r="ET16" s="738">
        <f t="shared" si="42"/>
        <v>1419.8199647353906</v>
      </c>
      <c r="EU16" s="738">
        <f t="shared" si="42"/>
        <v>1499.4611199865046</v>
      </c>
      <c r="EV16" s="738">
        <f t="shared" si="42"/>
        <v>1583.569541346892</v>
      </c>
      <c r="EW16" s="738">
        <f t="shared" si="42"/>
        <v>1672.3958086383564</v>
      </c>
      <c r="EX16" s="738">
        <f t="shared" si="42"/>
        <v>1766.2045573143919</v>
      </c>
      <c r="EY16" s="738">
        <f t="shared" si="42"/>
        <v>1865.2752668747521</v>
      </c>
      <c r="EZ16" s="738">
        <f t="shared" si="42"/>
        <v>1969.9030935041098</v>
      </c>
      <c r="FA16" s="738">
        <f t="shared" si="42"/>
        <v>2080.3997494154451</v>
      </c>
      <c r="FB16" s="738">
        <f t="shared" si="42"/>
        <v>2197.0944315179418</v>
      </c>
      <c r="FC16" s="738">
        <f t="shared" si="42"/>
        <v>2320.3348021761253</v>
      </c>
      <c r="FD16" s="738">
        <f t="shared" si="42"/>
        <v>2450.4880249821672</v>
      </c>
      <c r="FE16" s="738">
        <f t="shared" si="42"/>
        <v>2587.9418586271759</v>
      </c>
      <c r="FF16" s="738">
        <f t="shared" si="42"/>
        <v>2733.1058121303899</v>
      </c>
      <c r="FG16" s="738">
        <f t="shared" si="42"/>
        <v>2886.4123648679865</v>
      </c>
      <c r="FH16" s="738">
        <f t="shared" ref="FH16:FY16" si="43">(1+$N$39)*FG16</f>
        <v>3048.3182550362717</v>
      </c>
      <c r="FI16" s="738">
        <f t="shared" si="43"/>
        <v>3219.3058403879072</v>
      </c>
      <c r="FJ16" s="738">
        <f t="shared" si="43"/>
        <v>3399.8845352951412</v>
      </c>
      <c r="FK16" s="738">
        <f t="shared" si="43"/>
        <v>3590.5923284214091</v>
      </c>
      <c r="FL16" s="738">
        <f t="shared" si="43"/>
        <v>3791.99738552283</v>
      </c>
      <c r="FM16" s="738">
        <f t="shared" si="43"/>
        <v>4004.6997421547326</v>
      </c>
      <c r="FN16" s="738">
        <f t="shared" si="43"/>
        <v>4229.3330913262116</v>
      </c>
      <c r="FO16" s="738">
        <f t="shared" si="43"/>
        <v>4466.5666714285726</v>
      </c>
      <c r="FP16" s="738">
        <f t="shared" si="43"/>
        <v>4717.1072600622801</v>
      </c>
      <c r="FQ16" s="738">
        <f t="shared" si="43"/>
        <v>4981.7012797025036</v>
      </c>
      <c r="FR16" s="738">
        <f t="shared" si="43"/>
        <v>5261.1370214765684</v>
      </c>
      <c r="FS16" s="738">
        <f t="shared" si="43"/>
        <v>5556.2469936784937</v>
      </c>
      <c r="FT16" s="738">
        <f t="shared" si="43"/>
        <v>5867.9104020174191</v>
      </c>
      <c r="FU16" s="738">
        <f t="shared" si="43"/>
        <v>6197.0557689892039</v>
      </c>
      <c r="FV16" s="738">
        <f t="shared" si="43"/>
        <v>6544.663700174945</v>
      </c>
      <c r="FW16" s="738">
        <f t="shared" si="43"/>
        <v>6911.7698057079115</v>
      </c>
      <c r="FX16" s="738">
        <f t="shared" si="43"/>
        <v>7299.4677856126627</v>
      </c>
      <c r="FY16" s="738">
        <f t="shared" si="43"/>
        <v>7708.9126882083428</v>
      </c>
      <c r="FZ16" s="739">
        <f t="shared" si="18"/>
        <v>8.1973504802212771E-2</v>
      </c>
    </row>
    <row r="17" spans="2:182">
      <c r="B17" s="421" t="s">
        <v>42</v>
      </c>
      <c r="C17" s="317" t="s">
        <v>43</v>
      </c>
      <c r="D17" s="424"/>
      <c r="E17" s="431">
        <v>90.223333333333343</v>
      </c>
      <c r="F17" s="431">
        <v>2.1800000000000002</v>
      </c>
      <c r="G17" s="424">
        <f>F17/E17</f>
        <v>2.4162264011526952E-2</v>
      </c>
      <c r="H17" s="424">
        <f t="shared" si="3"/>
        <v>2.5018816270735583E-2</v>
      </c>
      <c r="I17" s="424">
        <v>7.0900000000000005E-2</v>
      </c>
      <c r="J17" s="424">
        <f>H17+I17</f>
        <v>9.5918816270735591E-2</v>
      </c>
      <c r="K17" s="424">
        <f>J17</f>
        <v>9.5918816270735591E-2</v>
      </c>
      <c r="AE17" s="738">
        <f t="shared" si="5"/>
        <v>-90.223333333333343</v>
      </c>
      <c r="AF17" s="738">
        <f t="shared" si="6"/>
        <v>2.2999999999999998</v>
      </c>
      <c r="AG17" s="738">
        <f t="shared" si="6"/>
        <v>2.4</v>
      </c>
      <c r="AH17" s="738">
        <f t="shared" si="6"/>
        <v>2.5</v>
      </c>
      <c r="AI17" s="738">
        <f t="shared" si="6"/>
        <v>2.6</v>
      </c>
      <c r="AJ17" s="738">
        <f t="shared" ref="AJ17:BO17" si="44">(1+$N$40)*AI17</f>
        <v>2.7714855694196912</v>
      </c>
      <c r="AK17" s="738">
        <f t="shared" si="44"/>
        <v>2.9542816390390727</v>
      </c>
      <c r="AL17" s="738">
        <f t="shared" si="44"/>
        <v>3.1491342040762857</v>
      </c>
      <c r="AM17" s="738">
        <f t="shared" si="44"/>
        <v>3.3568384626013041</v>
      </c>
      <c r="AN17" s="738">
        <f t="shared" si="44"/>
        <v>3.5782420607586523</v>
      </c>
      <c r="AO17" s="738">
        <f t="shared" si="44"/>
        <v>3.8142485520319931</v>
      </c>
      <c r="AP17" s="738">
        <f t="shared" si="44"/>
        <v>4.065821084667931</v>
      </c>
      <c r="AQ17" s="738">
        <f t="shared" si="44"/>
        <v>4.3339863323074947</v>
      </c>
      <c r="AR17" s="738">
        <f t="shared" si="44"/>
        <v>4.6198386838663055</v>
      </c>
      <c r="AS17" s="738">
        <f t="shared" si="44"/>
        <v>4.924544709762432</v>
      </c>
      <c r="AT17" s="738">
        <f t="shared" si="44"/>
        <v>5.2493479227187159</v>
      </c>
      <c r="AU17" s="738">
        <f t="shared" si="44"/>
        <v>5.5955738525685206</v>
      </c>
      <c r="AV17" s="738">
        <f t="shared" si="44"/>
        <v>5.9646354557753076</v>
      </c>
      <c r="AW17" s="738">
        <f t="shared" si="44"/>
        <v>6.3580388817424254</v>
      </c>
      <c r="AX17" s="738">
        <f t="shared" si="44"/>
        <v>6.7773896194455547</v>
      </c>
      <c r="AY17" s="738">
        <f t="shared" si="44"/>
        <v>7.224399049472372</v>
      </c>
      <c r="AZ17" s="738">
        <f t="shared" si="44"/>
        <v>7.7008914282084655</v>
      </c>
      <c r="BA17" s="738">
        <f t="shared" si="44"/>
        <v>8.2088113326721377</v>
      </c>
      <c r="BB17" s="738">
        <f t="shared" si="44"/>
        <v>8.750231596380635</v>
      </c>
      <c r="BC17" s="738">
        <f t="shared" si="44"/>
        <v>9.3273617686342902</v>
      </c>
      <c r="BD17" s="738">
        <f t="shared" si="44"/>
        <v>9.9425571317411006</v>
      </c>
      <c r="BE17" s="738">
        <f t="shared" si="44"/>
        <v>10.598328312981266</v>
      </c>
      <c r="BF17" s="738">
        <f t="shared" si="44"/>
        <v>11.297351530538354</v>
      </c>
      <c r="BG17" s="738">
        <f t="shared" si="44"/>
        <v>12.042479515210964</v>
      </c>
      <c r="BH17" s="738">
        <f t="shared" si="44"/>
        <v>12.836753152476701</v>
      </c>
      <c r="BI17" s="738">
        <f t="shared" si="44"/>
        <v>13.683413892419964</v>
      </c>
      <c r="BJ17" s="738">
        <f t="shared" si="44"/>
        <v>14.58591697816879</v>
      </c>
      <c r="BK17" s="738">
        <f t="shared" si="44"/>
        <v>15.547945546826334</v>
      </c>
      <c r="BL17" s="738">
        <f t="shared" si="44"/>
        <v>16.573425660443203</v>
      </c>
      <c r="BM17" s="738">
        <f t="shared" si="44"/>
        <v>17.66654232837244</v>
      </c>
      <c r="BN17" s="738">
        <f t="shared" si="44"/>
        <v>18.831756586394757</v>
      </c>
      <c r="BO17" s="738">
        <f t="shared" si="44"/>
        <v>20.073823702314343</v>
      </c>
      <c r="BP17" s="738">
        <f t="shared" ref="BP17:CU17" si="45">(1+$N$40)*BO17</f>
        <v>21.397812582322754</v>
      </c>
      <c r="BQ17" s="738">
        <f t="shared" si="45"/>
        <v>22.809126457328695</v>
      </c>
      <c r="BR17" s="738">
        <f t="shared" si="45"/>
        <v>24.313524933675136</v>
      </c>
      <c r="BS17" s="738">
        <f t="shared" si="45"/>
        <v>25.917147498233266</v>
      </c>
      <c r="BT17" s="738">
        <f t="shared" si="45"/>
        <v>27.626538573798133</v>
      </c>
      <c r="BU17" s="738">
        <f t="shared" si="45"/>
        <v>29.448674227037682</v>
      </c>
      <c r="BV17" s="738">
        <f t="shared" si="45"/>
        <v>31.390990637990964</v>
      </c>
      <c r="BW17" s="738">
        <f t="shared" si="45"/>
        <v>33.461414447300221</v>
      </c>
      <c r="BX17" s="738">
        <f t="shared" si="45"/>
        <v>35.668395105024665</v>
      </c>
      <c r="BY17" s="738">
        <f t="shared" si="45"/>
        <v>38.020939353052235</v>
      </c>
      <c r="BZ17" s="738">
        <f t="shared" si="45"/>
        <v>40.52864798183289</v>
      </c>
      <c r="CA17" s="738">
        <f t="shared" si="45"/>
        <v>43.201755011438593</v>
      </c>
      <c r="CB17" s="738">
        <f t="shared" si="45"/>
        <v>46.051169456848797</v>
      </c>
      <c r="CC17" s="738">
        <f t="shared" si="45"/>
        <v>49.088519847906646</v>
      </c>
      <c r="CD17" s="738">
        <f t="shared" si="45"/>
        <v>52.326201685632832</v>
      </c>
      <c r="CE17" s="738">
        <f t="shared" si="45"/>
        <v>55.777428028567577</v>
      </c>
      <c r="CF17" s="738">
        <f t="shared" si="45"/>
        <v>59.456283415584785</v>
      </c>
      <c r="CG17" s="738">
        <f t="shared" si="45"/>
        <v>63.377781345238667</v>
      </c>
      <c r="CH17" s="738">
        <f t="shared" si="45"/>
        <v>67.55792554621749</v>
      </c>
      <c r="CI17" s="738">
        <f t="shared" si="45"/>
        <v>72.01377528895064</v>
      </c>
      <c r="CJ17" s="738">
        <f t="shared" si="45"/>
        <v>76.763515004907319</v>
      </c>
      <c r="CK17" s="738">
        <f t="shared" si="45"/>
        <v>81.826528497704828</v>
      </c>
      <c r="CL17" s="738">
        <f t="shared" si="45"/>
        <v>87.223478048883862</v>
      </c>
      <c r="CM17" s="738">
        <f t="shared" si="45"/>
        <v>92.976388741183385</v>
      </c>
      <c r="CN17" s="738">
        <f t="shared" si="45"/>
        <v>99.10873834344045</v>
      </c>
      <c r="CO17" s="738">
        <f t="shared" si="45"/>
        <v>105.64555312393739</v>
      </c>
      <c r="CP17" s="738">
        <f t="shared" si="45"/>
        <v>112.61350998321301</v>
      </c>
      <c r="CQ17" s="738">
        <f t="shared" si="45"/>
        <v>120.04104532314429</v>
      </c>
      <c r="CR17" s="738">
        <f t="shared" si="45"/>
        <v>127.95847109659596</v>
      </c>
      <c r="CS17" s="738">
        <f t="shared" si="45"/>
        <v>136.39809851123937</v>
      </c>
      <c r="CT17" s="738">
        <f t="shared" si="45"/>
        <v>145.39436989237899</v>
      </c>
      <c r="CU17" s="738">
        <f t="shared" si="45"/>
        <v>154.98399924292198</v>
      </c>
      <c r="CV17" s="738">
        <f t="shared" ref="CV17:EA17" si="46">(1+$N$40)*CU17</f>
        <v>165.20612207411946</v>
      </c>
      <c r="CW17" s="738">
        <f t="shared" si="46"/>
        <v>176.10245511854228</v>
      </c>
      <c r="CX17" s="738">
        <f t="shared" si="46"/>
        <v>187.71746657708414</v>
      </c>
      <c r="CY17" s="738">
        <f t="shared" si="46"/>
        <v>200.09855759477378</v>
      </c>
      <c r="CZ17" s="738">
        <f t="shared" si="46"/>
        <v>213.29625570600402</v>
      </c>
      <c r="DA17" s="738">
        <f t="shared" si="46"/>
        <v>227.36442103863175</v>
      </c>
      <c r="DB17" s="738">
        <f t="shared" si="46"/>
        <v>242.36046611847334</v>
      </c>
      <c r="DC17" s="738">
        <f t="shared" si="46"/>
        <v>258.34559017122263</v>
      </c>
      <c r="DD17" s="738">
        <f t="shared" si="46"/>
        <v>275.38502887798347</v>
      </c>
      <c r="DE17" s="738">
        <f t="shared" si="46"/>
        <v>293.54832060367539</v>
      </c>
      <c r="DF17" s="738">
        <f t="shared" si="46"/>
        <v>312.90959018479668</v>
      </c>
      <c r="DG17" s="738">
        <f t="shared" si="46"/>
        <v>333.54785143468979</v>
      </c>
      <c r="DH17" s="738">
        <f t="shared" si="46"/>
        <v>355.54732960084067</v>
      </c>
      <c r="DI17" s="738">
        <f t="shared" si="46"/>
        <v>378.99780509016784</v>
      </c>
      <c r="DJ17" s="738">
        <f t="shared" si="46"/>
        <v>403.99497986505264</v>
      </c>
      <c r="DK17" s="738">
        <f t="shared" si="46"/>
        <v>430.64086800538155</v>
      </c>
      <c r="DL17" s="738">
        <f t="shared" si="46"/>
        <v>459.04421203049418</v>
      </c>
      <c r="DM17" s="738">
        <f t="shared" si="46"/>
        <v>489.32092668005674</v>
      </c>
      <c r="DN17" s="738">
        <f t="shared" si="46"/>
        <v>521.59457196494157</v>
      </c>
      <c r="DO17" s="738">
        <f t="shared" si="46"/>
        <v>555.99685741864459</v>
      </c>
      <c r="DP17" s="738">
        <f t="shared" si="46"/>
        <v>592.66817960710421</v>
      </c>
      <c r="DQ17" s="738">
        <f t="shared" si="46"/>
        <v>631.7581950905103</v>
      </c>
      <c r="DR17" s="738">
        <f t="shared" si="46"/>
        <v>673.42643117537659</v>
      </c>
      <c r="DS17" s="738">
        <f t="shared" si="46"/>
        <v>717.84293694936878</v>
      </c>
      <c r="DT17" s="738">
        <f t="shared" si="46"/>
        <v>765.1889772557787</v>
      </c>
      <c r="DU17" s="738">
        <f t="shared" si="46"/>
        <v>815.65777243977027</v>
      </c>
      <c r="DV17" s="738">
        <f t="shared" si="46"/>
        <v>869.45528688532056</v>
      </c>
      <c r="DW17" s="738">
        <f t="shared" si="46"/>
        <v>926.80106956089367</v>
      </c>
      <c r="DX17" s="738">
        <f t="shared" si="46"/>
        <v>987.92915000413541</v>
      </c>
      <c r="DY17" s="738">
        <f t="shared" si="46"/>
        <v>1053.0889934021241</v>
      </c>
      <c r="DZ17" s="738">
        <f t="shared" si="46"/>
        <v>1122.5465186648828</v>
      </c>
      <c r="EA17" s="738">
        <f t="shared" si="46"/>
        <v>1196.5851836469365</v>
      </c>
      <c r="EB17" s="738">
        <f t="shared" ref="EB17:FG17" si="47">(1+$N$40)*EA17</f>
        <v>1275.507141945729</v>
      </c>
      <c r="EC17" s="738">
        <f t="shared" si="47"/>
        <v>1359.6344759978235</v>
      </c>
      <c r="ED17" s="738">
        <f t="shared" si="47"/>
        <v>1449.3105115051812</v>
      </c>
      <c r="EE17" s="738">
        <f t="shared" si="47"/>
        <v>1544.9012185557235</v>
      </c>
      <c r="EF17" s="738">
        <f t="shared" si="47"/>
        <v>1646.7967051561861</v>
      </c>
      <c r="EG17" s="738">
        <f t="shared" si="47"/>
        <v>1755.412809272409</v>
      </c>
      <c r="EH17" s="738">
        <f t="shared" si="47"/>
        <v>1871.1927958742162</v>
      </c>
      <c r="EI17" s="738">
        <f t="shared" si="47"/>
        <v>1994.6091659105678</v>
      </c>
      <c r="EJ17" s="738">
        <f t="shared" si="47"/>
        <v>2126.1655845974556</v>
      </c>
      <c r="EK17" s="738">
        <f t="shared" si="47"/>
        <v>2266.3989368879343</v>
      </c>
      <c r="EL17" s="738">
        <f t="shared" si="47"/>
        <v>2415.8815185127073</v>
      </c>
      <c r="EM17" s="738">
        <f t="shared" si="47"/>
        <v>2575.2233715329608</v>
      </c>
      <c r="EN17" s="738">
        <f t="shared" si="47"/>
        <v>2745.074773936894</v>
      </c>
      <c r="EO17" s="738">
        <f t="shared" si="47"/>
        <v>2926.1288934400468</v>
      </c>
      <c r="EP17" s="738">
        <f t="shared" si="47"/>
        <v>3119.1246163196533</v>
      </c>
      <c r="EQ17" s="738">
        <f t="shared" si="47"/>
        <v>3324.8495628275577</v>
      </c>
      <c r="ER17" s="738">
        <f t="shared" si="47"/>
        <v>3544.1433014876711</v>
      </c>
      <c r="ES17" s="738">
        <f t="shared" si="47"/>
        <v>3777.900775395593</v>
      </c>
      <c r="ET17" s="738">
        <f t="shared" si="47"/>
        <v>4027.0759545032106</v>
      </c>
      <c r="EU17" s="738">
        <f t="shared" si="47"/>
        <v>4292.6857287933371</v>
      </c>
      <c r="EV17" s="738">
        <f t="shared" si="47"/>
        <v>4575.8140582325323</v>
      </c>
      <c r="EW17" s="738">
        <f t="shared" si="47"/>
        <v>4877.6163964381603</v>
      </c>
      <c r="EX17" s="738">
        <f t="shared" si="47"/>
        <v>5199.3244061127834</v>
      </c>
      <c r="EY17" s="738">
        <f t="shared" si="47"/>
        <v>5542.2509854896862</v>
      </c>
      <c r="EZ17" s="738">
        <f t="shared" si="47"/>
        <v>5907.7956263025872</v>
      </c>
      <c r="FA17" s="738">
        <f t="shared" si="47"/>
        <v>6297.4501251455331</v>
      </c>
      <c r="FB17" s="738">
        <f t="shared" si="47"/>
        <v>6712.8046715311821</v>
      </c>
      <c r="FC17" s="738">
        <f t="shared" si="47"/>
        <v>7155.5543374929848</v>
      </c>
      <c r="FD17" s="738">
        <f t="shared" si="47"/>
        <v>7627.5059952154943</v>
      </c>
      <c r="FE17" s="738">
        <f t="shared" si="47"/>
        <v>8130.5856909238155</v>
      </c>
      <c r="FF17" s="738">
        <f t="shared" si="47"/>
        <v>8666.8465051252242</v>
      </c>
      <c r="FG17" s="738">
        <f t="shared" si="47"/>
        <v>9238.4769312807857</v>
      </c>
      <c r="FH17" s="738">
        <f t="shared" ref="FH17:FY17" si="48">(1+$N$40)*FG17</f>
        <v>9847.8098071005425</v>
      </c>
      <c r="FI17" s="738">
        <f t="shared" si="48"/>
        <v>10497.331834911101</v>
      </c>
      <c r="FJ17" s="738">
        <f t="shared" si="48"/>
        <v>11189.693729948478</v>
      </c>
      <c r="FK17" s="738">
        <f t="shared" si="48"/>
        <v>11927.721037991616</v>
      </c>
      <c r="FL17" s="738">
        <f t="shared" si="48"/>
        <v>12714.425666483623</v>
      </c>
      <c r="FM17" s="738">
        <f t="shared" si="48"/>
        <v>13553.018176199499</v>
      </c>
      <c r="FN17" s="738">
        <f t="shared" si="48"/>
        <v>14446.920883622957</v>
      </c>
      <c r="FO17" s="738">
        <f t="shared" si="48"/>
        <v>15399.781827503461</v>
      </c>
      <c r="FP17" s="738">
        <f t="shared" si="48"/>
        <v>16415.489656591322</v>
      </c>
      <c r="FQ17" s="738">
        <f t="shared" si="48"/>
        <v>17498.189499308097</v>
      </c>
      <c r="FR17" s="738">
        <f t="shared" si="48"/>
        <v>18652.299880116752</v>
      </c>
      <c r="FS17" s="738">
        <f t="shared" si="48"/>
        <v>19882.530751627775</v>
      </c>
      <c r="FT17" s="738">
        <f t="shared" si="48"/>
        <v>21193.902716030625</v>
      </c>
      <c r="FU17" s="738">
        <f t="shared" si="48"/>
        <v>22591.767514293719</v>
      </c>
      <c r="FV17" s="738">
        <f t="shared" si="48"/>
        <v>24081.829866749849</v>
      </c>
      <c r="FW17" s="738">
        <f t="shared" si="48"/>
        <v>25670.170754198971</v>
      </c>
      <c r="FX17" s="738">
        <f t="shared" si="48"/>
        <v>27363.272234539167</v>
      </c>
      <c r="FY17" s="738">
        <f t="shared" si="48"/>
        <v>29168.043896203002</v>
      </c>
      <c r="FZ17" s="739">
        <f>IRR(AE17:FY17,0.1)</f>
        <v>8.8835978512637137E-2</v>
      </c>
    </row>
    <row r="19" spans="2:182">
      <c r="B19" s="433" t="s">
        <v>74</v>
      </c>
      <c r="C19" s="433"/>
      <c r="D19" s="424"/>
      <c r="E19" s="433"/>
      <c r="F19" s="433"/>
      <c r="G19" s="434">
        <f>AVERAGE(G10:G17)</f>
        <v>2.4899821892842885E-2</v>
      </c>
      <c r="H19" s="434">
        <f t="shared" ref="H19:I19" si="49">AVERAGE(H10:H17)</f>
        <v>2.578309313208196E-2</v>
      </c>
      <c r="I19" s="434">
        <f t="shared" si="49"/>
        <v>7.0824999999999999E-2</v>
      </c>
      <c r="J19" s="434">
        <f>AVERAGE(J10:J17)</f>
        <v>9.6608093132081962E-2</v>
      </c>
      <c r="K19" s="434">
        <f t="shared" ref="K19" si="50">AVERAGE(K10:K17)</f>
        <v>9.6905699963215797E-2</v>
      </c>
    </row>
    <row r="20" spans="2:182">
      <c r="B20" s="435" t="s">
        <v>75</v>
      </c>
      <c r="C20" s="435"/>
      <c r="E20" s="435"/>
      <c r="F20" s="435"/>
      <c r="G20" s="436">
        <f>MEDIAN(G10:G17)</f>
        <v>2.5397644481233057E-2</v>
      </c>
      <c r="H20" s="436">
        <f t="shared" ref="H20" si="51">MEDIAN(H10:H17)</f>
        <v>2.6613814265635992E-2</v>
      </c>
      <c r="I20" s="436">
        <f>MEDIAN(I10:I17)</f>
        <v>6.9900000000000004E-2</v>
      </c>
      <c r="J20" s="436">
        <f t="shared" ref="J20:K20" si="52">MEDIAN(J10:J17)</f>
        <v>8.9771174044516983E-2</v>
      </c>
      <c r="K20" s="436">
        <f t="shared" si="52"/>
        <v>9.3474336129747843E-2</v>
      </c>
    </row>
    <row r="21" spans="2:182">
      <c r="I21" s="437"/>
      <c r="J21" s="424"/>
      <c r="K21" s="424"/>
      <c r="L21" s="424"/>
    </row>
    <row r="22" spans="2:182">
      <c r="B22" s="435" t="s">
        <v>76</v>
      </c>
    </row>
    <row r="23" spans="2:182">
      <c r="B23" s="421" t="s">
        <v>1881</v>
      </c>
    </row>
    <row r="25" spans="2:182">
      <c r="B25" s="439"/>
    </row>
    <row r="27" spans="2:182">
      <c r="B27" s="422" t="s">
        <v>1882</v>
      </c>
      <c r="C27" s="422"/>
      <c r="D27" s="422"/>
      <c r="E27" s="422"/>
      <c r="F27" s="422"/>
      <c r="G27" s="422"/>
      <c r="H27" s="422"/>
      <c r="I27" s="422"/>
      <c r="J27" s="422"/>
      <c r="K27" s="422"/>
      <c r="L27" s="422"/>
      <c r="M27" s="422"/>
      <c r="N27" s="422"/>
      <c r="O27" s="422"/>
      <c r="P27" s="422"/>
    </row>
    <row r="28" spans="2:182">
      <c r="B28" s="422" t="s">
        <v>1880</v>
      </c>
      <c r="C28" s="422"/>
      <c r="D28" s="422"/>
      <c r="E28" s="422"/>
      <c r="F28" s="422"/>
      <c r="G28" s="422"/>
      <c r="H28" s="422"/>
      <c r="I28" s="422"/>
      <c r="J28" s="422"/>
      <c r="K28" s="422"/>
      <c r="L28" s="422"/>
      <c r="M28" s="422"/>
      <c r="N28" s="422"/>
      <c r="O28" s="422"/>
      <c r="P28" s="422"/>
    </row>
    <row r="29" spans="2:182">
      <c r="B29" s="422"/>
    </row>
    <row r="30" spans="2:182">
      <c r="B30" s="439"/>
    </row>
    <row r="31" spans="2:182" ht="51">
      <c r="B31" s="427" t="s">
        <v>1</v>
      </c>
      <c r="C31" s="427" t="s">
        <v>0</v>
      </c>
      <c r="E31" s="429" t="s">
        <v>1883</v>
      </c>
      <c r="F31" s="429" t="s">
        <v>1608</v>
      </c>
      <c r="G31" s="429" t="s">
        <v>1609</v>
      </c>
      <c r="H31" s="429" t="s">
        <v>1610</v>
      </c>
      <c r="I31" s="429" t="s">
        <v>1611</v>
      </c>
      <c r="J31" s="429" t="s">
        <v>1612</v>
      </c>
      <c r="K31" s="429" t="s">
        <v>1613</v>
      </c>
      <c r="L31" s="429" t="s">
        <v>1614</v>
      </c>
      <c r="M31" s="429" t="s">
        <v>1615</v>
      </c>
      <c r="N31" s="429" t="s">
        <v>1616</v>
      </c>
      <c r="O31" s="429" t="s">
        <v>1617</v>
      </c>
      <c r="P31" s="429" t="s">
        <v>1618</v>
      </c>
    </row>
    <row r="32" spans="2:182">
      <c r="B32" s="430"/>
      <c r="C32" s="430"/>
    </row>
    <row r="33" spans="2:16">
      <c r="B33" s="421" t="s">
        <v>33</v>
      </c>
      <c r="C33" s="317" t="s">
        <v>34</v>
      </c>
      <c r="E33" s="431">
        <v>2.2400000000000002</v>
      </c>
      <c r="F33" s="431">
        <v>2.7</v>
      </c>
      <c r="G33" s="431">
        <f>(F33-E33)/3</f>
        <v>0.15333333333333332</v>
      </c>
      <c r="H33" s="431">
        <f t="shared" ref="H33:H40" si="53">E10</f>
        <v>110.76333333333334</v>
      </c>
      <c r="I33" s="431">
        <f>E33</f>
        <v>2.2400000000000002</v>
      </c>
      <c r="J33" s="431">
        <f t="shared" ref="J33:L40" si="54">I33+$G33</f>
        <v>2.3933333333333335</v>
      </c>
      <c r="K33" s="431">
        <f t="shared" si="54"/>
        <v>2.5466666666666669</v>
      </c>
      <c r="L33" s="431">
        <f t="shared" si="54"/>
        <v>2.7</v>
      </c>
      <c r="M33" s="431">
        <f>(1+(N33))*L33</f>
        <v>3.0342975420531308</v>
      </c>
      <c r="N33" s="343">
        <v>0.12381390446412241</v>
      </c>
      <c r="O33" s="424">
        <f t="shared" ref="O33:O40" si="55">FZ10</f>
        <v>0.13867354262834475</v>
      </c>
      <c r="P33" s="424" t="s">
        <v>1606</v>
      </c>
    </row>
    <row r="34" spans="2:16">
      <c r="B34" s="432" t="s">
        <v>35</v>
      </c>
      <c r="C34" s="443" t="s">
        <v>32</v>
      </c>
      <c r="E34" s="431">
        <v>1.68</v>
      </c>
      <c r="F34" s="431">
        <v>2.15</v>
      </c>
      <c r="G34" s="431">
        <f t="shared" ref="G34:G40" si="56">(F34-E34)/3</f>
        <v>0.15666666666666665</v>
      </c>
      <c r="H34" s="431">
        <f t="shared" si="53"/>
        <v>94.90000000000002</v>
      </c>
      <c r="I34" s="431">
        <f t="shared" ref="I34:I40" si="57">E34</f>
        <v>1.68</v>
      </c>
      <c r="J34" s="431">
        <f t="shared" si="54"/>
        <v>1.8366666666666667</v>
      </c>
      <c r="K34" s="431">
        <f t="shared" si="54"/>
        <v>1.9933333333333334</v>
      </c>
      <c r="L34" s="431">
        <f t="shared" si="54"/>
        <v>2.15</v>
      </c>
      <c r="M34" s="431">
        <f t="shared" ref="M34:M40" si="58">(1+(N34))*L34</f>
        <v>2.409932642876782</v>
      </c>
      <c r="N34" s="343">
        <v>0.12089890366361959</v>
      </c>
      <c r="O34" s="424">
        <f t="shared" si="55"/>
        <v>0.13433194914241064</v>
      </c>
      <c r="P34" s="424" t="s">
        <v>1606</v>
      </c>
    </row>
    <row r="35" spans="2:16">
      <c r="B35" s="421" t="s">
        <v>36</v>
      </c>
      <c r="C35" s="317" t="s">
        <v>37</v>
      </c>
      <c r="E35" s="431">
        <v>1.21</v>
      </c>
      <c r="F35" s="431">
        <v>1.33</v>
      </c>
      <c r="G35" s="431">
        <f t="shared" si="56"/>
        <v>4.0000000000000036E-2</v>
      </c>
      <c r="H35" s="431">
        <f t="shared" si="53"/>
        <v>45.043333333333329</v>
      </c>
      <c r="I35" s="431">
        <f t="shared" si="57"/>
        <v>1.21</v>
      </c>
      <c r="J35" s="431">
        <f t="shared" si="54"/>
        <v>1.25</v>
      </c>
      <c r="K35" s="431">
        <f t="shared" si="54"/>
        <v>1.29</v>
      </c>
      <c r="L35" s="431">
        <f t="shared" si="54"/>
        <v>1.33</v>
      </c>
      <c r="M35" s="431">
        <f t="shared" si="58"/>
        <v>1.4071899176969263</v>
      </c>
      <c r="N35" s="343">
        <v>5.8037532102951976E-2</v>
      </c>
      <c r="O35" s="424">
        <f t="shared" si="55"/>
        <v>8.2211253356566205E-2</v>
      </c>
      <c r="P35" s="424" t="s">
        <v>1606</v>
      </c>
    </row>
    <row r="36" spans="2:16">
      <c r="B36" s="421" t="s">
        <v>1172</v>
      </c>
      <c r="C36" s="317" t="s">
        <v>39</v>
      </c>
      <c r="E36" s="431">
        <v>1.97</v>
      </c>
      <c r="F36" s="431">
        <v>2.2000000000000002</v>
      </c>
      <c r="G36" s="431">
        <f t="shared" si="56"/>
        <v>7.666666666666673E-2</v>
      </c>
      <c r="H36" s="431">
        <f t="shared" si="53"/>
        <v>71.339999999999989</v>
      </c>
      <c r="I36" s="431">
        <f t="shared" si="57"/>
        <v>1.97</v>
      </c>
      <c r="J36" s="431">
        <f t="shared" si="54"/>
        <v>2.0466666666666669</v>
      </c>
      <c r="K36" s="431">
        <f t="shared" si="54"/>
        <v>2.1233333333333335</v>
      </c>
      <c r="L36" s="431">
        <f t="shared" si="54"/>
        <v>2.2000000000000002</v>
      </c>
      <c r="M36" s="431">
        <f t="shared" si="58"/>
        <v>2.3738885497143856</v>
      </c>
      <c r="N36" s="343">
        <v>7.9040249870175244E-2</v>
      </c>
      <c r="O36" s="424">
        <f t="shared" si="55"/>
        <v>0.10277752225312997</v>
      </c>
      <c r="P36" s="424">
        <f t="shared" ref="P36:P40" si="59">O36</f>
        <v>0.10277752225312997</v>
      </c>
    </row>
    <row r="37" spans="2:16">
      <c r="B37" s="421" t="s">
        <v>40</v>
      </c>
      <c r="C37" s="317" t="s">
        <v>46</v>
      </c>
      <c r="E37" s="431">
        <v>2.16</v>
      </c>
      <c r="F37" s="431">
        <v>2.65</v>
      </c>
      <c r="G37" s="431">
        <f t="shared" si="56"/>
        <v>0.16333333333333325</v>
      </c>
      <c r="H37" s="431">
        <f t="shared" si="53"/>
        <v>93.866666666666674</v>
      </c>
      <c r="I37" s="431">
        <f t="shared" si="57"/>
        <v>2.16</v>
      </c>
      <c r="J37" s="431">
        <f t="shared" si="54"/>
        <v>2.3233333333333333</v>
      </c>
      <c r="K37" s="431">
        <f t="shared" si="54"/>
        <v>2.4866666666666664</v>
      </c>
      <c r="L37" s="431">
        <f t="shared" si="54"/>
        <v>2.6499999999999995</v>
      </c>
      <c r="M37" s="431">
        <f t="shared" si="58"/>
        <v>2.8040895456311885</v>
      </c>
      <c r="N37" s="343">
        <v>5.8146998351392074E-2</v>
      </c>
      <c r="O37" s="424">
        <f t="shared" si="55"/>
        <v>8.0976216258705991E-2</v>
      </c>
      <c r="P37" s="424" t="s">
        <v>1606</v>
      </c>
    </row>
    <row r="38" spans="2:16">
      <c r="B38" s="421" t="s">
        <v>48</v>
      </c>
      <c r="C38" s="317" t="s">
        <v>41</v>
      </c>
      <c r="E38" s="431">
        <v>1.25</v>
      </c>
      <c r="F38" s="431">
        <v>1.4</v>
      </c>
      <c r="G38" s="431">
        <f t="shared" si="56"/>
        <v>4.9999999999999968E-2</v>
      </c>
      <c r="H38" s="431">
        <f t="shared" si="53"/>
        <v>32.256666666666668</v>
      </c>
      <c r="I38" s="431">
        <f t="shared" si="57"/>
        <v>1.25</v>
      </c>
      <c r="J38" s="431">
        <f t="shared" si="54"/>
        <v>1.3</v>
      </c>
      <c r="K38" s="431">
        <f t="shared" si="54"/>
        <v>1.35</v>
      </c>
      <c r="L38" s="431">
        <f t="shared" si="54"/>
        <v>1.4000000000000001</v>
      </c>
      <c r="M38" s="431">
        <f t="shared" si="58"/>
        <v>1.5177116427443949</v>
      </c>
      <c r="N38" s="343">
        <v>8.4079744817424779E-2</v>
      </c>
      <c r="O38" s="424">
        <f t="shared" si="55"/>
        <v>0.11809351809379609</v>
      </c>
      <c r="P38" s="424">
        <f t="shared" si="59"/>
        <v>0.11809351809379609</v>
      </c>
    </row>
    <row r="39" spans="2:16">
      <c r="B39" s="421" t="s">
        <v>44</v>
      </c>
      <c r="C39" s="317" t="s">
        <v>45</v>
      </c>
      <c r="E39" s="431">
        <v>2.46</v>
      </c>
      <c r="F39" s="431">
        <v>2.67</v>
      </c>
      <c r="G39" s="431">
        <f t="shared" si="56"/>
        <v>6.9999999999999993E-2</v>
      </c>
      <c r="H39" s="431">
        <f t="shared" si="53"/>
        <v>85.61666666666666</v>
      </c>
      <c r="I39" s="431">
        <f t="shared" si="57"/>
        <v>2.46</v>
      </c>
      <c r="J39" s="431">
        <f t="shared" si="54"/>
        <v>2.5299999999999998</v>
      </c>
      <c r="K39" s="431">
        <f t="shared" si="54"/>
        <v>2.5999999999999996</v>
      </c>
      <c r="L39" s="431">
        <f t="shared" si="54"/>
        <v>2.6699999999999995</v>
      </c>
      <c r="M39" s="431">
        <f t="shared" si="58"/>
        <v>2.819766794242891</v>
      </c>
      <c r="N39" s="343">
        <v>5.6092432300708303E-2</v>
      </c>
      <c r="O39" s="424">
        <f t="shared" si="55"/>
        <v>8.1973504802212771E-2</v>
      </c>
      <c r="P39" s="424" t="s">
        <v>1606</v>
      </c>
    </row>
    <row r="40" spans="2:16">
      <c r="B40" s="421" t="s">
        <v>42</v>
      </c>
      <c r="C40" s="317" t="s">
        <v>43</v>
      </c>
      <c r="E40" s="431">
        <v>2.2999999999999998</v>
      </c>
      <c r="F40" s="431">
        <v>2.6</v>
      </c>
      <c r="G40" s="431">
        <f t="shared" si="56"/>
        <v>0.10000000000000009</v>
      </c>
      <c r="H40" s="431">
        <f t="shared" si="53"/>
        <v>90.223333333333343</v>
      </c>
      <c r="I40" s="431">
        <f t="shared" si="57"/>
        <v>2.2999999999999998</v>
      </c>
      <c r="J40" s="431">
        <f t="shared" si="54"/>
        <v>2.4</v>
      </c>
      <c r="K40" s="431">
        <f t="shared" si="54"/>
        <v>2.5</v>
      </c>
      <c r="L40" s="431">
        <f t="shared" si="54"/>
        <v>2.6</v>
      </c>
      <c r="M40" s="431">
        <f t="shared" si="58"/>
        <v>2.7714855694196912</v>
      </c>
      <c r="N40" s="343">
        <v>6.5955988238342644E-2</v>
      </c>
      <c r="O40" s="424">
        <f t="shared" si="55"/>
        <v>8.8835978512637137E-2</v>
      </c>
      <c r="P40" s="424">
        <f t="shared" si="59"/>
        <v>8.8835978512637137E-2</v>
      </c>
    </row>
    <row r="42" spans="2:16">
      <c r="B42" s="433" t="s">
        <v>74</v>
      </c>
      <c r="C42" s="433"/>
      <c r="D42" s="424"/>
      <c r="E42" s="735">
        <f>AVERAGE(E33:E40)</f>
        <v>1.9087499999999999</v>
      </c>
      <c r="F42" s="735">
        <f>AVERAGE(F33:F40)</f>
        <v>2.2124999999999999</v>
      </c>
      <c r="G42" s="735">
        <f>AVERAGE(G33:G40)</f>
        <v>0.10124999999999999</v>
      </c>
      <c r="H42" s="735">
        <f>AVERAGE(H33:H40)</f>
        <v>78.001249999999999</v>
      </c>
      <c r="I42" s="735">
        <f t="shared" ref="I42:O42" si="60">AVERAGE(I33:I40)</f>
        <v>1.9087499999999999</v>
      </c>
      <c r="J42" s="735">
        <f t="shared" si="60"/>
        <v>2.0100000000000002</v>
      </c>
      <c r="K42" s="735">
        <f t="shared" si="60"/>
        <v>2.1112500000000001</v>
      </c>
      <c r="L42" s="735">
        <f t="shared" si="60"/>
        <v>2.2124999999999999</v>
      </c>
      <c r="M42" s="735">
        <f t="shared" si="60"/>
        <v>2.3922952755474238</v>
      </c>
      <c r="N42" s="434">
        <f t="shared" si="60"/>
        <v>8.0758219226092137E-2</v>
      </c>
      <c r="O42" s="434">
        <f t="shared" si="60"/>
        <v>0.10348418563097544</v>
      </c>
      <c r="P42" s="434">
        <f>AVERAGE(P33:P40)</f>
        <v>0.10323567295318774</v>
      </c>
    </row>
    <row r="43" spans="2:16">
      <c r="B43" s="435" t="s">
        <v>75</v>
      </c>
      <c r="C43" s="435"/>
      <c r="E43" s="736">
        <f>MEDIAN(E33:E40)</f>
        <v>2.0649999999999999</v>
      </c>
      <c r="F43" s="736">
        <f>MEDIAN(F33:F40)</f>
        <v>2.4000000000000004</v>
      </c>
      <c r="G43" s="736">
        <f>MEDIAN(G33:G40)</f>
        <v>8.8333333333333403E-2</v>
      </c>
      <c r="H43" s="736">
        <f>MEDIAN(H33:H40)</f>
        <v>87.92</v>
      </c>
      <c r="I43" s="736">
        <f t="shared" ref="I43:O43" si="61">MEDIAN(I33:I40)</f>
        <v>2.0649999999999999</v>
      </c>
      <c r="J43" s="736">
        <f t="shared" si="61"/>
        <v>2.1850000000000001</v>
      </c>
      <c r="K43" s="736">
        <f t="shared" si="61"/>
        <v>2.3049999999999997</v>
      </c>
      <c r="L43" s="736">
        <f t="shared" si="61"/>
        <v>2.4000000000000004</v>
      </c>
      <c r="M43" s="736">
        <f t="shared" si="61"/>
        <v>2.5907091061482364</v>
      </c>
      <c r="N43" s="436">
        <f t="shared" si="61"/>
        <v>7.2498119054258944E-2</v>
      </c>
      <c r="O43" s="436">
        <f t="shared" si="61"/>
        <v>9.5806750382883554E-2</v>
      </c>
      <c r="P43" s="436">
        <f t="shared" ref="P43" si="62">MEDIAN(P33:P40)</f>
        <v>0.10277752225312997</v>
      </c>
    </row>
    <row r="45" spans="2:16">
      <c r="B45" s="435" t="s">
        <v>76</v>
      </c>
    </row>
    <row r="46" spans="2:16">
      <c r="B46" s="421" t="s">
        <v>1884</v>
      </c>
    </row>
  </sheetData>
  <printOptions horizontalCentered="1"/>
  <pageMargins left="0.7" right="0.7" top="0.75" bottom="0.75" header="0.3" footer="0.3"/>
  <pageSetup scale="74" orientation="landscape" useFirstPageNumber="1" r:id="rId1"/>
  <headerFooter scaleWithDoc="0">
    <oddHeader>&amp;R&amp;10DEU Exhibit 2.16R
Page &amp;P of 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69"/>
  <sheetViews>
    <sheetView view="pageLayout" zoomScale="70" zoomScaleNormal="100" zoomScaleSheetLayoutView="100" zoomScalePageLayoutView="70" workbookViewId="0">
      <selection activeCell="J3" sqref="J3"/>
    </sheetView>
  </sheetViews>
  <sheetFormatPr defaultColWidth="9.375" defaultRowHeight="12.75" customHeight="1"/>
  <cols>
    <col min="1" max="1" width="4.375" style="464" customWidth="1"/>
    <col min="2" max="2" width="17.125" style="465" customWidth="1"/>
    <col min="3" max="3" width="15.125" style="464" customWidth="1"/>
    <col min="4" max="4" width="11.25" style="465" customWidth="1"/>
    <col min="5" max="5" width="13" style="464" customWidth="1"/>
    <col min="6" max="6" width="13.25" style="464" customWidth="1"/>
    <col min="7" max="7" width="12.625" style="464" customWidth="1"/>
    <col min="8" max="8" width="14.125" style="464" customWidth="1"/>
    <col min="9" max="10" width="16.125" style="464" customWidth="1"/>
    <col min="11" max="11" width="10.75" style="465" customWidth="1"/>
    <col min="12" max="12" width="7.875" style="465" customWidth="1"/>
    <col min="13" max="13" width="17.75" style="465" bestFit="1" customWidth="1"/>
    <col min="14" max="14" width="12.25" style="465" bestFit="1" customWidth="1"/>
    <col min="15" max="15" width="11.5" style="465" bestFit="1" customWidth="1"/>
    <col min="16" max="16" width="13" style="465" bestFit="1" customWidth="1"/>
    <col min="17" max="17" width="13.25" style="465" bestFit="1" customWidth="1"/>
    <col min="18" max="21" width="12.25" style="465" bestFit="1" customWidth="1"/>
    <col min="22" max="16384" width="9.375" style="465"/>
  </cols>
  <sheetData>
    <row r="1" spans="1:29" ht="12.75" customHeight="1">
      <c r="B1" s="464"/>
      <c r="D1" s="464"/>
      <c r="K1" s="464"/>
      <c r="L1" s="464"/>
    </row>
    <row r="2" spans="1:29" ht="12.75" customHeight="1">
      <c r="B2" s="840" t="s">
        <v>1636</v>
      </c>
      <c r="C2" s="840"/>
      <c r="D2" s="840"/>
      <c r="E2" s="840"/>
      <c r="F2" s="840"/>
      <c r="G2" s="840"/>
      <c r="H2" s="840"/>
      <c r="I2" s="840"/>
      <c r="J2" s="840"/>
      <c r="K2" s="840"/>
      <c r="L2" s="466"/>
    </row>
    <row r="3" spans="1:29" ht="12.75" customHeight="1">
      <c r="B3" s="467"/>
      <c r="C3" s="468"/>
    </row>
    <row r="4" spans="1:29" ht="12.75" customHeight="1">
      <c r="B4" s="467"/>
      <c r="C4" s="468"/>
    </row>
    <row r="5" spans="1:29" ht="12.75" customHeight="1">
      <c r="B5" s="468"/>
      <c r="C5" s="465"/>
      <c r="D5" s="464"/>
      <c r="E5" s="465"/>
      <c r="F5" s="465"/>
      <c r="G5" s="465"/>
      <c r="H5" s="465"/>
      <c r="I5" s="465"/>
      <c r="J5" s="465"/>
    </row>
    <row r="6" spans="1:29" ht="12.75" customHeight="1">
      <c r="A6" s="469"/>
      <c r="B6" s="467"/>
      <c r="F6" s="464" t="s">
        <v>1637</v>
      </c>
      <c r="G6" s="464" t="s">
        <v>1637</v>
      </c>
      <c r="I6" s="464" t="s">
        <v>1637</v>
      </c>
      <c r="J6" s="464" t="s">
        <v>1637</v>
      </c>
    </row>
    <row r="7" spans="1:29" ht="12.75" customHeight="1">
      <c r="A7" s="470"/>
      <c r="B7" s="467"/>
      <c r="C7" s="464" t="s">
        <v>1638</v>
      </c>
      <c r="D7" s="464" t="s">
        <v>1639</v>
      </c>
      <c r="E7" s="464" t="s">
        <v>1640</v>
      </c>
      <c r="F7" s="464" t="s">
        <v>1641</v>
      </c>
      <c r="G7" s="464" t="s">
        <v>1641</v>
      </c>
      <c r="I7" s="464" t="s">
        <v>1642</v>
      </c>
      <c r="J7" s="464" t="s">
        <v>1642</v>
      </c>
    </row>
    <row r="8" spans="1:29" ht="12.75" customHeight="1">
      <c r="A8" s="414"/>
      <c r="B8" s="471" t="s">
        <v>1643</v>
      </c>
      <c r="C8" s="472" t="s">
        <v>1644</v>
      </c>
      <c r="D8" s="472" t="s">
        <v>1645</v>
      </c>
      <c r="E8" s="464" t="s">
        <v>1646</v>
      </c>
      <c r="F8" s="464" t="s">
        <v>20</v>
      </c>
      <c r="G8" s="464" t="s">
        <v>20</v>
      </c>
      <c r="H8" s="464" t="s">
        <v>598</v>
      </c>
      <c r="I8" s="464" t="s">
        <v>20</v>
      </c>
      <c r="J8" s="464" t="s">
        <v>20</v>
      </c>
      <c r="K8" s="464" t="s">
        <v>598</v>
      </c>
      <c r="M8" s="472"/>
    </row>
    <row r="9" spans="1:29" ht="12.75" customHeight="1">
      <c r="A9" s="414"/>
      <c r="B9" s="473" t="s">
        <v>1191</v>
      </c>
      <c r="C9" s="474" t="s">
        <v>1647</v>
      </c>
      <c r="D9" s="474" t="s">
        <v>1648</v>
      </c>
      <c r="E9" s="475" t="s">
        <v>1649</v>
      </c>
      <c r="F9" s="476" t="s">
        <v>1645</v>
      </c>
      <c r="G9" s="476" t="s">
        <v>23</v>
      </c>
      <c r="H9" s="476"/>
      <c r="I9" s="476" t="str">
        <f>F9</f>
        <v>Treasury</v>
      </c>
      <c r="J9" s="476" t="str">
        <f>G9</f>
        <v>Risk Premium</v>
      </c>
      <c r="K9" s="476"/>
      <c r="L9" s="477"/>
      <c r="M9" s="472"/>
    </row>
    <row r="10" spans="1:29" ht="12.75" customHeight="1">
      <c r="A10" s="397"/>
      <c r="B10" s="464"/>
      <c r="D10" s="464"/>
      <c r="K10" s="464"/>
    </row>
    <row r="11" spans="1:29" ht="12.75" customHeight="1">
      <c r="A11" s="414"/>
      <c r="B11" s="478">
        <v>1986</v>
      </c>
      <c r="C11" s="472">
        <v>0.1346</v>
      </c>
      <c r="D11" s="479">
        <v>7.7983333333333335E-2</v>
      </c>
      <c r="E11" s="480">
        <f t="shared" ref="E11:E44" si="0">C11-D11</f>
        <v>5.6616666666666662E-2</v>
      </c>
      <c r="F11" s="480"/>
      <c r="G11" s="480"/>
      <c r="H11" s="480"/>
      <c r="I11" s="480"/>
      <c r="J11" s="480"/>
      <c r="K11" s="480"/>
      <c r="M11" s="481"/>
    </row>
    <row r="12" spans="1:29" ht="12.75" customHeight="1">
      <c r="A12" s="414"/>
      <c r="B12" s="478">
        <v>1987</v>
      </c>
      <c r="C12" s="472">
        <v>0.12740000000000001</v>
      </c>
      <c r="D12" s="479">
        <v>8.5800000000000001E-2</v>
      </c>
      <c r="E12" s="480">
        <f t="shared" si="0"/>
        <v>4.1600000000000012E-2</v>
      </c>
      <c r="F12" s="480"/>
      <c r="G12" s="480"/>
      <c r="H12" s="480"/>
      <c r="I12" s="480"/>
      <c r="J12" s="480"/>
      <c r="K12" s="480"/>
      <c r="M12" s="481"/>
    </row>
    <row r="13" spans="1:29" ht="12.75" customHeight="1">
      <c r="A13" s="414"/>
      <c r="B13" s="478">
        <v>1988</v>
      </c>
      <c r="C13" s="472">
        <v>0.1285</v>
      </c>
      <c r="D13" s="479">
        <v>8.9591666666666681E-2</v>
      </c>
      <c r="E13" s="480">
        <f t="shared" si="0"/>
        <v>3.8908333333333323E-2</v>
      </c>
      <c r="F13" s="480"/>
      <c r="G13" s="480"/>
      <c r="H13" s="480"/>
      <c r="I13" s="480"/>
      <c r="J13" s="480"/>
      <c r="K13" s="480"/>
      <c r="M13" s="481"/>
    </row>
    <row r="14" spans="1:29" ht="12.75" customHeight="1">
      <c r="A14" s="414"/>
      <c r="B14" s="478">
        <v>1989</v>
      </c>
      <c r="C14" s="472">
        <v>0.1288</v>
      </c>
      <c r="D14" s="479">
        <v>8.4491666666666645E-2</v>
      </c>
      <c r="E14" s="480">
        <f t="shared" si="0"/>
        <v>4.4308333333333352E-2</v>
      </c>
      <c r="F14" s="480"/>
      <c r="G14" s="480"/>
      <c r="H14" s="480"/>
      <c r="I14" s="480"/>
      <c r="J14" s="480"/>
      <c r="K14" s="480"/>
      <c r="M14" s="481"/>
    </row>
    <row r="15" spans="1:29" ht="12.75" customHeight="1">
      <c r="A15" s="414"/>
      <c r="B15" s="478">
        <v>1990</v>
      </c>
      <c r="C15" s="472">
        <v>0.12670000000000001</v>
      </c>
      <c r="D15" s="479">
        <v>8.6083333333333331E-2</v>
      </c>
      <c r="E15" s="480">
        <f t="shared" si="0"/>
        <v>4.0616666666666676E-2</v>
      </c>
      <c r="F15" s="480">
        <f t="shared" ref="F15:G44" si="1">AVERAGE(D11:D15)</f>
        <v>8.4790000000000004E-2</v>
      </c>
      <c r="G15" s="480">
        <f t="shared" si="1"/>
        <v>4.4410000000000005E-2</v>
      </c>
      <c r="H15" s="480">
        <f>LINEST(G15:G44,F15:F44)</f>
        <v>-0.46893589775890032</v>
      </c>
      <c r="I15" s="480"/>
      <c r="J15" s="480"/>
      <c r="K15" s="480">
        <f>LINEST(J20:J44,I20:I44)</f>
        <v>-0.48501764609860654</v>
      </c>
      <c r="M15" s="481"/>
      <c r="U15"/>
      <c r="V15"/>
      <c r="W15"/>
      <c r="X15"/>
      <c r="Y15"/>
      <c r="Z15"/>
      <c r="AA15"/>
      <c r="AB15"/>
      <c r="AC15"/>
    </row>
    <row r="16" spans="1:29" ht="12.75" customHeight="1">
      <c r="A16" s="414"/>
      <c r="B16" s="478">
        <v>1991</v>
      </c>
      <c r="C16" s="472">
        <v>0.1246</v>
      </c>
      <c r="D16" s="479">
        <v>8.1358333333333324E-2</v>
      </c>
      <c r="E16" s="480">
        <f t="shared" si="0"/>
        <v>4.3241666666666678E-2</v>
      </c>
      <c r="F16" s="480">
        <f t="shared" si="1"/>
        <v>8.5464999999999985E-2</v>
      </c>
      <c r="G16" s="480">
        <f t="shared" si="1"/>
        <v>4.1735000000000008E-2</v>
      </c>
      <c r="H16" s="480"/>
      <c r="I16" s="480"/>
      <c r="J16" s="480"/>
      <c r="M16" s="481"/>
      <c r="U16"/>
      <c r="V16"/>
      <c r="W16"/>
      <c r="X16"/>
      <c r="Y16"/>
      <c r="Z16"/>
      <c r="AA16"/>
      <c r="AB16"/>
      <c r="AC16"/>
    </row>
    <row r="17" spans="1:29" ht="12.75" customHeight="1">
      <c r="A17" s="414"/>
      <c r="B17" s="478">
        <v>1992</v>
      </c>
      <c r="C17" s="472">
        <v>0.1201</v>
      </c>
      <c r="D17" s="479">
        <v>7.6666666666666661E-2</v>
      </c>
      <c r="E17" s="480">
        <f t="shared" si="0"/>
        <v>4.3433333333333338E-2</v>
      </c>
      <c r="F17" s="480">
        <f t="shared" si="1"/>
        <v>8.3638333333333328E-2</v>
      </c>
      <c r="G17" s="480">
        <f t="shared" si="1"/>
        <v>4.2101666666666669E-2</v>
      </c>
      <c r="H17" s="480"/>
      <c r="I17" s="480"/>
      <c r="J17" s="480"/>
      <c r="M17" s="481"/>
      <c r="U17" s="482"/>
      <c r="V17" s="482"/>
      <c r="W17"/>
      <c r="X17"/>
      <c r="Y17"/>
      <c r="Z17"/>
      <c r="AA17"/>
      <c r="AB17"/>
      <c r="AC17"/>
    </row>
    <row r="18" spans="1:29" ht="12.75" customHeight="1">
      <c r="A18" s="414"/>
      <c r="B18" s="478">
        <v>1993</v>
      </c>
      <c r="C18" s="472">
        <v>0.1135</v>
      </c>
      <c r="D18" s="479">
        <v>6.5983333333333324E-2</v>
      </c>
      <c r="E18" s="480">
        <f t="shared" si="0"/>
        <v>4.7516666666666679E-2</v>
      </c>
      <c r="F18" s="480">
        <f t="shared" si="1"/>
        <v>7.8916666666666663E-2</v>
      </c>
      <c r="G18" s="480">
        <f t="shared" si="1"/>
        <v>4.3823333333333339E-2</v>
      </c>
      <c r="H18" s="480"/>
      <c r="I18" s="480"/>
      <c r="J18" s="480"/>
      <c r="M18" s="481"/>
      <c r="U18"/>
      <c r="V18"/>
      <c r="W18"/>
      <c r="X18"/>
      <c r="Y18"/>
      <c r="Z18"/>
      <c r="AA18"/>
      <c r="AB18"/>
      <c r="AC18"/>
    </row>
    <row r="19" spans="1:29" ht="12.75" customHeight="1">
      <c r="A19" s="414"/>
      <c r="B19" s="478">
        <v>1994</v>
      </c>
      <c r="C19" s="472">
        <v>0.1135</v>
      </c>
      <c r="D19" s="479">
        <v>7.3700000000000002E-2</v>
      </c>
      <c r="E19" s="480">
        <f t="shared" si="0"/>
        <v>3.9800000000000002E-2</v>
      </c>
      <c r="F19" s="480">
        <f t="shared" si="1"/>
        <v>7.6758333333333331E-2</v>
      </c>
      <c r="G19" s="480">
        <f t="shared" si="1"/>
        <v>4.2921666666666677E-2</v>
      </c>
      <c r="H19" s="480"/>
      <c r="I19" s="480"/>
      <c r="J19" s="480"/>
      <c r="M19" s="481"/>
      <c r="U19"/>
      <c r="V19"/>
      <c r="W19"/>
      <c r="X19"/>
      <c r="Y19"/>
      <c r="Z19"/>
      <c r="AA19"/>
      <c r="AB19"/>
      <c r="AC19"/>
    </row>
    <row r="20" spans="1:29" ht="12.75" customHeight="1">
      <c r="A20" s="414"/>
      <c r="B20" s="478">
        <v>1995</v>
      </c>
      <c r="C20" s="472">
        <v>0.1143</v>
      </c>
      <c r="D20" s="479">
        <v>6.8841666666666676E-2</v>
      </c>
      <c r="E20" s="480">
        <f t="shared" si="0"/>
        <v>4.5458333333333323E-2</v>
      </c>
      <c r="F20" s="480">
        <f t="shared" si="1"/>
        <v>7.331E-2</v>
      </c>
      <c r="G20" s="480">
        <f t="shared" si="1"/>
        <v>4.3890000000000005E-2</v>
      </c>
      <c r="H20" s="480"/>
      <c r="I20" s="480">
        <f>AVERAGE(D11:D20)</f>
        <v>7.9049999999999995E-2</v>
      </c>
      <c r="J20" s="480">
        <f t="shared" ref="I20:J44" si="2">AVERAGE(E11:E20)</f>
        <v>4.4150000000000002E-2</v>
      </c>
      <c r="M20" s="481"/>
      <c r="U20"/>
      <c r="V20"/>
      <c r="W20"/>
      <c r="X20"/>
      <c r="Y20"/>
      <c r="Z20"/>
      <c r="AA20"/>
      <c r="AB20"/>
      <c r="AC20"/>
    </row>
    <row r="21" spans="1:29" ht="12.75" customHeight="1">
      <c r="A21" s="414"/>
      <c r="B21" s="478">
        <v>1996</v>
      </c>
      <c r="C21" s="472">
        <v>0.1119</v>
      </c>
      <c r="D21" s="479">
        <v>6.700833333333335E-2</v>
      </c>
      <c r="E21" s="480">
        <f t="shared" si="0"/>
        <v>4.4891666666666649E-2</v>
      </c>
      <c r="F21" s="480">
        <f t="shared" si="1"/>
        <v>7.0440000000000003E-2</v>
      </c>
      <c r="G21" s="480">
        <f t="shared" si="1"/>
        <v>4.4220000000000002E-2</v>
      </c>
      <c r="H21" s="480"/>
      <c r="I21" s="480">
        <f t="shared" si="2"/>
        <v>7.7952499999999994E-2</v>
      </c>
      <c r="J21" s="480">
        <f t="shared" si="2"/>
        <v>4.2977500000000002E-2</v>
      </c>
      <c r="M21" s="483"/>
      <c r="U21"/>
      <c r="V21"/>
      <c r="W21"/>
      <c r="X21"/>
      <c r="Y21"/>
      <c r="Z21"/>
      <c r="AA21"/>
      <c r="AB21"/>
      <c r="AC21"/>
    </row>
    <row r="22" spans="1:29" ht="12.75" customHeight="1">
      <c r="A22" s="414"/>
      <c r="B22" s="478">
        <v>1997</v>
      </c>
      <c r="C22" s="472">
        <v>0.1129</v>
      </c>
      <c r="D22" s="479">
        <v>6.6058333333333344E-2</v>
      </c>
      <c r="E22" s="480">
        <f t="shared" si="0"/>
        <v>4.6841666666666656E-2</v>
      </c>
      <c r="F22" s="480">
        <f t="shared" si="1"/>
        <v>6.8318333333333342E-2</v>
      </c>
      <c r="G22" s="480">
        <f t="shared" si="1"/>
        <v>4.4901666666666659E-2</v>
      </c>
      <c r="H22" s="480"/>
      <c r="I22" s="480">
        <f t="shared" si="2"/>
        <v>7.5978333333333342E-2</v>
      </c>
      <c r="J22" s="480">
        <f t="shared" si="2"/>
        <v>4.3501666666666675E-2</v>
      </c>
      <c r="M22" s="483"/>
      <c r="U22"/>
      <c r="V22"/>
      <c r="W22"/>
      <c r="X22"/>
      <c r="Y22"/>
      <c r="Z22"/>
      <c r="AA22"/>
      <c r="AB22"/>
      <c r="AC22"/>
    </row>
    <row r="23" spans="1:29" ht="12.75" customHeight="1">
      <c r="A23" s="414"/>
      <c r="B23" s="478">
        <v>1998</v>
      </c>
      <c r="C23" s="472">
        <v>0.11509999999999999</v>
      </c>
      <c r="D23" s="479">
        <v>5.5783333333333331E-2</v>
      </c>
      <c r="E23" s="480">
        <f t="shared" si="0"/>
        <v>5.9316666666666663E-2</v>
      </c>
      <c r="F23" s="480">
        <f t="shared" si="1"/>
        <v>6.6278333333333342E-2</v>
      </c>
      <c r="G23" s="480">
        <f t="shared" si="1"/>
        <v>4.726166666666666E-2</v>
      </c>
      <c r="H23" s="480"/>
      <c r="I23" s="480">
        <f t="shared" si="2"/>
        <v>7.2597499999999995E-2</v>
      </c>
      <c r="J23" s="480">
        <f t="shared" si="2"/>
        <v>4.55425E-2</v>
      </c>
      <c r="M23" s="483"/>
      <c r="U23"/>
      <c r="V23"/>
      <c r="W23"/>
      <c r="X23"/>
      <c r="Y23"/>
      <c r="Z23"/>
      <c r="AA23"/>
      <c r="AB23"/>
      <c r="AC23"/>
    </row>
    <row r="24" spans="1:29" ht="12.75" customHeight="1">
      <c r="A24" s="414"/>
      <c r="B24" s="478">
        <v>1999</v>
      </c>
      <c r="C24" s="472">
        <v>0.1066</v>
      </c>
      <c r="D24" s="479">
        <v>5.8658333333333333E-2</v>
      </c>
      <c r="E24" s="480">
        <f t="shared" si="0"/>
        <v>4.7941666666666667E-2</v>
      </c>
      <c r="F24" s="480">
        <f t="shared" si="1"/>
        <v>6.3270000000000007E-2</v>
      </c>
      <c r="G24" s="480">
        <f t="shared" si="1"/>
        <v>4.8889999999999989E-2</v>
      </c>
      <c r="H24" s="480"/>
      <c r="I24" s="480">
        <f t="shared" si="2"/>
        <v>7.0014166666666669E-2</v>
      </c>
      <c r="J24" s="480">
        <f t="shared" si="2"/>
        <v>4.5905833333333333E-2</v>
      </c>
      <c r="M24" s="483"/>
      <c r="U24"/>
      <c r="V24"/>
      <c r="W24"/>
      <c r="X24"/>
      <c r="Y24"/>
      <c r="Z24"/>
      <c r="AA24"/>
      <c r="AB24"/>
      <c r="AC24"/>
    </row>
    <row r="25" spans="1:29" ht="12.75" customHeight="1">
      <c r="A25" s="414"/>
      <c r="B25" s="478">
        <v>2000</v>
      </c>
      <c r="C25" s="472">
        <v>0.1139</v>
      </c>
      <c r="D25" s="479">
        <v>5.9425000000000006E-2</v>
      </c>
      <c r="E25" s="480">
        <f t="shared" si="0"/>
        <v>5.4474999999999996E-2</v>
      </c>
      <c r="F25" s="480">
        <f t="shared" si="1"/>
        <v>6.138666666666668E-2</v>
      </c>
      <c r="G25" s="480">
        <f t="shared" si="1"/>
        <v>5.0693333333333326E-2</v>
      </c>
      <c r="H25" s="480"/>
      <c r="I25" s="480">
        <f t="shared" si="2"/>
        <v>6.7348333333333343E-2</v>
      </c>
      <c r="J25" s="480">
        <f t="shared" si="2"/>
        <v>4.7291666666666669E-2</v>
      </c>
      <c r="M25" s="483"/>
      <c r="U25" s="484"/>
      <c r="V25" s="484"/>
      <c r="W25" s="484"/>
      <c r="X25" s="484"/>
      <c r="Y25" s="484"/>
      <c r="Z25" s="484"/>
      <c r="AA25"/>
      <c r="AB25"/>
      <c r="AC25"/>
    </row>
    <row r="26" spans="1:29" ht="12.75" customHeight="1">
      <c r="A26" s="414"/>
      <c r="B26" s="478">
        <v>2001</v>
      </c>
      <c r="C26" s="472">
        <v>0.1095</v>
      </c>
      <c r="D26" s="479">
        <v>5.4933333333333334E-2</v>
      </c>
      <c r="E26" s="480">
        <f t="shared" si="0"/>
        <v>5.4566666666666666E-2</v>
      </c>
      <c r="F26" s="480">
        <f t="shared" si="1"/>
        <v>5.8971666666666665E-2</v>
      </c>
      <c r="G26" s="480">
        <f t="shared" si="1"/>
        <v>5.2628333333333333E-2</v>
      </c>
      <c r="H26" s="480"/>
      <c r="I26" s="480">
        <f t="shared" si="2"/>
        <v>6.4705833333333324E-2</v>
      </c>
      <c r="J26" s="480">
        <f t="shared" si="2"/>
        <v>4.8424166666666671E-2</v>
      </c>
      <c r="M26" s="483"/>
      <c r="U26"/>
      <c r="V26"/>
      <c r="W26"/>
      <c r="X26"/>
      <c r="Y26"/>
      <c r="Z26"/>
      <c r="AA26"/>
      <c r="AB26"/>
      <c r="AC26"/>
    </row>
    <row r="27" spans="1:29" ht="12.75" customHeight="1">
      <c r="A27" s="414"/>
      <c r="B27" s="478">
        <v>2002</v>
      </c>
      <c r="C27" s="472">
        <v>0.1103</v>
      </c>
      <c r="D27" s="479">
        <v>5.4300000000000008E-2</v>
      </c>
      <c r="E27" s="480">
        <f t="shared" si="0"/>
        <v>5.5999999999999987E-2</v>
      </c>
      <c r="F27" s="480">
        <f t="shared" si="1"/>
        <v>5.6620000000000004E-2</v>
      </c>
      <c r="G27" s="480">
        <f t="shared" si="1"/>
        <v>5.4459999999999995E-2</v>
      </c>
      <c r="H27" s="480"/>
      <c r="I27" s="480">
        <f t="shared" si="2"/>
        <v>6.2469166666666666E-2</v>
      </c>
      <c r="J27" s="480">
        <f t="shared" si="2"/>
        <v>4.9680833333333327E-2</v>
      </c>
      <c r="M27" s="483"/>
      <c r="U27"/>
      <c r="V27"/>
      <c r="W27"/>
      <c r="X27"/>
      <c r="Y27"/>
      <c r="Z27"/>
      <c r="AA27"/>
      <c r="AB27"/>
      <c r="AC27"/>
    </row>
    <row r="28" spans="1:29" ht="12.75" customHeight="1">
      <c r="A28" s="414"/>
      <c r="B28" s="478">
        <v>2003</v>
      </c>
      <c r="C28" s="472">
        <v>0.1099</v>
      </c>
      <c r="D28" s="479">
        <v>4.9575000000000001E-2</v>
      </c>
      <c r="E28" s="480">
        <f t="shared" si="0"/>
        <v>6.0324999999999997E-2</v>
      </c>
      <c r="F28" s="480">
        <f t="shared" si="1"/>
        <v>5.5378333333333342E-2</v>
      </c>
      <c r="G28" s="480">
        <f t="shared" si="1"/>
        <v>5.4661666666666664E-2</v>
      </c>
      <c r="H28" s="480"/>
      <c r="I28" s="480">
        <f t="shared" si="2"/>
        <v>6.0828333333333338E-2</v>
      </c>
      <c r="J28" s="480">
        <f t="shared" si="2"/>
        <v>5.0961666666666662E-2</v>
      </c>
      <c r="M28" s="483"/>
      <c r="U28"/>
      <c r="V28"/>
      <c r="W28"/>
      <c r="X28"/>
      <c r="Y28"/>
      <c r="Z28"/>
      <c r="AA28"/>
      <c r="AB28"/>
      <c r="AC28"/>
    </row>
    <row r="29" spans="1:29" ht="12.75" customHeight="1">
      <c r="A29" s="414"/>
      <c r="B29" s="478">
        <v>2004</v>
      </c>
      <c r="C29" s="472">
        <v>0.10589999999999999</v>
      </c>
      <c r="D29" s="479">
        <v>5.046666666666666E-2</v>
      </c>
      <c r="E29" s="480">
        <f t="shared" si="0"/>
        <v>5.5433333333333334E-2</v>
      </c>
      <c r="F29" s="480">
        <f t="shared" si="1"/>
        <v>5.374000000000001E-2</v>
      </c>
      <c r="G29" s="480">
        <f t="shared" si="1"/>
        <v>5.6159999999999988E-2</v>
      </c>
      <c r="H29" s="480"/>
      <c r="I29" s="480">
        <f t="shared" si="2"/>
        <v>5.8505000000000008E-2</v>
      </c>
      <c r="J29" s="480">
        <f t="shared" si="2"/>
        <v>5.2525000000000002E-2</v>
      </c>
      <c r="M29" s="483"/>
      <c r="U29"/>
      <c r="V29"/>
      <c r="W29"/>
      <c r="X29"/>
      <c r="Y29"/>
      <c r="Z29"/>
      <c r="AA29"/>
      <c r="AB29"/>
      <c r="AC29"/>
    </row>
    <row r="30" spans="1:29" ht="12.75" customHeight="1">
      <c r="A30" s="414"/>
      <c r="B30" s="478">
        <v>2005</v>
      </c>
      <c r="C30" s="472">
        <v>0.1046</v>
      </c>
      <c r="D30" s="479">
        <v>4.6458333333333331E-2</v>
      </c>
      <c r="E30" s="480">
        <f t="shared" si="0"/>
        <v>5.8141666666666668E-2</v>
      </c>
      <c r="F30" s="480">
        <f t="shared" si="1"/>
        <v>5.1146666666666674E-2</v>
      </c>
      <c r="G30" s="480">
        <f t="shared" si="1"/>
        <v>5.689333333333333E-2</v>
      </c>
      <c r="H30" s="480"/>
      <c r="I30" s="480">
        <f t="shared" si="2"/>
        <v>5.6266666666666673E-2</v>
      </c>
      <c r="J30" s="480">
        <f t="shared" si="2"/>
        <v>5.3793333333333325E-2</v>
      </c>
      <c r="M30" s="483"/>
      <c r="U30" s="484"/>
      <c r="V30" s="484"/>
      <c r="W30" s="484"/>
      <c r="X30" s="484"/>
      <c r="Y30" s="484"/>
      <c r="Z30" s="484"/>
      <c r="AA30" s="484"/>
      <c r="AB30" s="484"/>
      <c r="AC30" s="484"/>
    </row>
    <row r="31" spans="1:29" ht="12.75" customHeight="1">
      <c r="A31" s="414"/>
      <c r="B31" s="478">
        <v>2006</v>
      </c>
      <c r="C31" s="472">
        <v>0.104</v>
      </c>
      <c r="D31" s="479">
        <v>4.8981818181818175E-2</v>
      </c>
      <c r="E31" s="480">
        <f t="shared" si="0"/>
        <v>5.501818181818182E-2</v>
      </c>
      <c r="F31" s="480">
        <f t="shared" si="1"/>
        <v>4.9956363636363632E-2</v>
      </c>
      <c r="G31" s="480">
        <f t="shared" si="1"/>
        <v>5.6983636363636361E-2</v>
      </c>
      <c r="H31" s="480"/>
      <c r="I31" s="480">
        <f t="shared" si="2"/>
        <v>5.4464015151515145E-2</v>
      </c>
      <c r="J31" s="480">
        <f t="shared" si="2"/>
        <v>5.4805984848484847E-2</v>
      </c>
      <c r="M31" s="483"/>
      <c r="U31"/>
      <c r="V31"/>
      <c r="W31"/>
      <c r="X31"/>
      <c r="Y31"/>
      <c r="Z31"/>
      <c r="AA31"/>
      <c r="AB31"/>
      <c r="AC31"/>
    </row>
    <row r="32" spans="1:29" ht="12.75" customHeight="1">
      <c r="A32" s="414"/>
      <c r="B32" s="478">
        <v>2007</v>
      </c>
      <c r="C32" s="472">
        <v>0.1022</v>
      </c>
      <c r="D32" s="479">
        <v>4.8341666666666672E-2</v>
      </c>
      <c r="E32" s="480">
        <f t="shared" si="0"/>
        <v>5.3858333333333328E-2</v>
      </c>
      <c r="F32" s="480">
        <f t="shared" si="1"/>
        <v>4.8764696969696972E-2</v>
      </c>
      <c r="G32" s="480">
        <f t="shared" si="1"/>
        <v>5.6555303030303025E-2</v>
      </c>
      <c r="H32" s="480"/>
      <c r="I32" s="480">
        <f t="shared" si="2"/>
        <v>5.2692348484848481E-2</v>
      </c>
      <c r="J32" s="480">
        <f t="shared" si="2"/>
        <v>5.550765151515151E-2</v>
      </c>
      <c r="M32" s="483"/>
      <c r="U32"/>
      <c r="V32"/>
      <c r="W32"/>
      <c r="X32"/>
      <c r="Y32"/>
      <c r="Z32"/>
      <c r="AA32"/>
      <c r="AB32"/>
      <c r="AC32"/>
    </row>
    <row r="33" spans="1:29" ht="12.75" customHeight="1">
      <c r="A33" s="414"/>
      <c r="B33" s="478">
        <v>2008</v>
      </c>
      <c r="C33" s="472">
        <v>0.10390000000000001</v>
      </c>
      <c r="D33" s="479">
        <v>4.2791666666666665E-2</v>
      </c>
      <c r="E33" s="480">
        <f t="shared" si="0"/>
        <v>6.1108333333333341E-2</v>
      </c>
      <c r="F33" s="480">
        <f t="shared" si="1"/>
        <v>4.7408030303030299E-2</v>
      </c>
      <c r="G33" s="480">
        <f t="shared" si="1"/>
        <v>5.6711969696969698E-2</v>
      </c>
      <c r="H33" s="480"/>
      <c r="I33" s="480">
        <f t="shared" si="2"/>
        <v>5.1393181818181824E-2</v>
      </c>
      <c r="J33" s="480">
        <f t="shared" si="2"/>
        <v>5.5686818181818178E-2</v>
      </c>
      <c r="M33" s="483"/>
      <c r="U33"/>
      <c r="V33"/>
      <c r="W33"/>
      <c r="X33"/>
      <c r="Y33"/>
      <c r="Z33"/>
      <c r="AA33"/>
      <c r="AB33"/>
      <c r="AC33"/>
    </row>
    <row r="34" spans="1:29" ht="12.75" customHeight="1">
      <c r="A34" s="414"/>
      <c r="B34" s="478">
        <v>2009</v>
      </c>
      <c r="C34" s="472">
        <v>0.1022</v>
      </c>
      <c r="D34" s="479">
        <v>4.0691666666666668E-2</v>
      </c>
      <c r="E34" s="480">
        <f t="shared" si="0"/>
        <v>6.1508333333333332E-2</v>
      </c>
      <c r="F34" s="480">
        <f t="shared" si="1"/>
        <v>4.5453030303030308E-2</v>
      </c>
      <c r="G34" s="480">
        <f t="shared" si="1"/>
        <v>5.7926969696969699E-2</v>
      </c>
      <c r="H34" s="480"/>
      <c r="I34" s="480">
        <f t="shared" si="2"/>
        <v>4.9596515151515155E-2</v>
      </c>
      <c r="J34" s="480">
        <f t="shared" si="2"/>
        <v>5.704348484848485E-2</v>
      </c>
      <c r="M34" s="483"/>
      <c r="U34"/>
      <c r="V34"/>
      <c r="W34"/>
      <c r="X34"/>
      <c r="Y34"/>
      <c r="Z34"/>
      <c r="AA34"/>
      <c r="AB34"/>
      <c r="AC34"/>
    </row>
    <row r="35" spans="1:29" ht="12.75" customHeight="1">
      <c r="A35" s="414"/>
      <c r="B35" s="478">
        <v>2010</v>
      </c>
      <c r="C35" s="472">
        <v>0.10150000000000001</v>
      </c>
      <c r="D35" s="479">
        <v>4.2508333333333335E-2</v>
      </c>
      <c r="E35" s="480">
        <f t="shared" si="0"/>
        <v>5.8991666666666671E-2</v>
      </c>
      <c r="F35" s="480">
        <f t="shared" si="1"/>
        <v>4.4663030303030309E-2</v>
      </c>
      <c r="G35" s="480">
        <f t="shared" si="1"/>
        <v>5.8096969696969702E-2</v>
      </c>
      <c r="H35" s="480"/>
      <c r="I35" s="480">
        <f t="shared" si="2"/>
        <v>4.7904848484848488E-2</v>
      </c>
      <c r="J35" s="480">
        <f t="shared" si="2"/>
        <v>5.7495151515151513E-2</v>
      </c>
      <c r="M35" s="483"/>
      <c r="U35"/>
      <c r="V35"/>
      <c r="W35"/>
      <c r="X35"/>
      <c r="Y35"/>
      <c r="Z35"/>
      <c r="AA35"/>
      <c r="AB35"/>
      <c r="AC35"/>
    </row>
    <row r="36" spans="1:29" ht="12.75" customHeight="1">
      <c r="A36" s="414"/>
      <c r="B36" s="478">
        <v>2011</v>
      </c>
      <c r="C36" s="472">
        <v>9.9199999999999997E-2</v>
      </c>
      <c r="D36" s="479">
        <v>3.9108333333333335E-2</v>
      </c>
      <c r="E36" s="480">
        <f t="shared" si="0"/>
        <v>6.0091666666666661E-2</v>
      </c>
      <c r="F36" s="480">
        <f t="shared" si="1"/>
        <v>4.2688333333333342E-2</v>
      </c>
      <c r="G36" s="480">
        <f t="shared" si="1"/>
        <v>5.911166666666666E-2</v>
      </c>
      <c r="H36" s="480"/>
      <c r="I36" s="480">
        <f t="shared" si="2"/>
        <v>4.6322348484848487E-2</v>
      </c>
      <c r="J36" s="480">
        <f t="shared" si="2"/>
        <v>5.804765151515151E-2</v>
      </c>
      <c r="M36" s="483"/>
    </row>
    <row r="37" spans="1:29" ht="12.75" customHeight="1">
      <c r="A37" s="414"/>
      <c r="B37" s="478">
        <v>2012</v>
      </c>
      <c r="C37" s="472">
        <v>9.9400000000000002E-2</v>
      </c>
      <c r="D37" s="479">
        <v>2.9208333333333333E-2</v>
      </c>
      <c r="E37" s="480">
        <f t="shared" si="0"/>
        <v>7.0191666666666666E-2</v>
      </c>
      <c r="F37" s="480">
        <f t="shared" si="1"/>
        <v>3.8861666666666669E-2</v>
      </c>
      <c r="G37" s="480">
        <f t="shared" si="1"/>
        <v>6.2378333333333334E-2</v>
      </c>
      <c r="H37" s="480"/>
      <c r="I37" s="480">
        <f t="shared" si="2"/>
        <v>4.3813181818181821E-2</v>
      </c>
      <c r="J37" s="480">
        <f t="shared" si="2"/>
        <v>5.9466818181818183E-2</v>
      </c>
      <c r="M37" s="483"/>
    </row>
    <row r="38" spans="1:29" ht="12.75" customHeight="1">
      <c r="A38" s="414"/>
      <c r="B38" s="478">
        <v>2013</v>
      </c>
      <c r="C38" s="472">
        <v>9.6799999999999997E-2</v>
      </c>
      <c r="D38" s="479">
        <v>3.4483333333333331E-2</v>
      </c>
      <c r="E38" s="480">
        <f t="shared" si="0"/>
        <v>6.2316666666666666E-2</v>
      </c>
      <c r="F38" s="480">
        <f t="shared" si="1"/>
        <v>3.7199999999999997E-2</v>
      </c>
      <c r="G38" s="480">
        <f t="shared" si="1"/>
        <v>6.2619999999999995E-2</v>
      </c>
      <c r="H38" s="480"/>
      <c r="I38" s="480">
        <f t="shared" si="2"/>
        <v>4.2304015151515148E-2</v>
      </c>
      <c r="J38" s="480">
        <f t="shared" si="2"/>
        <v>5.9665984848484857E-2</v>
      </c>
      <c r="M38" s="483"/>
    </row>
    <row r="39" spans="1:29" ht="12.75" customHeight="1">
      <c r="A39" s="414"/>
      <c r="B39" s="478">
        <v>2014</v>
      </c>
      <c r="C39" s="472">
        <v>9.7799999999999998E-2</v>
      </c>
      <c r="D39" s="479">
        <v>3.3399999999999999E-2</v>
      </c>
      <c r="E39" s="480">
        <f t="shared" si="0"/>
        <v>6.4399999999999999E-2</v>
      </c>
      <c r="F39" s="480">
        <f t="shared" si="1"/>
        <v>3.5741666666666672E-2</v>
      </c>
      <c r="G39" s="480">
        <f t="shared" si="1"/>
        <v>6.3198333333333329E-2</v>
      </c>
      <c r="H39" s="480"/>
      <c r="I39" s="480">
        <f t="shared" si="2"/>
        <v>4.0597348484848486E-2</v>
      </c>
      <c r="J39" s="480">
        <f t="shared" si="2"/>
        <v>6.0562651515151514E-2</v>
      </c>
      <c r="M39" s="483"/>
    </row>
    <row r="40" spans="1:29" ht="12.75" customHeight="1">
      <c r="A40" s="414"/>
      <c r="B40" s="478">
        <v>2015</v>
      </c>
      <c r="C40" s="472">
        <v>9.6000000000000002E-2</v>
      </c>
      <c r="D40" s="479">
        <v>2.8408333333333331E-2</v>
      </c>
      <c r="E40" s="480">
        <f t="shared" si="0"/>
        <v>6.7591666666666675E-2</v>
      </c>
      <c r="F40" s="480">
        <f t="shared" si="1"/>
        <v>3.2921666666666669E-2</v>
      </c>
      <c r="G40" s="480">
        <f t="shared" si="1"/>
        <v>6.4918333333333328E-2</v>
      </c>
      <c r="H40" s="480"/>
      <c r="I40" s="480">
        <f t="shared" si="2"/>
        <v>3.8792348484848485E-2</v>
      </c>
      <c r="J40" s="480">
        <f t="shared" si="2"/>
        <v>6.1507651515151515E-2</v>
      </c>
      <c r="M40" s="483"/>
    </row>
    <row r="41" spans="1:29" ht="12.75" customHeight="1">
      <c r="A41" s="414"/>
      <c r="B41" s="478">
        <v>2016</v>
      </c>
      <c r="C41" s="472">
        <v>9.5399999999999999E-2</v>
      </c>
      <c r="D41" s="479">
        <v>2.5975000000000002E-2</v>
      </c>
      <c r="E41" s="480">
        <f t="shared" si="0"/>
        <v>6.9425000000000001E-2</v>
      </c>
      <c r="F41" s="480">
        <f t="shared" si="1"/>
        <v>3.0294999999999999E-2</v>
      </c>
      <c r="G41" s="480">
        <f t="shared" si="1"/>
        <v>6.6785000000000011E-2</v>
      </c>
      <c r="H41" s="480"/>
      <c r="I41" s="480">
        <f t="shared" si="2"/>
        <v>3.6491666666666665E-2</v>
      </c>
      <c r="J41" s="480">
        <f t="shared" si="2"/>
        <v>6.2948333333333328E-2</v>
      </c>
      <c r="M41" s="483"/>
    </row>
    <row r="42" spans="1:29" ht="12.75" customHeight="1">
      <c r="A42" s="414"/>
      <c r="B42" s="478">
        <v>2017</v>
      </c>
      <c r="C42" s="472">
        <v>9.7199999999999995E-2</v>
      </c>
      <c r="D42" s="479">
        <v>2.895E-2</v>
      </c>
      <c r="E42" s="480">
        <f t="shared" si="0"/>
        <v>6.8249999999999991E-2</v>
      </c>
      <c r="F42" s="480">
        <f t="shared" si="1"/>
        <v>3.0243333333333327E-2</v>
      </c>
      <c r="G42" s="480">
        <f t="shared" si="1"/>
        <v>6.6396666666666673E-2</v>
      </c>
      <c r="H42" s="480"/>
      <c r="I42" s="480">
        <f t="shared" si="2"/>
        <v>3.45525E-2</v>
      </c>
      <c r="J42" s="480">
        <f t="shared" si="2"/>
        <v>6.4387500000000014E-2</v>
      </c>
    </row>
    <row r="43" spans="1:29" ht="12.75" customHeight="1">
      <c r="A43" s="414"/>
      <c r="B43" s="478">
        <v>2018</v>
      </c>
      <c r="C43" s="472">
        <v>9.5899999999999999E-2</v>
      </c>
      <c r="D43" s="479">
        <v>3.1124999999999996E-2</v>
      </c>
      <c r="E43" s="480">
        <f t="shared" si="0"/>
        <v>6.4774999999999999E-2</v>
      </c>
      <c r="F43" s="480">
        <f t="shared" si="1"/>
        <v>2.9571666666666663E-2</v>
      </c>
      <c r="G43" s="480">
        <f t="shared" si="1"/>
        <v>6.6888333333333327E-2</v>
      </c>
      <c r="H43" s="480"/>
      <c r="I43" s="480">
        <f t="shared" si="2"/>
        <v>3.338583333333333E-2</v>
      </c>
      <c r="J43" s="480">
        <f t="shared" si="2"/>
        <v>6.4754166666666668E-2</v>
      </c>
    </row>
    <row r="44" spans="1:29" ht="12.75" customHeight="1">
      <c r="A44" s="414"/>
      <c r="B44" s="478">
        <v>2019</v>
      </c>
      <c r="C44" s="472">
        <v>9.6299999999999997E-2</v>
      </c>
      <c r="D44" s="479">
        <v>2.895E-2</v>
      </c>
      <c r="E44" s="480">
        <f t="shared" si="0"/>
        <v>6.7349999999999993E-2</v>
      </c>
      <c r="F44" s="480">
        <f t="shared" si="1"/>
        <v>2.8681666666666668E-2</v>
      </c>
      <c r="G44" s="480">
        <f t="shared" si="1"/>
        <v>6.7478333333333335E-2</v>
      </c>
      <c r="H44" s="480"/>
      <c r="I44" s="480">
        <f t="shared" si="2"/>
        <v>3.2211666666666666E-2</v>
      </c>
      <c r="J44" s="480">
        <f t="shared" si="2"/>
        <v>6.5338333333333345E-2</v>
      </c>
    </row>
    <row r="45" spans="1:29" ht="12.75" customHeight="1">
      <c r="B45" s="485" t="s">
        <v>1191</v>
      </c>
      <c r="C45" s="472"/>
      <c r="D45" s="480"/>
      <c r="F45" s="480"/>
      <c r="I45" s="480"/>
      <c r="M45" s="483"/>
    </row>
    <row r="46" spans="1:29" ht="12.75" customHeight="1">
      <c r="A46" s="414"/>
      <c r="B46" s="478" t="s">
        <v>20</v>
      </c>
      <c r="C46" s="480">
        <f>AVERAGE(C11:C44)</f>
        <v>0.10942352941176471</v>
      </c>
      <c r="D46" s="480">
        <f>AVERAGE(D11:D44)</f>
        <v>5.4590886809269164E-2</v>
      </c>
      <c r="E46" s="480">
        <f>AVERAGE(E11:E44)</f>
        <v>5.483264260249554E-2</v>
      </c>
      <c r="F46" s="480">
        <f>AVERAGE(F11:F44)</f>
        <v>5.436261616161616E-2</v>
      </c>
      <c r="G46" s="480">
        <f>AVERAGE(G11:G44)</f>
        <v>5.4523383838383829E-2</v>
      </c>
      <c r="H46" s="480"/>
      <c r="I46" s="480">
        <f>AVERAGE(I11:I44)</f>
        <v>5.4009506060606061E-2</v>
      </c>
      <c r="J46" s="480">
        <f>AVERAGE(J11:J44)</f>
        <v>5.4478893939393938E-2</v>
      </c>
      <c r="M46" s="486"/>
    </row>
    <row r="47" spans="1:29" ht="12.75" customHeight="1">
      <c r="A47" s="414"/>
      <c r="B47" s="478" t="s">
        <v>1287</v>
      </c>
      <c r="C47" s="480"/>
      <c r="D47" s="480"/>
      <c r="E47" s="480"/>
      <c r="F47" s="480">
        <f>MIN(F15:F44)</f>
        <v>2.8681666666666668E-2</v>
      </c>
      <c r="G47" s="480">
        <f>MIN(G15:G44)</f>
        <v>4.1735000000000008E-2</v>
      </c>
      <c r="H47" s="480"/>
      <c r="I47" s="480">
        <f>MIN(I15:I44)</f>
        <v>3.2211666666666666E-2</v>
      </c>
      <c r="J47" s="480">
        <f>MIN(J15:J44)</f>
        <v>4.2977500000000002E-2</v>
      </c>
      <c r="M47" s="486"/>
    </row>
    <row r="48" spans="1:29" ht="12.75" customHeight="1">
      <c r="A48" s="414"/>
      <c r="B48" s="478" t="s">
        <v>1288</v>
      </c>
      <c r="C48" s="480"/>
      <c r="D48" s="480"/>
      <c r="E48" s="480"/>
      <c r="F48" s="480">
        <f>MAX(F15:F44)</f>
        <v>8.5464999999999985E-2</v>
      </c>
      <c r="G48" s="480">
        <f>MAX(G15:G44)</f>
        <v>6.7478333333333335E-2</v>
      </c>
      <c r="H48" s="480"/>
      <c r="I48" s="480">
        <f>MAX(I15:I44)</f>
        <v>7.9049999999999995E-2</v>
      </c>
      <c r="J48" s="480">
        <f>MAX(J15:J44)</f>
        <v>6.5338333333333345E-2</v>
      </c>
    </row>
    <row r="49" spans="1:11" ht="12.75" customHeight="1">
      <c r="B49" s="487"/>
      <c r="C49" s="480"/>
      <c r="D49" s="480"/>
      <c r="E49" s="480"/>
      <c r="F49" s="480"/>
      <c r="G49" s="480"/>
      <c r="H49" s="480"/>
      <c r="I49" s="480"/>
      <c r="J49" s="480"/>
    </row>
    <row r="50" spans="1:11" ht="12.75" customHeight="1">
      <c r="B50" s="465" t="s">
        <v>1650</v>
      </c>
      <c r="F50" s="478"/>
      <c r="G50" s="480"/>
    </row>
    <row r="52" spans="1:11" ht="12.75" customHeight="1">
      <c r="C52" s="465"/>
      <c r="E52" s="465"/>
      <c r="F52" s="465"/>
      <c r="G52" s="465"/>
      <c r="H52" s="465"/>
      <c r="I52" s="465"/>
      <c r="J52" s="465"/>
    </row>
    <row r="53" spans="1:11" ht="12.75" customHeight="1">
      <c r="B53" s="840" t="str">
        <f>B2</f>
        <v>Analysis Using Mr. Gorman's Rolling Average Equity Risk Premium Data</v>
      </c>
      <c r="C53" s="840"/>
      <c r="D53" s="840"/>
      <c r="E53" s="840"/>
      <c r="F53" s="840"/>
      <c r="G53" s="840"/>
      <c r="H53" s="840"/>
      <c r="I53" s="840"/>
      <c r="J53" s="840"/>
      <c r="K53" s="840"/>
    </row>
    <row r="54" spans="1:11" ht="12.75" customHeight="1">
      <c r="B54" s="467"/>
      <c r="C54" s="468"/>
    </row>
    <row r="55" spans="1:11" ht="12.75" customHeight="1">
      <c r="B55" s="467"/>
      <c r="C55" s="468"/>
    </row>
    <row r="56" spans="1:11" ht="12.75" customHeight="1">
      <c r="B56" s="468"/>
      <c r="C56" s="465"/>
      <c r="D56" s="464"/>
      <c r="E56" s="465"/>
      <c r="F56" s="465"/>
      <c r="G56" s="465"/>
      <c r="H56" s="465"/>
      <c r="I56" s="465"/>
      <c r="J56" s="465"/>
    </row>
    <row r="57" spans="1:11" ht="12.75" customHeight="1">
      <c r="A57" s="469"/>
      <c r="B57" s="467"/>
      <c r="C57" s="465"/>
      <c r="F57" s="464" t="s">
        <v>1637</v>
      </c>
      <c r="G57" s="464" t="s">
        <v>1637</v>
      </c>
      <c r="H57" s="465"/>
      <c r="I57" s="464" t="s">
        <v>1637</v>
      </c>
      <c r="J57" s="464" t="s">
        <v>1637</v>
      </c>
    </row>
    <row r="58" spans="1:11" ht="12.75" customHeight="1">
      <c r="A58" s="470"/>
      <c r="B58" s="467"/>
      <c r="C58" s="464" t="s">
        <v>1638</v>
      </c>
      <c r="E58" s="464" t="s">
        <v>1640</v>
      </c>
      <c r="F58" s="464" t="s">
        <v>1641</v>
      </c>
      <c r="G58" s="464" t="s">
        <v>1641</v>
      </c>
      <c r="I58" s="464" t="s">
        <v>1642</v>
      </c>
      <c r="J58" s="464" t="s">
        <v>1642</v>
      </c>
    </row>
    <row r="59" spans="1:11" ht="12.75" customHeight="1">
      <c r="A59" s="414"/>
      <c r="B59" s="471" t="s">
        <v>1643</v>
      </c>
      <c r="C59" s="472" t="s">
        <v>1644</v>
      </c>
      <c r="D59" s="472" t="s">
        <v>1190</v>
      </c>
      <c r="E59" s="464" t="s">
        <v>1646</v>
      </c>
      <c r="F59" s="464" t="s">
        <v>20</v>
      </c>
      <c r="G59" s="464" t="s">
        <v>20</v>
      </c>
      <c r="H59" s="464" t="s">
        <v>598</v>
      </c>
      <c r="I59" s="464" t="s">
        <v>20</v>
      </c>
      <c r="J59" s="464" t="s">
        <v>20</v>
      </c>
      <c r="K59" s="464" t="s">
        <v>598</v>
      </c>
    </row>
    <row r="60" spans="1:11" ht="12.75" customHeight="1">
      <c r="A60" s="414"/>
      <c r="B60" s="473" t="s">
        <v>1191</v>
      </c>
      <c r="C60" s="474" t="s">
        <v>1647</v>
      </c>
      <c r="D60" s="474" t="s">
        <v>1648</v>
      </c>
      <c r="E60" s="475" t="s">
        <v>1649</v>
      </c>
      <c r="F60" s="476" t="s">
        <v>1651</v>
      </c>
      <c r="G60" s="476" t="s">
        <v>23</v>
      </c>
      <c r="H60" s="476"/>
      <c r="I60" s="476" t="str">
        <f>F60</f>
        <v>Utility Bond</v>
      </c>
      <c r="J60" s="476" t="str">
        <f>G60</f>
        <v>Risk Premium</v>
      </c>
      <c r="K60" s="476"/>
    </row>
    <row r="61" spans="1:11" ht="12.75" customHeight="1">
      <c r="A61" s="397"/>
      <c r="B61" s="464"/>
      <c r="D61" s="464"/>
      <c r="K61" s="464"/>
    </row>
    <row r="62" spans="1:11" ht="12.75" customHeight="1">
      <c r="A62" s="414"/>
      <c r="B62" s="478">
        <v>1986</v>
      </c>
      <c r="C62" s="472">
        <f>C11</f>
        <v>0.1346</v>
      </c>
      <c r="D62" s="480">
        <v>9.5799999999999996E-2</v>
      </c>
      <c r="E62" s="480">
        <f t="shared" ref="E62:E95" si="3">C62-D62</f>
        <v>3.8800000000000001E-2</v>
      </c>
      <c r="F62" s="480"/>
      <c r="G62" s="480"/>
      <c r="H62" s="480"/>
      <c r="I62" s="480"/>
      <c r="J62" s="480"/>
      <c r="K62" s="480"/>
    </row>
    <row r="63" spans="1:11" ht="12.75" customHeight="1">
      <c r="A63" s="414"/>
      <c r="B63" s="478">
        <v>1987</v>
      </c>
      <c r="C63" s="472">
        <f t="shared" ref="C63:C95" si="4">C12</f>
        <v>0.12740000000000001</v>
      </c>
      <c r="D63" s="480">
        <v>0.10100000000000001</v>
      </c>
      <c r="E63" s="480">
        <f t="shared" si="3"/>
        <v>2.6400000000000007E-2</v>
      </c>
      <c r="F63" s="480"/>
      <c r="G63" s="480"/>
      <c r="H63" s="480"/>
      <c r="I63" s="480"/>
      <c r="J63" s="480"/>
      <c r="K63" s="480"/>
    </row>
    <row r="64" spans="1:11" ht="12.75" customHeight="1">
      <c r="A64" s="414"/>
      <c r="B64" s="478">
        <v>1988</v>
      </c>
      <c r="C64" s="472">
        <f t="shared" si="4"/>
        <v>0.1285</v>
      </c>
      <c r="D64" s="480">
        <v>0.10489999999999999</v>
      </c>
      <c r="E64" s="480">
        <f t="shared" si="3"/>
        <v>2.360000000000001E-2</v>
      </c>
      <c r="F64" s="480"/>
      <c r="G64" s="480"/>
      <c r="H64" s="480"/>
      <c r="I64" s="480"/>
      <c r="J64" s="480"/>
      <c r="K64" s="480"/>
    </row>
    <row r="65" spans="1:11" ht="12.75" customHeight="1">
      <c r="A65" s="414"/>
      <c r="B65" s="478">
        <v>1989</v>
      </c>
      <c r="C65" s="472">
        <f t="shared" si="4"/>
        <v>0.1288</v>
      </c>
      <c r="D65" s="480">
        <v>9.7699999999999995E-2</v>
      </c>
      <c r="E65" s="480">
        <f t="shared" si="3"/>
        <v>3.1100000000000003E-2</v>
      </c>
      <c r="F65" s="480"/>
      <c r="G65" s="480"/>
      <c r="H65" s="480"/>
      <c r="I65" s="480"/>
      <c r="J65" s="480"/>
      <c r="K65" s="480"/>
    </row>
    <row r="66" spans="1:11" ht="12.75" customHeight="1">
      <c r="A66" s="414"/>
      <c r="B66" s="478">
        <v>1990</v>
      </c>
      <c r="C66" s="472">
        <f t="shared" si="4"/>
        <v>0.12670000000000001</v>
      </c>
      <c r="D66" s="480">
        <v>9.8599999999999993E-2</v>
      </c>
      <c r="E66" s="480">
        <f t="shared" si="3"/>
        <v>2.8100000000000014E-2</v>
      </c>
      <c r="F66" s="480">
        <f t="shared" ref="F66:G95" si="5">AVERAGE(D62:D66)</f>
        <v>9.9599999999999994E-2</v>
      </c>
      <c r="G66" s="480">
        <f t="shared" si="5"/>
        <v>2.9600000000000005E-2</v>
      </c>
      <c r="H66" s="480">
        <f>LINEST(G66:G95,F66:F95)</f>
        <v>-0.47374174188280199</v>
      </c>
      <c r="I66" s="480"/>
      <c r="J66" s="480"/>
      <c r="K66" s="480">
        <f>LINEST(J71:J95,I71:I95)</f>
        <v>-0.47805662761946316</v>
      </c>
    </row>
    <row r="67" spans="1:11" ht="12.75" customHeight="1">
      <c r="A67" s="414"/>
      <c r="B67" s="478">
        <v>1991</v>
      </c>
      <c r="C67" s="472">
        <f t="shared" si="4"/>
        <v>0.1246</v>
      </c>
      <c r="D67" s="480">
        <v>9.3600000000000003E-2</v>
      </c>
      <c r="E67" s="480">
        <f t="shared" si="3"/>
        <v>3.1E-2</v>
      </c>
      <c r="F67" s="480">
        <f t="shared" si="5"/>
        <v>9.9159999999999998E-2</v>
      </c>
      <c r="G67" s="480">
        <f t="shared" si="5"/>
        <v>2.8040000000000009E-2</v>
      </c>
      <c r="H67" s="480"/>
      <c r="I67" s="480"/>
      <c r="J67" s="480"/>
    </row>
    <row r="68" spans="1:11" ht="12.75" customHeight="1">
      <c r="A68" s="414"/>
      <c r="B68" s="478">
        <v>1992</v>
      </c>
      <c r="C68" s="472">
        <f t="shared" si="4"/>
        <v>0.1201</v>
      </c>
      <c r="D68" s="480">
        <v>8.6900000000000005E-2</v>
      </c>
      <c r="E68" s="480">
        <f t="shared" si="3"/>
        <v>3.3199999999999993E-2</v>
      </c>
      <c r="F68" s="480">
        <f t="shared" si="5"/>
        <v>9.6340000000000009E-2</v>
      </c>
      <c r="G68" s="480">
        <f t="shared" si="5"/>
        <v>2.9400000000000003E-2</v>
      </c>
      <c r="H68" s="480"/>
      <c r="I68" s="480"/>
      <c r="J68" s="480"/>
    </row>
    <row r="69" spans="1:11" ht="12.75" customHeight="1">
      <c r="A69" s="414"/>
      <c r="B69" s="478">
        <v>1993</v>
      </c>
      <c r="C69" s="472">
        <f t="shared" si="4"/>
        <v>0.1135</v>
      </c>
      <c r="D69" s="480">
        <v>7.5899999999999995E-2</v>
      </c>
      <c r="E69" s="480">
        <f t="shared" si="3"/>
        <v>3.7600000000000008E-2</v>
      </c>
      <c r="F69" s="480">
        <f t="shared" si="5"/>
        <v>9.0539999999999995E-2</v>
      </c>
      <c r="G69" s="480">
        <f t="shared" si="5"/>
        <v>3.2200000000000006E-2</v>
      </c>
      <c r="H69" s="480"/>
      <c r="I69" s="480"/>
      <c r="J69" s="480"/>
    </row>
    <row r="70" spans="1:11" ht="12.75" customHeight="1">
      <c r="A70" s="414"/>
      <c r="B70" s="478">
        <v>1994</v>
      </c>
      <c r="C70" s="472">
        <f t="shared" si="4"/>
        <v>0.1135</v>
      </c>
      <c r="D70" s="480">
        <v>8.3099999999999993E-2</v>
      </c>
      <c r="E70" s="480">
        <f t="shared" si="3"/>
        <v>3.040000000000001E-2</v>
      </c>
      <c r="F70" s="480">
        <f t="shared" si="5"/>
        <v>8.7620000000000003E-2</v>
      </c>
      <c r="G70" s="480">
        <f t="shared" si="5"/>
        <v>3.2060000000000005E-2</v>
      </c>
      <c r="H70" s="480"/>
      <c r="I70" s="480"/>
      <c r="J70" s="480"/>
    </row>
    <row r="71" spans="1:11" ht="12.75" customHeight="1">
      <c r="A71" s="414"/>
      <c r="B71" s="478">
        <v>1995</v>
      </c>
      <c r="C71" s="472">
        <f t="shared" si="4"/>
        <v>0.1143</v>
      </c>
      <c r="D71" s="480">
        <v>7.8899999999999998E-2</v>
      </c>
      <c r="E71" s="480">
        <f t="shared" si="3"/>
        <v>3.5400000000000001E-2</v>
      </c>
      <c r="F71" s="480">
        <f t="shared" si="5"/>
        <v>8.3680000000000004E-2</v>
      </c>
      <c r="G71" s="480">
        <f t="shared" si="5"/>
        <v>3.3520000000000008E-2</v>
      </c>
      <c r="H71" s="480"/>
      <c r="I71" s="480">
        <f t="shared" ref="I71:J95" si="6">AVERAGE(D62:D71)</f>
        <v>9.1639999999999985E-2</v>
      </c>
      <c r="J71" s="480">
        <f t="shared" si="6"/>
        <v>3.1559999999999998E-2</v>
      </c>
    </row>
    <row r="72" spans="1:11" ht="12.75" customHeight="1">
      <c r="A72" s="414"/>
      <c r="B72" s="478">
        <v>1996</v>
      </c>
      <c r="C72" s="472">
        <f t="shared" si="4"/>
        <v>0.1119</v>
      </c>
      <c r="D72" s="480">
        <v>7.7499999999999999E-2</v>
      </c>
      <c r="E72" s="480">
        <f t="shared" si="3"/>
        <v>3.44E-2</v>
      </c>
      <c r="F72" s="480">
        <f t="shared" si="5"/>
        <v>8.0460000000000004E-2</v>
      </c>
      <c r="G72" s="480">
        <f t="shared" si="5"/>
        <v>3.4199999999999994E-2</v>
      </c>
      <c r="H72" s="480"/>
      <c r="I72" s="480">
        <f t="shared" si="6"/>
        <v>8.9809999999999987E-2</v>
      </c>
      <c r="J72" s="480">
        <f t="shared" si="6"/>
        <v>3.1120000000000009E-2</v>
      </c>
    </row>
    <row r="73" spans="1:11" ht="12.75" customHeight="1">
      <c r="A73" s="414"/>
      <c r="B73" s="478">
        <v>1997</v>
      </c>
      <c r="C73" s="472">
        <f t="shared" si="4"/>
        <v>0.1129</v>
      </c>
      <c r="D73" s="480">
        <v>7.5999999999999998E-2</v>
      </c>
      <c r="E73" s="480">
        <f t="shared" si="3"/>
        <v>3.6900000000000002E-2</v>
      </c>
      <c r="F73" s="480">
        <f t="shared" si="5"/>
        <v>7.8279999999999988E-2</v>
      </c>
      <c r="G73" s="480">
        <f t="shared" si="5"/>
        <v>3.4940000000000006E-2</v>
      </c>
      <c r="H73" s="480"/>
      <c r="I73" s="480">
        <f t="shared" si="6"/>
        <v>8.7309999999999985E-2</v>
      </c>
      <c r="J73" s="480">
        <f t="shared" si="6"/>
        <v>3.2170000000000004E-2</v>
      </c>
    </row>
    <row r="74" spans="1:11" ht="12.75" customHeight="1">
      <c r="A74" s="414"/>
      <c r="B74" s="478">
        <v>1998</v>
      </c>
      <c r="C74" s="472">
        <f t="shared" si="4"/>
        <v>0.11509999999999999</v>
      </c>
      <c r="D74" s="480">
        <v>7.0400000000000004E-2</v>
      </c>
      <c r="E74" s="480">
        <f t="shared" si="3"/>
        <v>4.469999999999999E-2</v>
      </c>
      <c r="F74" s="480">
        <f t="shared" si="5"/>
        <v>7.7179999999999999E-2</v>
      </c>
      <c r="G74" s="480">
        <f t="shared" si="5"/>
        <v>3.6359999999999996E-2</v>
      </c>
      <c r="H74" s="480"/>
      <c r="I74" s="480">
        <f t="shared" si="6"/>
        <v>8.385999999999999E-2</v>
      </c>
      <c r="J74" s="480">
        <f t="shared" si="6"/>
        <v>3.4279999999999998E-2</v>
      </c>
    </row>
    <row r="75" spans="1:11" ht="12.75" customHeight="1">
      <c r="A75" s="414"/>
      <c r="B75" s="478">
        <v>1999</v>
      </c>
      <c r="C75" s="472">
        <f t="shared" si="4"/>
        <v>0.1066</v>
      </c>
      <c r="D75" s="480">
        <v>7.6200000000000004E-2</v>
      </c>
      <c r="E75" s="480">
        <f t="shared" si="3"/>
        <v>3.0399999999999996E-2</v>
      </c>
      <c r="F75" s="480">
        <f t="shared" si="5"/>
        <v>7.5800000000000006E-2</v>
      </c>
      <c r="G75" s="480">
        <f t="shared" si="5"/>
        <v>3.635999999999999E-2</v>
      </c>
      <c r="H75" s="480"/>
      <c r="I75" s="480">
        <f t="shared" si="6"/>
        <v>8.1710000000000005E-2</v>
      </c>
      <c r="J75" s="480">
        <f t="shared" si="6"/>
        <v>3.4209999999999997E-2</v>
      </c>
    </row>
    <row r="76" spans="1:11" ht="12.75" customHeight="1">
      <c r="A76" s="414"/>
      <c r="B76" s="478">
        <v>2000</v>
      </c>
      <c r="C76" s="472">
        <f t="shared" si="4"/>
        <v>0.1139</v>
      </c>
      <c r="D76" s="480">
        <v>8.2441666666666663E-2</v>
      </c>
      <c r="E76" s="480">
        <f t="shared" si="3"/>
        <v>3.1458333333333338E-2</v>
      </c>
      <c r="F76" s="480">
        <f t="shared" si="5"/>
        <v>7.6508333333333331E-2</v>
      </c>
      <c r="G76" s="480">
        <f t="shared" si="5"/>
        <v>3.5571666666666661E-2</v>
      </c>
      <c r="H76" s="480"/>
      <c r="I76" s="480">
        <f t="shared" si="6"/>
        <v>8.0094166666666661E-2</v>
      </c>
      <c r="J76" s="480">
        <f t="shared" si="6"/>
        <v>3.4545833333333331E-2</v>
      </c>
    </row>
    <row r="77" spans="1:11" ht="12.75" customHeight="1">
      <c r="A77" s="414"/>
      <c r="B77" s="478">
        <v>2001</v>
      </c>
      <c r="C77" s="472">
        <f t="shared" si="4"/>
        <v>0.1095</v>
      </c>
      <c r="D77" s="480">
        <v>7.7625E-2</v>
      </c>
      <c r="E77" s="480">
        <f t="shared" si="3"/>
        <v>3.1875000000000001E-2</v>
      </c>
      <c r="F77" s="480">
        <f t="shared" si="5"/>
        <v>7.6533333333333328E-2</v>
      </c>
      <c r="G77" s="480">
        <f t="shared" si="5"/>
        <v>3.506666666666667E-2</v>
      </c>
      <c r="H77" s="480"/>
      <c r="I77" s="480">
        <f t="shared" si="6"/>
        <v>7.8496666666666659E-2</v>
      </c>
      <c r="J77" s="480">
        <f t="shared" si="6"/>
        <v>3.4633333333333328E-2</v>
      </c>
    </row>
    <row r="78" spans="1:11" ht="12.75" customHeight="1">
      <c r="A78" s="414"/>
      <c r="B78" s="478">
        <v>2002</v>
      </c>
      <c r="C78" s="472">
        <f t="shared" si="4"/>
        <v>0.1103</v>
      </c>
      <c r="D78" s="480">
        <v>7.3724999999999999E-2</v>
      </c>
      <c r="E78" s="480">
        <f t="shared" si="3"/>
        <v>3.6574999999999996E-2</v>
      </c>
      <c r="F78" s="480">
        <f t="shared" si="5"/>
        <v>7.6078333333333331E-2</v>
      </c>
      <c r="G78" s="480">
        <f t="shared" si="5"/>
        <v>3.5001666666666667E-2</v>
      </c>
      <c r="H78" s="480"/>
      <c r="I78" s="480">
        <f t="shared" si="6"/>
        <v>7.717916666666666E-2</v>
      </c>
      <c r="J78" s="480">
        <f t="shared" si="6"/>
        <v>3.497083333333334E-2</v>
      </c>
    </row>
    <row r="79" spans="1:11" ht="12.75" customHeight="1">
      <c r="A79" s="414"/>
      <c r="B79" s="478">
        <v>2003</v>
      </c>
      <c r="C79" s="472">
        <f t="shared" si="4"/>
        <v>0.1099</v>
      </c>
      <c r="D79" s="480">
        <v>6.580833333333333E-2</v>
      </c>
      <c r="E79" s="480">
        <f t="shared" si="3"/>
        <v>4.4091666666666668E-2</v>
      </c>
      <c r="F79" s="480">
        <f t="shared" si="5"/>
        <v>7.5160000000000005E-2</v>
      </c>
      <c r="G79" s="480">
        <f t="shared" si="5"/>
        <v>3.4880000000000001E-2</v>
      </c>
      <c r="H79" s="480"/>
      <c r="I79" s="480">
        <f t="shared" si="6"/>
        <v>7.6170000000000015E-2</v>
      </c>
      <c r="J79" s="480">
        <f t="shared" si="6"/>
        <v>3.5619999999999999E-2</v>
      </c>
    </row>
    <row r="80" spans="1:11" ht="12.75" customHeight="1">
      <c r="A80" s="414"/>
      <c r="B80" s="478">
        <v>2004</v>
      </c>
      <c r="C80" s="472">
        <f t="shared" si="4"/>
        <v>0.10589999999999999</v>
      </c>
      <c r="D80" s="480">
        <v>6.1599999999999995E-2</v>
      </c>
      <c r="E80" s="480">
        <f t="shared" si="3"/>
        <v>4.4299999999999999E-2</v>
      </c>
      <c r="F80" s="480">
        <f t="shared" si="5"/>
        <v>7.2239999999999999E-2</v>
      </c>
      <c r="G80" s="480">
        <f t="shared" si="5"/>
        <v>3.7660000000000006E-2</v>
      </c>
      <c r="H80" s="480"/>
      <c r="I80" s="480">
        <f t="shared" si="6"/>
        <v>7.4020000000000002E-2</v>
      </c>
      <c r="J80" s="480">
        <f t="shared" si="6"/>
        <v>3.7010000000000001E-2</v>
      </c>
    </row>
    <row r="81" spans="1:10" ht="12.75" customHeight="1">
      <c r="A81" s="414"/>
      <c r="B81" s="478">
        <v>2005</v>
      </c>
      <c r="C81" s="472">
        <f t="shared" si="4"/>
        <v>0.1046</v>
      </c>
      <c r="D81" s="480">
        <v>5.6491666666666662E-2</v>
      </c>
      <c r="E81" s="480">
        <f t="shared" si="3"/>
        <v>4.8108333333333336E-2</v>
      </c>
      <c r="F81" s="480">
        <f t="shared" si="5"/>
        <v>6.7049999999999998E-2</v>
      </c>
      <c r="G81" s="480">
        <f t="shared" si="5"/>
        <v>4.0989999999999999E-2</v>
      </c>
      <c r="H81" s="480"/>
      <c r="I81" s="480">
        <f t="shared" si="6"/>
        <v>7.1779166666666658E-2</v>
      </c>
      <c r="J81" s="480">
        <f t="shared" si="6"/>
        <v>3.8280833333333333E-2</v>
      </c>
    </row>
    <row r="82" spans="1:10" ht="12.75" customHeight="1">
      <c r="A82" s="414"/>
      <c r="B82" s="478">
        <v>2006</v>
      </c>
      <c r="C82" s="472">
        <f t="shared" si="4"/>
        <v>0.104</v>
      </c>
      <c r="D82" s="480">
        <v>6.0683333333333332E-2</v>
      </c>
      <c r="E82" s="480">
        <f t="shared" si="3"/>
        <v>4.3316666666666663E-2</v>
      </c>
      <c r="F82" s="480">
        <f t="shared" si="5"/>
        <v>6.3661666666666658E-2</v>
      </c>
      <c r="G82" s="480">
        <f t="shared" si="5"/>
        <v>4.3278333333333335E-2</v>
      </c>
      <c r="H82" s="480"/>
      <c r="I82" s="480">
        <f t="shared" si="6"/>
        <v>7.0097500000000007E-2</v>
      </c>
      <c r="J82" s="480">
        <f t="shared" si="6"/>
        <v>3.9172499999999999E-2</v>
      </c>
    </row>
    <row r="83" spans="1:10" ht="12.75" customHeight="1">
      <c r="A83" s="414"/>
      <c r="B83" s="478">
        <v>2007</v>
      </c>
      <c r="C83" s="472">
        <f t="shared" si="4"/>
        <v>0.1022</v>
      </c>
      <c r="D83" s="480">
        <v>6.0733333333333334E-2</v>
      </c>
      <c r="E83" s="480">
        <f t="shared" si="3"/>
        <v>4.1466666666666666E-2</v>
      </c>
      <c r="F83" s="480">
        <f t="shared" si="5"/>
        <v>6.1063333333333338E-2</v>
      </c>
      <c r="G83" s="480">
        <f t="shared" si="5"/>
        <v>4.4256666666666666E-2</v>
      </c>
      <c r="H83" s="480"/>
      <c r="I83" s="480">
        <f t="shared" si="6"/>
        <v>6.8570833333333331E-2</v>
      </c>
      <c r="J83" s="480">
        <f t="shared" si="6"/>
        <v>3.962916666666666E-2</v>
      </c>
    </row>
    <row r="84" spans="1:10" ht="12.75" customHeight="1">
      <c r="A84" s="414"/>
      <c r="B84" s="478">
        <v>2008</v>
      </c>
      <c r="C84" s="472">
        <f t="shared" si="4"/>
        <v>0.10390000000000001</v>
      </c>
      <c r="D84" s="480">
        <v>6.5283333333333332E-2</v>
      </c>
      <c r="E84" s="480">
        <f t="shared" si="3"/>
        <v>3.8616666666666674E-2</v>
      </c>
      <c r="F84" s="480">
        <f t="shared" si="5"/>
        <v>6.0958333333333337E-2</v>
      </c>
      <c r="G84" s="480">
        <f t="shared" si="5"/>
        <v>4.3161666666666675E-2</v>
      </c>
      <c r="H84" s="480"/>
      <c r="I84" s="480">
        <f t="shared" si="6"/>
        <v>6.8059166666666671E-2</v>
      </c>
      <c r="J84" s="480">
        <f t="shared" si="6"/>
        <v>3.9020833333333331E-2</v>
      </c>
    </row>
    <row r="85" spans="1:10" ht="12.75" customHeight="1">
      <c r="A85" s="414"/>
      <c r="B85" s="478">
        <v>2009</v>
      </c>
      <c r="C85" s="472">
        <f t="shared" si="4"/>
        <v>0.1022</v>
      </c>
      <c r="D85" s="480">
        <v>6.0391666666666656E-2</v>
      </c>
      <c r="E85" s="480">
        <f t="shared" si="3"/>
        <v>4.1808333333333343E-2</v>
      </c>
      <c r="F85" s="480">
        <f t="shared" si="5"/>
        <v>6.0716666666666662E-2</v>
      </c>
      <c r="G85" s="480">
        <f t="shared" si="5"/>
        <v>4.2663333333333345E-2</v>
      </c>
      <c r="H85" s="480"/>
      <c r="I85" s="480">
        <f t="shared" si="6"/>
        <v>6.6478333333333334E-2</v>
      </c>
      <c r="J85" s="480">
        <f t="shared" si="6"/>
        <v>4.0161666666666665E-2</v>
      </c>
    </row>
    <row r="86" spans="1:10" ht="12.75" customHeight="1">
      <c r="A86" s="414"/>
      <c r="B86" s="478">
        <v>2010</v>
      </c>
      <c r="C86" s="472">
        <f t="shared" si="4"/>
        <v>0.10150000000000001</v>
      </c>
      <c r="D86" s="480">
        <v>5.4688919787213131E-2</v>
      </c>
      <c r="E86" s="480">
        <f t="shared" si="3"/>
        <v>4.6811080212786876E-2</v>
      </c>
      <c r="F86" s="480">
        <f t="shared" si="5"/>
        <v>6.035611729077596E-2</v>
      </c>
      <c r="G86" s="480">
        <f t="shared" si="5"/>
        <v>4.2403882709224044E-2</v>
      </c>
      <c r="H86" s="480"/>
      <c r="I86" s="480">
        <f t="shared" si="6"/>
        <v>6.3703058645387972E-2</v>
      </c>
      <c r="J86" s="480">
        <f t="shared" si="6"/>
        <v>4.1696941354612028E-2</v>
      </c>
    </row>
    <row r="87" spans="1:10" ht="12.75" customHeight="1">
      <c r="A87" s="414"/>
      <c r="B87" s="478">
        <v>2011</v>
      </c>
      <c r="C87" s="472">
        <f t="shared" si="4"/>
        <v>9.9199999999999997E-2</v>
      </c>
      <c r="D87" s="480">
        <v>5.0390073932477887E-2</v>
      </c>
      <c r="E87" s="480">
        <f t="shared" si="3"/>
        <v>4.8809926067522109E-2</v>
      </c>
      <c r="F87" s="480">
        <f t="shared" si="5"/>
        <v>5.8297465410604862E-2</v>
      </c>
      <c r="G87" s="480">
        <f t="shared" si="5"/>
        <v>4.3502534589395132E-2</v>
      </c>
      <c r="H87" s="480"/>
      <c r="I87" s="480">
        <f t="shared" si="6"/>
        <v>6.097956603863576E-2</v>
      </c>
      <c r="J87" s="480">
        <f t="shared" si="6"/>
        <v>4.3390433961364237E-2</v>
      </c>
    </row>
    <row r="88" spans="1:10" ht="12.75" customHeight="1">
      <c r="A88" s="414"/>
      <c r="B88" s="478">
        <v>2012</v>
      </c>
      <c r="C88" s="472">
        <f t="shared" si="4"/>
        <v>9.9400000000000002E-2</v>
      </c>
      <c r="D88" s="480">
        <v>4.1308564221010043E-2</v>
      </c>
      <c r="E88" s="480">
        <f t="shared" si="3"/>
        <v>5.809143577898996E-2</v>
      </c>
      <c r="F88" s="480">
        <f t="shared" si="5"/>
        <v>5.4412511588140214E-2</v>
      </c>
      <c r="G88" s="480">
        <f t="shared" si="5"/>
        <v>4.682748841185979E-2</v>
      </c>
      <c r="H88" s="480"/>
      <c r="I88" s="480">
        <f t="shared" si="6"/>
        <v>5.7737922460736779E-2</v>
      </c>
      <c r="J88" s="480">
        <f t="shared" si="6"/>
        <v>4.5542077539263232E-2</v>
      </c>
    </row>
    <row r="89" spans="1:10" ht="12.75" customHeight="1">
      <c r="A89" s="414"/>
      <c r="B89" s="478">
        <v>2013</v>
      </c>
      <c r="C89" s="472">
        <f t="shared" si="4"/>
        <v>9.6799999999999997E-2</v>
      </c>
      <c r="D89" s="480">
        <v>4.4759707479483019E-2</v>
      </c>
      <c r="E89" s="480">
        <f t="shared" si="3"/>
        <v>5.2040292520516979E-2</v>
      </c>
      <c r="F89" s="480">
        <f t="shared" si="5"/>
        <v>5.0307786417370146E-2</v>
      </c>
      <c r="G89" s="480">
        <f t="shared" si="5"/>
        <v>4.9512213582629847E-2</v>
      </c>
      <c r="H89" s="480"/>
      <c r="I89" s="480">
        <f t="shared" si="6"/>
        <v>5.5633059875351741E-2</v>
      </c>
      <c r="J89" s="480">
        <f t="shared" si="6"/>
        <v>4.6336940124648264E-2</v>
      </c>
    </row>
    <row r="90" spans="1:10" ht="12.75" customHeight="1">
      <c r="A90" s="414"/>
      <c r="B90" s="478">
        <v>2014</v>
      </c>
      <c r="C90" s="472">
        <f t="shared" si="4"/>
        <v>9.7799999999999998E-2</v>
      </c>
      <c r="D90" s="480">
        <v>4.2774094021446961E-2</v>
      </c>
      <c r="E90" s="480">
        <f t="shared" si="3"/>
        <v>5.5025905978553037E-2</v>
      </c>
      <c r="F90" s="480">
        <f t="shared" si="5"/>
        <v>4.6784271888326207E-2</v>
      </c>
      <c r="G90" s="480">
        <f t="shared" si="5"/>
        <v>5.2155728111673794E-2</v>
      </c>
      <c r="H90" s="480"/>
      <c r="I90" s="480">
        <f t="shared" si="6"/>
        <v>5.3750469277496438E-2</v>
      </c>
      <c r="J90" s="480">
        <f t="shared" si="6"/>
        <v>4.7409530722503569E-2</v>
      </c>
    </row>
    <row r="91" spans="1:10" ht="12.75" customHeight="1">
      <c r="A91" s="414"/>
      <c r="B91" s="478">
        <v>2015</v>
      </c>
      <c r="C91" s="472">
        <f t="shared" si="4"/>
        <v>9.6000000000000002E-2</v>
      </c>
      <c r="D91" s="480">
        <v>4.1153967589428117E-2</v>
      </c>
      <c r="E91" s="480">
        <f t="shared" si="3"/>
        <v>5.4846032410571885E-2</v>
      </c>
      <c r="F91" s="480">
        <f t="shared" si="5"/>
        <v>4.4077281448769198E-2</v>
      </c>
      <c r="G91" s="480">
        <f t="shared" si="5"/>
        <v>5.3762718551230791E-2</v>
      </c>
      <c r="H91" s="480"/>
      <c r="I91" s="480">
        <f t="shared" si="6"/>
        <v>5.2216699369772579E-2</v>
      </c>
      <c r="J91" s="480">
        <f t="shared" si="6"/>
        <v>4.8083300630227428E-2</v>
      </c>
    </row>
    <row r="92" spans="1:10" ht="12.75" customHeight="1">
      <c r="A92" s="414"/>
      <c r="B92" s="478">
        <v>2016</v>
      </c>
      <c r="C92" s="472">
        <f t="shared" si="4"/>
        <v>9.5399999999999999E-2</v>
      </c>
      <c r="D92" s="480">
        <v>3.930199127182251E-2</v>
      </c>
      <c r="E92" s="480">
        <f t="shared" si="3"/>
        <v>5.6098008728177488E-2</v>
      </c>
      <c r="F92" s="480">
        <f t="shared" si="5"/>
        <v>4.1859664916638131E-2</v>
      </c>
      <c r="G92" s="480">
        <f t="shared" si="5"/>
        <v>5.5220335083361868E-2</v>
      </c>
      <c r="H92" s="480"/>
      <c r="I92" s="480">
        <f t="shared" si="6"/>
        <v>5.0078565163621504E-2</v>
      </c>
      <c r="J92" s="480">
        <f t="shared" si="6"/>
        <v>4.9361434836378511E-2</v>
      </c>
    </row>
    <row r="93" spans="1:10" ht="12.75" customHeight="1">
      <c r="A93" s="414"/>
      <c r="B93" s="478">
        <v>2017</v>
      </c>
      <c r="C93" s="472">
        <f t="shared" si="4"/>
        <v>9.7199999999999995E-2</v>
      </c>
      <c r="D93" s="480">
        <v>3.9987543339574223E-2</v>
      </c>
      <c r="E93" s="480">
        <f t="shared" si="3"/>
        <v>5.7212456660425771E-2</v>
      </c>
      <c r="F93" s="480">
        <f t="shared" si="5"/>
        <v>4.1595460740350969E-2</v>
      </c>
      <c r="G93" s="480">
        <f t="shared" si="5"/>
        <v>5.5044539259649042E-2</v>
      </c>
      <c r="H93" s="480"/>
      <c r="I93" s="480">
        <f t="shared" si="6"/>
        <v>4.8003986164245588E-2</v>
      </c>
      <c r="J93" s="480">
        <f t="shared" si="6"/>
        <v>5.0936013835754412E-2</v>
      </c>
    </row>
    <row r="94" spans="1:10" ht="12.75" customHeight="1">
      <c r="A94" s="414"/>
      <c r="B94" s="478">
        <v>2018</v>
      </c>
      <c r="C94" s="472">
        <f t="shared" si="4"/>
        <v>9.5899999999999999E-2</v>
      </c>
      <c r="D94" s="480">
        <v>4.2502293815071278E-2</v>
      </c>
      <c r="E94" s="480">
        <f t="shared" si="3"/>
        <v>5.3397706184928721E-2</v>
      </c>
      <c r="F94" s="480">
        <f t="shared" si="5"/>
        <v>4.1143978007468621E-2</v>
      </c>
      <c r="G94" s="480">
        <f t="shared" si="5"/>
        <v>5.5316021992531383E-2</v>
      </c>
      <c r="H94" s="480"/>
      <c r="I94" s="480">
        <f t="shared" si="6"/>
        <v>4.5725882212419376E-2</v>
      </c>
      <c r="J94" s="480">
        <f t="shared" si="6"/>
        <v>5.2414117787580615E-2</v>
      </c>
    </row>
    <row r="95" spans="1:10" ht="12.75" customHeight="1">
      <c r="A95" s="414"/>
      <c r="B95" s="478">
        <v>2019</v>
      </c>
      <c r="C95" s="472">
        <f t="shared" si="4"/>
        <v>9.6299999999999997E-2</v>
      </c>
      <c r="D95" s="480">
        <v>4.1066141300220245E-2</v>
      </c>
      <c r="E95" s="480">
        <f t="shared" si="3"/>
        <v>5.5233858699779752E-2</v>
      </c>
      <c r="F95" s="480">
        <f t="shared" si="5"/>
        <v>4.0802387463223275E-2</v>
      </c>
      <c r="G95" s="480">
        <f t="shared" si="5"/>
        <v>5.5357612536776721E-2</v>
      </c>
      <c r="H95" s="480"/>
      <c r="I95" s="480">
        <f t="shared" si="6"/>
        <v>4.3793329675774734E-2</v>
      </c>
      <c r="J95" s="480">
        <f t="shared" si="6"/>
        <v>5.3756670324225264E-2</v>
      </c>
    </row>
    <row r="96" spans="1:10" ht="12.75" customHeight="1">
      <c r="B96" s="485" t="s">
        <v>1191</v>
      </c>
      <c r="C96" s="472"/>
      <c r="F96" s="480"/>
      <c r="I96" s="480"/>
    </row>
    <row r="97" spans="1:21" ht="12.75" customHeight="1">
      <c r="A97" s="414"/>
      <c r="B97" s="478" t="s">
        <v>20</v>
      </c>
      <c r="C97" s="480">
        <f>AVERAGE(C62:C95)</f>
        <v>0.10942352941176471</v>
      </c>
      <c r="D97" s="480">
        <f>AVERAGE(D62:D95)</f>
        <v>6.8212253826208269E-2</v>
      </c>
      <c r="E97" s="480">
        <f>AVERAGE(E62:E95)</f>
        <v>4.1211275585556442E-2</v>
      </c>
      <c r="F97" s="480">
        <f>AVERAGE(F62:F95)</f>
        <v>6.7942230839055581E-2</v>
      </c>
      <c r="G97" s="480">
        <f>AVERAGE(G62:G95)</f>
        <v>4.0943769160944415E-2</v>
      </c>
      <c r="H97" s="480"/>
      <c r="I97" s="480">
        <f>AVERAGE(I62:I95)</f>
        <v>6.7875901555337695E-2</v>
      </c>
      <c r="J97" s="480">
        <f>AVERAGE(J62:J95)</f>
        <v>4.0612498444662304E-2</v>
      </c>
    </row>
    <row r="98" spans="1:21" ht="12.75" customHeight="1">
      <c r="A98" s="414"/>
      <c r="B98" s="478" t="s">
        <v>1287</v>
      </c>
      <c r="C98" s="480"/>
      <c r="D98" s="480"/>
      <c r="E98" s="480"/>
      <c r="F98" s="480">
        <f>MIN(F66:F95)</f>
        <v>4.0802387463223275E-2</v>
      </c>
      <c r="G98" s="480">
        <f>MIN(G66:G95)</f>
        <v>2.8040000000000009E-2</v>
      </c>
      <c r="H98" s="480"/>
      <c r="I98" s="480">
        <f>MIN(I66:I95)</f>
        <v>4.3793329675774734E-2</v>
      </c>
      <c r="J98" s="480">
        <f>MIN(J66:J95)</f>
        <v>3.1120000000000009E-2</v>
      </c>
    </row>
    <row r="99" spans="1:21" ht="12.75" customHeight="1">
      <c r="A99" s="414"/>
      <c r="B99" s="478" t="s">
        <v>1288</v>
      </c>
      <c r="C99" s="480"/>
      <c r="D99" s="480"/>
      <c r="E99" s="480"/>
      <c r="F99" s="480">
        <f>MAX(F66:F95)</f>
        <v>9.9599999999999994E-2</v>
      </c>
      <c r="G99" s="480">
        <f>MAX(G66:G95)</f>
        <v>5.5357612536776721E-2</v>
      </c>
      <c r="H99" s="480"/>
      <c r="I99" s="480">
        <f>MAX(I66:I95)</f>
        <v>9.1639999999999985E-2</v>
      </c>
      <c r="J99" s="480">
        <f>MAX(J66:J95)</f>
        <v>5.3756670324225264E-2</v>
      </c>
    </row>
    <row r="100" spans="1:21" ht="12.75" customHeight="1">
      <c r="B100" s="478"/>
      <c r="C100" s="480"/>
      <c r="D100" s="480"/>
      <c r="E100" s="480"/>
      <c r="F100" s="480"/>
      <c r="G100" s="480"/>
      <c r="H100" s="480"/>
      <c r="I100" s="480"/>
      <c r="J100" s="465"/>
    </row>
    <row r="101" spans="1:21" ht="12.75" customHeight="1">
      <c r="B101" s="465" t="s">
        <v>1652</v>
      </c>
      <c r="G101" s="464" t="s">
        <v>29</v>
      </c>
    </row>
    <row r="105" spans="1:21" ht="12.75" customHeight="1">
      <c r="B105" s="840" t="str">
        <f>B2</f>
        <v>Analysis Using Mr. Gorman's Rolling Average Equity Risk Premium Data</v>
      </c>
      <c r="C105" s="840"/>
      <c r="D105" s="840"/>
      <c r="E105" s="840"/>
      <c r="F105" s="840"/>
      <c r="G105" s="840"/>
      <c r="H105" s="840"/>
      <c r="I105" s="840"/>
      <c r="J105" s="840"/>
    </row>
    <row r="106" spans="1:21" ht="12.75" customHeight="1">
      <c r="A106" s="414"/>
    </row>
    <row r="107" spans="1:21" ht="12.75" customHeight="1">
      <c r="A107" s="414"/>
      <c r="C107" s="465"/>
      <c r="D107" s="464"/>
      <c r="E107" s="465"/>
      <c r="L107" s="488"/>
      <c r="M107" s="776"/>
      <c r="N107" s="776"/>
      <c r="O107" s="776"/>
      <c r="P107" s="776"/>
      <c r="Q107" s="776"/>
      <c r="R107" s="776"/>
      <c r="S107" s="776"/>
      <c r="T107" s="776"/>
      <c r="U107" s="776"/>
    </row>
    <row r="108" spans="1:21" ht="12.75" customHeight="1">
      <c r="A108" s="470"/>
      <c r="B108" t="s">
        <v>1653</v>
      </c>
      <c r="C108"/>
      <c r="D108"/>
      <c r="E108"/>
      <c r="F108"/>
      <c r="G108"/>
      <c r="H108"/>
      <c r="I108"/>
      <c r="J108"/>
      <c r="K108" s="489"/>
      <c r="M108" s="776"/>
      <c r="N108" s="776"/>
      <c r="O108" s="776"/>
      <c r="P108" s="776"/>
      <c r="Q108" s="776"/>
      <c r="R108" s="776"/>
      <c r="S108" s="776"/>
      <c r="T108" s="776"/>
      <c r="U108" s="776"/>
    </row>
    <row r="109" spans="1:21" ht="12.75" customHeight="1" thickBot="1">
      <c r="A109" s="397"/>
      <c r="B109"/>
      <c r="C109"/>
      <c r="D109"/>
      <c r="E109"/>
      <c r="F109"/>
      <c r="G109"/>
      <c r="H109"/>
      <c r="I109"/>
      <c r="J109"/>
      <c r="K109" s="489"/>
      <c r="M109" s="783"/>
      <c r="N109" s="783"/>
      <c r="O109" s="776"/>
      <c r="P109" s="776"/>
      <c r="Q109" s="776"/>
      <c r="R109" s="776"/>
      <c r="S109" s="776"/>
      <c r="T109" s="776"/>
      <c r="U109" s="776"/>
    </row>
    <row r="110" spans="1:21" ht="12.75" customHeight="1">
      <c r="A110" s="414"/>
      <c r="B110" s="490" t="s">
        <v>1654</v>
      </c>
      <c r="C110" s="490"/>
      <c r="D110"/>
      <c r="E110" s="491" t="s">
        <v>1655</v>
      </c>
      <c r="F110" s="492">
        <f>C125*H110+C124</f>
        <v>6.8292568608681298E-2</v>
      </c>
      <c r="G110" s="493" t="s">
        <v>1656</v>
      </c>
      <c r="H110" s="494">
        <v>2.5000000000000001E-2</v>
      </c>
      <c r="I110"/>
      <c r="J110"/>
      <c r="K110" s="495"/>
      <c r="M110" s="772"/>
      <c r="N110" s="772"/>
      <c r="O110" s="776"/>
      <c r="P110" s="776"/>
      <c r="Q110" s="776"/>
      <c r="R110" s="776"/>
      <c r="S110" s="776"/>
      <c r="T110" s="776"/>
      <c r="U110" s="776"/>
    </row>
    <row r="111" spans="1:21" ht="12.75" customHeight="1">
      <c r="A111" s="414"/>
      <c r="B111" t="s">
        <v>1657</v>
      </c>
      <c r="C111">
        <v>0.98530298885195078</v>
      </c>
      <c r="D111"/>
      <c r="E111" s="488"/>
      <c r="F111" s="478" t="s">
        <v>1658</v>
      </c>
      <c r="G111" s="492">
        <f>H110+(F110)</f>
        <v>9.3292568608681292E-2</v>
      </c>
      <c r="H111" s="496"/>
      <c r="I111"/>
      <c r="J111"/>
      <c r="K111" s="489"/>
      <c r="L111" s="489"/>
      <c r="M111" s="772"/>
      <c r="N111" s="772"/>
      <c r="O111" s="776"/>
      <c r="P111" s="776"/>
      <c r="Q111" s="776"/>
      <c r="R111" s="776"/>
      <c r="S111" s="776"/>
      <c r="T111" s="776"/>
      <c r="U111" s="776"/>
    </row>
    <row r="112" spans="1:21" ht="12.75" customHeight="1">
      <c r="A112" s="414"/>
      <c r="B112" t="s">
        <v>1659</v>
      </c>
      <c r="C112">
        <v>0.97082197984058749</v>
      </c>
      <c r="D112"/>
      <c r="E112" s="495"/>
      <c r="F112" s="482"/>
      <c r="G112" s="482"/>
      <c r="H112"/>
      <c r="I112"/>
      <c r="J112"/>
      <c r="K112" s="489"/>
      <c r="L112" s="489"/>
      <c r="M112" s="772"/>
      <c r="N112" s="772"/>
      <c r="O112" s="776"/>
      <c r="P112" s="776"/>
      <c r="Q112" s="776"/>
      <c r="R112" s="776"/>
      <c r="S112" s="776"/>
      <c r="T112" s="776"/>
      <c r="U112" s="776"/>
    </row>
    <row r="113" spans="1:21" ht="12.75" customHeight="1">
      <c r="A113" s="414"/>
      <c r="B113" t="s">
        <v>1660</v>
      </c>
      <c r="C113">
        <v>0.96977990769203704</v>
      </c>
      <c r="D113"/>
      <c r="E113"/>
      <c r="F113"/>
      <c r="G113"/>
      <c r="H113"/>
      <c r="I113"/>
      <c r="J113"/>
      <c r="K113" s="489"/>
      <c r="L113" s="489"/>
      <c r="M113" s="772"/>
      <c r="N113" s="772"/>
      <c r="O113" s="776"/>
      <c r="P113" s="776"/>
      <c r="Q113" s="776"/>
      <c r="R113" s="776"/>
      <c r="S113" s="776"/>
      <c r="T113" s="776"/>
      <c r="U113" s="776"/>
    </row>
    <row r="114" spans="1:21" ht="12.75" customHeight="1">
      <c r="A114" s="414"/>
      <c r="B114" t="s">
        <v>1661</v>
      </c>
      <c r="C114">
        <v>1.4704952422127098E-3</v>
      </c>
      <c r="D114"/>
      <c r="E114"/>
      <c r="F114"/>
      <c r="G114"/>
      <c r="H114"/>
      <c r="I114"/>
      <c r="J114"/>
      <c r="K114" s="489"/>
      <c r="L114" s="489"/>
      <c r="M114" s="772"/>
      <c r="N114" s="772"/>
      <c r="O114" s="776"/>
      <c r="P114" s="776"/>
      <c r="Q114" s="776"/>
      <c r="R114" s="776"/>
      <c r="S114" s="776"/>
      <c r="T114" s="776"/>
      <c r="U114" s="776"/>
    </row>
    <row r="115" spans="1:21" ht="12.75" customHeight="1" thickBot="1">
      <c r="A115" s="414"/>
      <c r="B115" s="497" t="s">
        <v>1662</v>
      </c>
      <c r="C115" s="497">
        <v>30</v>
      </c>
      <c r="D115"/>
      <c r="E115"/>
      <c r="F115"/>
      <c r="G115"/>
      <c r="H115"/>
      <c r="I115"/>
      <c r="J115"/>
      <c r="K115" s="489"/>
      <c r="L115" s="489"/>
      <c r="M115" s="776"/>
      <c r="N115" s="776"/>
      <c r="O115" s="776"/>
      <c r="P115" s="776"/>
      <c r="Q115" s="776"/>
      <c r="R115" s="776"/>
      <c r="S115" s="776"/>
      <c r="T115" s="776"/>
      <c r="U115" s="776"/>
    </row>
    <row r="116" spans="1:21" ht="12.75" customHeight="1">
      <c r="A116" s="414"/>
      <c r="B116"/>
      <c r="C116"/>
      <c r="D116"/>
      <c r="E116"/>
      <c r="F116"/>
      <c r="G116"/>
      <c r="H116"/>
      <c r="I116"/>
      <c r="J116"/>
      <c r="K116" s="489"/>
      <c r="L116" s="489"/>
      <c r="M116" s="776"/>
      <c r="N116" s="776"/>
      <c r="O116" s="776"/>
      <c r="P116" s="776"/>
      <c r="Q116" s="776"/>
      <c r="R116" s="776"/>
      <c r="S116" s="776"/>
      <c r="T116" s="776"/>
      <c r="U116" s="776"/>
    </row>
    <row r="117" spans="1:21" ht="12.75" customHeight="1" thickBot="1">
      <c r="A117" s="414"/>
      <c r="B117" t="s">
        <v>1663</v>
      </c>
      <c r="C117"/>
      <c r="D117"/>
      <c r="E117"/>
      <c r="F117"/>
      <c r="G117"/>
      <c r="H117"/>
      <c r="I117"/>
      <c r="J117"/>
      <c r="K117" s="489"/>
      <c r="L117" s="489"/>
      <c r="M117" s="778"/>
      <c r="N117" s="778"/>
      <c r="O117" s="778"/>
      <c r="P117" s="778"/>
      <c r="Q117" s="778"/>
      <c r="R117" s="778"/>
      <c r="S117" s="776"/>
      <c r="T117" s="776"/>
      <c r="U117" s="776"/>
    </row>
    <row r="118" spans="1:21" ht="12.75" customHeight="1">
      <c r="A118" s="414"/>
      <c r="B118" s="498"/>
      <c r="C118" s="498" t="s">
        <v>1664</v>
      </c>
      <c r="D118" s="498" t="s">
        <v>1665</v>
      </c>
      <c r="E118" s="498" t="s">
        <v>24</v>
      </c>
      <c r="F118" s="498" t="s">
        <v>25</v>
      </c>
      <c r="G118" s="498" t="s">
        <v>1666</v>
      </c>
      <c r="H118"/>
      <c r="I118"/>
      <c r="J118"/>
      <c r="K118" s="499"/>
      <c r="L118" s="499"/>
      <c r="M118" s="772"/>
      <c r="N118" s="772"/>
      <c r="O118" s="772"/>
      <c r="P118" s="772"/>
      <c r="Q118" s="772"/>
      <c r="R118" s="772"/>
      <c r="S118" s="776"/>
      <c r="T118" s="776"/>
      <c r="U118" s="776"/>
    </row>
    <row r="119" spans="1:21" ht="12.75" customHeight="1">
      <c r="A119" s="414"/>
      <c r="B119" t="s">
        <v>1667</v>
      </c>
      <c r="C119">
        <v>1</v>
      </c>
      <c r="D119">
        <v>2.0145082908328135E-3</v>
      </c>
      <c r="E119">
        <v>2.0145082908328135E-3</v>
      </c>
      <c r="F119">
        <v>931.62645330367059</v>
      </c>
      <c r="G119">
        <v>4.9120393023780658E-23</v>
      </c>
      <c r="H119"/>
      <c r="I119"/>
      <c r="J119"/>
      <c r="K119" s="489"/>
      <c r="L119" s="489"/>
      <c r="M119" s="772"/>
      <c r="N119" s="772"/>
      <c r="O119" s="772"/>
      <c r="P119" s="772"/>
      <c r="Q119" s="772"/>
      <c r="R119" s="772"/>
      <c r="S119" s="776"/>
      <c r="T119" s="776"/>
      <c r="U119" s="776"/>
    </row>
    <row r="120" spans="1:21" ht="12.75" customHeight="1">
      <c r="A120" s="414"/>
      <c r="B120" t="s">
        <v>1668</v>
      </c>
      <c r="C120">
        <v>28</v>
      </c>
      <c r="D120">
        <v>6.0545975206366043E-5</v>
      </c>
      <c r="E120">
        <v>2.1623562573702159E-6</v>
      </c>
      <c r="F120"/>
      <c r="G120"/>
      <c r="H120"/>
      <c r="I120"/>
      <c r="J120"/>
      <c r="K120" s="489"/>
      <c r="L120" s="489"/>
      <c r="M120" s="772"/>
      <c r="N120" s="772"/>
      <c r="O120" s="772"/>
      <c r="P120" s="772"/>
      <c r="Q120" s="772"/>
      <c r="R120" s="772"/>
      <c r="S120" s="776"/>
      <c r="T120" s="776"/>
      <c r="U120" s="776"/>
    </row>
    <row r="121" spans="1:21" ht="12.75" customHeight="1" thickBot="1">
      <c r="A121" s="414"/>
      <c r="B121" s="497" t="s">
        <v>1669</v>
      </c>
      <c r="C121" s="497">
        <v>29</v>
      </c>
      <c r="D121" s="497">
        <v>2.0750542660391796E-3</v>
      </c>
      <c r="E121" s="497"/>
      <c r="F121" s="497"/>
      <c r="G121" s="497"/>
      <c r="H121"/>
      <c r="I121"/>
      <c r="J121"/>
      <c r="K121" s="489"/>
      <c r="L121" s="489"/>
      <c r="M121" s="776"/>
      <c r="N121" s="776"/>
      <c r="O121" s="776"/>
      <c r="P121" s="776"/>
      <c r="Q121" s="776"/>
      <c r="R121" s="776"/>
      <c r="S121" s="776"/>
      <c r="T121" s="776"/>
      <c r="U121" s="776"/>
    </row>
    <row r="122" spans="1:21" ht="12.75" customHeight="1" thickBot="1">
      <c r="A122" s="414"/>
      <c r="B122"/>
      <c r="C122"/>
      <c r="D122"/>
      <c r="E122"/>
      <c r="F122"/>
      <c r="G122"/>
      <c r="H122"/>
      <c r="I122"/>
      <c r="J122"/>
      <c r="K122" s="489"/>
      <c r="L122" s="489"/>
      <c r="M122" s="778"/>
      <c r="N122" s="778"/>
      <c r="O122" s="778"/>
      <c r="P122" s="778"/>
      <c r="Q122" s="778"/>
      <c r="R122" s="778"/>
      <c r="S122" s="778"/>
      <c r="T122" s="778"/>
      <c r="U122" s="778"/>
    </row>
    <row r="123" spans="1:21" ht="12.75" customHeight="1">
      <c r="A123" s="414"/>
      <c r="B123" s="498"/>
      <c r="C123" s="498" t="s">
        <v>1670</v>
      </c>
      <c r="D123" s="498" t="s">
        <v>1661</v>
      </c>
      <c r="E123" s="498" t="s">
        <v>1671</v>
      </c>
      <c r="F123" s="498" t="s">
        <v>1672</v>
      </c>
      <c r="G123" s="498" t="s">
        <v>1673</v>
      </c>
      <c r="H123" s="498" t="s">
        <v>1674</v>
      </c>
      <c r="I123" s="484"/>
      <c r="J123" s="484"/>
      <c r="K123" s="499"/>
      <c r="L123" s="499"/>
      <c r="M123" s="772"/>
      <c r="N123" s="772"/>
      <c r="O123" s="772"/>
      <c r="P123" s="772"/>
      <c r="Q123" s="772"/>
      <c r="R123" s="772"/>
      <c r="S123" s="772"/>
      <c r="T123" s="772"/>
      <c r="U123" s="772"/>
    </row>
    <row r="124" spans="1:21" ht="12.75" customHeight="1">
      <c r="A124" s="414"/>
      <c r="B124" t="s">
        <v>1675</v>
      </c>
      <c r="C124">
        <v>8.0015966052653806E-2</v>
      </c>
      <c r="D124">
        <v>8.77294369492643E-4</v>
      </c>
      <c r="E124">
        <v>91.207659407330581</v>
      </c>
      <c r="F124">
        <v>3.4203493825844797E-36</v>
      </c>
      <c r="G124">
        <v>7.8218910000728323E-2</v>
      </c>
      <c r="H124">
        <v>8.1813022104579289E-2</v>
      </c>
      <c r="I124"/>
      <c r="J124"/>
      <c r="K124" s="489"/>
      <c r="L124" s="489"/>
      <c r="M124" s="772"/>
      <c r="N124" s="772"/>
      <c r="O124" s="772"/>
      <c r="P124" s="772"/>
      <c r="Q124" s="772"/>
      <c r="R124" s="772"/>
      <c r="S124" s="772"/>
      <c r="T124" s="772"/>
      <c r="U124" s="772"/>
    </row>
    <row r="125" spans="1:21" ht="12.75" customHeight="1" thickBot="1">
      <c r="A125" s="414"/>
      <c r="B125" s="497" t="s">
        <v>1676</v>
      </c>
      <c r="C125" s="497">
        <v>-0.46893589775890032</v>
      </c>
      <c r="D125" s="497">
        <v>1.5363585231146818E-2</v>
      </c>
      <c r="E125" s="497">
        <v>-30.522556467368034</v>
      </c>
      <c r="F125" s="497">
        <v>4.9120393023780658E-23</v>
      </c>
      <c r="G125" s="497">
        <v>-0.50040677546996137</v>
      </c>
      <c r="H125" s="497">
        <v>-0.43746502004783921</v>
      </c>
      <c r="I125"/>
      <c r="J125"/>
      <c r="K125" s="489"/>
      <c r="L125" s="489"/>
      <c r="M125" s="776"/>
      <c r="N125" s="776"/>
      <c r="O125" s="776"/>
      <c r="P125" s="776"/>
      <c r="Q125" s="776"/>
      <c r="R125" s="776"/>
      <c r="S125" s="776"/>
      <c r="T125" s="776"/>
      <c r="U125" s="776"/>
    </row>
    <row r="126" spans="1:21" ht="12.75" customHeight="1">
      <c r="A126" s="414"/>
      <c r="B126"/>
      <c r="C126"/>
      <c r="D126"/>
      <c r="E126"/>
      <c r="F126"/>
      <c r="G126"/>
      <c r="H126"/>
      <c r="I126"/>
      <c r="J126"/>
      <c r="K126" s="489"/>
      <c r="L126" s="489"/>
      <c r="M126" s="776"/>
      <c r="N126" s="776"/>
      <c r="O126" s="776"/>
      <c r="P126" s="776"/>
      <c r="Q126" s="776"/>
      <c r="R126" s="776"/>
      <c r="S126" s="776"/>
      <c r="T126" s="776"/>
      <c r="U126" s="776"/>
    </row>
    <row r="127" spans="1:21" ht="12.75" customHeight="1">
      <c r="A127" s="414"/>
      <c r="B127"/>
      <c r="C127"/>
      <c r="D127"/>
      <c r="E127"/>
      <c r="F127"/>
      <c r="G127"/>
      <c r="H127"/>
      <c r="I127"/>
      <c r="J127"/>
      <c r="K127" s="489"/>
      <c r="L127" s="489"/>
      <c r="M127" s="776"/>
      <c r="N127" s="776"/>
      <c r="O127" s="776"/>
      <c r="P127" s="776"/>
      <c r="Q127" s="776"/>
      <c r="R127" s="776"/>
      <c r="S127" s="776"/>
      <c r="T127" s="776"/>
      <c r="U127" s="776"/>
    </row>
    <row r="128" spans="1:21" s="779" customFormat="1" ht="12.75" customHeight="1">
      <c r="A128" s="414"/>
      <c r="B128"/>
      <c r="C128"/>
      <c r="D128"/>
      <c r="E128"/>
      <c r="F128"/>
      <c r="G128"/>
      <c r="H128"/>
      <c r="I128"/>
      <c r="J128"/>
      <c r="K128" s="489"/>
      <c r="L128" s="489"/>
      <c r="M128" s="776"/>
      <c r="N128" s="776"/>
      <c r="O128" s="776"/>
      <c r="P128" s="776"/>
      <c r="Q128" s="776"/>
      <c r="R128" s="776"/>
      <c r="S128" s="776"/>
      <c r="T128" s="776"/>
      <c r="U128" s="776"/>
    </row>
    <row r="129" spans="1:22" s="779" customFormat="1" ht="12.75" customHeight="1">
      <c r="A129" s="470"/>
      <c r="B129" t="s">
        <v>1653</v>
      </c>
      <c r="C129"/>
      <c r="D129"/>
      <c r="E129"/>
      <c r="F129"/>
      <c r="G129"/>
      <c r="H129"/>
      <c r="I129"/>
      <c r="J129"/>
      <c r="K129" s="489"/>
      <c r="L129" s="489"/>
      <c r="M129" s="776"/>
      <c r="N129" s="776"/>
      <c r="O129" s="776"/>
      <c r="P129" s="776"/>
      <c r="Q129" s="776"/>
      <c r="R129" s="776"/>
      <c r="S129" s="776"/>
      <c r="T129" s="776"/>
      <c r="U129" s="776"/>
    </row>
    <row r="130" spans="1:22" s="779" customFormat="1" ht="12.75" customHeight="1" thickBot="1">
      <c r="A130" s="397"/>
      <c r="B130"/>
      <c r="C130"/>
      <c r="D130"/>
      <c r="E130"/>
      <c r="F130"/>
      <c r="G130"/>
      <c r="H130"/>
      <c r="I130"/>
      <c r="J130"/>
      <c r="K130" s="489"/>
      <c r="L130" s="489"/>
      <c r="M130" s="783"/>
      <c r="N130" s="783"/>
      <c r="O130" s="776"/>
      <c r="P130" s="776"/>
      <c r="Q130" s="776"/>
      <c r="R130" s="776"/>
      <c r="S130" s="776"/>
      <c r="T130" s="776"/>
      <c r="U130" s="776"/>
      <c r="V130" s="780"/>
    </row>
    <row r="131" spans="1:22" s="779" customFormat="1" ht="12.75" customHeight="1">
      <c r="A131" s="414"/>
      <c r="B131" s="490" t="s">
        <v>1654</v>
      </c>
      <c r="C131" s="490"/>
      <c r="D131"/>
      <c r="E131"/>
      <c r="F131"/>
      <c r="G131"/>
      <c r="H131"/>
      <c r="I131"/>
      <c r="J131"/>
      <c r="K131" s="495"/>
      <c r="L131" s="495"/>
      <c r="M131" s="772"/>
      <c r="N131" s="772"/>
      <c r="O131" s="776"/>
      <c r="P131" s="776"/>
      <c r="Q131" s="776"/>
      <c r="R131" s="776"/>
      <c r="S131" s="776"/>
      <c r="T131" s="776"/>
      <c r="U131" s="776"/>
      <c r="V131" s="780"/>
    </row>
    <row r="132" spans="1:22" s="779" customFormat="1" ht="12.75" customHeight="1">
      <c r="A132" s="414"/>
      <c r="B132" t="s">
        <v>1657</v>
      </c>
      <c r="C132">
        <v>0.98277596404215684</v>
      </c>
      <c r="D132"/>
      <c r="E132" s="491" t="s">
        <v>1655</v>
      </c>
      <c r="F132" s="492">
        <f>C146*H132+C145</f>
        <v>5.5602395496378354E-2</v>
      </c>
      <c r="G132" s="493" t="s">
        <v>1656</v>
      </c>
      <c r="H132" s="494">
        <v>3.6999999999999998E-2</v>
      </c>
      <c r="I132"/>
      <c r="J132"/>
      <c r="K132" s="489"/>
      <c r="L132" s="465"/>
      <c r="M132" s="772"/>
      <c r="N132" s="772"/>
      <c r="O132" s="776"/>
      <c r="P132" s="776"/>
      <c r="Q132" s="776"/>
      <c r="R132" s="776"/>
      <c r="S132" s="776"/>
      <c r="T132" s="776"/>
      <c r="U132" s="776"/>
      <c r="V132" s="780"/>
    </row>
    <row r="133" spans="1:22" s="779" customFormat="1" ht="12.75" customHeight="1">
      <c r="A133" s="414"/>
      <c r="B133" t="s">
        <v>1659</v>
      </c>
      <c r="C133">
        <v>0.96584859549899083</v>
      </c>
      <c r="D133"/>
      <c r="E133" s="488"/>
      <c r="F133" s="478" t="s">
        <v>1658</v>
      </c>
      <c r="G133" s="492">
        <f>H132+(F132)</f>
        <v>9.2602395496378359E-2</v>
      </c>
      <c r="H133" s="496"/>
      <c r="I133"/>
      <c r="J133"/>
      <c r="K133" s="494"/>
      <c r="L133" s="465"/>
      <c r="M133" s="772"/>
      <c r="N133" s="772"/>
      <c r="O133" s="776"/>
      <c r="P133" s="776"/>
      <c r="Q133" s="776"/>
      <c r="R133" s="776"/>
      <c r="S133" s="776"/>
      <c r="T133" s="776"/>
      <c r="U133" s="776"/>
      <c r="V133" s="780"/>
    </row>
    <row r="134" spans="1:22" s="779" customFormat="1" ht="12.75" customHeight="1">
      <c r="A134" s="414"/>
      <c r="B134" t="s">
        <v>1660</v>
      </c>
      <c r="C134">
        <v>0.96462890248109756</v>
      </c>
      <c r="D134"/>
      <c r="E134" s="489"/>
      <c r="F134" s="489"/>
      <c r="G134" s="489"/>
      <c r="H134" s="489"/>
      <c r="I134"/>
      <c r="J134"/>
      <c r="K134" s="496"/>
      <c r="L134" s="465"/>
      <c r="M134" s="772"/>
      <c r="N134" s="772"/>
      <c r="O134" s="776"/>
      <c r="P134" s="776"/>
      <c r="Q134" s="776"/>
      <c r="R134" s="776"/>
      <c r="S134" s="776"/>
      <c r="T134" s="776"/>
      <c r="U134" s="776"/>
      <c r="V134" s="780"/>
    </row>
    <row r="135" spans="1:22" s="779" customFormat="1" ht="12.75" customHeight="1">
      <c r="A135" s="414"/>
      <c r="B135" t="s">
        <v>1661</v>
      </c>
      <c r="C135">
        <v>1.6219100475049154E-3</v>
      </c>
      <c r="D135"/>
      <c r="E135" s="489"/>
      <c r="F135" s="489"/>
      <c r="G135" s="500">
        <f>AVERAGE(G133,G111)</f>
        <v>9.2947482052529826E-2</v>
      </c>
      <c r="H135" s="489"/>
      <c r="I135"/>
      <c r="J135"/>
      <c r="K135" s="489"/>
      <c r="L135" s="465"/>
      <c r="M135" s="772"/>
      <c r="N135" s="772"/>
      <c r="O135" s="776"/>
      <c r="P135" s="776"/>
      <c r="Q135" s="776"/>
      <c r="R135" s="776"/>
      <c r="S135" s="776"/>
      <c r="T135" s="776"/>
      <c r="U135" s="776"/>
      <c r="V135" s="780"/>
    </row>
    <row r="136" spans="1:22" s="779" customFormat="1" ht="12.75" customHeight="1" thickBot="1">
      <c r="A136" s="414"/>
      <c r="B136" s="497" t="s">
        <v>1662</v>
      </c>
      <c r="C136" s="497">
        <v>30</v>
      </c>
      <c r="D136"/>
      <c r="E136"/>
      <c r="F136"/>
      <c r="G136"/>
      <c r="H136"/>
      <c r="I136"/>
      <c r="J136"/>
      <c r="K136" s="489"/>
      <c r="L136" s="489"/>
      <c r="M136" s="776"/>
      <c r="N136" s="776"/>
      <c r="O136" s="776"/>
      <c r="P136" s="776"/>
      <c r="Q136" s="776"/>
      <c r="R136" s="776"/>
      <c r="S136" s="776"/>
      <c r="T136" s="776"/>
      <c r="U136" s="776"/>
      <c r="V136" s="780"/>
    </row>
    <row r="137" spans="1:22" s="779" customFormat="1" ht="12.75" customHeight="1">
      <c r="A137" s="414"/>
      <c r="B137"/>
      <c r="C137"/>
      <c r="D137"/>
      <c r="E137"/>
      <c r="F137"/>
      <c r="G137"/>
      <c r="H137"/>
      <c r="I137"/>
      <c r="J137"/>
      <c r="K137" s="489"/>
      <c r="L137" s="489"/>
      <c r="M137" s="776"/>
      <c r="N137" s="776"/>
      <c r="O137" s="776"/>
      <c r="P137" s="776"/>
      <c r="Q137" s="776"/>
      <c r="R137" s="776"/>
      <c r="S137" s="776"/>
      <c r="T137" s="776"/>
      <c r="U137" s="776"/>
      <c r="V137" s="780"/>
    </row>
    <row r="138" spans="1:22" s="779" customFormat="1" ht="12.75" customHeight="1" thickBot="1">
      <c r="A138" s="414"/>
      <c r="B138" t="s">
        <v>1663</v>
      </c>
      <c r="C138"/>
      <c r="D138"/>
      <c r="E138"/>
      <c r="F138"/>
      <c r="G138"/>
      <c r="H138"/>
      <c r="I138"/>
      <c r="J138"/>
      <c r="K138" s="489"/>
      <c r="L138" s="489"/>
      <c r="M138" s="778"/>
      <c r="N138" s="778"/>
      <c r="O138" s="778"/>
      <c r="P138" s="778"/>
      <c r="Q138" s="778"/>
      <c r="R138" s="778"/>
      <c r="S138" s="776"/>
      <c r="T138" s="776"/>
      <c r="U138" s="776"/>
      <c r="V138" s="780"/>
    </row>
    <row r="139" spans="1:22" s="779" customFormat="1" ht="12.75" customHeight="1">
      <c r="A139" s="414"/>
      <c r="B139" s="498"/>
      <c r="C139" s="498" t="s">
        <v>1664</v>
      </c>
      <c r="D139" s="498" t="s">
        <v>1665</v>
      </c>
      <c r="E139" s="498" t="s">
        <v>24</v>
      </c>
      <c r="F139" s="498" t="s">
        <v>25</v>
      </c>
      <c r="G139" s="498" t="s">
        <v>1666</v>
      </c>
      <c r="H139"/>
      <c r="I139"/>
      <c r="J139"/>
      <c r="K139" s="499"/>
      <c r="L139" s="499"/>
      <c r="M139" s="772"/>
      <c r="N139" s="772"/>
      <c r="O139" s="772"/>
      <c r="P139" s="772"/>
      <c r="Q139" s="772"/>
      <c r="R139" s="772"/>
      <c r="S139" s="776"/>
      <c r="T139" s="776"/>
      <c r="U139" s="776"/>
      <c r="V139" s="780"/>
    </row>
    <row r="140" spans="1:22" s="779" customFormat="1" ht="12.75" customHeight="1">
      <c r="A140" s="414"/>
      <c r="B140" t="s">
        <v>1667</v>
      </c>
      <c r="C140">
        <v>1</v>
      </c>
      <c r="D140">
        <v>2.0831092303960873E-3</v>
      </c>
      <c r="E140">
        <v>2.0831092303960873E-3</v>
      </c>
      <c r="F140">
        <v>791.87843279396009</v>
      </c>
      <c r="G140">
        <v>4.4590176848346397E-22</v>
      </c>
      <c r="H140"/>
      <c r="I140"/>
      <c r="J140"/>
      <c r="K140" s="489"/>
      <c r="L140" s="489"/>
      <c r="M140" s="772"/>
      <c r="N140" s="772"/>
      <c r="O140" s="772"/>
      <c r="P140" s="772"/>
      <c r="Q140" s="772"/>
      <c r="R140" s="772"/>
      <c r="S140" s="776"/>
      <c r="T140" s="776"/>
      <c r="U140" s="776"/>
      <c r="V140" s="780"/>
    </row>
    <row r="141" spans="1:22" s="779" customFormat="1" ht="12.75" customHeight="1">
      <c r="A141" s="414"/>
      <c r="B141" t="s">
        <v>1668</v>
      </c>
      <c r="C141">
        <v>28</v>
      </c>
      <c r="D141">
        <v>7.3656581661527131E-5</v>
      </c>
      <c r="E141">
        <v>2.6305922021973974E-6</v>
      </c>
      <c r="F141"/>
      <c r="G141"/>
      <c r="H141"/>
      <c r="I141"/>
      <c r="J141"/>
      <c r="K141" s="489"/>
      <c r="L141" s="489"/>
      <c r="M141" s="772"/>
      <c r="N141" s="772"/>
      <c r="O141" s="772"/>
      <c r="P141" s="772"/>
      <c r="Q141" s="772"/>
      <c r="R141" s="772"/>
      <c r="S141" s="776"/>
      <c r="T141" s="776"/>
      <c r="U141" s="776"/>
      <c r="V141" s="780"/>
    </row>
    <row r="142" spans="1:22" s="779" customFormat="1" ht="12.75" customHeight="1" thickBot="1">
      <c r="A142" s="414"/>
      <c r="B142" s="497" t="s">
        <v>1669</v>
      </c>
      <c r="C142" s="497">
        <v>29</v>
      </c>
      <c r="D142" s="497">
        <v>2.1567658120576145E-3</v>
      </c>
      <c r="E142" s="497"/>
      <c r="F142" s="497"/>
      <c r="G142" s="497"/>
      <c r="H142"/>
      <c r="I142"/>
      <c r="J142"/>
      <c r="K142" s="489"/>
      <c r="L142" s="489"/>
      <c r="M142" s="776"/>
      <c r="N142" s="776"/>
      <c r="O142" s="776"/>
      <c r="P142" s="776"/>
      <c r="Q142" s="776"/>
      <c r="R142" s="776"/>
      <c r="S142" s="776"/>
      <c r="T142" s="776"/>
      <c r="U142" s="776"/>
      <c r="V142" s="780"/>
    </row>
    <row r="143" spans="1:22" s="779" customFormat="1" ht="12.75" customHeight="1" thickBot="1">
      <c r="A143" s="414"/>
      <c r="B143"/>
      <c r="C143"/>
      <c r="D143"/>
      <c r="E143"/>
      <c r="F143"/>
      <c r="G143"/>
      <c r="H143"/>
      <c r="I143"/>
      <c r="J143"/>
      <c r="K143" s="489"/>
      <c r="L143" s="489"/>
      <c r="M143" s="778"/>
      <c r="N143" s="778"/>
      <c r="O143" s="778"/>
      <c r="P143" s="778"/>
      <c r="Q143" s="778"/>
      <c r="R143" s="778"/>
      <c r="S143" s="778"/>
      <c r="T143" s="778"/>
      <c r="U143" s="778"/>
      <c r="V143" s="780"/>
    </row>
    <row r="144" spans="1:22" s="779" customFormat="1" ht="12.75" customHeight="1">
      <c r="A144" s="414"/>
      <c r="B144" s="498"/>
      <c r="C144" s="498" t="s">
        <v>1670</v>
      </c>
      <c r="D144" s="498" t="s">
        <v>1661</v>
      </c>
      <c r="E144" s="498" t="s">
        <v>1671</v>
      </c>
      <c r="F144" s="498" t="s">
        <v>1672</v>
      </c>
      <c r="G144" s="498" t="s">
        <v>1673</v>
      </c>
      <c r="H144" s="498" t="s">
        <v>1674</v>
      </c>
      <c r="I144" s="484"/>
      <c r="J144" s="484"/>
      <c r="K144" s="499"/>
      <c r="L144" s="499"/>
      <c r="M144" s="772"/>
      <c r="N144" s="772"/>
      <c r="O144" s="772"/>
      <c r="P144" s="772"/>
      <c r="Q144" s="772"/>
      <c r="R144" s="772"/>
      <c r="S144" s="772"/>
      <c r="T144" s="772"/>
      <c r="U144" s="772"/>
      <c r="V144" s="780"/>
    </row>
    <row r="145" spans="1:22" s="779" customFormat="1" ht="12.75" customHeight="1">
      <c r="A145" s="414"/>
      <c r="B145" t="s">
        <v>1675</v>
      </c>
      <c r="C145">
        <v>7.3130839946042026E-2</v>
      </c>
      <c r="D145">
        <v>1.1815149308270453E-3</v>
      </c>
      <c r="E145">
        <v>61.895823775033783</v>
      </c>
      <c r="F145">
        <v>1.6802688740300305E-31</v>
      </c>
      <c r="G145">
        <v>7.0710616323598194E-2</v>
      </c>
      <c r="H145">
        <v>7.5551063568485857E-2</v>
      </c>
      <c r="I145"/>
      <c r="J145"/>
      <c r="K145" s="489"/>
      <c r="L145" s="489"/>
      <c r="M145" s="772"/>
      <c r="N145" s="772"/>
      <c r="O145" s="772"/>
      <c r="P145" s="772"/>
      <c r="Q145" s="772"/>
      <c r="R145" s="772"/>
      <c r="S145" s="772"/>
      <c r="T145" s="772"/>
      <c r="U145" s="772"/>
      <c r="V145" s="781"/>
    </row>
    <row r="146" spans="1:22" ht="12.75" customHeight="1" thickBot="1">
      <c r="A146" s="414"/>
      <c r="B146" s="497" t="s">
        <v>1677</v>
      </c>
      <c r="C146" s="497">
        <v>-0.47374174188280199</v>
      </c>
      <c r="D146" s="497">
        <v>1.6834971872218621E-2</v>
      </c>
      <c r="E146" s="497">
        <v>-28.140334624768769</v>
      </c>
      <c r="F146" s="497">
        <v>4.4590176848346397E-22</v>
      </c>
      <c r="G146" s="497">
        <v>-0.50822661849777662</v>
      </c>
      <c r="H146" s="497">
        <v>-0.43925686526782731</v>
      </c>
      <c r="I146"/>
      <c r="J146"/>
      <c r="K146" s="489"/>
      <c r="L146" s="489"/>
      <c r="M146"/>
      <c r="N146"/>
      <c r="O146"/>
      <c r="P146"/>
      <c r="Q146"/>
      <c r="R146"/>
      <c r="S146"/>
      <c r="T146"/>
      <c r="U146"/>
      <c r="V146" s="421"/>
    </row>
    <row r="147" spans="1:22" ht="12.75" customHeight="1">
      <c r="B147"/>
      <c r="C147"/>
      <c r="D147"/>
      <c r="E147"/>
      <c r="F147"/>
      <c r="G147"/>
      <c r="H147"/>
      <c r="I147"/>
      <c r="J147"/>
      <c r="K147" s="489"/>
      <c r="L147" s="489"/>
      <c r="M147"/>
      <c r="N147"/>
      <c r="O147"/>
      <c r="P147"/>
      <c r="Q147"/>
      <c r="R147"/>
      <c r="S147"/>
      <c r="T147"/>
      <c r="U147"/>
      <c r="V147" s="421"/>
    </row>
    <row r="148" spans="1:22" ht="12.75" customHeight="1">
      <c r="B148"/>
      <c r="C148"/>
      <c r="D148"/>
      <c r="E148"/>
      <c r="F148"/>
      <c r="G148"/>
      <c r="H148"/>
      <c r="I148"/>
      <c r="J148"/>
      <c r="K148" s="489"/>
      <c r="L148" s="489"/>
      <c r="M148"/>
      <c r="N148"/>
      <c r="O148"/>
      <c r="P148"/>
      <c r="Q148"/>
      <c r="R148"/>
      <c r="S148"/>
      <c r="T148"/>
      <c r="U148"/>
      <c r="V148" s="421"/>
    </row>
    <row r="149" spans="1:22" ht="12.75" customHeight="1">
      <c r="B149"/>
      <c r="C149"/>
      <c r="D149"/>
      <c r="E149"/>
      <c r="F149"/>
      <c r="G149"/>
      <c r="H149"/>
      <c r="I149"/>
      <c r="J149"/>
      <c r="K149" s="489"/>
      <c r="L149" s="489"/>
      <c r="M149" s="772"/>
      <c r="N149" s="772"/>
      <c r="O149" s="772"/>
      <c r="P149"/>
      <c r="Q149"/>
      <c r="R149"/>
      <c r="S149"/>
      <c r="T149"/>
      <c r="U149"/>
    </row>
    <row r="150" spans="1:22" s="464" customFormat="1" ht="12.75" customHeight="1">
      <c r="B150" s="465"/>
      <c r="D150" s="465"/>
      <c r="E150" s="502"/>
      <c r="F150" s="503"/>
      <c r="G150" s="503"/>
      <c r="K150" s="465"/>
      <c r="L150" s="489"/>
      <c r="M150" s="772"/>
      <c r="N150" s="772"/>
      <c r="O150" s="772"/>
      <c r="P150"/>
      <c r="Q150"/>
      <c r="R150"/>
      <c r="S150"/>
      <c r="T150"/>
      <c r="U150"/>
    </row>
    <row r="151" spans="1:22" s="464" customFormat="1" ht="12.75" customHeight="1">
      <c r="B151" s="465"/>
      <c r="D151" s="465"/>
      <c r="E151" s="502"/>
      <c r="F151" s="503"/>
      <c r="G151" s="503"/>
      <c r="K151" s="465"/>
      <c r="L151" s="489"/>
      <c r="M151" s="772"/>
      <c r="N151" s="772"/>
      <c r="O151" s="772"/>
      <c r="P151"/>
      <c r="Q151"/>
      <c r="R151"/>
      <c r="S151"/>
      <c r="T151"/>
      <c r="U151"/>
    </row>
    <row r="152" spans="1:22" s="464" customFormat="1" ht="12.75" customHeight="1">
      <c r="B152" s="465"/>
      <c r="D152" s="465"/>
      <c r="E152" s="502"/>
      <c r="F152" s="503"/>
      <c r="G152" s="503"/>
      <c r="K152" s="465"/>
      <c r="L152" s="489"/>
      <c r="M152" s="772"/>
      <c r="N152" s="772"/>
      <c r="O152" s="772"/>
      <c r="P152"/>
      <c r="Q152"/>
      <c r="R152"/>
      <c r="S152"/>
      <c r="T152"/>
      <c r="U152"/>
    </row>
    <row r="153" spans="1:22" s="464" customFormat="1" ht="12.75" customHeight="1">
      <c r="B153" s="465"/>
      <c r="D153" s="465"/>
      <c r="E153" s="502"/>
      <c r="F153" s="503"/>
      <c r="G153" s="503"/>
      <c r="K153" s="465"/>
      <c r="L153" s="465"/>
      <c r="M153" s="772"/>
      <c r="N153" s="772"/>
      <c r="O153" s="772"/>
      <c r="P153"/>
      <c r="Q153"/>
      <c r="R153"/>
      <c r="S153"/>
      <c r="T153"/>
      <c r="U153"/>
    </row>
    <row r="154" spans="1:22" s="464" customFormat="1" ht="12.75" customHeight="1">
      <c r="B154" s="465"/>
      <c r="D154" s="465"/>
      <c r="E154" s="502"/>
      <c r="F154" s="503"/>
      <c r="G154" s="503"/>
      <c r="K154" s="465"/>
      <c r="L154" s="465"/>
      <c r="M154" s="772"/>
      <c r="N154" s="772"/>
      <c r="O154" s="772"/>
      <c r="P154"/>
      <c r="Q154"/>
      <c r="R154"/>
      <c r="S154"/>
      <c r="T154"/>
      <c r="U154"/>
    </row>
    <row r="155" spans="1:22" ht="12.75" customHeight="1">
      <c r="E155" s="502"/>
      <c r="F155" s="841"/>
      <c r="G155" s="841"/>
      <c r="M155" s="772"/>
      <c r="N155" s="772"/>
      <c r="O155" s="772"/>
      <c r="P155"/>
      <c r="Q155"/>
      <c r="R155"/>
      <c r="S155"/>
      <c r="T155"/>
      <c r="U155"/>
    </row>
    <row r="156" spans="1:22" ht="12.75" customHeight="1">
      <c r="M156" s="772"/>
      <c r="N156" s="772"/>
      <c r="O156" s="772"/>
      <c r="P156"/>
      <c r="Q156"/>
      <c r="R156"/>
      <c r="S156"/>
      <c r="T156"/>
      <c r="U156"/>
    </row>
    <row r="157" spans="1:22" ht="12.75" customHeight="1">
      <c r="M157" s="772"/>
      <c r="N157" s="772"/>
      <c r="O157" s="772"/>
      <c r="P157"/>
      <c r="Q157"/>
      <c r="R157"/>
      <c r="S157"/>
      <c r="T157"/>
      <c r="U157"/>
    </row>
    <row r="158" spans="1:22" ht="12.75" customHeight="1">
      <c r="M158" s="772"/>
      <c r="N158" s="772"/>
      <c r="O158" s="772"/>
      <c r="P158"/>
      <c r="Q158"/>
      <c r="R158"/>
      <c r="S158"/>
      <c r="T158"/>
      <c r="U158"/>
    </row>
    <row r="159" spans="1:22" ht="12.75" customHeight="1">
      <c r="M159" s="772"/>
      <c r="N159" s="772"/>
      <c r="O159" s="772"/>
      <c r="P159"/>
      <c r="Q159"/>
      <c r="R159"/>
      <c r="S159"/>
      <c r="T159"/>
      <c r="U159"/>
    </row>
    <row r="160" spans="1:22" ht="12.75" customHeight="1">
      <c r="M160" s="772"/>
      <c r="N160" s="772"/>
      <c r="O160" s="772"/>
      <c r="P160"/>
      <c r="Q160"/>
      <c r="R160"/>
      <c r="S160"/>
      <c r="T160"/>
      <c r="U160"/>
    </row>
    <row r="167" spans="13:21" ht="12.75" customHeight="1">
      <c r="M167"/>
      <c r="N167"/>
      <c r="O167"/>
      <c r="P167"/>
      <c r="Q167"/>
      <c r="R167"/>
      <c r="S167"/>
      <c r="T167"/>
      <c r="U167"/>
    </row>
    <row r="168" spans="13:21" ht="12.75" customHeight="1">
      <c r="M168"/>
      <c r="N168"/>
      <c r="O168"/>
      <c r="P168"/>
      <c r="Q168"/>
      <c r="R168"/>
      <c r="S168"/>
      <c r="T168"/>
      <c r="U168"/>
    </row>
    <row r="169" spans="13:21" ht="12.75" customHeight="1">
      <c r="M169"/>
      <c r="N169"/>
      <c r="O169"/>
      <c r="P169"/>
      <c r="Q169"/>
      <c r="R169"/>
      <c r="S169"/>
      <c r="T169"/>
      <c r="U169"/>
    </row>
  </sheetData>
  <mergeCells count="4">
    <mergeCell ref="B2:K2"/>
    <mergeCell ref="B53:K53"/>
    <mergeCell ref="B105:J105"/>
    <mergeCell ref="F155:G155"/>
  </mergeCells>
  <printOptions horizontalCentered="1"/>
  <pageMargins left="0.7" right="0.7" top="1" bottom="0.5" header="0.3" footer="3"/>
  <pageSetup scale="40" fitToHeight="0" orientation="landscape" useFirstPageNumber="1" r:id="rId1"/>
  <headerFooter scaleWithDoc="0">
    <oddHeader>&amp;R&amp;"Arial,Regular"&amp;10DEU Exhibit 2.17R
Page &amp;P of 4</oddHeader>
  </headerFooter>
  <rowBreaks count="2" manualBreakCount="2">
    <brk id="51" max="11" man="1"/>
    <brk id="102"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Q95"/>
  <sheetViews>
    <sheetView view="pageLayout" topLeftCell="A19" zoomScale="85" zoomScaleNormal="70" zoomScaleSheetLayoutView="70" zoomScalePageLayoutView="85" workbookViewId="0">
      <selection activeCell="T38" sqref="T38"/>
    </sheetView>
  </sheetViews>
  <sheetFormatPr defaultColWidth="8.375" defaultRowHeight="12.75"/>
  <cols>
    <col min="1" max="1" width="2.25" style="2" customWidth="1"/>
    <col min="2" max="2" width="31.875" style="2" customWidth="1"/>
    <col min="3" max="3" width="8.375" style="2"/>
    <col min="4" max="4" width="1.125" style="2" customWidth="1"/>
    <col min="5" max="5" width="9.875" style="2" customWidth="1"/>
    <col min="6" max="8" width="8.375" style="2"/>
    <col min="9" max="12" width="9.375" style="2" customWidth="1"/>
    <col min="13" max="13" width="8.375" style="2"/>
    <col min="14" max="14" width="1.125" style="2" customWidth="1"/>
    <col min="15" max="17" width="8.375" style="2"/>
    <col min="18" max="18" width="2.25" style="2" customWidth="1"/>
    <col min="19" max="16384" width="8.375" style="2"/>
  </cols>
  <sheetData>
    <row r="2" spans="2:17">
      <c r="B2" s="1" t="s">
        <v>49</v>
      </c>
      <c r="C2" s="1"/>
      <c r="D2" s="1"/>
      <c r="E2" s="1"/>
      <c r="F2" s="1"/>
      <c r="G2" s="1"/>
      <c r="H2" s="1"/>
      <c r="I2" s="1"/>
      <c r="J2" s="1"/>
      <c r="K2" s="1"/>
      <c r="L2" s="1"/>
      <c r="M2" s="1"/>
      <c r="N2" s="1"/>
      <c r="O2" s="1"/>
      <c r="P2" s="1"/>
      <c r="Q2" s="1"/>
    </row>
    <row r="3" spans="2:17">
      <c r="B3" s="1" t="s">
        <v>26</v>
      </c>
      <c r="C3" s="1"/>
      <c r="D3" s="1"/>
      <c r="E3" s="1"/>
      <c r="F3" s="1"/>
      <c r="G3" s="1"/>
      <c r="H3" s="1"/>
      <c r="I3" s="1"/>
      <c r="J3" s="1"/>
      <c r="K3" s="1"/>
      <c r="L3" s="1"/>
      <c r="M3" s="1"/>
      <c r="N3" s="1"/>
      <c r="O3" s="1"/>
      <c r="P3" s="1"/>
      <c r="Q3" s="1"/>
    </row>
    <row r="5" spans="2:17">
      <c r="B5" s="3"/>
      <c r="C5" s="3"/>
      <c r="D5" s="4"/>
      <c r="E5" s="118" t="s">
        <v>50</v>
      </c>
      <c r="F5" s="118" t="s">
        <v>51</v>
      </c>
      <c r="G5" s="118" t="s">
        <v>52</v>
      </c>
      <c r="H5" s="118" t="s">
        <v>53</v>
      </c>
      <c r="I5" s="118" t="s">
        <v>54</v>
      </c>
      <c r="J5" s="118" t="s">
        <v>55</v>
      </c>
      <c r="K5" s="118" t="s">
        <v>56</v>
      </c>
      <c r="L5" s="118" t="s">
        <v>57</v>
      </c>
      <c r="M5" s="118" t="s">
        <v>58</v>
      </c>
      <c r="N5" s="118"/>
      <c r="O5" s="118" t="s">
        <v>59</v>
      </c>
      <c r="P5" s="118" t="s">
        <v>60</v>
      </c>
      <c r="Q5" s="118" t="s">
        <v>61</v>
      </c>
    </row>
    <row r="6" spans="2:17" ht="38.25">
      <c r="B6" s="119" t="s">
        <v>1</v>
      </c>
      <c r="C6" s="119" t="s">
        <v>0</v>
      </c>
      <c r="D6" s="5"/>
      <c r="E6" s="223" t="s">
        <v>62</v>
      </c>
      <c r="F6" s="223" t="s">
        <v>63</v>
      </c>
      <c r="G6" s="223" t="s">
        <v>64</v>
      </c>
      <c r="H6" s="223" t="s">
        <v>65</v>
      </c>
      <c r="I6" s="223" t="s">
        <v>66</v>
      </c>
      <c r="J6" s="223" t="s">
        <v>67</v>
      </c>
      <c r="K6" s="223" t="s">
        <v>68</v>
      </c>
      <c r="L6" s="224" t="s">
        <v>69</v>
      </c>
      <c r="M6" s="223" t="s">
        <v>70</v>
      </c>
      <c r="N6" s="225"/>
      <c r="O6" s="223" t="s">
        <v>71</v>
      </c>
      <c r="P6" s="223" t="s">
        <v>72</v>
      </c>
      <c r="Q6" s="120" t="s">
        <v>73</v>
      </c>
    </row>
    <row r="7" spans="2:17">
      <c r="B7" s="6"/>
      <c r="C7" s="6"/>
      <c r="D7" s="6"/>
      <c r="E7" s="6"/>
      <c r="F7" s="6"/>
      <c r="G7" s="6"/>
      <c r="H7" s="226"/>
      <c r="I7" s="226"/>
      <c r="J7" s="226"/>
      <c r="K7" s="226"/>
      <c r="L7" s="226"/>
      <c r="M7" s="226"/>
      <c r="N7" s="226"/>
      <c r="O7" s="227"/>
      <c r="P7" s="226"/>
      <c r="Q7" s="6"/>
    </row>
    <row r="8" spans="2:17">
      <c r="B8" s="2" t="s">
        <v>33</v>
      </c>
      <c r="C8" s="4" t="s">
        <v>34</v>
      </c>
      <c r="D8" s="7"/>
      <c r="E8" s="8">
        <v>2.1</v>
      </c>
      <c r="F8" s="8">
        <v>110.886</v>
      </c>
      <c r="G8" s="7">
        <f t="shared" ref="G8:G13" si="0">E8/F8</f>
        <v>1.8938369135869274E-2</v>
      </c>
      <c r="H8" s="228">
        <f t="shared" ref="H8:H13" si="1">G8*(1+0.5*M8)</f>
        <v>1.9696544735326726E-2</v>
      </c>
      <c r="I8" s="228">
        <v>7.0000000000000007E-2</v>
      </c>
      <c r="J8" s="228">
        <v>7.0000000000000007E-2</v>
      </c>
      <c r="K8" s="228">
        <v>7.4999999999999997E-2</v>
      </c>
      <c r="L8" s="228">
        <f>'DEU 2.02R Retention Growth'!U7</f>
        <v>0.10527070293881545</v>
      </c>
      <c r="M8" s="228">
        <f>AVERAGE(I8:L8)</f>
        <v>8.0067675734703872E-2</v>
      </c>
      <c r="N8" s="228"/>
      <c r="O8" s="7">
        <f t="shared" ref="O8" si="2">G8*(1+0.5*MIN(I8:L8))+MIN(I8:L8)</f>
        <v>8.9601212055624699E-2</v>
      </c>
      <c r="P8" s="7">
        <f t="shared" ref="P8" si="3">H8+M8</f>
        <v>9.9764220470030598E-2</v>
      </c>
      <c r="Q8" s="7">
        <f t="shared" ref="Q8" si="4">G8*(1+0.5*MAX(I8:L8))+MAX(I8:L8)</f>
        <v>0.12520589979040858</v>
      </c>
    </row>
    <row r="9" spans="2:17">
      <c r="B9" s="2" t="s">
        <v>36</v>
      </c>
      <c r="C9" s="4" t="s">
        <v>37</v>
      </c>
      <c r="D9" s="7"/>
      <c r="E9" s="8">
        <v>1.25</v>
      </c>
      <c r="F9" s="8">
        <v>44.984000000000009</v>
      </c>
      <c r="G9" s="7">
        <f t="shared" si="0"/>
        <v>2.778765783389649E-2</v>
      </c>
      <c r="H9" s="228">
        <f t="shared" si="1"/>
        <v>2.8599083060016805E-2</v>
      </c>
      <c r="I9" s="228">
        <v>0.08</v>
      </c>
      <c r="J9" s="228">
        <v>0.06</v>
      </c>
      <c r="K9" s="228">
        <v>3.5000000000000003E-2</v>
      </c>
      <c r="L9" s="228">
        <f>'DEU 2.02R Retention Growth'!U8</f>
        <v>5.860737517949572E-2</v>
      </c>
      <c r="M9" s="228">
        <f t="shared" ref="M9:M14" si="5">AVERAGE(I9:L9)</f>
        <v>5.8401843794873932E-2</v>
      </c>
      <c r="N9" s="228"/>
      <c r="O9" s="7">
        <f t="shared" ref="O9:O14" si="6">G9*(1+0.5*MIN(I9:L9))+MIN(I9:L9)</f>
        <v>6.3273941845989681E-2</v>
      </c>
      <c r="P9" s="7">
        <f t="shared" ref="P9:P14" si="7">H9+M9</f>
        <v>8.7000926854890734E-2</v>
      </c>
      <c r="Q9" s="7">
        <f t="shared" ref="Q9:Q14" si="8">G9*(1+0.5*MAX(I9:L9))+MAX(I9:L9)</f>
        <v>0.10889916414725236</v>
      </c>
    </row>
    <row r="10" spans="2:17">
      <c r="B10" s="247" t="s">
        <v>1172</v>
      </c>
      <c r="C10" s="4" t="s">
        <v>39</v>
      </c>
      <c r="D10" s="7"/>
      <c r="E10" s="8">
        <v>1.9</v>
      </c>
      <c r="F10" s="8">
        <v>71.159999999999982</v>
      </c>
      <c r="G10" s="7">
        <f t="shared" si="0"/>
        <v>2.6700393479482862E-2</v>
      </c>
      <c r="H10" s="228">
        <f t="shared" si="1"/>
        <v>2.810838353191885E-2</v>
      </c>
      <c r="I10" s="228">
        <v>0.05</v>
      </c>
      <c r="J10" s="228">
        <v>0.04</v>
      </c>
      <c r="K10" s="228">
        <v>0.27</v>
      </c>
      <c r="L10" s="228">
        <f>'DEU 2.02R Retention Growth'!U9</f>
        <v>6.1863461605662945E-2</v>
      </c>
      <c r="M10" s="228">
        <f t="shared" si="5"/>
        <v>0.10546586540141573</v>
      </c>
      <c r="N10" s="228"/>
      <c r="O10" s="7">
        <f t="shared" si="6"/>
        <v>6.723440134907252E-2</v>
      </c>
      <c r="P10" s="7">
        <f t="shared" si="7"/>
        <v>0.13357424893333458</v>
      </c>
      <c r="Q10" s="7">
        <f t="shared" si="8"/>
        <v>0.30030494659921309</v>
      </c>
    </row>
    <row r="11" spans="2:17">
      <c r="B11" s="2" t="s">
        <v>40</v>
      </c>
      <c r="C11" s="4" t="s">
        <v>46</v>
      </c>
      <c r="D11" s="7"/>
      <c r="E11" s="8">
        <v>2</v>
      </c>
      <c r="F11" s="8">
        <v>92.049999999999983</v>
      </c>
      <c r="G11" s="7">
        <f t="shared" si="0"/>
        <v>2.1727322107550247E-2</v>
      </c>
      <c r="H11" s="228">
        <f t="shared" si="1"/>
        <v>2.2391814018820178E-2</v>
      </c>
      <c r="I11" s="228">
        <v>6.0999999999999999E-2</v>
      </c>
      <c r="J11" s="228">
        <v>0.05</v>
      </c>
      <c r="K11" s="228">
        <v>0.08</v>
      </c>
      <c r="L11" s="228">
        <f>'DEU 2.02R Retention Growth'!U10</f>
        <v>5.3665921729587771E-2</v>
      </c>
      <c r="M11" s="228">
        <f t="shared" si="5"/>
        <v>6.1166480432396947E-2</v>
      </c>
      <c r="N11" s="228"/>
      <c r="O11" s="7">
        <f t="shared" si="6"/>
        <v>7.2270505160239001E-2</v>
      </c>
      <c r="P11" s="7">
        <f t="shared" si="7"/>
        <v>8.3558294451217124E-2</v>
      </c>
      <c r="Q11" s="7">
        <f t="shared" si="8"/>
        <v>0.10259641499185226</v>
      </c>
    </row>
    <row r="12" spans="2:17">
      <c r="B12" s="2" t="s">
        <v>48</v>
      </c>
      <c r="C12" s="4" t="s">
        <v>41</v>
      </c>
      <c r="D12" s="7"/>
      <c r="E12" s="8">
        <v>1.1499999999999999</v>
      </c>
      <c r="F12" s="8">
        <v>32.298999999999992</v>
      </c>
      <c r="G12" s="7">
        <f t="shared" ref="G12" si="9">E12/F12</f>
        <v>3.56048174866095E-2</v>
      </c>
      <c r="H12" s="228">
        <f t="shared" ref="H12" si="10">G12*(1+0.5*M12)</f>
        <v>3.6936768633380912E-2</v>
      </c>
      <c r="I12" s="228">
        <v>8.5000000000000006E-2</v>
      </c>
      <c r="J12" s="228">
        <v>4.5999999999999999E-2</v>
      </c>
      <c r="K12" s="228">
        <v>0.105</v>
      </c>
      <c r="L12" s="228">
        <f>'DEU 2.02R Retention Growth'!U11</f>
        <v>6.3274365840485958E-2</v>
      </c>
      <c r="M12" s="228">
        <f t="shared" ref="M12" si="11">AVERAGE(I12:L12)</f>
        <v>7.4818591460121486E-2</v>
      </c>
      <c r="N12" s="228"/>
      <c r="O12" s="7">
        <f t="shared" si="6"/>
        <v>8.2423728288801512E-2</v>
      </c>
      <c r="P12" s="7">
        <f t="shared" si="7"/>
        <v>0.1117553600935024</v>
      </c>
      <c r="Q12" s="7">
        <f t="shared" si="8"/>
        <v>0.14247407040465648</v>
      </c>
    </row>
    <row r="13" spans="2:17">
      <c r="B13" s="2" t="s">
        <v>44</v>
      </c>
      <c r="C13" s="4" t="s">
        <v>45</v>
      </c>
      <c r="D13" s="7"/>
      <c r="E13" s="8">
        <v>2.37</v>
      </c>
      <c r="F13" s="8">
        <v>85</v>
      </c>
      <c r="G13" s="7">
        <f t="shared" si="0"/>
        <v>2.7882352941176473E-2</v>
      </c>
      <c r="H13" s="228">
        <f t="shared" si="1"/>
        <v>2.856890715032747E-2</v>
      </c>
      <c r="I13" s="228">
        <v>5.5E-2</v>
      </c>
      <c r="J13" s="228">
        <v>3.2300000000000002E-2</v>
      </c>
      <c r="K13" s="228">
        <v>5.5E-2</v>
      </c>
      <c r="L13" s="228">
        <f>'DEU 2.02R Retention Growth'!U12</f>
        <v>5.4686017815475912E-2</v>
      </c>
      <c r="M13" s="228">
        <f t="shared" si="5"/>
        <v>4.9246504453868981E-2</v>
      </c>
      <c r="N13" s="228"/>
      <c r="O13" s="7">
        <f t="shared" si="6"/>
        <v>6.0632652941176479E-2</v>
      </c>
      <c r="P13" s="7">
        <f t="shared" si="7"/>
        <v>7.7815411604196444E-2</v>
      </c>
      <c r="Q13" s="7">
        <f t="shared" si="8"/>
        <v>8.3649117647058832E-2</v>
      </c>
    </row>
    <row r="14" spans="2:17">
      <c r="B14" s="704" t="s">
        <v>1837</v>
      </c>
      <c r="C14" s="236" t="s">
        <v>43</v>
      </c>
      <c r="D14" s="7"/>
      <c r="E14" s="8">
        <v>2.1800000000000002</v>
      </c>
      <c r="F14" s="8">
        <v>90.278666666666652</v>
      </c>
      <c r="G14" s="7">
        <f t="shared" ref="G14" si="12">E14/F14</f>
        <v>2.4147454548139838E-2</v>
      </c>
      <c r="H14" s="228">
        <f t="shared" ref="H14" si="13">G14*(1+0.5*M14)</f>
        <v>2.5084776110945381E-2</v>
      </c>
      <c r="I14" s="228">
        <v>7.2999999999999995E-2</v>
      </c>
      <c r="J14" s="228">
        <v>8.2000000000000003E-2</v>
      </c>
      <c r="K14" s="228">
        <v>0.09</v>
      </c>
      <c r="L14" s="228">
        <f>'DEU 2.02R Retention Growth'!U13</f>
        <v>6.5532627258717335E-2</v>
      </c>
      <c r="M14" s="228">
        <f t="shared" si="5"/>
        <v>7.7633156814679333E-2</v>
      </c>
      <c r="N14" s="228"/>
      <c r="O14" s="7">
        <f t="shared" si="6"/>
        <v>9.0471304875932204E-2</v>
      </c>
      <c r="P14" s="7">
        <f t="shared" si="7"/>
        <v>0.10271793292562471</v>
      </c>
      <c r="Q14" s="7">
        <f t="shared" si="8"/>
        <v>0.11523409000280613</v>
      </c>
    </row>
    <row r="15" spans="2:17">
      <c r="H15" s="227"/>
      <c r="I15" s="227"/>
      <c r="J15" s="227"/>
      <c r="K15" s="227"/>
      <c r="L15" s="227"/>
      <c r="M15" s="227"/>
      <c r="N15" s="227"/>
      <c r="O15" s="227"/>
      <c r="P15" s="227"/>
    </row>
    <row r="16" spans="2:17">
      <c r="B16" s="9" t="s">
        <v>74</v>
      </c>
      <c r="C16" s="9"/>
      <c r="D16" s="7"/>
      <c r="E16" s="9"/>
      <c r="F16" s="9"/>
      <c r="G16" s="229">
        <f t="shared" ref="G16:M16" si="14">AVERAGE(G8:G14)</f>
        <v>2.6112623933246377E-2</v>
      </c>
      <c r="H16" s="229">
        <f t="shared" si="14"/>
        <v>2.7055182462962329E-2</v>
      </c>
      <c r="I16" s="229">
        <f t="shared" si="14"/>
        <v>6.7714285714285713E-2</v>
      </c>
      <c r="J16" s="229">
        <f t="shared" si="14"/>
        <v>5.4328571428571434E-2</v>
      </c>
      <c r="K16" s="229">
        <f t="shared" si="14"/>
        <v>0.10142857142857144</v>
      </c>
      <c r="L16" s="229">
        <f t="shared" si="14"/>
        <v>6.6128638909748724E-2</v>
      </c>
      <c r="M16" s="229">
        <f t="shared" si="14"/>
        <v>7.240001687029432E-2</v>
      </c>
      <c r="N16" s="228"/>
      <c r="O16" s="229">
        <f>AVERAGE(O8:O14)</f>
        <v>7.5129678073833736E-2</v>
      </c>
      <c r="P16" s="229">
        <f>AVERAGE(P8:P14)</f>
        <v>9.9455199333256653E-2</v>
      </c>
      <c r="Q16" s="229">
        <f>AVERAGE(Q8:Q14)</f>
        <v>0.1397662433690354</v>
      </c>
    </row>
    <row r="17" spans="2:17">
      <c r="B17" s="10" t="s">
        <v>75</v>
      </c>
      <c r="C17" s="10"/>
      <c r="E17" s="10"/>
      <c r="F17" s="10"/>
      <c r="G17" s="230">
        <f t="shared" ref="G17:M17" si="15">MEDIAN(G8:G14)</f>
        <v>2.6700393479482862E-2</v>
      </c>
      <c r="H17" s="230">
        <f t="shared" si="15"/>
        <v>2.810838353191885E-2</v>
      </c>
      <c r="I17" s="230">
        <f t="shared" si="15"/>
        <v>7.0000000000000007E-2</v>
      </c>
      <c r="J17" s="230">
        <f t="shared" si="15"/>
        <v>0.05</v>
      </c>
      <c r="K17" s="230">
        <f t="shared" si="15"/>
        <v>0.08</v>
      </c>
      <c r="L17" s="230">
        <f t="shared" si="15"/>
        <v>6.1863461605662945E-2</v>
      </c>
      <c r="M17" s="230">
        <f t="shared" si="15"/>
        <v>7.4818591460121486E-2</v>
      </c>
      <c r="N17" s="228"/>
      <c r="O17" s="230">
        <f>MEDIAN(O8:O14)</f>
        <v>7.2270505160239001E-2</v>
      </c>
      <c r="P17" s="230">
        <f>MEDIAN(P8:P14)</f>
        <v>9.9764220470030598E-2</v>
      </c>
      <c r="Q17" s="230">
        <f>MEDIAN(Q8:Q14)</f>
        <v>0.11523409000280613</v>
      </c>
    </row>
    <row r="18" spans="2:17">
      <c r="H18" s="227"/>
      <c r="I18" s="227"/>
      <c r="J18" s="227"/>
      <c r="K18" s="227"/>
      <c r="L18" s="227"/>
      <c r="M18" s="231"/>
      <c r="N18" s="228"/>
      <c r="O18" s="228"/>
      <c r="P18" s="228"/>
      <c r="Q18" s="7"/>
    </row>
    <row r="19" spans="2:17">
      <c r="B19" s="10" t="s">
        <v>76</v>
      </c>
      <c r="H19" s="227"/>
      <c r="I19" s="264"/>
      <c r="J19" s="264"/>
      <c r="K19" s="264"/>
      <c r="L19" s="227"/>
      <c r="M19" s="227"/>
      <c r="N19" s="227"/>
      <c r="O19" s="227"/>
      <c r="P19" s="227"/>
    </row>
    <row r="20" spans="2:17">
      <c r="B20" s="2" t="s">
        <v>77</v>
      </c>
      <c r="H20" s="227"/>
      <c r="I20" s="264"/>
      <c r="J20" s="264"/>
      <c r="K20" s="264"/>
      <c r="L20" s="228"/>
      <c r="M20" s="227"/>
      <c r="N20" s="227"/>
      <c r="O20" s="227"/>
      <c r="P20" s="227"/>
    </row>
    <row r="21" spans="2:17">
      <c r="B21" s="283" t="s">
        <v>1192</v>
      </c>
      <c r="H21" s="227"/>
      <c r="I21" s="227"/>
      <c r="J21" s="227"/>
      <c r="K21" s="228"/>
      <c r="L21" s="228"/>
      <c r="M21" s="227"/>
      <c r="N21" s="227"/>
      <c r="O21" s="227"/>
      <c r="P21" s="227"/>
    </row>
    <row r="22" spans="2:17">
      <c r="B22" s="122" t="s">
        <v>78</v>
      </c>
      <c r="H22" s="227"/>
      <c r="I22" s="227"/>
      <c r="J22" s="227"/>
      <c r="K22" s="228"/>
      <c r="L22" s="228"/>
      <c r="M22" s="227"/>
      <c r="N22" s="227"/>
      <c r="O22" s="227"/>
      <c r="P22" s="227"/>
    </row>
    <row r="23" spans="2:17">
      <c r="B23" s="122" t="s">
        <v>79</v>
      </c>
      <c r="H23" s="227"/>
      <c r="I23" s="227"/>
      <c r="J23" s="227"/>
      <c r="K23" s="228"/>
      <c r="L23" s="228"/>
      <c r="M23" s="227"/>
      <c r="N23" s="227"/>
      <c r="O23" s="227"/>
      <c r="P23" s="227"/>
    </row>
    <row r="24" spans="2:17">
      <c r="B24" s="122" t="s">
        <v>80</v>
      </c>
      <c r="H24" s="227"/>
      <c r="I24" s="227"/>
      <c r="J24" s="227"/>
      <c r="K24" s="228"/>
      <c r="L24" s="232"/>
      <c r="M24" s="227"/>
      <c r="N24" s="227"/>
      <c r="O24" s="227"/>
      <c r="P24" s="227"/>
    </row>
    <row r="25" spans="2:17">
      <c r="B25" s="122" t="s">
        <v>81</v>
      </c>
      <c r="K25" s="7"/>
      <c r="L25" s="7"/>
    </row>
    <row r="26" spans="2:17">
      <c r="B26" s="122" t="s">
        <v>82</v>
      </c>
      <c r="K26" s="7"/>
      <c r="L26" s="7"/>
    </row>
    <row r="27" spans="2:17">
      <c r="B27" s="291" t="s">
        <v>1189</v>
      </c>
      <c r="K27" s="7"/>
      <c r="L27" s="7"/>
    </row>
    <row r="28" spans="2:17">
      <c r="B28" s="122" t="s">
        <v>83</v>
      </c>
      <c r="K28" s="7"/>
      <c r="L28" s="7"/>
    </row>
    <row r="29" spans="2:17">
      <c r="B29" s="122" t="s">
        <v>84</v>
      </c>
      <c r="K29" s="7"/>
      <c r="L29" s="7"/>
    </row>
    <row r="30" spans="2:17">
      <c r="B30" s="122" t="s">
        <v>85</v>
      </c>
    </row>
    <row r="31" spans="2:17">
      <c r="B31" s="122" t="s">
        <v>86</v>
      </c>
    </row>
    <row r="32" spans="2:17">
      <c r="B32" s="122"/>
    </row>
    <row r="34" spans="2:17">
      <c r="B34" s="1" t="s">
        <v>49</v>
      </c>
      <c r="C34" s="1"/>
      <c r="D34" s="1"/>
      <c r="E34" s="1"/>
      <c r="F34" s="1"/>
      <c r="G34" s="1"/>
      <c r="H34" s="1"/>
      <c r="I34" s="1"/>
      <c r="J34" s="1"/>
      <c r="K34" s="1"/>
      <c r="L34" s="1"/>
      <c r="M34" s="1"/>
      <c r="N34" s="1"/>
      <c r="O34" s="1"/>
      <c r="P34" s="1"/>
      <c r="Q34" s="1"/>
    </row>
    <row r="35" spans="2:17">
      <c r="B35" s="1" t="s">
        <v>30</v>
      </c>
      <c r="C35" s="1"/>
      <c r="D35" s="1"/>
      <c r="E35" s="1"/>
      <c r="F35" s="1"/>
      <c r="G35" s="1"/>
      <c r="H35" s="1"/>
      <c r="I35" s="1"/>
      <c r="J35" s="1"/>
      <c r="K35" s="1"/>
      <c r="L35" s="1"/>
      <c r="M35" s="1"/>
      <c r="N35" s="1"/>
      <c r="O35" s="1"/>
      <c r="P35" s="1"/>
      <c r="Q35" s="1"/>
    </row>
    <row r="36" spans="2:17">
      <c r="B36" s="1"/>
      <c r="C36" s="1"/>
      <c r="D36" s="1"/>
      <c r="E36" s="1"/>
      <c r="F36" s="1"/>
      <c r="G36" s="1"/>
      <c r="H36" s="1"/>
      <c r="I36" s="1"/>
      <c r="J36" s="1"/>
      <c r="K36" s="1"/>
      <c r="L36" s="1"/>
      <c r="M36" s="1"/>
      <c r="N36" s="1"/>
      <c r="O36" s="1"/>
      <c r="P36" s="1"/>
      <c r="Q36" s="1"/>
    </row>
    <row r="37" spans="2:17">
      <c r="B37" s="3"/>
      <c r="C37" s="3"/>
      <c r="D37" s="4"/>
      <c r="E37" s="118" t="s">
        <v>50</v>
      </c>
      <c r="F37" s="118" t="s">
        <v>51</v>
      </c>
      <c r="G37" s="118" t="s">
        <v>52</v>
      </c>
      <c r="H37" s="118" t="s">
        <v>53</v>
      </c>
      <c r="I37" s="118" t="s">
        <v>54</v>
      </c>
      <c r="J37" s="118" t="s">
        <v>55</v>
      </c>
      <c r="K37" s="118" t="s">
        <v>56</v>
      </c>
      <c r="L37" s="118" t="s">
        <v>57</v>
      </c>
      <c r="M37" s="118" t="s">
        <v>58</v>
      </c>
      <c r="N37" s="118"/>
      <c r="O37" s="118" t="s">
        <v>59</v>
      </c>
      <c r="P37" s="118" t="s">
        <v>60</v>
      </c>
      <c r="Q37" s="118" t="s">
        <v>61</v>
      </c>
    </row>
    <row r="38" spans="2:17" ht="38.25">
      <c r="B38" s="119" t="s">
        <v>1</v>
      </c>
      <c r="C38" s="119" t="s">
        <v>0</v>
      </c>
      <c r="D38" s="5"/>
      <c r="E38" s="120" t="s">
        <v>62</v>
      </c>
      <c r="F38" s="223" t="s">
        <v>63</v>
      </c>
      <c r="G38" s="120" t="s">
        <v>64</v>
      </c>
      <c r="H38" s="120" t="s">
        <v>65</v>
      </c>
      <c r="I38" s="120" t="s">
        <v>66</v>
      </c>
      <c r="J38" s="120" t="s">
        <v>67</v>
      </c>
      <c r="K38" s="120" t="s">
        <v>68</v>
      </c>
      <c r="L38" s="121" t="s">
        <v>69</v>
      </c>
      <c r="M38" s="120" t="s">
        <v>70</v>
      </c>
      <c r="N38" s="5"/>
      <c r="O38" s="120" t="s">
        <v>71</v>
      </c>
      <c r="P38" s="120" t="s">
        <v>72</v>
      </c>
      <c r="Q38" s="120" t="s">
        <v>73</v>
      </c>
    </row>
    <row r="39" spans="2:17">
      <c r="B39" s="6"/>
      <c r="C39" s="6"/>
      <c r="D39" s="6"/>
      <c r="E39" s="6"/>
      <c r="F39" s="6"/>
      <c r="G39" s="6"/>
      <c r="H39" s="6"/>
      <c r="I39" s="6"/>
      <c r="J39" s="6"/>
      <c r="K39" s="6"/>
      <c r="L39" s="6"/>
      <c r="M39" s="6"/>
      <c r="N39" s="6"/>
      <c r="P39" s="6"/>
      <c r="Q39" s="6"/>
    </row>
    <row r="40" spans="2:17">
      <c r="B40" s="2" t="str">
        <f t="shared" ref="B40:C46" si="16">B8</f>
        <v>Atmos Energy Corporation</v>
      </c>
      <c r="C40" s="4" t="str">
        <f t="shared" si="16"/>
        <v>ATO</v>
      </c>
      <c r="D40" s="7"/>
      <c r="E40" s="8">
        <f t="shared" ref="E40:E46" si="17">E8</f>
        <v>2.1</v>
      </c>
      <c r="F40" s="8">
        <v>107.79566666666668</v>
      </c>
      <c r="G40" s="7">
        <f t="shared" ref="G40" si="18">E40/F40</f>
        <v>1.9481302587920975E-2</v>
      </c>
      <c r="H40" s="7">
        <f t="shared" ref="H40" si="19">G40*(1+0.5*M40)</f>
        <v>2.0261213897170626E-2</v>
      </c>
      <c r="I40" s="7">
        <f t="shared" ref="I40:L46" si="20">I8</f>
        <v>7.0000000000000007E-2</v>
      </c>
      <c r="J40" s="7">
        <f t="shared" si="20"/>
        <v>7.0000000000000007E-2</v>
      </c>
      <c r="K40" s="7">
        <f t="shared" si="20"/>
        <v>7.4999999999999997E-2</v>
      </c>
      <c r="L40" s="7">
        <f t="shared" si="20"/>
        <v>0.10527070293881545</v>
      </c>
      <c r="M40" s="7">
        <f t="shared" ref="M40" si="21">AVERAGE(I40:L40)</f>
        <v>8.0067675734703872E-2</v>
      </c>
      <c r="N40" s="7"/>
      <c r="O40" s="7">
        <f t="shared" ref="O40" si="22">G40*(1+0.5*MIN(I40:L40))+MIN(I40:L40)</f>
        <v>9.0163148178498215E-2</v>
      </c>
      <c r="P40" s="7">
        <f t="shared" ref="P40" si="23">H40+M40</f>
        <v>0.1003288896318745</v>
      </c>
      <c r="Q40" s="7">
        <f t="shared" ref="Q40" si="24">G40*(1+0.5*MAX(I40:L40))+MAX(I40:L40)</f>
        <v>0.12577741073553353</v>
      </c>
    </row>
    <row r="41" spans="2:17">
      <c r="B41" s="2" t="str">
        <f t="shared" si="16"/>
        <v>New Jersey Resources Corporation</v>
      </c>
      <c r="C41" s="236" t="str">
        <f t="shared" si="16"/>
        <v>NJR</v>
      </c>
      <c r="D41" s="7"/>
      <c r="E41" s="8">
        <f t="shared" si="17"/>
        <v>1.25</v>
      </c>
      <c r="F41" s="8">
        <v>47.536000000000008</v>
      </c>
      <c r="G41" s="7">
        <f t="shared" ref="G41:G45" si="25">E41/F41</f>
        <v>2.6295859979804773E-2</v>
      </c>
      <c r="H41" s="7">
        <f t="shared" ref="H41:H45" si="26">G41*(1+0.5*M41)</f>
        <v>2.7063723333300989E-2</v>
      </c>
      <c r="I41" s="7">
        <f t="shared" si="20"/>
        <v>0.08</v>
      </c>
      <c r="J41" s="7">
        <f t="shared" si="20"/>
        <v>0.06</v>
      </c>
      <c r="K41" s="7">
        <f t="shared" si="20"/>
        <v>3.5000000000000003E-2</v>
      </c>
      <c r="L41" s="7">
        <f t="shared" si="20"/>
        <v>5.860737517949572E-2</v>
      </c>
      <c r="M41" s="7">
        <f t="shared" ref="M41:M45" si="27">AVERAGE(I41:L41)</f>
        <v>5.8401843794873932E-2</v>
      </c>
      <c r="N41" s="7"/>
      <c r="O41" s="7">
        <f t="shared" ref="O41:O45" si="28">G41*(1+0.5*MIN(I41:L41))+MIN(I41:L41)</f>
        <v>6.1756037529451357E-2</v>
      </c>
      <c r="P41" s="7">
        <f t="shared" ref="P41:P45" si="29">H41+M41</f>
        <v>8.5465567128174921E-2</v>
      </c>
      <c r="Q41" s="7">
        <f t="shared" ref="Q41:Q45" si="30">G41*(1+0.5*MAX(I41:L41))+MAX(I41:L41)</f>
        <v>0.10734769437899697</v>
      </c>
    </row>
    <row r="42" spans="2:17">
      <c r="B42" s="2" t="str">
        <f t="shared" si="16"/>
        <v>Northwest Natural Holding Company</v>
      </c>
      <c r="C42" s="236" t="str">
        <f t="shared" si="16"/>
        <v>NWN</v>
      </c>
      <c r="D42" s="7"/>
      <c r="E42" s="8">
        <f t="shared" si="17"/>
        <v>1.9</v>
      </c>
      <c r="F42" s="8">
        <v>70.276777777777767</v>
      </c>
      <c r="G42" s="7">
        <f t="shared" si="25"/>
        <v>2.7035957823905797E-2</v>
      </c>
      <c r="H42" s="7">
        <f t="shared" si="26"/>
        <v>2.8461643168332995E-2</v>
      </c>
      <c r="I42" s="7">
        <f t="shared" si="20"/>
        <v>0.05</v>
      </c>
      <c r="J42" s="7">
        <f t="shared" si="20"/>
        <v>0.04</v>
      </c>
      <c r="K42" s="7">
        <f t="shared" si="20"/>
        <v>0.27</v>
      </c>
      <c r="L42" s="7">
        <f t="shared" si="20"/>
        <v>6.1863461605662945E-2</v>
      </c>
      <c r="M42" s="7">
        <f t="shared" si="27"/>
        <v>0.10546586540141573</v>
      </c>
      <c r="N42" s="7"/>
      <c r="O42" s="7">
        <f t="shared" si="28"/>
        <v>6.7576676980383915E-2</v>
      </c>
      <c r="P42" s="7">
        <f t="shared" si="29"/>
        <v>0.13392750856974872</v>
      </c>
      <c r="Q42" s="7">
        <f t="shared" si="30"/>
        <v>0.30068581213013312</v>
      </c>
    </row>
    <row r="43" spans="2:17">
      <c r="B43" s="2" t="str">
        <f t="shared" si="16"/>
        <v>ONE Gas, Inc.</v>
      </c>
      <c r="C43" s="236" t="str">
        <f t="shared" si="16"/>
        <v>OGS</v>
      </c>
      <c r="D43" s="7"/>
      <c r="E43" s="8">
        <f t="shared" si="17"/>
        <v>2</v>
      </c>
      <c r="F43" s="8">
        <v>90.837555555555554</v>
      </c>
      <c r="G43" s="7">
        <f t="shared" si="25"/>
        <v>2.2017325188553927E-2</v>
      </c>
      <c r="H43" s="7">
        <f t="shared" si="26"/>
        <v>2.2690686333713631E-2</v>
      </c>
      <c r="I43" s="7">
        <f t="shared" si="20"/>
        <v>6.0999999999999999E-2</v>
      </c>
      <c r="J43" s="7">
        <f t="shared" si="20"/>
        <v>0.05</v>
      </c>
      <c r="K43" s="7">
        <f t="shared" si="20"/>
        <v>0.08</v>
      </c>
      <c r="L43" s="7">
        <f t="shared" si="20"/>
        <v>5.3665921729587771E-2</v>
      </c>
      <c r="M43" s="7">
        <f t="shared" si="27"/>
        <v>6.1166480432396947E-2</v>
      </c>
      <c r="N43" s="7"/>
      <c r="O43" s="7">
        <f t="shared" si="28"/>
        <v>7.2567758318267783E-2</v>
      </c>
      <c r="P43" s="7">
        <f t="shared" si="29"/>
        <v>8.3857166766110575E-2</v>
      </c>
      <c r="Q43" s="7">
        <f t="shared" si="30"/>
        <v>0.10289801819609609</v>
      </c>
    </row>
    <row r="44" spans="2:17">
      <c r="B44" s="2" t="str">
        <f t="shared" si="16"/>
        <v>South Jersey Industries, Inc.</v>
      </c>
      <c r="C44" s="236" t="str">
        <f t="shared" si="16"/>
        <v>SJI</v>
      </c>
      <c r="D44" s="7"/>
      <c r="E44" s="8">
        <f t="shared" si="17"/>
        <v>1.1499999999999999</v>
      </c>
      <c r="F44" s="8">
        <v>32.662333333333336</v>
      </c>
      <c r="G44" s="7">
        <f t="shared" si="25"/>
        <v>3.5208752181411812E-2</v>
      </c>
      <c r="H44" s="7">
        <f t="shared" si="26"/>
        <v>3.6525886804052665E-2</v>
      </c>
      <c r="I44" s="7">
        <f t="shared" si="20"/>
        <v>8.5000000000000006E-2</v>
      </c>
      <c r="J44" s="7">
        <f t="shared" si="20"/>
        <v>4.5999999999999999E-2</v>
      </c>
      <c r="K44" s="7">
        <f t="shared" si="20"/>
        <v>0.105</v>
      </c>
      <c r="L44" s="7">
        <f t="shared" si="20"/>
        <v>6.3274365840485958E-2</v>
      </c>
      <c r="M44" s="7">
        <f t="shared" si="27"/>
        <v>7.4818591460121486E-2</v>
      </c>
      <c r="N44" s="7"/>
      <c r="O44" s="7">
        <f t="shared" si="28"/>
        <v>8.201855348158428E-2</v>
      </c>
      <c r="P44" s="7">
        <f t="shared" si="29"/>
        <v>0.11134447826417415</v>
      </c>
      <c r="Q44" s="7">
        <f t="shared" si="30"/>
        <v>0.14205721167093593</v>
      </c>
    </row>
    <row r="45" spans="2:17">
      <c r="B45" s="2" t="str">
        <f t="shared" si="16"/>
        <v>Spire Inc.</v>
      </c>
      <c r="C45" s="236" t="str">
        <f t="shared" si="16"/>
        <v>SR</v>
      </c>
      <c r="D45" s="7"/>
      <c r="E45" s="8">
        <f t="shared" si="17"/>
        <v>2.37</v>
      </c>
      <c r="F45" s="8">
        <v>84.305111111111103</v>
      </c>
      <c r="G45" s="7">
        <f t="shared" si="25"/>
        <v>2.8112174561711039E-2</v>
      </c>
      <c r="H45" s="7">
        <f t="shared" si="26"/>
        <v>2.8804387726591663E-2</v>
      </c>
      <c r="I45" s="7">
        <f t="shared" si="20"/>
        <v>5.5E-2</v>
      </c>
      <c r="J45" s="7">
        <f t="shared" si="20"/>
        <v>3.2300000000000002E-2</v>
      </c>
      <c r="K45" s="7">
        <f t="shared" si="20"/>
        <v>5.5E-2</v>
      </c>
      <c r="L45" s="7">
        <f t="shared" si="20"/>
        <v>5.4686017815475912E-2</v>
      </c>
      <c r="M45" s="7">
        <f t="shared" si="27"/>
        <v>4.9246504453868981E-2</v>
      </c>
      <c r="N45" s="7"/>
      <c r="O45" s="7">
        <f t="shared" si="28"/>
        <v>6.0866186180882673E-2</v>
      </c>
      <c r="P45" s="7">
        <f t="shared" si="29"/>
        <v>7.8050892180460643E-2</v>
      </c>
      <c r="Q45" s="7">
        <f t="shared" si="30"/>
        <v>8.3885259362158099E-2</v>
      </c>
    </row>
    <row r="46" spans="2:17">
      <c r="B46" s="2" t="str">
        <f t="shared" si="16"/>
        <v>Southwest Gas Holdings, Inc.</v>
      </c>
      <c r="C46" s="236" t="str">
        <f t="shared" si="16"/>
        <v>SWX</v>
      </c>
      <c r="D46" s="7"/>
      <c r="E46" s="8">
        <f t="shared" si="17"/>
        <v>2.1800000000000002</v>
      </c>
      <c r="F46" s="8">
        <v>89.275222222222226</v>
      </c>
      <c r="G46" s="7">
        <f t="shared" ref="G46" si="31">E46/F46</f>
        <v>2.4418869488485671E-2</v>
      </c>
      <c r="H46" s="7">
        <f t="shared" ref="H46" si="32">G46*(1+0.5*M46)</f>
        <v>2.5366726450604071E-2</v>
      </c>
      <c r="I46" s="7">
        <f t="shared" si="20"/>
        <v>7.2999999999999995E-2</v>
      </c>
      <c r="J46" s="7">
        <f t="shared" si="20"/>
        <v>8.2000000000000003E-2</v>
      </c>
      <c r="K46" s="7">
        <f t="shared" si="20"/>
        <v>0.09</v>
      </c>
      <c r="L46" s="7">
        <f t="shared" si="20"/>
        <v>6.5532627258717335E-2</v>
      </c>
      <c r="M46" s="7">
        <f t="shared" ref="M46" si="33">AVERAGE(I46:L46)</f>
        <v>7.7633156814679333E-2</v>
      </c>
      <c r="N46" s="7"/>
      <c r="O46" s="7">
        <f t="shared" ref="O46" si="34">G46*(1+0.5*MIN(I46:L46))+MIN(I46:L46)</f>
        <v>9.0751613083337096E-2</v>
      </c>
      <c r="P46" s="7">
        <f t="shared" ref="P46" si="35">H46+M46</f>
        <v>0.10299988326528341</v>
      </c>
      <c r="Q46" s="7">
        <f t="shared" ref="Q46" si="36">G46*(1+0.5*MAX(I46:L46))+MAX(I46:L46)</f>
        <v>0.11551771861546753</v>
      </c>
    </row>
    <row r="48" spans="2:17">
      <c r="B48" s="9" t="s">
        <v>74</v>
      </c>
      <c r="C48" s="9"/>
      <c r="D48" s="7"/>
      <c r="E48" s="9"/>
      <c r="F48" s="9"/>
      <c r="G48" s="229">
        <f t="shared" ref="G48:M48" si="37">AVERAGE(G40:G46)</f>
        <v>2.6081463115970569E-2</v>
      </c>
      <c r="H48" s="229">
        <f t="shared" si="37"/>
        <v>2.7024895387680943E-2</v>
      </c>
      <c r="I48" s="229">
        <f t="shared" si="37"/>
        <v>6.7714285714285713E-2</v>
      </c>
      <c r="J48" s="229">
        <f t="shared" si="37"/>
        <v>5.4328571428571434E-2</v>
      </c>
      <c r="K48" s="229">
        <f t="shared" si="37"/>
        <v>0.10142857142857144</v>
      </c>
      <c r="L48" s="229">
        <f t="shared" si="37"/>
        <v>6.6128638909748724E-2</v>
      </c>
      <c r="M48" s="229">
        <f t="shared" si="37"/>
        <v>7.240001687029432E-2</v>
      </c>
      <c r="N48" s="228"/>
      <c r="O48" s="229">
        <f>AVERAGE(O40:O46)</f>
        <v>7.5099996250343609E-2</v>
      </c>
      <c r="P48" s="229">
        <f>AVERAGE(P40:P46)</f>
        <v>9.942491225797527E-2</v>
      </c>
      <c r="Q48" s="229">
        <f>AVERAGE(Q40:Q46)</f>
        <v>0.13973844644133163</v>
      </c>
    </row>
    <row r="49" spans="2:17">
      <c r="B49" s="10" t="s">
        <v>75</v>
      </c>
      <c r="C49" s="10"/>
      <c r="E49" s="10"/>
      <c r="F49" s="10"/>
      <c r="G49" s="230">
        <f t="shared" ref="G49:M49" si="38">MEDIAN(G40:G46)</f>
        <v>2.6295859979804773E-2</v>
      </c>
      <c r="H49" s="230">
        <f t="shared" si="38"/>
        <v>2.7063723333300989E-2</v>
      </c>
      <c r="I49" s="230">
        <f t="shared" si="38"/>
        <v>7.0000000000000007E-2</v>
      </c>
      <c r="J49" s="230">
        <f t="shared" si="38"/>
        <v>0.05</v>
      </c>
      <c r="K49" s="230">
        <f t="shared" si="38"/>
        <v>0.08</v>
      </c>
      <c r="L49" s="230">
        <f t="shared" si="38"/>
        <v>6.1863461605662945E-2</v>
      </c>
      <c r="M49" s="230">
        <f t="shared" si="38"/>
        <v>7.4818591460121486E-2</v>
      </c>
      <c r="N49" s="228"/>
      <c r="O49" s="230">
        <f>MEDIAN(O40:O46)</f>
        <v>7.2567758318267783E-2</v>
      </c>
      <c r="P49" s="230">
        <f>MEDIAN(P40:P46)</f>
        <v>0.1003288896318745</v>
      </c>
      <c r="Q49" s="230">
        <f>MEDIAN(Q40:Q46)</f>
        <v>0.11551771861546753</v>
      </c>
    </row>
    <row r="50" spans="2:17">
      <c r="M50" s="11"/>
      <c r="N50" s="7"/>
      <c r="O50" s="7"/>
      <c r="P50" s="7"/>
      <c r="Q50" s="7"/>
    </row>
    <row r="51" spans="2:17">
      <c r="B51" s="10" t="s">
        <v>76</v>
      </c>
      <c r="H51" s="263"/>
    </row>
    <row r="52" spans="2:17">
      <c r="B52" s="2" t="str">
        <f t="shared" ref="B52:B63" si="39">B20</f>
        <v>[1] Source: Bloomberg Professional</v>
      </c>
    </row>
    <row r="53" spans="2:17">
      <c r="B53" s="2" t="str">
        <f t="shared" si="39"/>
        <v>[2] Source: Bloomberg Professional, equals indicated number of trading day average as of September 30, 2019</v>
      </c>
    </row>
    <row r="54" spans="2:17">
      <c r="B54" s="2" t="str">
        <f t="shared" si="39"/>
        <v>[3] Equals [1] / [2]</v>
      </c>
    </row>
    <row r="55" spans="2:17">
      <c r="B55" s="2" t="str">
        <f t="shared" si="39"/>
        <v>[4] Equals [3] x (1 + 0.5 x [9])</v>
      </c>
    </row>
    <row r="56" spans="2:17">
      <c r="B56" s="2" t="str">
        <f t="shared" si="39"/>
        <v>[5] Source: Zacks</v>
      </c>
    </row>
    <row r="57" spans="2:17">
      <c r="B57" s="2" t="str">
        <f t="shared" si="39"/>
        <v>[6] Source: Yahoo! Finance</v>
      </c>
    </row>
    <row r="58" spans="2:17">
      <c r="B58" s="2" t="str">
        <f t="shared" si="39"/>
        <v>[7] Source: Value Line</v>
      </c>
    </row>
    <row r="59" spans="2:17">
      <c r="B59" s="2" t="str">
        <f t="shared" si="39"/>
        <v>[8] Source: Schedule RBH-2, Value Line</v>
      </c>
    </row>
    <row r="60" spans="2:17">
      <c r="B60" s="2" t="str">
        <f t="shared" si="39"/>
        <v>[9] Equals Average([5], [6], [7], [8])</v>
      </c>
    </row>
    <row r="61" spans="2:17">
      <c r="B61" s="2" t="str">
        <f t="shared" si="39"/>
        <v>[10] Equals [3] x (1 + 0.5 x Minimum([5], [6], [7], [8])) +  Minimum([5], [6], [7], [8])</v>
      </c>
    </row>
    <row r="62" spans="2:17">
      <c r="B62" s="2" t="str">
        <f t="shared" si="39"/>
        <v>[11] Equals [4] + [9]</v>
      </c>
    </row>
    <row r="63" spans="2:17">
      <c r="B63" s="2" t="str">
        <f t="shared" si="39"/>
        <v>[12] Equals [3] x (1 + 0.5 x Maximum([5], [6], [7], [8])) +  Maximum([5], [6], [7], [8])</v>
      </c>
    </row>
    <row r="66" spans="2:17">
      <c r="B66" s="1" t="s">
        <v>49</v>
      </c>
      <c r="C66" s="1"/>
      <c r="D66" s="1"/>
      <c r="E66" s="1"/>
      <c r="F66" s="1"/>
      <c r="G66" s="1"/>
      <c r="H66" s="1"/>
      <c r="I66" s="1"/>
      <c r="J66" s="1"/>
      <c r="K66" s="1"/>
      <c r="L66" s="1"/>
      <c r="M66" s="1"/>
      <c r="N66" s="1"/>
      <c r="O66" s="1"/>
      <c r="P66" s="1"/>
      <c r="Q66" s="1"/>
    </row>
    <row r="67" spans="2:17">
      <c r="B67" s="1" t="s">
        <v>31</v>
      </c>
      <c r="C67" s="1"/>
      <c r="D67" s="1"/>
      <c r="E67" s="1"/>
      <c r="F67" s="1"/>
      <c r="G67" s="1"/>
      <c r="H67" s="1"/>
      <c r="I67" s="1"/>
      <c r="J67" s="1"/>
      <c r="K67" s="1"/>
      <c r="L67" s="1"/>
      <c r="M67" s="1"/>
      <c r="N67" s="1"/>
      <c r="O67" s="1"/>
      <c r="P67" s="1"/>
      <c r="Q67" s="1"/>
    </row>
    <row r="69" spans="2:17">
      <c r="B69" s="3"/>
      <c r="C69" s="3"/>
      <c r="D69" s="4"/>
      <c r="E69" s="118" t="s">
        <v>50</v>
      </c>
      <c r="F69" s="118" t="s">
        <v>51</v>
      </c>
      <c r="G69" s="118" t="s">
        <v>52</v>
      </c>
      <c r="H69" s="118" t="s">
        <v>53</v>
      </c>
      <c r="I69" s="118" t="s">
        <v>54</v>
      </c>
      <c r="J69" s="118" t="s">
        <v>55</v>
      </c>
      <c r="K69" s="118" t="s">
        <v>56</v>
      </c>
      <c r="L69" s="118" t="s">
        <v>57</v>
      </c>
      <c r="M69" s="118" t="s">
        <v>58</v>
      </c>
      <c r="N69" s="118"/>
      <c r="O69" s="118" t="s">
        <v>59</v>
      </c>
      <c r="P69" s="118" t="s">
        <v>60</v>
      </c>
      <c r="Q69" s="118" t="s">
        <v>61</v>
      </c>
    </row>
    <row r="70" spans="2:17" ht="38.25">
      <c r="B70" s="119" t="s">
        <v>1</v>
      </c>
      <c r="C70" s="119" t="s">
        <v>0</v>
      </c>
      <c r="D70" s="5"/>
      <c r="E70" s="120" t="s">
        <v>62</v>
      </c>
      <c r="F70" s="223" t="s">
        <v>63</v>
      </c>
      <c r="G70" s="120" t="s">
        <v>64</v>
      </c>
      <c r="H70" s="120" t="s">
        <v>65</v>
      </c>
      <c r="I70" s="120" t="s">
        <v>66</v>
      </c>
      <c r="J70" s="120" t="s">
        <v>67</v>
      </c>
      <c r="K70" s="120" t="s">
        <v>68</v>
      </c>
      <c r="L70" s="121" t="s">
        <v>69</v>
      </c>
      <c r="M70" s="120" t="s">
        <v>70</v>
      </c>
      <c r="N70" s="5"/>
      <c r="O70" s="120" t="s">
        <v>71</v>
      </c>
      <c r="P70" s="120" t="s">
        <v>72</v>
      </c>
      <c r="Q70" s="120" t="s">
        <v>73</v>
      </c>
    </row>
    <row r="71" spans="2:17">
      <c r="B71" s="6"/>
      <c r="C71" s="6"/>
      <c r="D71" s="6"/>
      <c r="E71" s="6"/>
      <c r="F71" s="6"/>
      <c r="G71" s="6"/>
      <c r="H71" s="6"/>
      <c r="I71" s="6"/>
      <c r="J71" s="6"/>
      <c r="K71" s="6"/>
      <c r="L71" s="6"/>
      <c r="M71" s="6"/>
      <c r="N71" s="6"/>
      <c r="P71" s="6"/>
      <c r="Q71" s="6"/>
    </row>
    <row r="72" spans="2:17">
      <c r="B72" s="2" t="s">
        <v>33</v>
      </c>
      <c r="C72" s="4" t="s">
        <v>34</v>
      </c>
      <c r="D72" s="7"/>
      <c r="E72" s="8">
        <f t="shared" ref="E72:E78" si="40">E40</f>
        <v>2.1</v>
      </c>
      <c r="F72" s="8">
        <v>103.67783333333334</v>
      </c>
      <c r="G72" s="7">
        <f t="shared" ref="G72" si="41">E72/F72</f>
        <v>2.0255052912306875E-2</v>
      </c>
      <c r="H72" s="7">
        <f t="shared" ref="H72" si="42">G72*(1+0.5*M72)</f>
        <v>2.1065940416592804E-2</v>
      </c>
      <c r="I72" s="265">
        <f t="shared" ref="I72:L78" si="43">I40</f>
        <v>7.0000000000000007E-2</v>
      </c>
      <c r="J72" s="265">
        <f t="shared" si="43"/>
        <v>7.0000000000000007E-2</v>
      </c>
      <c r="K72" s="265">
        <f t="shared" si="43"/>
        <v>7.4999999999999997E-2</v>
      </c>
      <c r="L72" s="265">
        <f t="shared" si="43"/>
        <v>0.10527070293881545</v>
      </c>
      <c r="M72" s="7">
        <f t="shared" ref="M72" si="44">AVERAGE(I72:L72)</f>
        <v>8.0067675734703872E-2</v>
      </c>
      <c r="N72" s="7"/>
      <c r="O72" s="7">
        <f t="shared" ref="O72" si="45">G72*(1+0.5*MIN(I72:L72))+MIN(I72:L72)</f>
        <v>9.0963979764237618E-2</v>
      </c>
      <c r="P72" s="7">
        <f t="shared" ref="P72" si="46">H72+M72</f>
        <v>0.10113361615129668</v>
      </c>
      <c r="Q72" s="7">
        <f t="shared" ref="Q72" si="47">G72*(1+0.5*MAX(I72:L72))+MAX(I72:L72)</f>
        <v>0.12659188768019305</v>
      </c>
    </row>
    <row r="73" spans="2:17">
      <c r="B73" s="2" t="s">
        <v>36</v>
      </c>
      <c r="C73" s="4" t="s">
        <v>37</v>
      </c>
      <c r="D73" s="7"/>
      <c r="E73" s="8">
        <f t="shared" si="40"/>
        <v>1.25</v>
      </c>
      <c r="F73" s="8">
        <v>48.052611111111126</v>
      </c>
      <c r="G73" s="7">
        <f t="shared" ref="G73:G77" si="48">E73/F73</f>
        <v>2.6013154563227565E-2</v>
      </c>
      <c r="H73" s="7">
        <f t="shared" ref="H73:H77" si="49">G73*(1+0.5*M73)</f>
        <v>2.6772762657934331E-2</v>
      </c>
      <c r="I73" s="265">
        <f t="shared" si="43"/>
        <v>0.08</v>
      </c>
      <c r="J73" s="265">
        <f t="shared" si="43"/>
        <v>0.06</v>
      </c>
      <c r="K73" s="265">
        <f t="shared" si="43"/>
        <v>3.5000000000000003E-2</v>
      </c>
      <c r="L73" s="265">
        <f t="shared" si="43"/>
        <v>5.860737517949572E-2</v>
      </c>
      <c r="M73" s="7">
        <f t="shared" ref="M73:M77" si="50">AVERAGE(I73:L73)</f>
        <v>5.8401843794873932E-2</v>
      </c>
      <c r="N73" s="7"/>
      <c r="O73" s="7">
        <f t="shared" ref="O73:O77" si="51">G73*(1+0.5*MIN(I73:L73))+MIN(I73:L73)</f>
        <v>6.1468384768084056E-2</v>
      </c>
      <c r="P73" s="7">
        <f t="shared" ref="P73:P77" si="52">H73+M73</f>
        <v>8.5174606452808263E-2</v>
      </c>
      <c r="Q73" s="7">
        <f t="shared" ref="Q73:Q77" si="53">G73*(1+0.5*MAX(I73:L73))+MAX(I73:L73)</f>
        <v>0.10705368074575666</v>
      </c>
    </row>
    <row r="74" spans="2:17">
      <c r="B74" s="2" t="s">
        <v>38</v>
      </c>
      <c r="C74" s="4" t="s">
        <v>39</v>
      </c>
      <c r="D74" s="7"/>
      <c r="E74" s="8">
        <f t="shared" si="40"/>
        <v>1.9</v>
      </c>
      <c r="F74" s="8">
        <v>67.509722222222209</v>
      </c>
      <c r="G74" s="7">
        <f t="shared" si="48"/>
        <v>2.8144094471989636E-2</v>
      </c>
      <c r="H74" s="7">
        <f t="shared" si="49"/>
        <v>2.9628215111703427E-2</v>
      </c>
      <c r="I74" s="265">
        <f t="shared" si="43"/>
        <v>0.05</v>
      </c>
      <c r="J74" s="265">
        <f t="shared" si="43"/>
        <v>0.04</v>
      </c>
      <c r="K74" s="265">
        <f t="shared" si="43"/>
        <v>0.27</v>
      </c>
      <c r="L74" s="265">
        <f t="shared" si="43"/>
        <v>6.1863461605662945E-2</v>
      </c>
      <c r="M74" s="7">
        <f t="shared" si="50"/>
        <v>0.10546586540141573</v>
      </c>
      <c r="N74" s="7"/>
      <c r="O74" s="7">
        <f t="shared" si="51"/>
        <v>6.8706976361429431E-2</v>
      </c>
      <c r="P74" s="7">
        <f t="shared" si="52"/>
        <v>0.13509408051311916</v>
      </c>
      <c r="Q74" s="7">
        <f t="shared" si="53"/>
        <v>0.30194354722570826</v>
      </c>
    </row>
    <row r="75" spans="2:17">
      <c r="B75" s="2" t="s">
        <v>40</v>
      </c>
      <c r="C75" s="4" t="s">
        <v>46</v>
      </c>
      <c r="D75" s="7"/>
      <c r="E75" s="8">
        <f t="shared" si="40"/>
        <v>2</v>
      </c>
      <c r="F75" s="8">
        <v>88.446777777777768</v>
      </c>
      <c r="G75" s="7">
        <f t="shared" si="48"/>
        <v>2.2612468766527519E-2</v>
      </c>
      <c r="H75" s="7">
        <f t="shared" si="49"/>
        <v>2.3304031330695515E-2</v>
      </c>
      <c r="I75" s="265">
        <f t="shared" si="43"/>
        <v>6.0999999999999999E-2</v>
      </c>
      <c r="J75" s="265">
        <f t="shared" si="43"/>
        <v>0.05</v>
      </c>
      <c r="K75" s="265">
        <f t="shared" si="43"/>
        <v>0.08</v>
      </c>
      <c r="L75" s="265">
        <f t="shared" si="43"/>
        <v>5.3665921729587771E-2</v>
      </c>
      <c r="M75" s="7">
        <f t="shared" si="50"/>
        <v>6.1166480432396947E-2</v>
      </c>
      <c r="N75" s="7"/>
      <c r="O75" s="7">
        <f t="shared" si="51"/>
        <v>7.3177780485690708E-2</v>
      </c>
      <c r="P75" s="7">
        <f t="shared" si="52"/>
        <v>8.4470511763092462E-2</v>
      </c>
      <c r="Q75" s="7">
        <f t="shared" si="53"/>
        <v>0.10351696751718863</v>
      </c>
    </row>
    <row r="76" spans="2:17">
      <c r="B76" s="2" t="s">
        <v>48</v>
      </c>
      <c r="C76" s="4" t="s">
        <v>41</v>
      </c>
      <c r="D76" s="7"/>
      <c r="E76" s="8">
        <f t="shared" si="40"/>
        <v>1.1499999999999999</v>
      </c>
      <c r="F76" s="8">
        <v>31.927777777777784</v>
      </c>
      <c r="G76" s="7">
        <f t="shared" si="48"/>
        <v>3.6018792413433087E-2</v>
      </c>
      <c r="H76" s="7">
        <f t="shared" si="49"/>
        <v>3.7366230070666868E-2</v>
      </c>
      <c r="I76" s="265">
        <f t="shared" si="43"/>
        <v>8.5000000000000006E-2</v>
      </c>
      <c r="J76" s="265">
        <f t="shared" si="43"/>
        <v>4.5999999999999999E-2</v>
      </c>
      <c r="K76" s="265">
        <f t="shared" si="43"/>
        <v>0.105</v>
      </c>
      <c r="L76" s="265">
        <f t="shared" si="43"/>
        <v>6.3274365840485958E-2</v>
      </c>
      <c r="M76" s="7">
        <f t="shared" si="50"/>
        <v>7.4818591460121486E-2</v>
      </c>
      <c r="N76" s="7"/>
      <c r="O76" s="7">
        <f t="shared" si="51"/>
        <v>8.2847224638942035E-2</v>
      </c>
      <c r="P76" s="7">
        <f t="shared" si="52"/>
        <v>0.11218482153078835</v>
      </c>
      <c r="Q76" s="7">
        <f t="shared" si="53"/>
        <v>0.14290977901513832</v>
      </c>
    </row>
    <row r="77" spans="2:17">
      <c r="B77" s="2" t="s">
        <v>44</v>
      </c>
      <c r="C77" s="4" t="s">
        <v>45</v>
      </c>
      <c r="D77" s="7"/>
      <c r="E77" s="8">
        <f t="shared" si="40"/>
        <v>2.37</v>
      </c>
      <c r="F77" s="8">
        <v>82.442777777777764</v>
      </c>
      <c r="G77" s="7">
        <f t="shared" si="48"/>
        <v>2.8747211870859931E-2</v>
      </c>
      <c r="H77" s="7">
        <f t="shared" si="49"/>
        <v>2.9455061719577243E-2</v>
      </c>
      <c r="I77" s="265">
        <f t="shared" si="43"/>
        <v>5.5E-2</v>
      </c>
      <c r="J77" s="265">
        <f t="shared" si="43"/>
        <v>3.2300000000000002E-2</v>
      </c>
      <c r="K77" s="265">
        <f t="shared" si="43"/>
        <v>5.5E-2</v>
      </c>
      <c r="L77" s="265">
        <f t="shared" si="43"/>
        <v>5.4686017815475912E-2</v>
      </c>
      <c r="M77" s="7">
        <f t="shared" si="50"/>
        <v>4.9246504453868981E-2</v>
      </c>
      <c r="N77" s="7"/>
      <c r="O77" s="7">
        <f t="shared" si="51"/>
        <v>6.1511479342574324E-2</v>
      </c>
      <c r="P77" s="7">
        <f t="shared" si="52"/>
        <v>7.870156617344623E-2</v>
      </c>
      <c r="Q77" s="7">
        <f t="shared" si="53"/>
        <v>8.4537760197308576E-2</v>
      </c>
    </row>
    <row r="78" spans="2:17">
      <c r="B78" s="2" t="str">
        <f>B46</f>
        <v>Southwest Gas Holdings, Inc.</v>
      </c>
      <c r="C78" s="236" t="str">
        <f>C46</f>
        <v>SWX</v>
      </c>
      <c r="D78" s="7"/>
      <c r="E78" s="8">
        <f t="shared" si="40"/>
        <v>2.1800000000000002</v>
      </c>
      <c r="F78" s="8">
        <v>85.419222222222231</v>
      </c>
      <c r="G78" s="7">
        <f t="shared" ref="G78" si="54">E78/F78</f>
        <v>2.5521187658775736E-2</v>
      </c>
      <c r="H78" s="7">
        <f t="shared" ref="H78" si="55">G78*(1+0.5*M78)</f>
        <v>2.6511832840581038E-2</v>
      </c>
      <c r="I78" s="265">
        <f t="shared" si="43"/>
        <v>7.2999999999999995E-2</v>
      </c>
      <c r="J78" s="265">
        <f t="shared" si="43"/>
        <v>8.2000000000000003E-2</v>
      </c>
      <c r="K78" s="265">
        <f t="shared" si="43"/>
        <v>0.09</v>
      </c>
      <c r="L78" s="265">
        <f t="shared" si="43"/>
        <v>6.5532627258717335E-2</v>
      </c>
      <c r="M78" s="7">
        <f t="shared" ref="M78" si="56">AVERAGE(I78:L78)</f>
        <v>7.7633156814679333E-2</v>
      </c>
      <c r="N78" s="7"/>
      <c r="O78" s="7">
        <f t="shared" ref="O78" si="57">G78*(1+0.5*MIN(I78:L78))+MIN(I78:L78)</f>
        <v>9.1890050156514233E-2</v>
      </c>
      <c r="P78" s="7">
        <f t="shared" ref="P78" si="58">H78+M78</f>
        <v>0.10414498965526037</v>
      </c>
      <c r="Q78" s="7">
        <f t="shared" ref="Q78" si="59">G78*(1+0.5*MAX(I78:L78))+MAX(I78:L78)</f>
        <v>0.11666964110342064</v>
      </c>
    </row>
    <row r="79" spans="2:17">
      <c r="F79" s="8"/>
    </row>
    <row r="80" spans="2:17">
      <c r="B80" s="9" t="s">
        <v>74</v>
      </c>
      <c r="C80" s="9"/>
      <c r="D80" s="7"/>
      <c r="E80" s="9"/>
      <c r="F80" s="9"/>
      <c r="G80" s="229">
        <f t="shared" ref="G80:M80" si="60">AVERAGE(G72:G78)</f>
        <v>2.6758851808160046E-2</v>
      </c>
      <c r="H80" s="229">
        <f t="shared" si="60"/>
        <v>2.7729153449678745E-2</v>
      </c>
      <c r="I80" s="229">
        <f t="shared" si="60"/>
        <v>6.7714285714285713E-2</v>
      </c>
      <c r="J80" s="229">
        <f t="shared" si="60"/>
        <v>5.4328571428571434E-2</v>
      </c>
      <c r="K80" s="229">
        <f t="shared" si="60"/>
        <v>0.10142857142857144</v>
      </c>
      <c r="L80" s="229">
        <f t="shared" si="60"/>
        <v>6.6128638909748724E-2</v>
      </c>
      <c r="M80" s="229">
        <f t="shared" si="60"/>
        <v>7.240001687029432E-2</v>
      </c>
      <c r="N80" s="228"/>
      <c r="O80" s="229">
        <f>AVERAGE(O72:O78)</f>
        <v>7.5795125073924621E-2</v>
      </c>
      <c r="P80" s="229">
        <f>AVERAGE(P72:P78)</f>
        <v>0.10012917031997308</v>
      </c>
      <c r="Q80" s="229">
        <f>AVERAGE(Q72:Q78)</f>
        <v>0.14046046621210201</v>
      </c>
    </row>
    <row r="81" spans="2:17">
      <c r="B81" s="10" t="s">
        <v>75</v>
      </c>
      <c r="C81" s="10"/>
      <c r="E81" s="10"/>
      <c r="F81" s="10"/>
      <c r="G81" s="230">
        <f t="shared" ref="G81:M81" si="61">MEDIAN(G72:G78)</f>
        <v>2.6013154563227565E-2</v>
      </c>
      <c r="H81" s="230">
        <f t="shared" si="61"/>
        <v>2.6772762657934331E-2</v>
      </c>
      <c r="I81" s="230">
        <f t="shared" si="61"/>
        <v>7.0000000000000007E-2</v>
      </c>
      <c r="J81" s="230">
        <f t="shared" si="61"/>
        <v>0.05</v>
      </c>
      <c r="K81" s="230">
        <f t="shared" si="61"/>
        <v>0.08</v>
      </c>
      <c r="L81" s="230">
        <f t="shared" si="61"/>
        <v>6.1863461605662945E-2</v>
      </c>
      <c r="M81" s="230">
        <f t="shared" si="61"/>
        <v>7.4818591460121486E-2</v>
      </c>
      <c r="N81" s="228"/>
      <c r="O81" s="230">
        <f>MEDIAN(O72:O78)</f>
        <v>7.3177780485690708E-2</v>
      </c>
      <c r="P81" s="230">
        <f>MEDIAN(P72:P78)</f>
        <v>0.10113361615129668</v>
      </c>
      <c r="Q81" s="230">
        <f>MEDIAN(Q72:Q78)</f>
        <v>0.11666964110342064</v>
      </c>
    </row>
    <row r="82" spans="2:17">
      <c r="M82" s="11"/>
      <c r="N82" s="7"/>
      <c r="O82" s="7"/>
      <c r="P82" s="7"/>
      <c r="Q82" s="7"/>
    </row>
    <row r="83" spans="2:17">
      <c r="B83" s="10" t="s">
        <v>76</v>
      </c>
      <c r="G83" s="263"/>
    </row>
    <row r="84" spans="2:17">
      <c r="B84" s="2" t="str">
        <f>B52</f>
        <v>[1] Source: Bloomberg Professional</v>
      </c>
    </row>
    <row r="85" spans="2:17">
      <c r="B85" s="2" t="str">
        <f t="shared" ref="B85:B95" si="62">B53</f>
        <v>[2] Source: Bloomberg Professional, equals indicated number of trading day average as of September 30, 2019</v>
      </c>
    </row>
    <row r="86" spans="2:17">
      <c r="B86" s="2" t="str">
        <f t="shared" si="62"/>
        <v>[3] Equals [1] / [2]</v>
      </c>
    </row>
    <row r="87" spans="2:17">
      <c r="B87" s="2" t="str">
        <f t="shared" si="62"/>
        <v>[4] Equals [3] x (1 + 0.5 x [9])</v>
      </c>
    </row>
    <row r="88" spans="2:17">
      <c r="B88" s="2" t="str">
        <f t="shared" si="62"/>
        <v>[5] Source: Zacks</v>
      </c>
    </row>
    <row r="89" spans="2:17">
      <c r="B89" s="2" t="str">
        <f t="shared" si="62"/>
        <v>[6] Source: Yahoo! Finance</v>
      </c>
    </row>
    <row r="90" spans="2:17">
      <c r="B90" s="2" t="str">
        <f t="shared" si="62"/>
        <v>[7] Source: Value Line</v>
      </c>
    </row>
    <row r="91" spans="2:17">
      <c r="B91" s="2" t="str">
        <f t="shared" si="62"/>
        <v>[8] Source: Schedule RBH-2, Value Line</v>
      </c>
    </row>
    <row r="92" spans="2:17">
      <c r="B92" s="2" t="str">
        <f t="shared" si="62"/>
        <v>[9] Equals Average([5], [6], [7], [8])</v>
      </c>
    </row>
    <row r="93" spans="2:17">
      <c r="B93" s="2" t="str">
        <f t="shared" si="62"/>
        <v>[10] Equals [3] x (1 + 0.5 x Minimum([5], [6], [7], [8])) +  Minimum([5], [6], [7], [8])</v>
      </c>
    </row>
    <row r="94" spans="2:17">
      <c r="B94" s="2" t="str">
        <f t="shared" si="62"/>
        <v>[11] Equals [4] + [9]</v>
      </c>
    </row>
    <row r="95" spans="2:17">
      <c r="B95" s="2" t="str">
        <f t="shared" si="62"/>
        <v>[12] Equals [3] x (1 + 0.5 x Maximum([5], [6], [7], [8])) +  Maximum([5], [6], [7], [8])</v>
      </c>
    </row>
  </sheetData>
  <printOptions horizontalCentered="1"/>
  <pageMargins left="0.7" right="0.7" top="0.75" bottom="0.75" header="0.3" footer="0.3"/>
  <pageSetup scale="74" fitToHeight="0" orientation="landscape" useFirstPageNumber="1" r:id="rId1"/>
  <headerFooter scaleWithDoc="0">
    <oddHeader>&amp;R&amp;10DEU Exhibit 2.01R
Page &amp;P of 3</oddHeader>
  </headerFooter>
  <rowBreaks count="2" manualBreakCount="2">
    <brk id="33" max="17" man="1"/>
    <brk id="6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view="pageLayout" topLeftCell="I1" zoomScale="85" zoomScaleNormal="90" zoomScaleSheetLayoutView="70" zoomScalePageLayoutView="85" workbookViewId="0">
      <selection activeCell="R5" sqref="R5"/>
    </sheetView>
  </sheetViews>
  <sheetFormatPr defaultColWidth="9.25" defaultRowHeight="12.75"/>
  <cols>
    <col min="1" max="1" width="4.375" style="504" customWidth="1"/>
    <col min="2" max="5" width="9.5" style="504" customWidth="1"/>
    <col min="6" max="6" width="11.375" style="504" customWidth="1"/>
    <col min="7" max="7" width="9.375" style="504" customWidth="1"/>
    <col min="8" max="8" width="9.125" style="504" customWidth="1"/>
    <col min="9" max="9" width="9.375" style="504" customWidth="1"/>
    <col min="10" max="11" width="9.5" style="504" customWidth="1"/>
    <col min="12" max="12" width="4.125" style="504" customWidth="1"/>
    <col min="13" max="13" width="15.25" style="504" customWidth="1"/>
    <col min="14" max="14" width="18.375" style="504" customWidth="1"/>
    <col min="15" max="15" width="14.25" style="504" customWidth="1"/>
    <col min="16" max="16" width="11.875" style="504" customWidth="1"/>
    <col min="17" max="17" width="14.375" style="504" customWidth="1"/>
    <col min="18" max="18" width="11.875" style="504" customWidth="1"/>
    <col min="19" max="19" width="10.125" style="504" customWidth="1"/>
    <col min="20" max="20" width="6.5" style="504" customWidth="1"/>
    <col min="21" max="21" width="20.75" style="504" customWidth="1"/>
    <col min="22" max="22" width="18.75" style="504" customWidth="1"/>
    <col min="23" max="23" width="14.75" style="504" bestFit="1" customWidth="1"/>
    <col min="24" max="24" width="11.875" style="504" customWidth="1"/>
    <col min="25" max="25" width="14" style="504" customWidth="1"/>
    <col min="26" max="26" width="11.875" style="504" customWidth="1"/>
    <col min="27" max="27" width="13.5" style="504" customWidth="1"/>
    <col min="28" max="28" width="6.5" style="504" customWidth="1"/>
    <col min="29" max="29" width="16.75" style="504" customWidth="1"/>
    <col min="30" max="30" width="17.875" style="504" customWidth="1"/>
    <col min="31" max="31" width="14.75" style="504" bestFit="1" customWidth="1"/>
    <col min="32" max="34" width="11.875" style="504" customWidth="1"/>
    <col min="35" max="35" width="13.5" style="504" customWidth="1"/>
    <col min="36" max="16384" width="9.25" style="504"/>
  </cols>
  <sheetData>
    <row r="1" spans="1:37" ht="12.75" customHeight="1">
      <c r="B1" s="840" t="s">
        <v>1678</v>
      </c>
      <c r="C1" s="840"/>
      <c r="D1" s="840"/>
      <c r="E1" s="840"/>
      <c r="F1" s="840"/>
      <c r="G1" s="840"/>
      <c r="H1" s="840"/>
      <c r="I1" s="840"/>
      <c r="J1" s="840"/>
      <c r="K1" s="840"/>
      <c r="L1" s="465"/>
    </row>
    <row r="2" spans="1:37" ht="12.75" customHeight="1"/>
    <row r="3" spans="1:37" s="506" customFormat="1" ht="51">
      <c r="A3" s="470"/>
      <c r="B3" s="505" t="s">
        <v>1643</v>
      </c>
      <c r="C3" s="505" t="s">
        <v>1134</v>
      </c>
      <c r="D3" s="505" t="s">
        <v>1679</v>
      </c>
      <c r="E3" s="505" t="s">
        <v>1680</v>
      </c>
      <c r="F3" s="505" t="s">
        <v>1681</v>
      </c>
      <c r="G3" s="505"/>
      <c r="H3" s="505" t="s">
        <v>1682</v>
      </c>
      <c r="I3" s="505" t="s">
        <v>1683</v>
      </c>
      <c r="J3" s="505" t="s">
        <v>1684</v>
      </c>
      <c r="K3" s="505" t="s">
        <v>1681</v>
      </c>
      <c r="L3" s="470"/>
    </row>
    <row r="4" spans="1:37" ht="12.75" customHeight="1">
      <c r="A4" s="414"/>
      <c r="B4" s="507">
        <v>1986</v>
      </c>
      <c r="C4" s="508">
        <f>'DEU 2.17R RP Rolling Avg'!C11</f>
        <v>0.1346</v>
      </c>
      <c r="D4" s="508">
        <f>'DEU 2.17R RP Rolling Avg'!D62</f>
        <v>9.5799999999999996E-2</v>
      </c>
      <c r="E4" s="508">
        <f>'DEU 2.17R RP Rolling Avg'!D11</f>
        <v>7.7983333333333335E-2</v>
      </c>
      <c r="F4" s="508">
        <f t="shared" ref="F4:F37" si="0">D4-E4</f>
        <v>1.7816666666666661E-2</v>
      </c>
      <c r="G4" s="507"/>
      <c r="H4" s="508">
        <f t="shared" ref="H4:H37" si="1">C4-E4</f>
        <v>5.6616666666666662E-2</v>
      </c>
      <c r="I4" s="508">
        <f t="shared" ref="I4:I37" si="2">C4-D4</f>
        <v>3.8800000000000001E-2</v>
      </c>
      <c r="J4" s="508">
        <f t="shared" ref="J4:K37" si="3">E4</f>
        <v>7.7983333333333335E-2</v>
      </c>
      <c r="K4" s="508">
        <f t="shared" si="3"/>
        <v>1.7816666666666661E-2</v>
      </c>
      <c r="L4" s="470"/>
      <c r="M4" t="s">
        <v>1653</v>
      </c>
      <c r="N4"/>
      <c r="O4"/>
      <c r="P4"/>
      <c r="Q4"/>
      <c r="R4"/>
      <c r="S4"/>
      <c r="T4"/>
      <c r="U4" t="s">
        <v>1653</v>
      </c>
      <c r="V4"/>
      <c r="W4"/>
      <c r="X4"/>
      <c r="Y4"/>
      <c r="Z4"/>
      <c r="AA4"/>
      <c r="AB4"/>
      <c r="AC4" t="s">
        <v>1653</v>
      </c>
      <c r="AD4"/>
      <c r="AE4"/>
      <c r="AF4"/>
      <c r="AG4"/>
      <c r="AH4"/>
      <c r="AI4"/>
      <c r="AJ4"/>
      <c r="AK4"/>
    </row>
    <row r="5" spans="1:37" ht="12.75" customHeight="1" thickBot="1">
      <c r="A5" s="414"/>
      <c r="B5" s="507">
        <v>1987</v>
      </c>
      <c r="C5" s="508">
        <f>'DEU 2.17R RP Rolling Avg'!C12</f>
        <v>0.12740000000000001</v>
      </c>
      <c r="D5" s="508">
        <f>'DEU 2.17R RP Rolling Avg'!D63</f>
        <v>0.10100000000000001</v>
      </c>
      <c r="E5" s="508">
        <f>'DEU 2.17R RP Rolling Avg'!D12</f>
        <v>8.5800000000000001E-2</v>
      </c>
      <c r="F5" s="508">
        <f t="shared" si="0"/>
        <v>1.5200000000000005E-2</v>
      </c>
      <c r="G5" s="507"/>
      <c r="H5" s="508">
        <f t="shared" si="1"/>
        <v>4.1600000000000012E-2</v>
      </c>
      <c r="I5" s="508">
        <f t="shared" si="2"/>
        <v>2.6400000000000007E-2</v>
      </c>
      <c r="J5" s="508">
        <f t="shared" si="3"/>
        <v>8.5800000000000001E-2</v>
      </c>
      <c r="K5" s="508">
        <f t="shared" si="3"/>
        <v>1.5200000000000005E-2</v>
      </c>
      <c r="L5" s="470"/>
      <c r="M5"/>
      <c r="N5"/>
      <c r="O5"/>
      <c r="P5"/>
      <c r="Q5"/>
      <c r="R5"/>
      <c r="S5"/>
      <c r="T5"/>
      <c r="U5"/>
      <c r="V5"/>
      <c r="W5"/>
      <c r="X5"/>
      <c r="Y5"/>
      <c r="Z5"/>
      <c r="AA5"/>
      <c r="AB5"/>
      <c r="AC5"/>
      <c r="AD5"/>
      <c r="AE5"/>
      <c r="AF5"/>
      <c r="AG5"/>
      <c r="AH5"/>
      <c r="AI5"/>
      <c r="AJ5"/>
      <c r="AK5"/>
    </row>
    <row r="6" spans="1:37" ht="12.75" customHeight="1">
      <c r="A6" s="414"/>
      <c r="B6" s="507">
        <v>1988</v>
      </c>
      <c r="C6" s="508">
        <f>'DEU 2.17R RP Rolling Avg'!C13</f>
        <v>0.1285</v>
      </c>
      <c r="D6" s="508">
        <f>'DEU 2.17R RP Rolling Avg'!D64</f>
        <v>0.10489999999999999</v>
      </c>
      <c r="E6" s="508">
        <f>'DEU 2.17R RP Rolling Avg'!D13</f>
        <v>8.9591666666666681E-2</v>
      </c>
      <c r="F6" s="508">
        <f t="shared" si="0"/>
        <v>1.5308333333333313E-2</v>
      </c>
      <c r="G6" s="507"/>
      <c r="H6" s="508">
        <f t="shared" si="1"/>
        <v>3.8908333333333323E-2</v>
      </c>
      <c r="I6" s="508">
        <f t="shared" si="2"/>
        <v>2.360000000000001E-2</v>
      </c>
      <c r="J6" s="508">
        <f t="shared" si="3"/>
        <v>8.9591666666666681E-2</v>
      </c>
      <c r="K6" s="508">
        <f t="shared" si="3"/>
        <v>1.5308333333333313E-2</v>
      </c>
      <c r="L6" s="414"/>
      <c r="M6" s="490" t="s">
        <v>1654</v>
      </c>
      <c r="N6" s="490"/>
      <c r="O6"/>
      <c r="P6"/>
      <c r="Q6"/>
      <c r="R6"/>
      <c r="S6"/>
      <c r="T6"/>
      <c r="U6" s="490" t="s">
        <v>1654</v>
      </c>
      <c r="V6" s="490"/>
      <c r="W6"/>
      <c r="X6"/>
      <c r="Y6"/>
      <c r="Z6"/>
      <c r="AA6"/>
      <c r="AB6"/>
      <c r="AC6" s="490" t="s">
        <v>1654</v>
      </c>
      <c r="AD6" s="490"/>
      <c r="AE6"/>
      <c r="AF6"/>
      <c r="AG6"/>
      <c r="AH6"/>
      <c r="AI6"/>
      <c r="AJ6"/>
      <c r="AK6"/>
    </row>
    <row r="7" spans="1:37" ht="12.75" customHeight="1">
      <c r="A7" s="414"/>
      <c r="B7" s="507">
        <v>1989</v>
      </c>
      <c r="C7" s="508">
        <f>'DEU 2.17R RP Rolling Avg'!C14</f>
        <v>0.1288</v>
      </c>
      <c r="D7" s="508">
        <f>'DEU 2.17R RP Rolling Avg'!D65</f>
        <v>9.7699999999999995E-2</v>
      </c>
      <c r="E7" s="508">
        <f>'DEU 2.17R RP Rolling Avg'!D14</f>
        <v>8.4491666666666645E-2</v>
      </c>
      <c r="F7" s="508">
        <f t="shared" si="0"/>
        <v>1.320833333333335E-2</v>
      </c>
      <c r="G7" s="507"/>
      <c r="H7" s="508">
        <f t="shared" si="1"/>
        <v>4.4308333333333352E-2</v>
      </c>
      <c r="I7" s="508">
        <f t="shared" si="2"/>
        <v>3.1100000000000003E-2</v>
      </c>
      <c r="J7" s="508">
        <f t="shared" si="3"/>
        <v>8.4491666666666645E-2</v>
      </c>
      <c r="K7" s="508">
        <f t="shared" si="3"/>
        <v>1.320833333333335E-2</v>
      </c>
      <c r="L7" s="414"/>
      <c r="M7" t="s">
        <v>1657</v>
      </c>
      <c r="N7">
        <v>0.93674495024155757</v>
      </c>
      <c r="P7"/>
      <c r="Q7"/>
      <c r="R7"/>
      <c r="S7"/>
      <c r="T7"/>
      <c r="U7" t="s">
        <v>1657</v>
      </c>
      <c r="V7">
        <v>0.9476015520807286</v>
      </c>
      <c r="W7"/>
      <c r="X7"/>
      <c r="Y7"/>
      <c r="Z7"/>
      <c r="AA7"/>
      <c r="AB7"/>
      <c r="AC7" t="s">
        <v>1657</v>
      </c>
      <c r="AD7">
        <v>0.94605078728981395</v>
      </c>
      <c r="AE7"/>
      <c r="AF7"/>
      <c r="AG7"/>
      <c r="AH7"/>
      <c r="AI7"/>
      <c r="AJ7"/>
      <c r="AK7"/>
    </row>
    <row r="8" spans="1:37" ht="12.75" customHeight="1">
      <c r="A8" s="414"/>
      <c r="B8" s="507">
        <v>1990</v>
      </c>
      <c r="C8" s="508">
        <f>'DEU 2.17R RP Rolling Avg'!C15</f>
        <v>0.12670000000000001</v>
      </c>
      <c r="D8" s="508">
        <f>'DEU 2.17R RP Rolling Avg'!D66</f>
        <v>9.8599999999999993E-2</v>
      </c>
      <c r="E8" s="508">
        <f>'DEU 2.17R RP Rolling Avg'!D15</f>
        <v>8.6083333333333331E-2</v>
      </c>
      <c r="F8" s="508">
        <f t="shared" si="0"/>
        <v>1.2516666666666662E-2</v>
      </c>
      <c r="G8" s="507"/>
      <c r="H8" s="508">
        <f t="shared" si="1"/>
        <v>4.0616666666666676E-2</v>
      </c>
      <c r="I8" s="508">
        <f t="shared" si="2"/>
        <v>2.8100000000000014E-2</v>
      </c>
      <c r="J8" s="508">
        <f t="shared" si="3"/>
        <v>8.6083333333333331E-2</v>
      </c>
      <c r="K8" s="508">
        <f t="shared" si="3"/>
        <v>1.2516666666666662E-2</v>
      </c>
      <c r="L8" s="414"/>
      <c r="M8" t="s">
        <v>1659</v>
      </c>
      <c r="N8">
        <v>0.87749110180305812</v>
      </c>
      <c r="O8" s="509"/>
      <c r="P8" s="510"/>
      <c r="Q8" s="509"/>
      <c r="R8"/>
      <c r="S8"/>
      <c r="T8"/>
      <c r="U8" t="s">
        <v>1659</v>
      </c>
      <c r="V8">
        <v>0.89794870150580575</v>
      </c>
      <c r="W8" s="509"/>
      <c r="X8" s="510"/>
      <c r="Y8" s="509"/>
      <c r="Z8"/>
      <c r="AA8"/>
      <c r="AB8"/>
      <c r="AC8" t="s">
        <v>1659</v>
      </c>
      <c r="AD8">
        <v>0.89501209213167676</v>
      </c>
      <c r="AE8" s="509"/>
      <c r="AF8" s="510"/>
      <c r="AG8" s="509"/>
      <c r="AH8"/>
      <c r="AI8"/>
      <c r="AJ8"/>
      <c r="AK8"/>
    </row>
    <row r="9" spans="1:37" ht="12.75" customHeight="1">
      <c r="A9" s="414"/>
      <c r="B9" s="507">
        <v>1991</v>
      </c>
      <c r="C9" s="508">
        <f>'DEU 2.17R RP Rolling Avg'!C16</f>
        <v>0.1246</v>
      </c>
      <c r="D9" s="508">
        <f>'DEU 2.17R RP Rolling Avg'!D67</f>
        <v>9.3600000000000003E-2</v>
      </c>
      <c r="E9" s="508">
        <f>'DEU 2.17R RP Rolling Avg'!D16</f>
        <v>8.1358333333333324E-2</v>
      </c>
      <c r="F9" s="508">
        <f t="shared" si="0"/>
        <v>1.2241666666666678E-2</v>
      </c>
      <c r="G9" s="507"/>
      <c r="H9" s="508">
        <f t="shared" si="1"/>
        <v>4.3241666666666678E-2</v>
      </c>
      <c r="I9" s="508">
        <f t="shared" si="2"/>
        <v>3.1E-2</v>
      </c>
      <c r="J9" s="508">
        <f t="shared" si="3"/>
        <v>8.1358333333333324E-2</v>
      </c>
      <c r="K9" s="508">
        <f t="shared" si="3"/>
        <v>1.2241666666666678E-2</v>
      </c>
      <c r="L9" s="414"/>
      <c r="M9" t="s">
        <v>1660</v>
      </c>
      <c r="N9">
        <v>0.87366269873440372</v>
      </c>
      <c r="O9"/>
      <c r="P9"/>
      <c r="Q9"/>
      <c r="R9"/>
      <c r="S9"/>
      <c r="T9"/>
      <c r="U9" t="s">
        <v>1660</v>
      </c>
      <c r="V9">
        <v>0.89475959842786212</v>
      </c>
      <c r="W9"/>
      <c r="X9"/>
      <c r="Y9"/>
      <c r="Z9"/>
      <c r="AA9"/>
      <c r="AB9"/>
      <c r="AC9" t="s">
        <v>1660</v>
      </c>
      <c r="AD9">
        <v>0.88823867872081719</v>
      </c>
      <c r="AE9"/>
      <c r="AF9"/>
      <c r="AG9"/>
      <c r="AH9"/>
      <c r="AI9"/>
      <c r="AJ9"/>
      <c r="AK9"/>
    </row>
    <row r="10" spans="1:37" ht="12.75" customHeight="1">
      <c r="A10" s="414"/>
      <c r="B10" s="507">
        <v>1992</v>
      </c>
      <c r="C10" s="508">
        <f>'DEU 2.17R RP Rolling Avg'!C17</f>
        <v>0.1201</v>
      </c>
      <c r="D10" s="508">
        <f>'DEU 2.17R RP Rolling Avg'!D68</f>
        <v>8.6900000000000005E-2</v>
      </c>
      <c r="E10" s="508">
        <f>'DEU 2.17R RP Rolling Avg'!D17</f>
        <v>7.6666666666666661E-2</v>
      </c>
      <c r="F10" s="508">
        <f t="shared" si="0"/>
        <v>1.0233333333333344E-2</v>
      </c>
      <c r="G10" s="507"/>
      <c r="H10" s="508">
        <f t="shared" si="1"/>
        <v>4.3433333333333338E-2</v>
      </c>
      <c r="I10" s="508">
        <f t="shared" si="2"/>
        <v>3.3199999999999993E-2</v>
      </c>
      <c r="J10" s="508">
        <f t="shared" si="3"/>
        <v>7.6666666666666661E-2</v>
      </c>
      <c r="K10" s="508">
        <f t="shared" si="3"/>
        <v>1.0233333333333344E-2</v>
      </c>
      <c r="L10" s="414"/>
      <c r="M10" t="s">
        <v>1661</v>
      </c>
      <c r="N10">
        <v>3.3744538961499623E-3</v>
      </c>
      <c r="O10"/>
      <c r="P10"/>
      <c r="Q10"/>
      <c r="R10"/>
      <c r="S10"/>
      <c r="T10"/>
      <c r="U10" t="s">
        <v>1661</v>
      </c>
      <c r="V10">
        <v>3.2476609960610326E-3</v>
      </c>
      <c r="W10"/>
      <c r="X10"/>
      <c r="Y10"/>
      <c r="Z10"/>
      <c r="AA10"/>
      <c r="AB10"/>
      <c r="AC10" t="s">
        <v>1661</v>
      </c>
      <c r="AD10">
        <v>3.1738285676086767E-3</v>
      </c>
      <c r="AE10"/>
      <c r="AF10"/>
      <c r="AG10"/>
      <c r="AH10"/>
      <c r="AI10"/>
      <c r="AJ10"/>
      <c r="AK10"/>
    </row>
    <row r="11" spans="1:37" ht="12.75" customHeight="1" thickBot="1">
      <c r="A11" s="414"/>
      <c r="B11" s="507">
        <v>1993</v>
      </c>
      <c r="C11" s="508">
        <f>'DEU 2.17R RP Rolling Avg'!C18</f>
        <v>0.1135</v>
      </c>
      <c r="D11" s="508">
        <f>'DEU 2.17R RP Rolling Avg'!D69</f>
        <v>7.5899999999999995E-2</v>
      </c>
      <c r="E11" s="508">
        <f>'DEU 2.17R RP Rolling Avg'!D18</f>
        <v>6.5983333333333324E-2</v>
      </c>
      <c r="F11" s="508">
        <f t="shared" si="0"/>
        <v>9.9166666666666708E-3</v>
      </c>
      <c r="G11" s="507"/>
      <c r="H11" s="508">
        <f t="shared" si="1"/>
        <v>4.7516666666666679E-2</v>
      </c>
      <c r="I11" s="508">
        <f t="shared" si="2"/>
        <v>3.7600000000000008E-2</v>
      </c>
      <c r="J11" s="508">
        <f t="shared" si="3"/>
        <v>6.5983333333333324E-2</v>
      </c>
      <c r="K11" s="508">
        <f t="shared" si="3"/>
        <v>9.9166666666666708E-3</v>
      </c>
      <c r="L11" s="414"/>
      <c r="M11" s="497" t="s">
        <v>1662</v>
      </c>
      <c r="N11" s="497">
        <v>34</v>
      </c>
      <c r="O11"/>
      <c r="P11"/>
      <c r="Q11"/>
      <c r="R11"/>
      <c r="S11"/>
      <c r="T11"/>
      <c r="U11" s="497" t="s">
        <v>1662</v>
      </c>
      <c r="V11" s="497">
        <v>34</v>
      </c>
      <c r="W11"/>
      <c r="X11"/>
      <c r="Y11"/>
      <c r="Z11"/>
      <c r="AA11"/>
      <c r="AB11"/>
      <c r="AC11" s="497" t="s">
        <v>1662</v>
      </c>
      <c r="AD11" s="497">
        <v>34</v>
      </c>
      <c r="AE11"/>
      <c r="AF11"/>
      <c r="AG11"/>
      <c r="AH11"/>
      <c r="AI11"/>
      <c r="AJ11"/>
      <c r="AK11"/>
    </row>
    <row r="12" spans="1:37" ht="12.75" customHeight="1">
      <c r="A12" s="414"/>
      <c r="B12" s="507">
        <v>1994</v>
      </c>
      <c r="C12" s="508">
        <f>'DEU 2.17R RP Rolling Avg'!C19</f>
        <v>0.1135</v>
      </c>
      <c r="D12" s="508">
        <f>'DEU 2.17R RP Rolling Avg'!D70</f>
        <v>8.3099999999999993E-2</v>
      </c>
      <c r="E12" s="508">
        <f>'DEU 2.17R RP Rolling Avg'!D19</f>
        <v>7.3700000000000002E-2</v>
      </c>
      <c r="F12" s="508">
        <f t="shared" si="0"/>
        <v>9.3999999999999917E-3</v>
      </c>
      <c r="G12" s="507"/>
      <c r="H12" s="508">
        <f t="shared" si="1"/>
        <v>3.9800000000000002E-2</v>
      </c>
      <c r="I12" s="508">
        <f t="shared" si="2"/>
        <v>3.040000000000001E-2</v>
      </c>
      <c r="J12" s="508">
        <f t="shared" si="3"/>
        <v>7.3700000000000002E-2</v>
      </c>
      <c r="K12" s="508">
        <f t="shared" si="3"/>
        <v>9.3999999999999917E-3</v>
      </c>
      <c r="L12" s="414"/>
      <c r="M12"/>
      <c r="N12"/>
      <c r="O12"/>
      <c r="P12"/>
      <c r="Q12"/>
      <c r="R12"/>
      <c r="S12"/>
      <c r="T12"/>
      <c r="U12"/>
      <c r="V12"/>
      <c r="W12"/>
      <c r="X12"/>
      <c r="Y12"/>
      <c r="Z12"/>
      <c r="AA12"/>
      <c r="AB12"/>
      <c r="AC12"/>
      <c r="AD12"/>
      <c r="AE12"/>
      <c r="AF12"/>
      <c r="AG12"/>
      <c r="AH12"/>
      <c r="AI12"/>
      <c r="AJ12"/>
      <c r="AK12"/>
    </row>
    <row r="13" spans="1:37" ht="12.75" customHeight="1" thickBot="1">
      <c r="A13" s="414"/>
      <c r="B13" s="507">
        <v>1995</v>
      </c>
      <c r="C13" s="508">
        <f>'DEU 2.17R RP Rolling Avg'!C20</f>
        <v>0.1143</v>
      </c>
      <c r="D13" s="508">
        <f>'DEU 2.17R RP Rolling Avg'!D71</f>
        <v>7.8899999999999998E-2</v>
      </c>
      <c r="E13" s="508">
        <f>'DEU 2.17R RP Rolling Avg'!D20</f>
        <v>6.8841666666666676E-2</v>
      </c>
      <c r="F13" s="508">
        <f t="shared" si="0"/>
        <v>1.0058333333333322E-2</v>
      </c>
      <c r="G13" s="507"/>
      <c r="H13" s="508">
        <f t="shared" si="1"/>
        <v>4.5458333333333323E-2</v>
      </c>
      <c r="I13" s="508">
        <f t="shared" si="2"/>
        <v>3.5400000000000001E-2</v>
      </c>
      <c r="J13" s="508">
        <f t="shared" si="3"/>
        <v>6.8841666666666676E-2</v>
      </c>
      <c r="K13" s="508">
        <f t="shared" si="3"/>
        <v>1.0058333333333322E-2</v>
      </c>
      <c r="L13" s="414"/>
      <c r="M13" t="s">
        <v>1663</v>
      </c>
      <c r="N13"/>
      <c r="O13"/>
      <c r="P13"/>
      <c r="Q13"/>
      <c r="R13"/>
      <c r="S13"/>
      <c r="T13"/>
      <c r="U13" t="s">
        <v>1663</v>
      </c>
      <c r="V13"/>
      <c r="W13"/>
      <c r="X13"/>
      <c r="Y13"/>
      <c r="Z13"/>
      <c r="AA13"/>
      <c r="AB13"/>
      <c r="AC13" t="s">
        <v>1663</v>
      </c>
      <c r="AD13"/>
      <c r="AE13"/>
      <c r="AF13"/>
      <c r="AG13"/>
      <c r="AH13"/>
      <c r="AI13"/>
      <c r="AJ13"/>
      <c r="AK13"/>
    </row>
    <row r="14" spans="1:37" ht="12.75" customHeight="1">
      <c r="A14" s="414"/>
      <c r="B14" s="507">
        <v>1996</v>
      </c>
      <c r="C14" s="508">
        <f>'DEU 2.17R RP Rolling Avg'!C21</f>
        <v>0.1119</v>
      </c>
      <c r="D14" s="508">
        <f>'DEU 2.17R RP Rolling Avg'!D72</f>
        <v>7.7499999999999999E-2</v>
      </c>
      <c r="E14" s="508">
        <f>'DEU 2.17R RP Rolling Avg'!D21</f>
        <v>6.700833333333335E-2</v>
      </c>
      <c r="F14" s="508">
        <f t="shared" si="0"/>
        <v>1.0491666666666649E-2</v>
      </c>
      <c r="G14" s="507"/>
      <c r="H14" s="508">
        <f t="shared" si="1"/>
        <v>4.4891666666666649E-2</v>
      </c>
      <c r="I14" s="508">
        <f t="shared" si="2"/>
        <v>3.44E-2</v>
      </c>
      <c r="J14" s="508">
        <f t="shared" si="3"/>
        <v>6.700833333333335E-2</v>
      </c>
      <c r="K14" s="508">
        <f t="shared" si="3"/>
        <v>1.0491666666666649E-2</v>
      </c>
      <c r="L14" s="414"/>
      <c r="M14" s="498"/>
      <c r="N14" s="498" t="s">
        <v>1664</v>
      </c>
      <c r="O14" s="498" t="s">
        <v>1665</v>
      </c>
      <c r="P14" s="498" t="s">
        <v>24</v>
      </c>
      <c r="Q14" s="498" t="s">
        <v>25</v>
      </c>
      <c r="R14" s="498" t="s">
        <v>1666</v>
      </c>
      <c r="S14"/>
      <c r="T14"/>
      <c r="U14" s="498"/>
      <c r="V14" s="498" t="s">
        <v>1664</v>
      </c>
      <c r="W14" s="498" t="s">
        <v>1665</v>
      </c>
      <c r="X14" s="498" t="s">
        <v>24</v>
      </c>
      <c r="Y14" s="498" t="s">
        <v>25</v>
      </c>
      <c r="Z14" s="498" t="s">
        <v>1666</v>
      </c>
      <c r="AA14"/>
      <c r="AB14"/>
      <c r="AC14" s="498"/>
      <c r="AD14" s="498" t="s">
        <v>1664</v>
      </c>
      <c r="AE14" s="498" t="s">
        <v>1665</v>
      </c>
      <c r="AF14" s="498" t="s">
        <v>24</v>
      </c>
      <c r="AG14" s="498" t="s">
        <v>25</v>
      </c>
      <c r="AH14" s="498" t="s">
        <v>1666</v>
      </c>
      <c r="AI14"/>
      <c r="AJ14"/>
      <c r="AK14"/>
    </row>
    <row r="15" spans="1:37" ht="12.75" customHeight="1">
      <c r="A15" s="414"/>
      <c r="B15" s="507">
        <v>1997</v>
      </c>
      <c r="C15" s="508">
        <f>'DEU 2.17R RP Rolling Avg'!C22</f>
        <v>0.1129</v>
      </c>
      <c r="D15" s="508">
        <f>'DEU 2.17R RP Rolling Avg'!D73</f>
        <v>7.5999999999999998E-2</v>
      </c>
      <c r="E15" s="508">
        <f>'DEU 2.17R RP Rolling Avg'!D22</f>
        <v>6.6058333333333344E-2</v>
      </c>
      <c r="F15" s="508">
        <f t="shared" si="0"/>
        <v>9.9416666666666542E-3</v>
      </c>
      <c r="G15" s="507"/>
      <c r="H15" s="508">
        <f t="shared" si="1"/>
        <v>4.6841666666666656E-2</v>
      </c>
      <c r="I15" s="508">
        <f t="shared" si="2"/>
        <v>3.6900000000000002E-2</v>
      </c>
      <c r="J15" s="508">
        <f t="shared" si="3"/>
        <v>6.6058333333333344E-2</v>
      </c>
      <c r="K15" s="508">
        <f t="shared" si="3"/>
        <v>9.9416666666666542E-3</v>
      </c>
      <c r="L15" s="414"/>
      <c r="M15" t="s">
        <v>1667</v>
      </c>
      <c r="N15">
        <v>1</v>
      </c>
      <c r="O15">
        <v>2.6099492544066848E-3</v>
      </c>
      <c r="P15">
        <v>2.6099492544066848E-3</v>
      </c>
      <c r="Q15">
        <v>229.20551626019599</v>
      </c>
      <c r="R15">
        <v>3.8306012417747281E-16</v>
      </c>
      <c r="S15"/>
      <c r="T15"/>
      <c r="U15" t="s">
        <v>1667</v>
      </c>
      <c r="V15">
        <v>1</v>
      </c>
      <c r="W15">
        <v>2.9697804852113437E-3</v>
      </c>
      <c r="X15">
        <v>2.9697804852113437E-3</v>
      </c>
      <c r="Y15">
        <v>281.56778867267917</v>
      </c>
      <c r="Z15">
        <v>2.0370560120507781E-17</v>
      </c>
      <c r="AA15"/>
      <c r="AB15"/>
      <c r="AC15" t="s">
        <v>1667</v>
      </c>
      <c r="AD15">
        <v>2</v>
      </c>
      <c r="AE15">
        <v>2.6620624844447809E-3</v>
      </c>
      <c r="AF15">
        <v>1.3310312422223905E-3</v>
      </c>
      <c r="AG15">
        <v>132.13604985290533</v>
      </c>
      <c r="AH15">
        <v>6.72448242276674E-16</v>
      </c>
      <c r="AI15"/>
      <c r="AJ15"/>
      <c r="AK15"/>
    </row>
    <row r="16" spans="1:37" ht="12.75" customHeight="1">
      <c r="A16" s="414"/>
      <c r="B16" s="507">
        <v>1998</v>
      </c>
      <c r="C16" s="508">
        <f>'DEU 2.17R RP Rolling Avg'!C23</f>
        <v>0.11509999999999999</v>
      </c>
      <c r="D16" s="508">
        <f>'DEU 2.17R RP Rolling Avg'!D74</f>
        <v>7.0400000000000004E-2</v>
      </c>
      <c r="E16" s="508">
        <f>'DEU 2.17R RP Rolling Avg'!D23</f>
        <v>5.5783333333333331E-2</v>
      </c>
      <c r="F16" s="508">
        <f t="shared" si="0"/>
        <v>1.4616666666666674E-2</v>
      </c>
      <c r="G16" s="507"/>
      <c r="H16" s="508">
        <f t="shared" si="1"/>
        <v>5.9316666666666663E-2</v>
      </c>
      <c r="I16" s="508">
        <f t="shared" si="2"/>
        <v>4.469999999999999E-2</v>
      </c>
      <c r="J16" s="508">
        <f t="shared" si="3"/>
        <v>5.5783333333333331E-2</v>
      </c>
      <c r="K16" s="508">
        <f t="shared" si="3"/>
        <v>1.4616666666666674E-2</v>
      </c>
      <c r="L16" s="414"/>
      <c r="M16" t="s">
        <v>1668</v>
      </c>
      <c r="N16">
        <v>32</v>
      </c>
      <c r="O16">
        <v>3.6438205111173313E-4</v>
      </c>
      <c r="P16" s="782">
        <v>1.138693909724166E-5</v>
      </c>
      <c r="Q16"/>
      <c r="R16"/>
      <c r="S16"/>
      <c r="T16"/>
      <c r="U16" t="s">
        <v>1668</v>
      </c>
      <c r="V16">
        <v>32</v>
      </c>
      <c r="W16">
        <v>3.3751366225075646E-4</v>
      </c>
      <c r="X16">
        <v>1.0547301945336139E-5</v>
      </c>
      <c r="Y16"/>
      <c r="Z16"/>
      <c r="AA16"/>
      <c r="AB16"/>
      <c r="AC16" t="s">
        <v>1668</v>
      </c>
      <c r="AD16">
        <v>31</v>
      </c>
      <c r="AE16">
        <v>3.1226882107363723E-4</v>
      </c>
      <c r="AF16">
        <v>1.0073187776568944E-5</v>
      </c>
      <c r="AG16"/>
      <c r="AH16"/>
      <c r="AI16"/>
      <c r="AJ16"/>
      <c r="AK16"/>
    </row>
    <row r="17" spans="1:37" ht="12.75" customHeight="1" thickBot="1">
      <c r="A17" s="414"/>
      <c r="B17" s="507">
        <v>1999</v>
      </c>
      <c r="C17" s="508">
        <f>'DEU 2.17R RP Rolling Avg'!C24</f>
        <v>0.1066</v>
      </c>
      <c r="D17" s="508">
        <f>'DEU 2.17R RP Rolling Avg'!D75</f>
        <v>7.6200000000000004E-2</v>
      </c>
      <c r="E17" s="508">
        <f>'DEU 2.17R RP Rolling Avg'!D24</f>
        <v>5.8658333333333333E-2</v>
      </c>
      <c r="F17" s="508">
        <f t="shared" si="0"/>
        <v>1.7541666666666671E-2</v>
      </c>
      <c r="G17" s="507"/>
      <c r="H17" s="508">
        <f t="shared" si="1"/>
        <v>4.7941666666666667E-2</v>
      </c>
      <c r="I17" s="508">
        <f t="shared" si="2"/>
        <v>3.0399999999999996E-2</v>
      </c>
      <c r="J17" s="508">
        <f t="shared" si="3"/>
        <v>5.8658333333333333E-2</v>
      </c>
      <c r="K17" s="508">
        <f t="shared" si="3"/>
        <v>1.7541666666666671E-2</v>
      </c>
      <c r="L17" s="414"/>
      <c r="M17" s="497" t="s">
        <v>1669</v>
      </c>
      <c r="N17" s="497">
        <v>33</v>
      </c>
      <c r="O17" s="497">
        <v>2.9743313055184181E-3</v>
      </c>
      <c r="P17" s="497"/>
      <c r="Q17" s="497"/>
      <c r="R17" s="497"/>
      <c r="S17"/>
      <c r="T17"/>
      <c r="U17" s="497" t="s">
        <v>1669</v>
      </c>
      <c r="V17" s="497">
        <v>33</v>
      </c>
      <c r="W17" s="497">
        <v>3.3072941474621004E-3</v>
      </c>
      <c r="X17" s="497"/>
      <c r="Y17" s="497"/>
      <c r="Z17" s="497"/>
      <c r="AA17"/>
      <c r="AB17"/>
      <c r="AC17" s="497" t="s">
        <v>1669</v>
      </c>
      <c r="AD17" s="497">
        <v>33</v>
      </c>
      <c r="AE17" s="497">
        <v>2.9743313055184181E-3</v>
      </c>
      <c r="AF17" s="497"/>
      <c r="AG17" s="497"/>
      <c r="AH17" s="497"/>
      <c r="AI17"/>
      <c r="AJ17"/>
      <c r="AK17"/>
    </row>
    <row r="18" spans="1:37" ht="12.75" customHeight="1" thickBot="1">
      <c r="A18" s="414"/>
      <c r="B18" s="507">
        <v>2000</v>
      </c>
      <c r="C18" s="508">
        <f>'DEU 2.17R RP Rolling Avg'!C25</f>
        <v>0.1139</v>
      </c>
      <c r="D18" s="508">
        <f>'DEU 2.17R RP Rolling Avg'!D76</f>
        <v>8.2441666666666663E-2</v>
      </c>
      <c r="E18" s="508">
        <f>'DEU 2.17R RP Rolling Avg'!D25</f>
        <v>5.9425000000000006E-2</v>
      </c>
      <c r="F18" s="508">
        <f t="shared" si="0"/>
        <v>2.3016666666666658E-2</v>
      </c>
      <c r="G18" s="507"/>
      <c r="H18" s="508">
        <f t="shared" si="1"/>
        <v>5.4474999999999996E-2</v>
      </c>
      <c r="I18" s="508">
        <f t="shared" si="2"/>
        <v>3.1458333333333338E-2</v>
      </c>
      <c r="J18" s="508">
        <f t="shared" si="3"/>
        <v>5.9425000000000006E-2</v>
      </c>
      <c r="K18" s="508">
        <f t="shared" si="3"/>
        <v>2.3016666666666658E-2</v>
      </c>
      <c r="L18" s="414"/>
      <c r="M18"/>
      <c r="N18"/>
      <c r="O18"/>
      <c r="P18"/>
      <c r="Q18"/>
      <c r="R18"/>
      <c r="S18"/>
      <c r="T18"/>
      <c r="U18"/>
      <c r="V18"/>
      <c r="W18"/>
      <c r="X18"/>
      <c r="Y18"/>
      <c r="Z18"/>
      <c r="AA18"/>
      <c r="AB18"/>
      <c r="AC18"/>
      <c r="AD18"/>
      <c r="AE18"/>
      <c r="AF18"/>
      <c r="AG18"/>
      <c r="AH18"/>
      <c r="AI18"/>
      <c r="AJ18"/>
      <c r="AK18"/>
    </row>
    <row r="19" spans="1:37" ht="12.75" customHeight="1">
      <c r="A19" s="414"/>
      <c r="B19" s="507">
        <v>2001</v>
      </c>
      <c r="C19" s="508">
        <f>'DEU 2.17R RP Rolling Avg'!C26</f>
        <v>0.1095</v>
      </c>
      <c r="D19" s="508">
        <f>'DEU 2.17R RP Rolling Avg'!D77</f>
        <v>7.7625E-2</v>
      </c>
      <c r="E19" s="508">
        <f>'DEU 2.17R RP Rolling Avg'!D26</f>
        <v>5.4933333333333334E-2</v>
      </c>
      <c r="F19" s="508">
        <f t="shared" si="0"/>
        <v>2.2691666666666666E-2</v>
      </c>
      <c r="G19" s="507"/>
      <c r="H19" s="508">
        <f t="shared" si="1"/>
        <v>5.4566666666666666E-2</v>
      </c>
      <c r="I19" s="508">
        <f t="shared" si="2"/>
        <v>3.1875000000000001E-2</v>
      </c>
      <c r="J19" s="508">
        <f t="shared" si="3"/>
        <v>5.4933333333333334E-2</v>
      </c>
      <c r="K19" s="508">
        <f t="shared" si="3"/>
        <v>2.2691666666666666E-2</v>
      </c>
      <c r="L19" s="414"/>
      <c r="M19" s="498"/>
      <c r="N19" s="498" t="s">
        <v>1670</v>
      </c>
      <c r="O19" s="498" t="s">
        <v>1661</v>
      </c>
      <c r="P19" s="498" t="s">
        <v>1671</v>
      </c>
      <c r="Q19" s="498" t="s">
        <v>1672</v>
      </c>
      <c r="R19" s="498" t="s">
        <v>1673</v>
      </c>
      <c r="S19" s="498" t="s">
        <v>1674</v>
      </c>
      <c r="T19" s="484"/>
      <c r="U19" s="498"/>
      <c r="V19" s="498" t="s">
        <v>1670</v>
      </c>
      <c r="W19" s="498" t="s">
        <v>1661</v>
      </c>
      <c r="X19" s="498" t="s">
        <v>1671</v>
      </c>
      <c r="Y19" s="498" t="s">
        <v>1672</v>
      </c>
      <c r="Z19" s="498" t="s">
        <v>1673</v>
      </c>
      <c r="AA19" s="498" t="s">
        <v>1674</v>
      </c>
      <c r="AB19" s="484"/>
      <c r="AC19" s="498"/>
      <c r="AD19" s="498" t="s">
        <v>1670</v>
      </c>
      <c r="AE19" s="498" t="s">
        <v>1661</v>
      </c>
      <c r="AF19" s="498" t="s">
        <v>1671</v>
      </c>
      <c r="AG19" s="498" t="s">
        <v>1672</v>
      </c>
      <c r="AH19" s="498" t="s">
        <v>1673</v>
      </c>
      <c r="AI19" s="498" t="s">
        <v>1674</v>
      </c>
      <c r="AJ19" s="484"/>
      <c r="AK19" s="484"/>
    </row>
    <row r="20" spans="1:37" ht="12.75" customHeight="1">
      <c r="A20" s="414"/>
      <c r="B20" s="507">
        <v>2002</v>
      </c>
      <c r="C20" s="508">
        <f>'DEU 2.17R RP Rolling Avg'!C27</f>
        <v>0.1103</v>
      </c>
      <c r="D20" s="508">
        <f>'DEU 2.17R RP Rolling Avg'!D78</f>
        <v>7.3724999999999999E-2</v>
      </c>
      <c r="E20" s="508">
        <f>'DEU 2.17R RP Rolling Avg'!D27</f>
        <v>5.4300000000000008E-2</v>
      </c>
      <c r="F20" s="508">
        <f t="shared" si="0"/>
        <v>1.9424999999999991E-2</v>
      </c>
      <c r="G20" s="507"/>
      <c r="H20" s="508">
        <f t="shared" si="1"/>
        <v>5.5999999999999987E-2</v>
      </c>
      <c r="I20" s="508">
        <f t="shared" si="2"/>
        <v>3.6574999999999996E-2</v>
      </c>
      <c r="J20" s="508">
        <f t="shared" si="3"/>
        <v>5.4300000000000008E-2</v>
      </c>
      <c r="K20" s="508">
        <f t="shared" si="3"/>
        <v>1.9424999999999991E-2</v>
      </c>
      <c r="L20" s="414"/>
      <c r="M20" t="s">
        <v>1675</v>
      </c>
      <c r="N20">
        <v>7.9653001498255688E-2</v>
      </c>
      <c r="O20">
        <v>1.7385837489521142E-3</v>
      </c>
      <c r="P20">
        <v>45.814877509504186</v>
      </c>
      <c r="Q20">
        <v>9.421462843971772E-31</v>
      </c>
      <c r="R20">
        <v>7.6111622289617265E-2</v>
      </c>
      <c r="S20">
        <v>8.3194380706894111E-2</v>
      </c>
      <c r="T20"/>
      <c r="U20" t="s">
        <v>1675</v>
      </c>
      <c r="V20">
        <v>7.3259194660981422E-2</v>
      </c>
      <c r="W20">
        <v>1.9894457768799456E-3</v>
      </c>
      <c r="X20">
        <v>36.823921271116049</v>
      </c>
      <c r="Y20">
        <v>9.0136134990532189E-28</v>
      </c>
      <c r="Z20">
        <v>6.9206826223048773E-2</v>
      </c>
      <c r="AA20">
        <v>7.7311563098914071E-2</v>
      </c>
      <c r="AB20"/>
      <c r="AC20" t="s">
        <v>1675</v>
      </c>
      <c r="AD20">
        <v>7.5565806283563811E-2</v>
      </c>
      <c r="AE20">
        <v>2.4295985804515131E-3</v>
      </c>
      <c r="AF20">
        <v>31.10217749202042</v>
      </c>
      <c r="AG20">
        <v>6.1156060189540227E-25</v>
      </c>
      <c r="AH20">
        <v>7.0610607309387327E-2</v>
      </c>
      <c r="AI20">
        <v>8.0521005257740294E-2</v>
      </c>
      <c r="AJ20"/>
      <c r="AK20"/>
    </row>
    <row r="21" spans="1:37" ht="12.75" customHeight="1" thickBot="1">
      <c r="A21" s="414"/>
      <c r="B21" s="507">
        <v>2003</v>
      </c>
      <c r="C21" s="508">
        <f>'DEU 2.17R RP Rolling Avg'!C28</f>
        <v>0.1099</v>
      </c>
      <c r="D21" s="508">
        <f>'DEU 2.17R RP Rolling Avg'!D79</f>
        <v>6.580833333333333E-2</v>
      </c>
      <c r="E21" s="508">
        <f>'DEU 2.17R RP Rolling Avg'!D28</f>
        <v>4.9575000000000001E-2</v>
      </c>
      <c r="F21" s="508">
        <f t="shared" si="0"/>
        <v>1.6233333333333329E-2</v>
      </c>
      <c r="G21" s="507"/>
      <c r="H21" s="508">
        <f t="shared" si="1"/>
        <v>6.0324999999999997E-2</v>
      </c>
      <c r="I21" s="508">
        <f t="shared" si="2"/>
        <v>4.4091666666666668E-2</v>
      </c>
      <c r="J21" s="508">
        <f t="shared" si="3"/>
        <v>4.9575000000000001E-2</v>
      </c>
      <c r="K21" s="508">
        <f t="shared" si="3"/>
        <v>1.6233333333333329E-2</v>
      </c>
      <c r="L21" s="414"/>
      <c r="M21" s="497" t="s">
        <v>1684</v>
      </c>
      <c r="N21" s="497">
        <v>-0.45466121447116398</v>
      </c>
      <c r="O21" s="497">
        <v>3.0031385917498009E-2</v>
      </c>
      <c r="P21" s="497">
        <v>-15.139534875952965</v>
      </c>
      <c r="Q21" s="497">
        <v>3.8306012417747015E-16</v>
      </c>
      <c r="R21" s="497">
        <v>-0.51583314579683359</v>
      </c>
      <c r="S21" s="497">
        <v>-0.39348928314549397</v>
      </c>
      <c r="T21"/>
      <c r="U21" s="497" t="s">
        <v>1679</v>
      </c>
      <c r="V21" s="497">
        <v>-0.46982642088145815</v>
      </c>
      <c r="W21" s="497">
        <v>2.7999221151023837E-2</v>
      </c>
      <c r="X21" s="497">
        <v>-16.779981784038952</v>
      </c>
      <c r="Y21" s="497">
        <v>2.0370560120507929E-17</v>
      </c>
      <c r="Z21" s="497">
        <v>-0.52685896803489196</v>
      </c>
      <c r="AA21" s="497">
        <v>-0.4127938737280244</v>
      </c>
      <c r="AB21"/>
      <c r="AC21" t="s">
        <v>1684</v>
      </c>
      <c r="AD21">
        <v>-0.4584266389380528</v>
      </c>
      <c r="AE21">
        <v>2.8294366818459347E-2</v>
      </c>
      <c r="AF21">
        <v>-16.202046219283961</v>
      </c>
      <c r="AG21">
        <v>1.1053275310079653E-16</v>
      </c>
      <c r="AH21">
        <v>-0.51613338052157298</v>
      </c>
      <c r="AI21">
        <v>-0.40071989735453262</v>
      </c>
      <c r="AJ21"/>
      <c r="AK21"/>
    </row>
    <row r="22" spans="1:37" ht="12.75" customHeight="1" thickBot="1">
      <c r="A22" s="414"/>
      <c r="B22" s="507">
        <v>2004</v>
      </c>
      <c r="C22" s="508">
        <f>'DEU 2.17R RP Rolling Avg'!C29</f>
        <v>0.10589999999999999</v>
      </c>
      <c r="D22" s="508">
        <f>'DEU 2.17R RP Rolling Avg'!D80</f>
        <v>6.1599999999999995E-2</v>
      </c>
      <c r="E22" s="508">
        <f>'DEU 2.17R RP Rolling Avg'!D29</f>
        <v>5.046666666666666E-2</v>
      </c>
      <c r="F22" s="508">
        <f t="shared" si="0"/>
        <v>1.1133333333333335E-2</v>
      </c>
      <c r="G22" s="507"/>
      <c r="H22" s="508">
        <f t="shared" si="1"/>
        <v>5.5433333333333334E-2</v>
      </c>
      <c r="I22" s="508">
        <f t="shared" si="2"/>
        <v>4.4299999999999999E-2</v>
      </c>
      <c r="J22" s="508">
        <f t="shared" si="3"/>
        <v>5.046666666666666E-2</v>
      </c>
      <c r="K22" s="508">
        <f t="shared" si="3"/>
        <v>1.1133333333333335E-2</v>
      </c>
      <c r="M22"/>
      <c r="N22"/>
      <c r="O22"/>
      <c r="P22"/>
      <c r="Q22"/>
      <c r="R22"/>
      <c r="S22"/>
      <c r="T22"/>
      <c r="U22"/>
      <c r="V22"/>
      <c r="W22"/>
      <c r="X22"/>
      <c r="Y22"/>
      <c r="Z22"/>
      <c r="AA22"/>
      <c r="AB22"/>
      <c r="AC22" s="497" t="s">
        <v>1681</v>
      </c>
      <c r="AD22" s="497">
        <v>0.31514847740423807</v>
      </c>
      <c r="AE22" s="497">
        <v>0.13855579102391166</v>
      </c>
      <c r="AF22" s="497">
        <v>2.2745240388389858</v>
      </c>
      <c r="AG22" s="497">
        <v>3.0006016541027417E-2</v>
      </c>
      <c r="AH22" s="497">
        <v>3.2562078534879468E-2</v>
      </c>
      <c r="AI22" s="497">
        <v>0.59773487627359667</v>
      </c>
      <c r="AJ22"/>
      <c r="AK22"/>
    </row>
    <row r="23" spans="1:37" ht="12.75" customHeight="1">
      <c r="A23" s="414"/>
      <c r="B23" s="507">
        <v>2005</v>
      </c>
      <c r="C23" s="508">
        <f>'DEU 2.17R RP Rolling Avg'!C30</f>
        <v>0.1046</v>
      </c>
      <c r="D23" s="508">
        <f>'DEU 2.17R RP Rolling Avg'!D81</f>
        <v>5.6491666666666662E-2</v>
      </c>
      <c r="E23" s="508">
        <f>'DEU 2.17R RP Rolling Avg'!D30</f>
        <v>4.6458333333333331E-2</v>
      </c>
      <c r="F23" s="508">
        <f t="shared" si="0"/>
        <v>1.0033333333333332E-2</v>
      </c>
      <c r="G23" s="507"/>
      <c r="H23" s="508">
        <f t="shared" si="1"/>
        <v>5.8141666666666668E-2</v>
      </c>
      <c r="I23" s="508">
        <f t="shared" si="2"/>
        <v>4.8108333333333336E-2</v>
      </c>
      <c r="J23" s="508">
        <f t="shared" si="3"/>
        <v>4.6458333333333331E-2</v>
      </c>
      <c r="K23" s="508">
        <f t="shared" si="3"/>
        <v>1.0033333333333332E-2</v>
      </c>
      <c r="M23"/>
      <c r="N23"/>
      <c r="O23"/>
      <c r="P23"/>
      <c r="Q23"/>
      <c r="R23"/>
      <c r="S23"/>
      <c r="T23"/>
      <c r="U23"/>
      <c r="V23"/>
      <c r="W23"/>
      <c r="X23"/>
      <c r="Y23"/>
      <c r="Z23"/>
      <c r="AA23"/>
      <c r="AB23"/>
      <c r="AC23"/>
      <c r="AD23"/>
      <c r="AE23"/>
      <c r="AF23"/>
      <c r="AG23"/>
      <c r="AH23"/>
      <c r="AI23"/>
      <c r="AJ23"/>
      <c r="AK23"/>
    </row>
    <row r="24" spans="1:37" ht="12.75" customHeight="1">
      <c r="A24" s="414"/>
      <c r="B24" s="507">
        <v>2006</v>
      </c>
      <c r="C24" s="508">
        <f>'DEU 2.17R RP Rolling Avg'!C31</f>
        <v>0.104</v>
      </c>
      <c r="D24" s="508">
        <f>'DEU 2.17R RP Rolling Avg'!D82</f>
        <v>6.0683333333333332E-2</v>
      </c>
      <c r="E24" s="508">
        <f>'DEU 2.17R RP Rolling Avg'!D31</f>
        <v>4.8981818181818175E-2</v>
      </c>
      <c r="F24" s="508">
        <f t="shared" si="0"/>
        <v>1.1701515151515157E-2</v>
      </c>
      <c r="G24" s="507"/>
      <c r="H24" s="508">
        <f t="shared" si="1"/>
        <v>5.501818181818182E-2</v>
      </c>
      <c r="I24" s="508">
        <f t="shared" si="2"/>
        <v>4.3316666666666663E-2</v>
      </c>
      <c r="J24" s="508">
        <f t="shared" si="3"/>
        <v>4.8981818181818175E-2</v>
      </c>
      <c r="K24" s="508">
        <f t="shared" si="3"/>
        <v>1.1701515151515157E-2</v>
      </c>
      <c r="M24"/>
      <c r="N24"/>
      <c r="O24"/>
      <c r="P24"/>
      <c r="Q24"/>
      <c r="R24"/>
      <c r="S24"/>
      <c r="T24"/>
      <c r="U24"/>
      <c r="V24"/>
      <c r="W24"/>
      <c r="X24"/>
      <c r="Y24"/>
      <c r="Z24"/>
      <c r="AA24"/>
      <c r="AB24"/>
      <c r="AC24"/>
      <c r="AD24"/>
      <c r="AE24"/>
      <c r="AF24"/>
      <c r="AG24"/>
      <c r="AH24"/>
      <c r="AI24"/>
      <c r="AJ24"/>
      <c r="AK24"/>
    </row>
    <row r="25" spans="1:37" ht="12.75" customHeight="1">
      <c r="A25" s="414"/>
      <c r="B25" s="507">
        <v>2007</v>
      </c>
      <c r="C25" s="508">
        <f>'DEU 2.17R RP Rolling Avg'!C32</f>
        <v>0.1022</v>
      </c>
      <c r="D25" s="508">
        <f>'DEU 2.17R RP Rolling Avg'!D83</f>
        <v>6.0733333333333334E-2</v>
      </c>
      <c r="E25" s="508">
        <f>'DEU 2.17R RP Rolling Avg'!D32</f>
        <v>4.8341666666666672E-2</v>
      </c>
      <c r="F25" s="508">
        <f t="shared" si="0"/>
        <v>1.2391666666666662E-2</v>
      </c>
      <c r="G25" s="507"/>
      <c r="H25" s="508">
        <f t="shared" si="1"/>
        <v>5.3858333333333328E-2</v>
      </c>
      <c r="I25" s="508">
        <f t="shared" si="2"/>
        <v>4.1466666666666666E-2</v>
      </c>
      <c r="J25" s="508">
        <f t="shared" si="3"/>
        <v>4.8341666666666672E-2</v>
      </c>
      <c r="K25" s="508">
        <f t="shared" si="3"/>
        <v>1.2391666666666662E-2</v>
      </c>
      <c r="L25" s="507"/>
      <c r="M25" t="s">
        <v>1685</v>
      </c>
      <c r="N25"/>
      <c r="O25"/>
      <c r="P25"/>
      <c r="Q25"/>
      <c r="R25"/>
      <c r="S25"/>
      <c r="T25"/>
      <c r="U25" t="s">
        <v>1685</v>
      </c>
      <c r="V25"/>
      <c r="W25"/>
      <c r="X25"/>
      <c r="Y25"/>
      <c r="Z25"/>
      <c r="AA25"/>
      <c r="AB25"/>
      <c r="AC25" t="s">
        <v>1685</v>
      </c>
      <c r="AD25"/>
      <c r="AE25"/>
      <c r="AF25"/>
      <c r="AG25"/>
      <c r="AH25"/>
      <c r="AI25"/>
      <c r="AJ25"/>
      <c r="AK25"/>
    </row>
    <row r="26" spans="1:37" ht="12.75" customHeight="1" thickBot="1">
      <c r="A26" s="414"/>
      <c r="B26" s="507">
        <v>2008</v>
      </c>
      <c r="C26" s="508">
        <f>'DEU 2.17R RP Rolling Avg'!C33</f>
        <v>0.10390000000000001</v>
      </c>
      <c r="D26" s="508">
        <f>'DEU 2.17R RP Rolling Avg'!D84</f>
        <v>6.5283333333333332E-2</v>
      </c>
      <c r="E26" s="508">
        <f>'DEU 2.17R RP Rolling Avg'!D33</f>
        <v>4.2791666666666665E-2</v>
      </c>
      <c r="F26" s="508">
        <f t="shared" si="0"/>
        <v>2.2491666666666667E-2</v>
      </c>
      <c r="G26" s="507"/>
      <c r="H26" s="508">
        <f t="shared" si="1"/>
        <v>6.1108333333333341E-2</v>
      </c>
      <c r="I26" s="508">
        <f t="shared" si="2"/>
        <v>3.8616666666666674E-2</v>
      </c>
      <c r="J26" s="508">
        <f t="shared" si="3"/>
        <v>4.2791666666666665E-2</v>
      </c>
      <c r="K26" s="508">
        <f t="shared" si="3"/>
        <v>2.2491666666666667E-2</v>
      </c>
      <c r="L26" s="507"/>
      <c r="M26"/>
      <c r="N26"/>
      <c r="O26"/>
      <c r="P26"/>
      <c r="Q26"/>
      <c r="R26"/>
      <c r="S26"/>
      <c r="T26"/>
      <c r="U26"/>
      <c r="V26"/>
      <c r="W26"/>
      <c r="X26"/>
      <c r="Y26"/>
      <c r="Z26"/>
      <c r="AA26"/>
      <c r="AB26"/>
      <c r="AC26"/>
      <c r="AD26"/>
      <c r="AE26"/>
      <c r="AF26"/>
      <c r="AG26"/>
      <c r="AH26"/>
      <c r="AI26"/>
      <c r="AJ26"/>
      <c r="AK26"/>
    </row>
    <row r="27" spans="1:37" ht="12.75" customHeight="1">
      <c r="A27" s="414"/>
      <c r="B27" s="507">
        <v>2009</v>
      </c>
      <c r="C27" s="508">
        <f>'DEU 2.17R RP Rolling Avg'!C34</f>
        <v>0.1022</v>
      </c>
      <c r="D27" s="508">
        <f>'DEU 2.17R RP Rolling Avg'!D85</f>
        <v>6.0391666666666656E-2</v>
      </c>
      <c r="E27" s="508">
        <f>'DEU 2.17R RP Rolling Avg'!D34</f>
        <v>4.0691666666666668E-2</v>
      </c>
      <c r="F27" s="508">
        <f t="shared" si="0"/>
        <v>1.9699999999999988E-2</v>
      </c>
      <c r="G27" s="507"/>
      <c r="H27" s="508">
        <f t="shared" si="1"/>
        <v>6.1508333333333332E-2</v>
      </c>
      <c r="I27" s="508">
        <f t="shared" si="2"/>
        <v>4.1808333333333343E-2</v>
      </c>
      <c r="J27" s="508">
        <f t="shared" si="3"/>
        <v>4.0691666666666668E-2</v>
      </c>
      <c r="K27" s="508">
        <f t="shared" si="3"/>
        <v>1.9699999999999988E-2</v>
      </c>
      <c r="L27" s="507"/>
      <c r="M27" s="498" t="s">
        <v>1686</v>
      </c>
      <c r="N27" s="511" t="s">
        <v>1687</v>
      </c>
      <c r="O27" s="498" t="s">
        <v>1688</v>
      </c>
      <c r="P27" s="512" t="s">
        <v>1689</v>
      </c>
      <c r="Q27" s="512" t="s">
        <v>1690</v>
      </c>
      <c r="R27"/>
      <c r="S27"/>
      <c r="T27"/>
      <c r="U27" s="498" t="s">
        <v>1686</v>
      </c>
      <c r="V27" s="511" t="s">
        <v>1691</v>
      </c>
      <c r="W27" s="498" t="s">
        <v>1688</v>
      </c>
      <c r="X27" s="512" t="s">
        <v>1689</v>
      </c>
      <c r="Y27" s="512" t="s">
        <v>1690</v>
      </c>
      <c r="Z27"/>
      <c r="AA27"/>
      <c r="AB27"/>
      <c r="AC27" s="498" t="s">
        <v>1686</v>
      </c>
      <c r="AD27" s="511" t="s">
        <v>1687</v>
      </c>
      <c r="AE27" s="498" t="s">
        <v>1688</v>
      </c>
      <c r="AF27" s="512" t="s">
        <v>1689</v>
      </c>
      <c r="AG27" s="512" t="s">
        <v>1690</v>
      </c>
      <c r="AH27"/>
      <c r="AI27"/>
      <c r="AJ27"/>
      <c r="AK27"/>
    </row>
    <row r="28" spans="1:37" ht="12.75" customHeight="1">
      <c r="A28" s="414"/>
      <c r="B28" s="507">
        <v>2010</v>
      </c>
      <c r="C28" s="508">
        <f>'DEU 2.17R RP Rolling Avg'!C35</f>
        <v>0.10150000000000001</v>
      </c>
      <c r="D28" s="508">
        <f>'DEU 2.17R RP Rolling Avg'!D86</f>
        <v>5.4688919787213131E-2</v>
      </c>
      <c r="E28" s="508">
        <f>'DEU 2.17R RP Rolling Avg'!D35</f>
        <v>4.2508333333333335E-2</v>
      </c>
      <c r="F28" s="508">
        <f t="shared" si="0"/>
        <v>1.2180586453879795E-2</v>
      </c>
      <c r="G28" s="507"/>
      <c r="H28" s="508">
        <f t="shared" si="1"/>
        <v>5.8991666666666671E-2</v>
      </c>
      <c r="I28" s="508">
        <f t="shared" si="2"/>
        <v>4.6811080212786876E-2</v>
      </c>
      <c r="J28" s="508">
        <f t="shared" si="3"/>
        <v>4.2508333333333335E-2</v>
      </c>
      <c r="K28" s="508">
        <f t="shared" si="3"/>
        <v>1.2180586453879795E-2</v>
      </c>
      <c r="L28" s="507"/>
      <c r="M28">
        <v>1</v>
      </c>
      <c r="N28">
        <v>4.419700445641276E-2</v>
      </c>
      <c r="O28">
        <v>1.2419662210253903E-2</v>
      </c>
      <c r="R28"/>
      <c r="S28"/>
      <c r="T28"/>
      <c r="U28">
        <v>1</v>
      </c>
      <c r="V28">
        <v>2.8249823540537733E-2</v>
      </c>
      <c r="W28">
        <v>1.0550176459462268E-2</v>
      </c>
      <c r="Z28"/>
      <c r="AA28"/>
      <c r="AB28"/>
      <c r="AC28">
        <v>1</v>
      </c>
      <c r="AD28">
        <v>4.5431064262796833E-2</v>
      </c>
      <c r="AE28">
        <v>1.1185602403869829E-2</v>
      </c>
      <c r="AH28"/>
      <c r="AI28"/>
      <c r="AJ28"/>
      <c r="AK28"/>
    </row>
    <row r="29" spans="1:37" ht="12.75" customHeight="1">
      <c r="A29" s="414"/>
      <c r="B29" s="507">
        <v>2011</v>
      </c>
      <c r="C29" s="508">
        <f>'DEU 2.17R RP Rolling Avg'!C36</f>
        <v>9.9199999999999997E-2</v>
      </c>
      <c r="D29" s="508">
        <f>'DEU 2.17R RP Rolling Avg'!D87</f>
        <v>5.0390073932477887E-2</v>
      </c>
      <c r="E29" s="508">
        <f>'DEU 2.17R RP Rolling Avg'!D36</f>
        <v>3.9108333333333335E-2</v>
      </c>
      <c r="F29" s="508">
        <f t="shared" si="0"/>
        <v>1.1281740599144552E-2</v>
      </c>
      <c r="G29" s="507"/>
      <c r="H29" s="508">
        <f t="shared" si="1"/>
        <v>6.0091666666666661E-2</v>
      </c>
      <c r="I29" s="508">
        <f t="shared" si="2"/>
        <v>4.8809926067522109E-2</v>
      </c>
      <c r="J29" s="508">
        <f t="shared" si="3"/>
        <v>3.9108333333333335E-2</v>
      </c>
      <c r="K29" s="508">
        <f t="shared" si="3"/>
        <v>1.1281740599144552E-2</v>
      </c>
      <c r="L29" s="507"/>
      <c r="M29">
        <v>2</v>
      </c>
      <c r="N29">
        <v>4.0643069296629836E-2</v>
      </c>
      <c r="O29">
        <v>9.5693070337017627E-4</v>
      </c>
      <c r="P29" s="513">
        <f t="shared" ref="P29:P61" si="4">(O29-O28)^2</f>
        <v>1.3139421359890485E-4</v>
      </c>
      <c r="Q29" s="513">
        <f t="shared" ref="Q29:Q61" si="5">O29^2</f>
        <v>9.1571637105254025E-7</v>
      </c>
      <c r="R29"/>
      <c r="S29"/>
      <c r="T29"/>
      <c r="U29">
        <v>2</v>
      </c>
      <c r="V29">
        <v>2.5806726151954146E-2</v>
      </c>
      <c r="W29">
        <v>5.9327384804586103E-4</v>
      </c>
      <c r="X29" s="513">
        <f t="shared" ref="X29:X61" si="6">(W29-W28)^2</f>
        <v>9.9139909613230875E-5</v>
      </c>
      <c r="Y29" s="513">
        <f t="shared" ref="Y29:Y61" si="7">W29^2</f>
        <v>3.5197385877514342E-7</v>
      </c>
      <c r="Z29"/>
      <c r="AA29"/>
      <c r="AB29"/>
      <c r="AC29">
        <v>2</v>
      </c>
      <c r="AD29">
        <v>4.1023057519223298E-2</v>
      </c>
      <c r="AE29">
        <v>5.7694248077671401E-4</v>
      </c>
      <c r="AF29" s="513">
        <f t="shared" ref="AF29:AF61" si="8">(AE29-AE28)^2</f>
        <v>1.1254366536384202E-4</v>
      </c>
      <c r="AG29" s="513">
        <f t="shared" ref="AG29:AG61" si="9">AE29^2</f>
        <v>3.32862626124789E-7</v>
      </c>
      <c r="AH29"/>
      <c r="AI29"/>
      <c r="AJ29"/>
      <c r="AK29"/>
    </row>
    <row r="30" spans="1:37" ht="12.75" customHeight="1">
      <c r="A30" s="414"/>
      <c r="B30" s="507">
        <v>2012</v>
      </c>
      <c r="C30" s="508">
        <f>'DEU 2.17R RP Rolling Avg'!C37</f>
        <v>9.9400000000000002E-2</v>
      </c>
      <c r="D30" s="508">
        <f>'DEU 2.17R RP Rolling Avg'!D88</f>
        <v>4.1308564221010043E-2</v>
      </c>
      <c r="E30" s="508">
        <f>'DEU 2.17R RP Rolling Avg'!D37</f>
        <v>2.9208333333333333E-2</v>
      </c>
      <c r="F30" s="508">
        <f t="shared" si="0"/>
        <v>1.210023088767671E-2</v>
      </c>
      <c r="G30" s="507"/>
      <c r="H30" s="508">
        <f t="shared" si="1"/>
        <v>7.0191666666666666E-2</v>
      </c>
      <c r="I30" s="508">
        <f t="shared" si="2"/>
        <v>5.809143577898996E-2</v>
      </c>
      <c r="J30" s="508">
        <f t="shared" si="3"/>
        <v>2.9208333333333333E-2</v>
      </c>
      <c r="K30" s="508">
        <f t="shared" si="3"/>
        <v>1.210023088767671E-2</v>
      </c>
      <c r="L30" s="507"/>
      <c r="M30">
        <v>3</v>
      </c>
      <c r="N30">
        <v>3.8919145525093332E-2</v>
      </c>
      <c r="O30">
        <v>-1.0812191760009582E-5</v>
      </c>
      <c r="P30" s="513">
        <f t="shared" si="4"/>
        <v>9.3652631107495394E-7</v>
      </c>
      <c r="Q30" s="513">
        <f t="shared" si="5"/>
        <v>1.1690349065521911E-10</v>
      </c>
      <c r="R30"/>
      <c r="S30"/>
      <c r="T30"/>
      <c r="U30">
        <v>3</v>
      </c>
      <c r="V30">
        <v>2.3974403110516462E-2</v>
      </c>
      <c r="W30">
        <v>-3.7440311051645248E-4</v>
      </c>
      <c r="X30" s="513">
        <f t="shared" si="6"/>
        <v>9.3639869613240944E-7</v>
      </c>
      <c r="Y30" s="513">
        <f t="shared" si="7"/>
        <v>1.4017768916439492E-7</v>
      </c>
      <c r="Z30"/>
      <c r="AA30"/>
      <c r="AB30"/>
      <c r="AC30">
        <v>3</v>
      </c>
      <c r="AD30">
        <v>3.9318997598301965E-2</v>
      </c>
      <c r="AE30">
        <v>-4.1066426496864233E-4</v>
      </c>
      <c r="AF30" s="513">
        <f t="shared" si="8"/>
        <v>9.7536708424173287E-7</v>
      </c>
      <c r="AG30" s="513">
        <f t="shared" si="9"/>
        <v>1.6864513852223529E-7</v>
      </c>
      <c r="AH30"/>
      <c r="AI30"/>
      <c r="AJ30"/>
      <c r="AK30"/>
    </row>
    <row r="31" spans="1:37" ht="12.75" customHeight="1">
      <c r="A31" s="414"/>
      <c r="B31" s="507">
        <v>2013</v>
      </c>
      <c r="C31" s="508">
        <f>'DEU 2.17R RP Rolling Avg'!C38</f>
        <v>9.6799999999999997E-2</v>
      </c>
      <c r="D31" s="508">
        <f>'DEU 2.17R RP Rolling Avg'!D89</f>
        <v>4.4759707479483019E-2</v>
      </c>
      <c r="E31" s="508">
        <f>'DEU 2.17R RP Rolling Avg'!D38</f>
        <v>3.4483333333333331E-2</v>
      </c>
      <c r="F31" s="508">
        <f t="shared" si="0"/>
        <v>1.0276374146149687E-2</v>
      </c>
      <c r="G31" s="507"/>
      <c r="H31" s="508">
        <f t="shared" si="1"/>
        <v>6.2316666666666666E-2</v>
      </c>
      <c r="I31" s="508">
        <f t="shared" si="2"/>
        <v>5.2040292520516979E-2</v>
      </c>
      <c r="J31" s="508">
        <f t="shared" si="3"/>
        <v>3.4483333333333331E-2</v>
      </c>
      <c r="K31" s="508">
        <f t="shared" si="3"/>
        <v>1.0276374146149687E-2</v>
      </c>
      <c r="L31" s="507"/>
      <c r="M31">
        <v>4</v>
      </c>
      <c r="N31">
        <v>4.1237917718896282E-2</v>
      </c>
      <c r="O31">
        <v>3.0704156144370706E-3</v>
      </c>
      <c r="P31" s="513">
        <f t="shared" si="4"/>
        <v>9.4939647936820713E-6</v>
      </c>
      <c r="Q31" s="513">
        <f t="shared" si="5"/>
        <v>9.4274520453789731E-6</v>
      </c>
      <c r="R31"/>
      <c r="S31"/>
      <c r="T31"/>
      <c r="U31">
        <v>4</v>
      </c>
      <c r="V31">
        <v>2.7357153340862965E-2</v>
      </c>
      <c r="W31">
        <v>3.7428466591370377E-3</v>
      </c>
      <c r="X31" s="513">
        <f t="shared" si="6"/>
        <v>1.6951745665711717E-5</v>
      </c>
      <c r="Y31" s="513">
        <f t="shared" si="7"/>
        <v>1.4008901113813285E-5</v>
      </c>
      <c r="Z31"/>
      <c r="AA31"/>
      <c r="AB31"/>
      <c r="AC31">
        <v>4</v>
      </c>
      <c r="AD31">
        <v>4.0995161654337163E-2</v>
      </c>
      <c r="AE31">
        <v>3.3131716789961893E-3</v>
      </c>
      <c r="AF31" s="513">
        <f t="shared" si="8"/>
        <v>1.386695413756445E-5</v>
      </c>
      <c r="AG31" s="513">
        <f t="shared" si="9"/>
        <v>1.0977106574502428E-5</v>
      </c>
      <c r="AH31"/>
      <c r="AI31"/>
      <c r="AJ31"/>
      <c r="AK31"/>
    </row>
    <row r="32" spans="1:37" ht="12.75" customHeight="1">
      <c r="A32" s="414"/>
      <c r="B32" s="507">
        <v>2014</v>
      </c>
      <c r="C32" s="508">
        <f>'DEU 2.17R RP Rolling Avg'!C39</f>
        <v>9.7799999999999998E-2</v>
      </c>
      <c r="D32" s="508">
        <f>'DEU 2.17R RP Rolling Avg'!D90</f>
        <v>4.2774094021446961E-2</v>
      </c>
      <c r="E32" s="508">
        <f>'DEU 2.17R RP Rolling Avg'!D39</f>
        <v>3.3399999999999999E-2</v>
      </c>
      <c r="F32" s="508">
        <f t="shared" si="0"/>
        <v>9.3740940214469617E-3</v>
      </c>
      <c r="G32" s="507"/>
      <c r="H32" s="508">
        <f t="shared" si="1"/>
        <v>6.4399999999999999E-2</v>
      </c>
      <c r="I32" s="508">
        <f t="shared" si="2"/>
        <v>5.5025905978553037E-2</v>
      </c>
      <c r="J32" s="508">
        <f t="shared" si="3"/>
        <v>3.3399999999999999E-2</v>
      </c>
      <c r="K32" s="508">
        <f t="shared" si="3"/>
        <v>9.3740940214469617E-3</v>
      </c>
      <c r="L32" s="507"/>
      <c r="M32">
        <v>5</v>
      </c>
      <c r="N32">
        <v>4.0514248619196336E-2</v>
      </c>
      <c r="O32">
        <v>1.0241804747034011E-4</v>
      </c>
      <c r="P32" s="513">
        <f t="shared" si="4"/>
        <v>8.8090095575204311E-6</v>
      </c>
      <c r="Q32" s="513">
        <f t="shared" si="5"/>
        <v>1.0489456447636841E-8</v>
      </c>
      <c r="R32"/>
      <c r="S32"/>
      <c r="T32"/>
      <c r="U32">
        <v>5</v>
      </c>
      <c r="V32">
        <v>2.6934309562069651E-2</v>
      </c>
      <c r="W32">
        <v>1.1656904379303626E-3</v>
      </c>
      <c r="X32" s="513">
        <f t="shared" si="6"/>
        <v>6.6417341885042686E-6</v>
      </c>
      <c r="Y32" s="513">
        <f t="shared" si="7"/>
        <v>1.3588341970822804E-6</v>
      </c>
      <c r="Z32"/>
      <c r="AA32"/>
      <c r="AB32"/>
      <c r="AC32">
        <v>5</v>
      </c>
      <c r="AD32">
        <v>4.004752155715615E-2</v>
      </c>
      <c r="AE32">
        <v>5.6914510951052572E-4</v>
      </c>
      <c r="AF32" s="513">
        <f t="shared" si="8"/>
        <v>7.5296818140432592E-6</v>
      </c>
      <c r="AG32" s="513">
        <f t="shared" si="9"/>
        <v>3.2392615567974833E-7</v>
      </c>
      <c r="AH32"/>
      <c r="AI32"/>
      <c r="AJ32"/>
      <c r="AK32"/>
    </row>
    <row r="33" spans="1:37" ht="12.75" customHeight="1">
      <c r="A33" s="414"/>
      <c r="B33" s="507">
        <v>2015</v>
      </c>
      <c r="C33" s="508">
        <f>'DEU 2.17R RP Rolling Avg'!C40</f>
        <v>9.6000000000000002E-2</v>
      </c>
      <c r="D33" s="508">
        <f>'DEU 2.17R RP Rolling Avg'!D91</f>
        <v>4.1153967589428117E-2</v>
      </c>
      <c r="E33" s="508">
        <f>'DEU 2.17R RP Rolling Avg'!D40</f>
        <v>2.8408333333333331E-2</v>
      </c>
      <c r="F33" s="508">
        <f t="shared" si="0"/>
        <v>1.2745634256094786E-2</v>
      </c>
      <c r="G33" s="507"/>
      <c r="H33" s="508">
        <f t="shared" si="1"/>
        <v>6.7591666666666675E-2</v>
      </c>
      <c r="I33" s="508">
        <f t="shared" si="2"/>
        <v>5.4846032410571885E-2</v>
      </c>
      <c r="J33" s="508">
        <f t="shared" si="3"/>
        <v>2.8408333333333331E-2</v>
      </c>
      <c r="K33" s="508">
        <f t="shared" si="3"/>
        <v>1.2745634256094786E-2</v>
      </c>
      <c r="L33" s="507"/>
      <c r="M33">
        <v>6</v>
      </c>
      <c r="N33">
        <v>4.2662522857572591E-2</v>
      </c>
      <c r="O33">
        <v>5.7914380909408758E-4</v>
      </c>
      <c r="P33" s="513">
        <f t="shared" si="4"/>
        <v>2.272674517957421E-7</v>
      </c>
      <c r="Q33" s="513">
        <f t="shared" si="5"/>
        <v>3.3540755161200896E-7</v>
      </c>
      <c r="R33"/>
      <c r="S33"/>
      <c r="T33"/>
      <c r="U33">
        <v>6</v>
      </c>
      <c r="V33">
        <v>2.9283441666476936E-2</v>
      </c>
      <c r="W33">
        <v>1.7165583335230633E-3</v>
      </c>
      <c r="X33" s="513">
        <f t="shared" si="6"/>
        <v>3.034554383947306E-7</v>
      </c>
      <c r="Y33" s="513">
        <f t="shared" si="7"/>
        <v>2.9465725123874762E-6</v>
      </c>
      <c r="Z33"/>
      <c r="AA33"/>
      <c r="AB33"/>
      <c r="AC33">
        <v>6</v>
      </c>
      <c r="AD33">
        <v>4.2126921594852283E-2</v>
      </c>
      <c r="AE33">
        <v>1.114745071814395E-3</v>
      </c>
      <c r="AF33" s="513">
        <f t="shared" si="8"/>
        <v>2.9767931886598363E-7</v>
      </c>
      <c r="AG33" s="513">
        <f t="shared" si="9"/>
        <v>1.2426565751344808E-6</v>
      </c>
      <c r="AH33"/>
      <c r="AI33"/>
      <c r="AJ33"/>
      <c r="AK33"/>
    </row>
    <row r="34" spans="1:37" ht="12.75" customHeight="1">
      <c r="A34" s="414"/>
      <c r="B34" s="507">
        <v>2016</v>
      </c>
      <c r="C34" s="508">
        <f>'DEU 2.17R RP Rolling Avg'!C41</f>
        <v>9.5399999999999999E-2</v>
      </c>
      <c r="D34" s="508">
        <f>'DEU 2.17R RP Rolling Avg'!D92</f>
        <v>3.930199127182251E-2</v>
      </c>
      <c r="E34" s="508">
        <f>'DEU 2.17R RP Rolling Avg'!D41</f>
        <v>2.5975000000000002E-2</v>
      </c>
      <c r="F34" s="508">
        <f t="shared" si="0"/>
        <v>1.3326991271822509E-2</v>
      </c>
      <c r="G34" s="507"/>
      <c r="H34" s="508">
        <f t="shared" si="1"/>
        <v>6.9425000000000001E-2</v>
      </c>
      <c r="I34" s="508">
        <f t="shared" si="2"/>
        <v>5.6098008728177488E-2</v>
      </c>
      <c r="J34" s="508">
        <f t="shared" si="3"/>
        <v>2.5975000000000002E-2</v>
      </c>
      <c r="K34" s="508">
        <f t="shared" si="3"/>
        <v>1.3326991271822509E-2</v>
      </c>
      <c r="L34" s="507"/>
      <c r="M34">
        <v>7</v>
      </c>
      <c r="N34">
        <v>4.4795641722133128E-2</v>
      </c>
      <c r="O34">
        <v>-1.3623083887997905E-3</v>
      </c>
      <c r="P34" s="513">
        <f t="shared" si="4"/>
        <v>3.7692366367069703E-6</v>
      </c>
      <c r="Q34" s="513">
        <f t="shared" si="5"/>
        <v>1.8558841461942814E-6</v>
      </c>
      <c r="R34"/>
      <c r="S34"/>
      <c r="T34"/>
      <c r="U34">
        <v>7</v>
      </c>
      <c r="V34">
        <v>3.2431278686382708E-2</v>
      </c>
      <c r="W34">
        <v>7.6872131361728491E-4</v>
      </c>
      <c r="X34" s="513">
        <f t="shared" si="6"/>
        <v>8.9839501630386701E-7</v>
      </c>
      <c r="Y34" s="513">
        <f t="shared" si="7"/>
        <v>5.9093245800948405E-7</v>
      </c>
      <c r="Z34"/>
      <c r="AA34"/>
      <c r="AB34"/>
      <c r="AC34">
        <v>7</v>
      </c>
      <c r="AD34">
        <v>4.3644783383749809E-2</v>
      </c>
      <c r="AE34">
        <v>-2.1145005041647152E-4</v>
      </c>
      <c r="AF34" s="513">
        <f t="shared" si="8"/>
        <v>1.758793502228943E-6</v>
      </c>
      <c r="AG34" s="513">
        <f t="shared" si="9"/>
        <v>4.4711123821128349E-8</v>
      </c>
      <c r="AH34"/>
      <c r="AI34"/>
      <c r="AJ34"/>
      <c r="AK34"/>
    </row>
    <row r="35" spans="1:37" ht="12.75" customHeight="1">
      <c r="A35" s="414"/>
      <c r="B35" s="507">
        <v>2017</v>
      </c>
      <c r="C35" s="508">
        <f>'DEU 2.17R RP Rolling Avg'!C42</f>
        <v>9.7199999999999995E-2</v>
      </c>
      <c r="D35" s="508">
        <f>'DEU 2.17R RP Rolling Avg'!D93</f>
        <v>3.9987543339574223E-2</v>
      </c>
      <c r="E35" s="508">
        <f>'DEU 2.17R RP Rolling Avg'!D42</f>
        <v>2.895E-2</v>
      </c>
      <c r="F35" s="508">
        <f t="shared" si="0"/>
        <v>1.1037543339574223E-2</v>
      </c>
      <c r="H35" s="508">
        <f t="shared" si="1"/>
        <v>6.8249999999999991E-2</v>
      </c>
      <c r="I35" s="508">
        <f t="shared" si="2"/>
        <v>5.7212456660425771E-2</v>
      </c>
      <c r="J35" s="508">
        <f t="shared" si="3"/>
        <v>2.895E-2</v>
      </c>
      <c r="K35" s="508">
        <f t="shared" si="3"/>
        <v>1.1037543339574223E-2</v>
      </c>
      <c r="L35" s="507"/>
      <c r="M35">
        <v>8</v>
      </c>
      <c r="N35">
        <v>4.9652939030066734E-2</v>
      </c>
      <c r="O35">
        <v>-2.1362723634000547E-3</v>
      </c>
      <c r="P35" s="513">
        <f t="shared" si="4"/>
        <v>5.9902023397903829E-7</v>
      </c>
      <c r="Q35" s="513">
        <f t="shared" si="5"/>
        <v>4.563659610626855E-6</v>
      </c>
      <c r="R35"/>
      <c r="S35"/>
      <c r="T35"/>
      <c r="U35">
        <v>8</v>
      </c>
      <c r="V35">
        <v>3.7599369316078754E-2</v>
      </c>
      <c r="W35">
        <v>6.3068392125442685E-7</v>
      </c>
      <c r="X35" s="513">
        <f t="shared" si="6"/>
        <v>5.8996321542684461E-7</v>
      </c>
      <c r="Y35" s="513">
        <f t="shared" si="7"/>
        <v>3.977622085288601E-13</v>
      </c>
      <c r="Z35"/>
      <c r="AA35"/>
      <c r="AB35"/>
      <c r="AC35">
        <v>8</v>
      </c>
      <c r="AD35">
        <v>4.8442510958559989E-2</v>
      </c>
      <c r="AE35">
        <v>-9.2584429189331019E-4</v>
      </c>
      <c r="AF35" s="513">
        <f t="shared" si="8"/>
        <v>5.1035913225526767E-7</v>
      </c>
      <c r="AG35" s="513">
        <f t="shared" si="9"/>
        <v>8.5718765283142501E-7</v>
      </c>
      <c r="AH35"/>
      <c r="AI35"/>
      <c r="AJ35"/>
      <c r="AK35"/>
    </row>
    <row r="36" spans="1:37" ht="12.75" customHeight="1">
      <c r="A36" s="507"/>
      <c r="B36" s="507">
        <v>2018</v>
      </c>
      <c r="C36" s="508">
        <f>'DEU 2.17R RP Rolling Avg'!C43</f>
        <v>9.5899999999999999E-2</v>
      </c>
      <c r="D36" s="508">
        <f>'DEU 2.17R RP Rolling Avg'!D94</f>
        <v>4.2502293815071278E-2</v>
      </c>
      <c r="E36" s="508">
        <f>'DEU 2.17R RP Rolling Avg'!D43</f>
        <v>3.1124999999999996E-2</v>
      </c>
      <c r="F36" s="508">
        <f t="shared" si="0"/>
        <v>1.1377293815071281E-2</v>
      </c>
      <c r="H36" s="508">
        <f t="shared" si="1"/>
        <v>6.4774999999999999E-2</v>
      </c>
      <c r="I36" s="508">
        <f t="shared" si="2"/>
        <v>5.3397706184928721E-2</v>
      </c>
      <c r="J36" s="508">
        <f t="shared" si="3"/>
        <v>3.1124999999999996E-2</v>
      </c>
      <c r="K36" s="508">
        <f t="shared" si="3"/>
        <v>1.1377293815071281E-2</v>
      </c>
      <c r="L36" s="507"/>
      <c r="M36">
        <v>9</v>
      </c>
      <c r="N36">
        <v>4.6144469991730913E-2</v>
      </c>
      <c r="O36">
        <v>-6.3444699917309111E-3</v>
      </c>
      <c r="P36" s="513">
        <f t="shared" si="4"/>
        <v>1.7708927279089444E-5</v>
      </c>
      <c r="Q36" s="513">
        <f t="shared" si="5"/>
        <v>4.0252299475974028E-5</v>
      </c>
      <c r="R36"/>
      <c r="S36"/>
      <c r="T36"/>
      <c r="U36">
        <v>9</v>
      </c>
      <c r="V36">
        <v>3.4216619085732251E-2</v>
      </c>
      <c r="W36">
        <v>-3.816619085732241E-3</v>
      </c>
      <c r="X36" s="513">
        <f t="shared" si="6"/>
        <v>1.4571395803919664E-5</v>
      </c>
      <c r="Y36" s="513">
        <f t="shared" si="7"/>
        <v>1.4566581245575607E-5</v>
      </c>
      <c r="Z36"/>
      <c r="AA36"/>
      <c r="AB36"/>
      <c r="AC36">
        <v>9</v>
      </c>
      <c r="AD36">
        <v>4.4742158681429153E-2</v>
      </c>
      <c r="AE36">
        <v>-4.9421586814291513E-3</v>
      </c>
      <c r="AF36" s="513">
        <f t="shared" si="8"/>
        <v>1.6130781275592655E-5</v>
      </c>
      <c r="AG36" s="513">
        <f t="shared" si="9"/>
        <v>2.4424932432425527E-5</v>
      </c>
      <c r="AH36"/>
      <c r="AI36"/>
      <c r="AJ36"/>
      <c r="AK36"/>
    </row>
    <row r="37" spans="1:37" ht="12.75" customHeight="1">
      <c r="A37" s="507"/>
      <c r="B37" s="507">
        <v>2019</v>
      </c>
      <c r="C37" s="508">
        <f>'DEU 2.17R RP Rolling Avg'!C44</f>
        <v>9.6299999999999997E-2</v>
      </c>
      <c r="D37" s="508">
        <f>'DEU 2.17R RP Rolling Avg'!D95</f>
        <v>4.1066141300220245E-2</v>
      </c>
      <c r="E37" s="508">
        <f>'DEU 2.17R RP Rolling Avg'!D44</f>
        <v>2.895E-2</v>
      </c>
      <c r="F37" s="508">
        <f t="shared" si="0"/>
        <v>1.2116141300220245E-2</v>
      </c>
      <c r="H37" s="508">
        <f t="shared" si="1"/>
        <v>6.7349999999999993E-2</v>
      </c>
      <c r="I37" s="508">
        <f t="shared" si="2"/>
        <v>5.5233858699779752E-2</v>
      </c>
      <c r="J37" s="508">
        <f t="shared" si="3"/>
        <v>2.895E-2</v>
      </c>
      <c r="K37" s="508">
        <f t="shared" si="3"/>
        <v>1.2116141300220245E-2</v>
      </c>
      <c r="L37" s="507"/>
      <c r="M37">
        <v>10</v>
      </c>
      <c r="N37">
        <v>4.8353365725369982E-2</v>
      </c>
      <c r="O37">
        <v>-2.8950323920366589E-3</v>
      </c>
      <c r="P37" s="513">
        <f t="shared" si="4"/>
        <v>1.1898619754184445E-5</v>
      </c>
      <c r="Q37" s="513">
        <f t="shared" si="5"/>
        <v>8.3812125509414995E-6</v>
      </c>
      <c r="R37"/>
      <c r="S37"/>
      <c r="T37"/>
      <c r="U37">
        <v>10</v>
      </c>
      <c r="V37">
        <v>3.6189890053434377E-2</v>
      </c>
      <c r="W37">
        <v>-7.898900534343764E-4</v>
      </c>
      <c r="X37" s="513">
        <f t="shared" si="6"/>
        <v>9.1610886349547674E-6</v>
      </c>
      <c r="Y37" s="513">
        <f t="shared" si="7"/>
        <v>6.2392629651456199E-7</v>
      </c>
      <c r="Z37"/>
      <c r="AA37"/>
      <c r="AB37"/>
      <c r="AC37">
        <v>10</v>
      </c>
      <c r="AD37">
        <v>4.7176820849894316E-2</v>
      </c>
      <c r="AE37">
        <v>-1.7184875165609931E-3</v>
      </c>
      <c r="AF37" s="513">
        <f t="shared" si="8"/>
        <v>1.0392055779202427E-5</v>
      </c>
      <c r="AG37" s="513">
        <f t="shared" si="9"/>
        <v>2.9531993445759694E-6</v>
      </c>
      <c r="AH37"/>
      <c r="AI37"/>
      <c r="AJ37"/>
      <c r="AK37"/>
    </row>
    <row r="38" spans="1:37" ht="12.75" customHeight="1">
      <c r="A38" s="507"/>
      <c r="L38" s="507"/>
      <c r="M38">
        <v>11</v>
      </c>
      <c r="N38">
        <v>4.9186911285233781E-2</v>
      </c>
      <c r="O38">
        <v>-4.2952446185671317E-3</v>
      </c>
      <c r="P38" s="513">
        <f t="shared" si="4"/>
        <v>1.9605942793254241E-6</v>
      </c>
      <c r="Q38" s="513">
        <f t="shared" si="5"/>
        <v>1.8449126333329905E-5</v>
      </c>
      <c r="R38"/>
      <c r="S38"/>
      <c r="T38"/>
      <c r="U38">
        <v>11</v>
      </c>
      <c r="V38">
        <v>3.6847647042668415E-2</v>
      </c>
      <c r="W38">
        <v>-2.4476470426684147E-3</v>
      </c>
      <c r="X38" s="513">
        <f t="shared" si="6"/>
        <v>2.7481582353543033E-6</v>
      </c>
      <c r="Y38" s="513">
        <f t="shared" si="7"/>
        <v>5.9909760454834357E-6</v>
      </c>
      <c r="Z38"/>
      <c r="AA38"/>
      <c r="AB38"/>
      <c r="AC38">
        <v>11</v>
      </c>
      <c r="AD38">
        <v>4.8153834028155908E-2</v>
      </c>
      <c r="AE38">
        <v>-3.2621673614892585E-3</v>
      </c>
      <c r="AF38" s="513">
        <f t="shared" si="8"/>
        <v>2.3829474636377535E-6</v>
      </c>
      <c r="AG38" s="513">
        <f t="shared" si="9"/>
        <v>1.0641735894365791E-5</v>
      </c>
      <c r="AH38"/>
      <c r="AI38"/>
      <c r="AJ38"/>
      <c r="AK38"/>
    </row>
    <row r="39" spans="1:37" ht="12.75" customHeight="1">
      <c r="B39" s="465" t="s">
        <v>1692</v>
      </c>
      <c r="L39" s="507"/>
      <c r="M39">
        <v>12</v>
      </c>
      <c r="N39">
        <v>4.9618839438981391E-2</v>
      </c>
      <c r="O39">
        <v>-2.7771727723147344E-3</v>
      </c>
      <c r="P39" s="513">
        <f t="shared" si="4"/>
        <v>2.3045421303841623E-6</v>
      </c>
      <c r="Q39" s="513">
        <f t="shared" si="5"/>
        <v>7.7126886072863079E-6</v>
      </c>
      <c r="R39"/>
      <c r="S39"/>
      <c r="T39"/>
      <c r="U39">
        <v>12</v>
      </c>
      <c r="V39">
        <v>3.7552386673990606E-2</v>
      </c>
      <c r="W39">
        <v>-6.5238667399060424E-4</v>
      </c>
      <c r="X39" s="513">
        <f t="shared" si="6"/>
        <v>3.2229597913451878E-6</v>
      </c>
      <c r="Y39" s="513">
        <f t="shared" si="7"/>
        <v>4.2560837240052295E-7</v>
      </c>
      <c r="Z39"/>
      <c r="AA39"/>
      <c r="AB39"/>
      <c r="AC39">
        <v>12</v>
      </c>
      <c r="AD39">
        <v>4.8416007672574736E-2</v>
      </c>
      <c r="AE39">
        <v>-1.5743410059080795E-3</v>
      </c>
      <c r="AF39" s="513">
        <f t="shared" si="8"/>
        <v>2.8487578065944445E-6</v>
      </c>
      <c r="AG39" s="513">
        <f t="shared" si="9"/>
        <v>2.4785496028836635E-6</v>
      </c>
      <c r="AH39"/>
      <c r="AI39"/>
      <c r="AJ39"/>
      <c r="AK39"/>
    </row>
    <row r="40" spans="1:37" ht="12.75" customHeight="1">
      <c r="L40" s="507"/>
      <c r="M40">
        <v>13</v>
      </c>
      <c r="N40">
        <v>5.4290483417672605E-2</v>
      </c>
      <c r="O40">
        <v>5.0261832489940581E-3</v>
      </c>
      <c r="P40" s="513">
        <f t="shared" si="4"/>
        <v>6.089236519529619E-5</v>
      </c>
      <c r="Q40" s="513">
        <f t="shared" si="5"/>
        <v>2.5262518052468467E-5</v>
      </c>
      <c r="R40"/>
      <c r="S40"/>
      <c r="T40"/>
      <c r="U40">
        <v>13</v>
      </c>
      <c r="V40">
        <v>4.0183414630926763E-2</v>
      </c>
      <c r="W40">
        <v>4.5165853690732269E-3</v>
      </c>
      <c r="X40" s="513">
        <f t="shared" si="6"/>
        <v>2.6718271981975476E-5</v>
      </c>
      <c r="Y40" s="513">
        <f t="shared" si="7"/>
        <v>2.0399543396126336E-5</v>
      </c>
      <c r="Z40"/>
      <c r="AA40"/>
      <c r="AB40"/>
      <c r="AC40">
        <v>13</v>
      </c>
      <c r="AD40">
        <v>5.4599660519528047E-2</v>
      </c>
      <c r="AE40">
        <v>4.7170061471386165E-3</v>
      </c>
      <c r="AF40" s="513">
        <f t="shared" si="8"/>
        <v>3.9581049000148766E-5</v>
      </c>
      <c r="AG40" s="513">
        <f t="shared" si="9"/>
        <v>2.2250146992143496E-5</v>
      </c>
      <c r="AH40"/>
      <c r="AI40"/>
      <c r="AJ40"/>
      <c r="AK40"/>
    </row>
    <row r="41" spans="1:37" ht="12.75" customHeight="1">
      <c r="L41" s="507"/>
      <c r="M41">
        <v>14</v>
      </c>
      <c r="N41">
        <v>5.2983332426068008E-2</v>
      </c>
      <c r="O41">
        <v>-5.0416657594013412E-3</v>
      </c>
      <c r="P41" s="513">
        <f t="shared" si="4"/>
        <v>1.0136158365584823E-4</v>
      </c>
      <c r="Q41" s="513">
        <f t="shared" si="5"/>
        <v>2.5418393629519902E-5</v>
      </c>
      <c r="R41"/>
      <c r="S41"/>
      <c r="T41"/>
      <c r="U41">
        <v>14</v>
      </c>
      <c r="V41">
        <v>3.7458421389814311E-2</v>
      </c>
      <c r="W41">
        <v>-7.058421389814315E-3</v>
      </c>
      <c r="X41" s="513">
        <f t="shared" si="6"/>
        <v>1.3398078146829227E-4</v>
      </c>
      <c r="Y41" s="513">
        <f t="shared" si="7"/>
        <v>4.9821312516188244E-5</v>
      </c>
      <c r="Z41"/>
      <c r="AA41"/>
      <c r="AB41"/>
      <c r="AC41">
        <v>14</v>
      </c>
      <c r="AD41">
        <v>5.4203493228988542E-2</v>
      </c>
      <c r="AE41">
        <v>-6.2618265623218747E-3</v>
      </c>
      <c r="AF41" s="513">
        <f t="shared" si="8"/>
        <v>1.2053476766231958E-4</v>
      </c>
      <c r="AG41" s="513">
        <f t="shared" si="9"/>
        <v>3.9210471896599785E-5</v>
      </c>
      <c r="AH41"/>
      <c r="AI41"/>
      <c r="AJ41"/>
      <c r="AK41"/>
    </row>
    <row r="42" spans="1:37" ht="12.75" customHeight="1">
      <c r="L42" s="507"/>
      <c r="M42">
        <v>15</v>
      </c>
      <c r="N42">
        <v>5.2634758828306774E-2</v>
      </c>
      <c r="O42">
        <v>1.8402411716932215E-3</v>
      </c>
      <c r="P42" s="513">
        <f t="shared" si="4"/>
        <v>4.7360643008247383E-5</v>
      </c>
      <c r="Q42" s="513">
        <f t="shared" si="5"/>
        <v>3.3864875699948408E-6</v>
      </c>
      <c r="R42"/>
      <c r="S42"/>
      <c r="T42"/>
      <c r="U42">
        <v>15</v>
      </c>
      <c r="V42">
        <v>3.4525921479479214E-2</v>
      </c>
      <c r="W42">
        <v>-3.0675881461458762E-3</v>
      </c>
      <c r="X42" s="513">
        <f t="shared" si="6"/>
        <v>1.5926749978769151E-5</v>
      </c>
      <c r="Y42" s="513">
        <f t="shared" si="7"/>
        <v>9.4100970343746943E-6</v>
      </c>
      <c r="Z42"/>
      <c r="AA42"/>
      <c r="AB42"/>
      <c r="AC42">
        <v>15</v>
      </c>
      <c r="AD42">
        <v>5.5577470719590898E-2</v>
      </c>
      <c r="AE42">
        <v>-1.102470719590902E-3</v>
      </c>
      <c r="AF42" s="513">
        <f t="shared" si="8"/>
        <v>2.6618952711922226E-5</v>
      </c>
      <c r="AG42" s="513">
        <f t="shared" si="9"/>
        <v>1.2154416875552813E-6</v>
      </c>
      <c r="AH42"/>
      <c r="AI42"/>
      <c r="AJ42"/>
      <c r="AK42"/>
    </row>
    <row r="43" spans="1:37" ht="12.75" customHeight="1">
      <c r="B43" s="506"/>
      <c r="C43" s="506"/>
      <c r="D43" s="506"/>
      <c r="E43" s="506"/>
      <c r="F43" s="506"/>
      <c r="L43" s="507"/>
      <c r="M43">
        <v>16</v>
      </c>
      <c r="N43">
        <v>5.4676945449973091E-2</v>
      </c>
      <c r="O43">
        <v>-1.1027878330642504E-4</v>
      </c>
      <c r="P43" s="513">
        <f t="shared" si="4"/>
        <v>3.8045280948518231E-6</v>
      </c>
      <c r="Q43" s="513">
        <f t="shared" si="5"/>
        <v>1.216141004754545E-8</v>
      </c>
      <c r="R43"/>
      <c r="S43"/>
      <c r="T43"/>
      <c r="U43">
        <v>16</v>
      </c>
      <c r="V43">
        <v>3.6788918740058234E-2</v>
      </c>
      <c r="W43">
        <v>-4.9139187400582332E-3</v>
      </c>
      <c r="X43" s="513">
        <f t="shared" si="6"/>
        <v>3.4089366620167567E-6</v>
      </c>
      <c r="Y43" s="513">
        <f t="shared" si="7"/>
        <v>2.4146597383895493E-5</v>
      </c>
      <c r="Z43"/>
      <c r="AA43"/>
      <c r="AB43"/>
      <c r="AC43">
        <v>16</v>
      </c>
      <c r="AD43">
        <v>5.7534147117664615E-2</v>
      </c>
      <c r="AE43">
        <v>-2.9674804509979488E-3</v>
      </c>
      <c r="AF43" s="513">
        <f t="shared" si="8"/>
        <v>3.4782612982429852E-6</v>
      </c>
      <c r="AG43" s="513">
        <f t="shared" si="9"/>
        <v>8.8059402270549904E-6</v>
      </c>
      <c r="AH43"/>
      <c r="AI43"/>
      <c r="AJ43"/>
      <c r="AK43"/>
    </row>
    <row r="44" spans="1:37" ht="12.75" customHeight="1">
      <c r="B44" s="465"/>
      <c r="C44" s="514"/>
      <c r="D44" s="514"/>
      <c r="E44" s="481"/>
      <c r="F44" s="508"/>
      <c r="I44" s="481"/>
      <c r="J44" s="481"/>
      <c r="K44" s="481"/>
      <c r="L44" s="507"/>
      <c r="M44">
        <v>17</v>
      </c>
      <c r="N44">
        <v>5.4964897552471491E-2</v>
      </c>
      <c r="O44">
        <v>1.0351024475284964E-3</v>
      </c>
      <c r="P44" s="513">
        <f t="shared" si="4"/>
        <v>1.3118981639489197E-6</v>
      </c>
      <c r="Q44" s="513">
        <f t="shared" si="5"/>
        <v>1.0714370768794837E-6</v>
      </c>
      <c r="R44"/>
      <c r="S44"/>
      <c r="T44"/>
      <c r="U44">
        <v>17</v>
      </c>
      <c r="V44">
        <v>3.8621241781495917E-2</v>
      </c>
      <c r="W44">
        <v>-2.0462417814959208E-3</v>
      </c>
      <c r="X44" s="513">
        <f t="shared" si="6"/>
        <v>8.2235711386691946E-6</v>
      </c>
      <c r="Y44" s="513">
        <f t="shared" si="7"/>
        <v>4.1871054283396E-6</v>
      </c>
      <c r="Z44"/>
      <c r="AA44"/>
      <c r="AB44"/>
      <c r="AC44">
        <v>17</v>
      </c>
      <c r="AD44">
        <v>5.6794998962804863E-2</v>
      </c>
      <c r="AE44">
        <v>-7.9499896280487564E-4</v>
      </c>
      <c r="AF44" s="513">
        <f t="shared" si="8"/>
        <v>4.7196758165415897E-6</v>
      </c>
      <c r="AG44" s="513">
        <f t="shared" si="9"/>
        <v>6.3202335086082809E-7</v>
      </c>
      <c r="AH44"/>
      <c r="AI44"/>
      <c r="AJ44"/>
      <c r="AK44"/>
    </row>
    <row r="45" spans="1:37" ht="12.75" customHeight="1">
      <c r="B45" s="465"/>
      <c r="C45" s="514"/>
      <c r="D45" s="514"/>
      <c r="E45" s="481"/>
      <c r="F45" s="508"/>
      <c r="I45" s="481"/>
      <c r="J45" s="481"/>
      <c r="K45" s="481"/>
      <c r="L45" s="507"/>
      <c r="M45">
        <v>18</v>
      </c>
      <c r="N45">
        <v>5.7113171790847739E-2</v>
      </c>
      <c r="O45">
        <v>3.2118282091522579E-3</v>
      </c>
      <c r="P45" s="513">
        <f t="shared" si="4"/>
        <v>4.7381350413165446E-6</v>
      </c>
      <c r="Q45" s="513">
        <f t="shared" si="5"/>
        <v>1.03158404451062E-5</v>
      </c>
      <c r="R45"/>
      <c r="S45"/>
      <c r="T45"/>
      <c r="U45">
        <v>18</v>
      </c>
      <c r="V45">
        <v>4.2340700946807461E-2</v>
      </c>
      <c r="W45">
        <v>1.7509657198592071E-3</v>
      </c>
      <c r="X45" s="513">
        <f t="shared" si="6"/>
        <v>1.4418784808347654E-5</v>
      </c>
      <c r="Y45" s="513">
        <f t="shared" si="7"/>
        <v>3.0658809521220715E-6</v>
      </c>
      <c r="Z45"/>
      <c r="AA45"/>
      <c r="AB45"/>
      <c r="AC45">
        <v>18</v>
      </c>
      <c r="AD45">
        <v>5.7955215941405305E-2</v>
      </c>
      <c r="AE45">
        <v>2.3697840585946914E-3</v>
      </c>
      <c r="AF45" s="513">
        <f t="shared" si="8"/>
        <v>1.0015851572538972E-5</v>
      </c>
      <c r="AG45" s="513">
        <f t="shared" si="9"/>
        <v>5.615876484369528E-6</v>
      </c>
      <c r="AH45"/>
      <c r="AI45"/>
      <c r="AJ45"/>
      <c r="AK45"/>
    </row>
    <row r="46" spans="1:37" ht="12.75" customHeight="1">
      <c r="B46" s="465"/>
      <c r="C46" s="514"/>
      <c r="D46" s="514"/>
      <c r="E46" s="481"/>
      <c r="F46" s="508"/>
      <c r="I46" s="481"/>
      <c r="J46" s="481"/>
      <c r="K46" s="481"/>
      <c r="L46" s="507"/>
      <c r="M46">
        <v>19</v>
      </c>
      <c r="N46">
        <v>5.6707765541277627E-2</v>
      </c>
      <c r="O46">
        <v>-1.2744322079442927E-3</v>
      </c>
      <c r="P46" s="513">
        <f t="shared" si="4"/>
        <v>2.0126532530007315E-5</v>
      </c>
      <c r="Q46" s="513">
        <f t="shared" si="5"/>
        <v>1.6241774526457648E-6</v>
      </c>
      <c r="R46"/>
      <c r="S46"/>
      <c r="T46"/>
      <c r="U46">
        <v>19</v>
      </c>
      <c r="V46">
        <v>4.4317887134683598E-2</v>
      </c>
      <c r="W46">
        <v>-1.788713468359876E-5</v>
      </c>
      <c r="X46" s="513">
        <f t="shared" si="6"/>
        <v>3.1288404210242328E-6</v>
      </c>
      <c r="Y46" s="513">
        <f t="shared" si="7"/>
        <v>3.1994958718920171E-10</v>
      </c>
      <c r="Z46"/>
      <c r="AA46"/>
      <c r="AB46"/>
      <c r="AC46">
        <v>19</v>
      </c>
      <c r="AD46">
        <v>5.5939194953590607E-2</v>
      </c>
      <c r="AE46">
        <v>-5.0586162025727244E-4</v>
      </c>
      <c r="AF46" s="513">
        <f t="shared" si="8"/>
        <v>8.2693380702999716E-6</v>
      </c>
      <c r="AG46" s="513">
        <f t="shared" si="9"/>
        <v>2.5589597884931293E-7</v>
      </c>
      <c r="AH46"/>
      <c r="AI46"/>
      <c r="AJ46"/>
      <c r="AK46"/>
    </row>
    <row r="47" spans="1:37" ht="12.75" customHeight="1">
      <c r="B47" s="465"/>
      <c r="C47" s="514"/>
      <c r="D47" s="514"/>
      <c r="E47" s="481"/>
      <c r="F47" s="508"/>
      <c r="I47" s="481"/>
      <c r="J47" s="481"/>
      <c r="K47" s="481"/>
      <c r="L47" s="507"/>
      <c r="M47">
        <v>20</v>
      </c>
      <c r="N47">
        <v>5.8530199242616203E-2</v>
      </c>
      <c r="O47">
        <v>-3.8853257594953505E-4</v>
      </c>
      <c r="P47" s="513">
        <f t="shared" si="4"/>
        <v>7.8481815796844696E-7</v>
      </c>
      <c r="Q47" s="513">
        <f t="shared" si="5"/>
        <v>1.5095756257398123E-7</v>
      </c>
      <c r="R47"/>
      <c r="S47"/>
      <c r="T47"/>
      <c r="U47">
        <v>20</v>
      </c>
      <c r="V47">
        <v>4.6717917101353049E-2</v>
      </c>
      <c r="W47">
        <v>1.3904162319802876E-3</v>
      </c>
      <c r="X47" s="513">
        <f t="shared" si="6"/>
        <v>1.9833183725568368E-6</v>
      </c>
      <c r="Y47" s="513">
        <f t="shared" si="7"/>
        <v>1.9332572981542609E-6</v>
      </c>
      <c r="Z47"/>
      <c r="AA47"/>
      <c r="AB47"/>
      <c r="AC47">
        <v>20</v>
      </c>
      <c r="AD47">
        <v>5.7430058406189297E-2</v>
      </c>
      <c r="AE47">
        <v>7.116082604773713E-4</v>
      </c>
      <c r="AF47" s="513">
        <f t="shared" si="8"/>
        <v>1.4822329104960277E-6</v>
      </c>
      <c r="AG47" s="513">
        <f t="shared" si="9"/>
        <v>5.0638631637963037E-7</v>
      </c>
      <c r="AH47"/>
      <c r="AI47"/>
      <c r="AJ47"/>
      <c r="AK47"/>
    </row>
    <row r="48" spans="1:37" ht="12.75" customHeight="1">
      <c r="B48" s="465"/>
      <c r="C48" s="514"/>
      <c r="D48" s="514"/>
      <c r="E48" s="481"/>
      <c r="F48" s="508"/>
      <c r="I48" s="481"/>
      <c r="J48" s="481"/>
      <c r="K48" s="481"/>
      <c r="L48" s="507"/>
      <c r="M48">
        <v>21</v>
      </c>
      <c r="N48">
        <v>5.7382868556704505E-2</v>
      </c>
      <c r="O48">
        <v>-2.3646867385226852E-3</v>
      </c>
      <c r="P48" s="513">
        <f t="shared" si="4"/>
        <v>3.9051852742551882E-6</v>
      </c>
      <c r="Q48" s="513">
        <f t="shared" si="5"/>
        <v>5.5917433713450542E-6</v>
      </c>
      <c r="R48"/>
      <c r="S48"/>
      <c r="T48"/>
      <c r="U48">
        <v>21</v>
      </c>
      <c r="V48">
        <v>4.4748561353824934E-2</v>
      </c>
      <c r="W48">
        <v>-1.4318946871582708E-3</v>
      </c>
      <c r="X48" s="513">
        <f t="shared" si="6"/>
        <v>7.9654389242887342E-6</v>
      </c>
      <c r="Y48" s="513">
        <f t="shared" si="7"/>
        <v>2.0503223951120821E-6</v>
      </c>
      <c r="Z48"/>
      <c r="AA48"/>
      <c r="AB48"/>
      <c r="AC48">
        <v>21</v>
      </c>
      <c r="AD48">
        <v>5.6798950688720727E-2</v>
      </c>
      <c r="AE48">
        <v>-1.7807688705389069E-3</v>
      </c>
      <c r="AF48" s="513">
        <f t="shared" si="8"/>
        <v>6.2119437632129341E-6</v>
      </c>
      <c r="AG48" s="513">
        <f t="shared" si="9"/>
        <v>3.1711377702804141E-6</v>
      </c>
      <c r="AH48"/>
      <c r="AI48"/>
      <c r="AJ48"/>
      <c r="AK48"/>
    </row>
    <row r="49" spans="2:37" ht="12.75" customHeight="1">
      <c r="B49" s="465"/>
      <c r="C49" s="514"/>
      <c r="D49" s="514"/>
      <c r="E49" s="481"/>
      <c r="F49" s="508"/>
      <c r="I49" s="481"/>
      <c r="J49" s="481"/>
      <c r="K49" s="481"/>
      <c r="L49" s="507"/>
      <c r="M49">
        <v>22</v>
      </c>
      <c r="N49">
        <v>5.7673920622028842E-2</v>
      </c>
      <c r="O49">
        <v>-3.8155872886955142E-3</v>
      </c>
      <c r="P49" s="513">
        <f t="shared" si="4"/>
        <v>2.1051124064918177E-6</v>
      </c>
      <c r="Q49" s="513">
        <f t="shared" si="5"/>
        <v>1.4558706357654785E-5</v>
      </c>
      <c r="R49"/>
      <c r="S49"/>
      <c r="T49"/>
      <c r="U49">
        <v>22</v>
      </c>
      <c r="V49">
        <v>4.4725070032780867E-2</v>
      </c>
      <c r="W49">
        <v>-3.2584033661142014E-3</v>
      </c>
      <c r="X49" s="513">
        <f t="shared" si="6"/>
        <v>3.336133954301339E-6</v>
      </c>
      <c r="Y49" s="513">
        <f t="shared" si="7"/>
        <v>1.0617192496304358E-5</v>
      </c>
      <c r="Z49"/>
      <c r="AA49"/>
      <c r="AB49"/>
      <c r="AC49">
        <v>22</v>
      </c>
      <c r="AD49">
        <v>5.7309913395400952E-2</v>
      </c>
      <c r="AE49">
        <v>-3.4515800620676246E-3</v>
      </c>
      <c r="AF49" s="513">
        <f t="shared" si="8"/>
        <v>2.7916100377376136E-6</v>
      </c>
      <c r="AG49" s="513">
        <f t="shared" si="9"/>
        <v>1.1913404924862747E-5</v>
      </c>
      <c r="AH49"/>
      <c r="AI49"/>
      <c r="AJ49"/>
      <c r="AK49"/>
    </row>
    <row r="50" spans="2:37" ht="12.75" customHeight="1">
      <c r="B50" s="465"/>
      <c r="C50" s="514"/>
      <c r="D50" s="514"/>
      <c r="E50" s="481"/>
      <c r="F50" s="508"/>
      <c r="I50" s="481"/>
      <c r="J50" s="481"/>
      <c r="K50" s="481"/>
      <c r="L50" s="507"/>
      <c r="M50">
        <v>23</v>
      </c>
      <c r="N50">
        <v>6.0197290362343808E-2</v>
      </c>
      <c r="O50">
        <v>9.1104297098953263E-4</v>
      </c>
      <c r="P50" s="513">
        <f t="shared" si="4"/>
        <v>2.2341033611770334E-5</v>
      </c>
      <c r="Q50" s="513">
        <f t="shared" si="5"/>
        <v>8.2999929498943441E-7</v>
      </c>
      <c r="R50"/>
      <c r="S50"/>
      <c r="T50"/>
      <c r="U50">
        <v>23</v>
      </c>
      <c r="V50">
        <v>4.2587359817770232E-2</v>
      </c>
      <c r="W50">
        <v>-3.9706931511035576E-3</v>
      </c>
      <c r="X50" s="513">
        <f t="shared" si="6"/>
        <v>5.0735673780018322E-7</v>
      </c>
      <c r="Y50" s="513">
        <f t="shared" si="7"/>
        <v>1.5766404100220701E-5</v>
      </c>
      <c r="Z50"/>
      <c r="AA50"/>
      <c r="AB50"/>
      <c r="AC50">
        <v>23</v>
      </c>
      <c r="AD50">
        <v>6.3037180863289952E-2</v>
      </c>
      <c r="AE50">
        <v>-1.9288475299566107E-3</v>
      </c>
      <c r="AF50" s="513">
        <f t="shared" si="8"/>
        <v>2.3187143643492198E-6</v>
      </c>
      <c r="AG50" s="513">
        <f t="shared" si="9"/>
        <v>3.7204527938197182E-6</v>
      </c>
      <c r="AH50"/>
      <c r="AI50"/>
      <c r="AJ50"/>
      <c r="AK50"/>
    </row>
    <row r="51" spans="2:37" ht="12.75" customHeight="1">
      <c r="B51" s="465"/>
      <c r="C51" s="514"/>
      <c r="D51" s="514"/>
      <c r="E51" s="481"/>
      <c r="F51" s="508"/>
      <c r="I51" s="481"/>
      <c r="J51" s="481"/>
      <c r="K51" s="481"/>
      <c r="L51" s="507"/>
      <c r="M51">
        <v>24</v>
      </c>
      <c r="N51">
        <v>6.1152078912733249E-2</v>
      </c>
      <c r="O51">
        <v>3.5625442060008283E-4</v>
      </c>
      <c r="P51" s="513">
        <f t="shared" si="4"/>
        <v>3.0779033564322706E-7</v>
      </c>
      <c r="Q51" s="513">
        <f t="shared" si="5"/>
        <v>1.2691721219710073E-7</v>
      </c>
      <c r="R51"/>
      <c r="S51"/>
      <c r="T51"/>
      <c r="U51">
        <v>24</v>
      </c>
      <c r="V51">
        <v>4.4885594059915365E-2</v>
      </c>
      <c r="W51">
        <v>-3.077260726582022E-3</v>
      </c>
      <c r="X51" s="513">
        <f t="shared" si="6"/>
        <v>7.9822149718642929E-7</v>
      </c>
      <c r="Y51" s="513">
        <f t="shared" si="7"/>
        <v>9.4695335793641137E-6</v>
      </c>
      <c r="Z51"/>
      <c r="AA51"/>
      <c r="AB51"/>
      <c r="AC51">
        <v>24</v>
      </c>
      <c r="AD51">
        <v>6.3120087305639699E-2</v>
      </c>
      <c r="AE51">
        <v>-1.6117539723063679E-3</v>
      </c>
      <c r="AF51" s="513">
        <f t="shared" si="8"/>
        <v>1.0054832430328791E-7</v>
      </c>
      <c r="AG51" s="513">
        <f t="shared" si="9"/>
        <v>2.5977508672453559E-6</v>
      </c>
      <c r="AH51"/>
      <c r="AI51"/>
      <c r="AJ51"/>
      <c r="AK51"/>
    </row>
    <row r="52" spans="2:37" ht="12.75" customHeight="1">
      <c r="B52" s="465"/>
      <c r="C52" s="514"/>
      <c r="D52" s="514"/>
      <c r="E52" s="481"/>
      <c r="F52" s="508"/>
      <c r="I52" s="481"/>
      <c r="J52" s="481"/>
      <c r="K52" s="481"/>
      <c r="L52" s="507"/>
      <c r="M52">
        <v>25</v>
      </c>
      <c r="N52">
        <v>6.0326111039777294E-2</v>
      </c>
      <c r="O52">
        <v>-1.3344443731106229E-3</v>
      </c>
      <c r="P52" s="513">
        <f t="shared" si="4"/>
        <v>2.8584624110548352E-6</v>
      </c>
      <c r="Q52" s="513">
        <f t="shared" si="5"/>
        <v>1.7807417849266033E-6</v>
      </c>
      <c r="R52"/>
      <c r="S52"/>
      <c r="T52"/>
      <c r="U52">
        <v>25</v>
      </c>
      <c r="V52">
        <v>4.756489521548192E-2</v>
      </c>
      <c r="W52">
        <v>-7.5381500269504353E-4</v>
      </c>
      <c r="X52" s="513">
        <f t="shared" si="6"/>
        <v>5.398400031848686E-6</v>
      </c>
      <c r="Y52" s="513">
        <f t="shared" si="7"/>
        <v>5.6823705828812851E-7</v>
      </c>
      <c r="Z52"/>
      <c r="AA52"/>
      <c r="AB52"/>
      <c r="AC52">
        <v>25</v>
      </c>
      <c r="AD52">
        <v>5.9917547181536322E-2</v>
      </c>
      <c r="AE52">
        <v>-9.2588051486965084E-4</v>
      </c>
      <c r="AF52" s="513">
        <f t="shared" si="8"/>
        <v>4.7042239961619605E-7</v>
      </c>
      <c r="AG52" s="513">
        <f t="shared" si="9"/>
        <v>8.5725472781528978E-7</v>
      </c>
      <c r="AH52"/>
      <c r="AI52"/>
      <c r="AJ52"/>
      <c r="AK52"/>
    </row>
    <row r="53" spans="2:37" ht="12.75" customHeight="1">
      <c r="B53" s="465"/>
      <c r="C53" s="514"/>
      <c r="D53" s="514"/>
      <c r="E53" s="481"/>
      <c r="F53" s="508"/>
      <c r="I53" s="481"/>
      <c r="J53" s="481"/>
      <c r="K53" s="481"/>
      <c r="L53" s="507"/>
      <c r="M53">
        <v>26</v>
      </c>
      <c r="N53">
        <v>6.1871959168979251E-2</v>
      </c>
      <c r="O53">
        <v>-1.7802925023125901E-3</v>
      </c>
      <c r="P53" s="513">
        <f t="shared" si="4"/>
        <v>1.9878055431289408E-7</v>
      </c>
      <c r="Q53" s="513">
        <f t="shared" si="5"/>
        <v>3.1694413937904238E-6</v>
      </c>
      <c r="R53"/>
      <c r="S53"/>
      <c r="T53"/>
      <c r="U53">
        <v>26</v>
      </c>
      <c r="V53">
        <v>4.9584606577333275E-2</v>
      </c>
      <c r="W53">
        <v>-7.7468050981116532E-4</v>
      </c>
      <c r="X53" s="513">
        <f t="shared" si="6"/>
        <v>4.3536938721292881E-10</v>
      </c>
      <c r="Y53" s="513">
        <f t="shared" si="7"/>
        <v>6.0012989228128704E-7</v>
      </c>
      <c r="Z53"/>
      <c r="AA53"/>
      <c r="AB53"/>
      <c r="AC53">
        <v>26</v>
      </c>
      <c r="AD53">
        <v>6.1192927851384776E-2</v>
      </c>
      <c r="AE53">
        <v>-1.101261184718115E-3</v>
      </c>
      <c r="AF53" s="513">
        <f t="shared" si="8"/>
        <v>3.0758379356495992E-8</v>
      </c>
      <c r="AG53" s="513">
        <f t="shared" si="9"/>
        <v>1.2127761969667463E-6</v>
      </c>
      <c r="AH53"/>
      <c r="AI53"/>
      <c r="AJ53"/>
      <c r="AK53"/>
    </row>
    <row r="54" spans="2:37" ht="12.75" customHeight="1">
      <c r="B54" s="465"/>
      <c r="C54" s="514"/>
      <c r="D54" s="514"/>
      <c r="E54" s="483"/>
      <c r="F54" s="508"/>
      <c r="I54" s="481"/>
      <c r="J54" s="481"/>
      <c r="K54" s="481"/>
      <c r="L54" s="507"/>
      <c r="M54">
        <v>27</v>
      </c>
      <c r="N54">
        <v>6.6373105192243778E-2</v>
      </c>
      <c r="O54">
        <v>3.818561474422888E-3</v>
      </c>
      <c r="P54" s="513">
        <f t="shared" si="4"/>
        <v>3.1347165852806677E-5</v>
      </c>
      <c r="Q54" s="513">
        <f t="shared" si="5"/>
        <v>1.4581411733946701E-5</v>
      </c>
      <c r="R54"/>
      <c r="S54"/>
      <c r="T54"/>
      <c r="U54">
        <v>27</v>
      </c>
      <c r="V54">
        <v>5.3851339781272413E-2</v>
      </c>
      <c r="W54">
        <v>4.2400959977175467E-3</v>
      </c>
      <c r="X54" s="513">
        <f t="shared" si="6"/>
        <v>2.5147983420461867E-5</v>
      </c>
      <c r="Y54" s="513">
        <f t="shared" si="7"/>
        <v>1.7978414069860359E-5</v>
      </c>
      <c r="Z54"/>
      <c r="AA54"/>
      <c r="AB54"/>
      <c r="AC54">
        <v>27</v>
      </c>
      <c r="AD54">
        <v>6.5989297545072559E-2</v>
      </c>
      <c r="AE54">
        <v>4.2023691215941072E-3</v>
      </c>
      <c r="AF54" s="513">
        <f t="shared" si="8"/>
        <v>2.8128494426033476E-5</v>
      </c>
      <c r="AG54" s="513">
        <f t="shared" si="9"/>
        <v>1.7659906234127628E-5</v>
      </c>
      <c r="AH54"/>
      <c r="AI54"/>
      <c r="AJ54"/>
      <c r="AK54"/>
    </row>
    <row r="55" spans="2:37" ht="12.75" customHeight="1">
      <c r="B55" s="465"/>
      <c r="C55" s="514"/>
      <c r="D55" s="514"/>
      <c r="E55" s="483"/>
      <c r="F55" s="508"/>
      <c r="I55" s="481"/>
      <c r="J55" s="481"/>
      <c r="K55" s="481"/>
      <c r="L55" s="507"/>
      <c r="M55">
        <v>28</v>
      </c>
      <c r="N55">
        <v>6.3974767285908396E-2</v>
      </c>
      <c r="O55">
        <v>-1.65810061924173E-3</v>
      </c>
      <c r="P55" s="513">
        <f t="shared" si="4"/>
        <v>2.9993827688182917E-5</v>
      </c>
      <c r="Q55" s="513">
        <f t="shared" si="5"/>
        <v>2.7492976635298083E-6</v>
      </c>
      <c r="R55"/>
      <c r="S55"/>
      <c r="T55"/>
      <c r="U55">
        <v>28</v>
      </c>
      <c r="V55">
        <v>5.2229901496194886E-2</v>
      </c>
      <c r="W55">
        <v>-1.8960897567790735E-4</v>
      </c>
      <c r="X55" s="513">
        <f t="shared" si="6"/>
        <v>1.962228615132442E-5</v>
      </c>
      <c r="Y55" s="513">
        <f t="shared" si="7"/>
        <v>3.5951563657625263E-8</v>
      </c>
      <c r="Z55"/>
      <c r="AA55"/>
      <c r="AB55"/>
      <c r="AC55">
        <v>28</v>
      </c>
      <c r="AD55">
        <v>6.2996311349578643E-2</v>
      </c>
      <c r="AE55">
        <v>-6.7964468291197705E-4</v>
      </c>
      <c r="AF55" s="513">
        <f t="shared" si="8"/>
        <v>2.3834058787387971E-5</v>
      </c>
      <c r="AG55" s="513">
        <f t="shared" si="9"/>
        <v>4.6191689501052185E-7</v>
      </c>
      <c r="AH55"/>
      <c r="AI55"/>
      <c r="AJ55"/>
      <c r="AK55"/>
    </row>
    <row r="56" spans="2:37" ht="12.75" customHeight="1">
      <c r="B56" s="465"/>
      <c r="C56" s="514"/>
      <c r="D56" s="514"/>
      <c r="E56" s="483"/>
      <c r="F56" s="508"/>
      <c r="I56" s="481"/>
      <c r="J56" s="481"/>
      <c r="K56" s="481"/>
      <c r="L56" s="507"/>
      <c r="M56">
        <v>29</v>
      </c>
      <c r="N56">
        <v>6.446731693491882E-2</v>
      </c>
      <c r="O56">
        <v>-6.7316934918820737E-5</v>
      </c>
      <c r="P56" s="513">
        <f t="shared" si="4"/>
        <v>2.5305927303079694E-6</v>
      </c>
      <c r="Q56" s="513">
        <f t="shared" si="5"/>
        <v>4.5315697268647466E-9</v>
      </c>
      <c r="R56"/>
      <c r="S56"/>
      <c r="T56"/>
      <c r="U56">
        <v>29</v>
      </c>
      <c r="V56">
        <v>5.3162795160438023E-2</v>
      </c>
      <c r="W56">
        <v>1.8631108181150144E-3</v>
      </c>
      <c r="X56" s="513">
        <f t="shared" si="6"/>
        <v>4.2136585518292555E-6</v>
      </c>
      <c r="Y56" s="513">
        <f t="shared" si="7"/>
        <v>3.4711819205771983E-6</v>
      </c>
      <c r="Z56"/>
      <c r="AA56"/>
      <c r="AB56"/>
      <c r="AC56">
        <v>29</v>
      </c>
      <c r="AD56">
        <v>6.3208588000936025E-2</v>
      </c>
      <c r="AE56">
        <v>1.1914119990639738E-3</v>
      </c>
      <c r="AF56" s="513">
        <f t="shared" si="8"/>
        <v>3.5008531071668545E-6</v>
      </c>
      <c r="AG56" s="513">
        <f t="shared" si="9"/>
        <v>1.4194625515136142E-6</v>
      </c>
      <c r="AH56"/>
      <c r="AI56"/>
      <c r="AJ56"/>
      <c r="AK56"/>
    </row>
    <row r="57" spans="2:37" ht="12.75" customHeight="1">
      <c r="B57" s="465"/>
      <c r="C57" s="514"/>
      <c r="D57" s="514"/>
      <c r="E57" s="483"/>
      <c r="F57" s="508"/>
      <c r="I57" s="481"/>
      <c r="J57" s="481"/>
      <c r="K57" s="481"/>
      <c r="L57" s="507"/>
      <c r="M57">
        <v>30</v>
      </c>
      <c r="N57">
        <v>6.6736834163820716E-2</v>
      </c>
      <c r="O57">
        <v>8.5483250284595913E-4</v>
      </c>
      <c r="P57" s="513">
        <f t="shared" si="4"/>
        <v>8.5035958556989962E-7</v>
      </c>
      <c r="Q57" s="513">
        <f t="shared" si="5"/>
        <v>7.3073860792188675E-7</v>
      </c>
      <c r="R57"/>
      <c r="S57"/>
      <c r="T57"/>
      <c r="U57">
        <v>30</v>
      </c>
      <c r="V57">
        <v>5.3923973363368877E-2</v>
      </c>
      <c r="W57">
        <v>9.2205904720300824E-4</v>
      </c>
      <c r="X57" s="513">
        <f t="shared" si="6"/>
        <v>8.8557843553662285E-7</v>
      </c>
      <c r="Y57" s="513">
        <f t="shared" si="7"/>
        <v>8.5019288652891941E-7</v>
      </c>
      <c r="Z57"/>
      <c r="AA57"/>
      <c r="AB57"/>
      <c r="AC57">
        <v>30</v>
      </c>
      <c r="AD57">
        <v>6.6559436745091544E-2</v>
      </c>
      <c r="AE57">
        <v>1.0322299215751313E-3</v>
      </c>
      <c r="AF57" s="513">
        <f t="shared" si="8"/>
        <v>2.5338933793663858E-8</v>
      </c>
      <c r="AG57" s="513">
        <f t="shared" si="9"/>
        <v>1.0654986109950016E-6</v>
      </c>
      <c r="AH57"/>
      <c r="AI57"/>
      <c r="AJ57"/>
      <c r="AK57"/>
    </row>
    <row r="58" spans="2:37" ht="12.75" customHeight="1">
      <c r="B58" s="465"/>
      <c r="C58" s="514"/>
      <c r="D58" s="514"/>
      <c r="E58" s="483"/>
      <c r="F58" s="508"/>
      <c r="I58" s="481"/>
      <c r="J58" s="481"/>
      <c r="K58" s="481"/>
      <c r="L58" s="507"/>
      <c r="M58">
        <v>31</v>
      </c>
      <c r="N58">
        <v>6.7843176452367204E-2</v>
      </c>
      <c r="O58">
        <v>1.5818235476327963E-3</v>
      </c>
      <c r="P58" s="513">
        <f t="shared" si="4"/>
        <v>5.2851597920025706E-7</v>
      </c>
      <c r="Q58" s="513">
        <f t="shared" si="5"/>
        <v>2.5021657358456055E-6</v>
      </c>
      <c r="R58"/>
      <c r="S58"/>
      <c r="T58"/>
      <c r="U58">
        <v>31</v>
      </c>
      <c r="V58">
        <v>5.4794080768226741E-2</v>
      </c>
      <c r="W58">
        <v>1.3039279599507472E-3</v>
      </c>
      <c r="X58" s="513">
        <f t="shared" si="6"/>
        <v>1.4582386652314029E-7</v>
      </c>
      <c r="Y58" s="513">
        <f t="shared" si="7"/>
        <v>1.7002281247413175E-6</v>
      </c>
      <c r="Z58"/>
      <c r="AA58"/>
      <c r="AB58"/>
      <c r="AC58">
        <v>31</v>
      </c>
      <c r="AD58">
        <v>6.7858155344842325E-2</v>
      </c>
      <c r="AE58">
        <v>1.5668446551576759E-3</v>
      </c>
      <c r="AF58" s="513">
        <f t="shared" si="8"/>
        <v>2.8581291336353518E-7</v>
      </c>
      <c r="AG58" s="513">
        <f t="shared" si="9"/>
        <v>2.4550021733961763E-6</v>
      </c>
      <c r="AH58"/>
      <c r="AI58"/>
      <c r="AJ58"/>
      <c r="AK58"/>
    </row>
    <row r="59" spans="2:37" ht="12.75" customHeight="1">
      <c r="B59" s="465"/>
      <c r="C59" s="514"/>
      <c r="D59" s="514"/>
      <c r="E59" s="483"/>
      <c r="F59" s="508"/>
      <c r="I59" s="481"/>
      <c r="J59" s="481"/>
      <c r="K59" s="481"/>
      <c r="L59" s="507"/>
      <c r="M59">
        <v>32</v>
      </c>
      <c r="N59">
        <v>6.6490559339315497E-2</v>
      </c>
      <c r="O59">
        <v>1.7594406606844942E-3</v>
      </c>
      <c r="P59" s="513">
        <f t="shared" si="4"/>
        <v>3.1547838848819638E-8</v>
      </c>
      <c r="Q59" s="513">
        <f t="shared" si="5"/>
        <v>3.0956314384698894E-6</v>
      </c>
      <c r="R59"/>
      <c r="S59"/>
      <c r="T59"/>
      <c r="U59">
        <v>32</v>
      </c>
      <c r="V59">
        <v>5.4471990293907077E-2</v>
      </c>
      <c r="W59">
        <v>2.7404663665186943E-3</v>
      </c>
      <c r="X59" s="513">
        <f t="shared" si="6"/>
        <v>2.0636425935447763E-6</v>
      </c>
      <c r="Y59" s="513">
        <f t="shared" si="7"/>
        <v>7.5101559060201742E-6</v>
      </c>
      <c r="Z59"/>
      <c r="AA59"/>
      <c r="AB59"/>
      <c r="AC59">
        <v>32</v>
      </c>
      <c r="AD59">
        <v>6.5772820064057283E-2</v>
      </c>
      <c r="AE59">
        <v>2.4771799359427082E-3</v>
      </c>
      <c r="AF59" s="513">
        <f t="shared" si="8"/>
        <v>8.2871032344196365E-7</v>
      </c>
      <c r="AG59" s="513">
        <f t="shared" si="9"/>
        <v>6.1364204350371203E-6</v>
      </c>
      <c r="AH59"/>
      <c r="AI59"/>
      <c r="AJ59"/>
      <c r="AK59"/>
    </row>
    <row r="60" spans="2:37" ht="12.75" customHeight="1">
      <c r="B60" s="465"/>
      <c r="C60" s="514"/>
      <c r="D60" s="514"/>
      <c r="E60" s="483"/>
      <c r="F60" s="508"/>
      <c r="I60" s="481"/>
      <c r="J60" s="481"/>
      <c r="K60" s="481"/>
      <c r="L60" s="507"/>
      <c r="M60">
        <v>33</v>
      </c>
      <c r="N60">
        <v>6.5501671197840713E-2</v>
      </c>
      <c r="O60">
        <v>-7.2667119784071421E-4</v>
      </c>
      <c r="P60" s="513">
        <f t="shared" si="4"/>
        <v>6.1807521730996664E-6</v>
      </c>
      <c r="Q60" s="513">
        <f t="shared" si="5"/>
        <v>5.2805102977125843E-7</v>
      </c>
      <c r="R60"/>
      <c r="S60"/>
      <c r="T60"/>
      <c r="U60">
        <v>33</v>
      </c>
      <c r="V60">
        <v>5.3290494078594347E-2</v>
      </c>
      <c r="W60">
        <v>1.0721210633437422E-4</v>
      </c>
      <c r="X60" s="513">
        <f t="shared" si="6"/>
        <v>6.9340279987788707E-6</v>
      </c>
      <c r="Y60" s="513">
        <f t="shared" si="7"/>
        <v>1.1494435744653165E-8</v>
      </c>
      <c r="Z60"/>
      <c r="AA60"/>
      <c r="AB60"/>
      <c r="AC60">
        <v>33</v>
      </c>
      <c r="AD60">
        <v>6.488281396941728E-2</v>
      </c>
      <c r="AE60">
        <v>-1.0781396941728083E-4</v>
      </c>
      <c r="AF60" s="513">
        <f t="shared" si="8"/>
        <v>6.6821934907482884E-6</v>
      </c>
      <c r="AG60" s="513">
        <f t="shared" si="9"/>
        <v>1.1623852001510367E-8</v>
      </c>
      <c r="AH60"/>
      <c r="AI60"/>
      <c r="AJ60"/>
      <c r="AK60"/>
    </row>
    <row r="61" spans="2:37" ht="12.75" customHeight="1" thickBot="1">
      <c r="B61" s="465"/>
      <c r="C61" s="514"/>
      <c r="D61" s="514"/>
      <c r="E61" s="483"/>
      <c r="F61" s="508"/>
      <c r="I61" s="481"/>
      <c r="J61" s="481"/>
      <c r="K61" s="481"/>
      <c r="L61" s="507"/>
      <c r="M61" s="497">
        <v>34</v>
      </c>
      <c r="N61" s="497">
        <v>6.6490559339315497E-2</v>
      </c>
      <c r="O61" s="497">
        <v>8.594406606844962E-4</v>
      </c>
      <c r="P61" s="515">
        <f t="shared" si="4"/>
        <v>2.515750827754297E-6</v>
      </c>
      <c r="Q61" s="515">
        <f t="shared" si="5"/>
        <v>7.3863824923780339E-7</v>
      </c>
      <c r="R61"/>
      <c r="S61"/>
      <c r="T61"/>
      <c r="U61" s="497">
        <v>34</v>
      </c>
      <c r="V61" s="497">
        <v>5.3965236474486714E-2</v>
      </c>
      <c r="W61" s="497">
        <v>1.2686222252930382E-3</v>
      </c>
      <c r="X61" s="515">
        <f t="shared" si="6"/>
        <v>1.348873464419578E-6</v>
      </c>
      <c r="Y61" s="515">
        <f t="shared" si="7"/>
        <v>1.6094023505074602E-6</v>
      </c>
      <c r="Z61"/>
      <c r="AA61"/>
      <c r="AB61"/>
      <c r="AC61" s="497">
        <v>34</v>
      </c>
      <c r="AD61" s="497">
        <v>6.6112738569086199E-2</v>
      </c>
      <c r="AE61" s="497">
        <v>1.2372614309137941E-3</v>
      </c>
      <c r="AF61" s="515">
        <f t="shared" si="8"/>
        <v>1.8092278325758017E-6</v>
      </c>
      <c r="AG61" s="515">
        <f t="shared" si="9"/>
        <v>1.5308158484268495E-6</v>
      </c>
      <c r="AH61"/>
      <c r="AI61"/>
      <c r="AJ61"/>
      <c r="AK61"/>
    </row>
    <row r="62" spans="2:37" ht="12.75" customHeight="1">
      <c r="B62" s="465"/>
      <c r="C62" s="514"/>
      <c r="D62" s="514"/>
      <c r="E62" s="483"/>
      <c r="F62" s="508"/>
      <c r="I62" s="481"/>
      <c r="J62" s="481"/>
      <c r="K62" s="481"/>
      <c r="L62" s="507"/>
      <c r="P62" s="516">
        <f>SUM(P29:P61)</f>
        <v>5.3517730314343122E-4</v>
      </c>
      <c r="Q62" s="516">
        <f>SUM(Q29:Q61)</f>
        <v>2.1013404169492405E-4</v>
      </c>
      <c r="X62" s="516">
        <f>SUM(X29:X61)</f>
        <v>4.4132232012816135E-4</v>
      </c>
      <c r="Y62" s="516">
        <f>SUM(Y29:Y61)</f>
        <v>2.262074389249647E-4</v>
      </c>
      <c r="Z62" s="486"/>
      <c r="AA62" s="486"/>
      <c r="AB62" s="486"/>
      <c r="AF62" s="516">
        <f>SUM(AF29:AF61)</f>
        <v>4.6095585880366629E-4</v>
      </c>
      <c r="AG62" s="516">
        <f>SUM(AG29:AG61)</f>
        <v>1.8715111993617868E-4</v>
      </c>
      <c r="AH62"/>
      <c r="AI62"/>
      <c r="AJ62"/>
      <c r="AK62"/>
    </row>
    <row r="63" spans="2:37" ht="12.75" customHeight="1">
      <c r="B63" s="465"/>
      <c r="C63" s="514"/>
      <c r="D63" s="514"/>
      <c r="E63" s="483"/>
      <c r="F63" s="508"/>
      <c r="I63" s="481"/>
      <c r="J63" s="481"/>
      <c r="K63" s="481"/>
      <c r="L63" s="507"/>
    </row>
    <row r="64" spans="2:37" ht="12.75" customHeight="1">
      <c r="B64" s="465"/>
      <c r="C64" s="514"/>
      <c r="D64" s="514"/>
      <c r="E64" s="483"/>
      <c r="F64" s="508"/>
      <c r="I64" s="481"/>
      <c r="J64" s="481"/>
      <c r="K64" s="481"/>
      <c r="L64" s="507"/>
      <c r="N64" s="517" t="s">
        <v>1693</v>
      </c>
      <c r="O64" s="513">
        <f>P62/Q62</f>
        <v>2.5468377176145984</v>
      </c>
      <c r="V64" s="517" t="s">
        <v>1693</v>
      </c>
      <c r="W64" s="513">
        <f>X62/Y62</f>
        <v>1.9509628959397416</v>
      </c>
      <c r="AD64" s="517" t="s">
        <v>1693</v>
      </c>
      <c r="AE64" s="513">
        <f>AF62/AG62</f>
        <v>2.4630141618220565</v>
      </c>
    </row>
    <row r="65" spans="2:37" ht="12.75" customHeight="1">
      <c r="B65" s="465"/>
      <c r="C65" s="514"/>
      <c r="D65" s="514"/>
      <c r="E65" s="483"/>
      <c r="F65" s="508"/>
      <c r="I65" s="481"/>
      <c r="J65" s="481"/>
      <c r="K65" s="481"/>
      <c r="L65" s="507"/>
      <c r="M65" s="517" t="s">
        <v>1694</v>
      </c>
      <c r="N65" s="504" t="s">
        <v>1695</v>
      </c>
      <c r="O65" s="504">
        <v>1.1839999999999999</v>
      </c>
      <c r="P65" s="517" t="s">
        <v>1696</v>
      </c>
      <c r="Q65" s="517" t="s">
        <v>1697</v>
      </c>
      <c r="V65" s="504" t="s">
        <v>1695</v>
      </c>
      <c r="W65" s="504">
        <f>O65</f>
        <v>1.1839999999999999</v>
      </c>
      <c r="X65" s="517" t="s">
        <v>1696</v>
      </c>
      <c r="Y65" s="517" t="s">
        <v>1697</v>
      </c>
      <c r="AD65" s="504" t="s">
        <v>1695</v>
      </c>
      <c r="AE65" s="504">
        <v>1.1279999999999999</v>
      </c>
      <c r="AF65" s="517" t="s">
        <v>1696</v>
      </c>
      <c r="AG65" s="517" t="s">
        <v>1697</v>
      </c>
    </row>
    <row r="66" spans="2:37" ht="12.75" customHeight="1">
      <c r="B66" s="465"/>
      <c r="C66" s="514"/>
      <c r="D66" s="514"/>
      <c r="E66" s="483"/>
      <c r="F66" s="508"/>
      <c r="I66" s="481"/>
      <c r="J66" s="481"/>
      <c r="K66" s="481"/>
      <c r="L66" s="507"/>
      <c r="N66" s="504" t="s">
        <v>1698</v>
      </c>
      <c r="O66" s="504">
        <v>1.298</v>
      </c>
      <c r="P66" s="518">
        <f>4-O65</f>
        <v>2.8159999999999998</v>
      </c>
      <c r="Q66" s="504">
        <f>4-O66</f>
        <v>2.702</v>
      </c>
      <c r="V66" s="504" t="s">
        <v>1698</v>
      </c>
      <c r="W66" s="504">
        <f>O66</f>
        <v>1.298</v>
      </c>
      <c r="X66" s="504">
        <f>4-W65</f>
        <v>2.8159999999999998</v>
      </c>
      <c r="Y66" s="504">
        <f>4-W66</f>
        <v>2.702</v>
      </c>
      <c r="AD66" s="504" t="s">
        <v>1698</v>
      </c>
      <c r="AE66" s="504">
        <v>1.3640000000000001</v>
      </c>
      <c r="AF66" s="504">
        <f>4-AE65</f>
        <v>2.8719999999999999</v>
      </c>
      <c r="AG66" s="504">
        <f>4-AE66</f>
        <v>2.6360000000000001</v>
      </c>
    </row>
    <row r="67" spans="2:37" ht="12.75" customHeight="1">
      <c r="B67" s="465"/>
      <c r="C67" s="514"/>
      <c r="D67" s="514"/>
      <c r="E67" s="483"/>
      <c r="F67" s="508"/>
      <c r="I67" s="481"/>
      <c r="J67" s="481"/>
      <c r="K67" s="481"/>
      <c r="L67" s="507"/>
      <c r="N67" s="504" t="s">
        <v>1699</v>
      </c>
      <c r="O67" s="504" t="b">
        <f>O64&gt;2</f>
        <v>1</v>
      </c>
      <c r="V67" s="504" t="s">
        <v>1699</v>
      </c>
      <c r="W67" s="504" t="b">
        <f>W64&gt;2</f>
        <v>0</v>
      </c>
      <c r="AD67" s="504" t="s">
        <v>1699</v>
      </c>
      <c r="AE67" s="504" t="b">
        <f>AE64&gt;2</f>
        <v>1</v>
      </c>
    </row>
    <row r="68" spans="2:37" ht="12.75" customHeight="1">
      <c r="B68" s="465"/>
      <c r="C68" s="514"/>
      <c r="D68" s="514"/>
      <c r="E68" s="483"/>
      <c r="F68" s="508"/>
      <c r="I68" s="481"/>
      <c r="J68" s="481"/>
      <c r="K68" s="481"/>
      <c r="N68" s="519" t="s">
        <v>1700</v>
      </c>
      <c r="O68" s="504" t="b">
        <f>O64&lt;Q66</f>
        <v>1</v>
      </c>
      <c r="P68" s="504" t="s">
        <v>1701</v>
      </c>
      <c r="V68" s="519" t="s">
        <v>1702</v>
      </c>
      <c r="W68" s="507" t="str">
        <f>IF(AND(W66&lt;W64,(W64&lt;2)),"TRUE","FALSE")</f>
        <v>TRUE</v>
      </c>
      <c r="X68" s="504" t="s">
        <v>1701</v>
      </c>
      <c r="AD68" s="519" t="s">
        <v>1703</v>
      </c>
      <c r="AE68" s="504" t="b">
        <f>AF62&lt;AG66</f>
        <v>1</v>
      </c>
      <c r="AF68" s="504" t="s">
        <v>1701</v>
      </c>
    </row>
    <row r="69" spans="2:37" ht="15.75" customHeight="1">
      <c r="B69" s="465"/>
      <c r="C69" s="514"/>
      <c r="D69" s="514"/>
      <c r="E69" s="483"/>
      <c r="F69" s="508"/>
      <c r="I69" s="481"/>
      <c r="J69" s="481"/>
      <c r="K69" s="481"/>
      <c r="AC69" s="489"/>
      <c r="AI69" s="489"/>
    </row>
    <row r="70" spans="2:37">
      <c r="B70" s="465"/>
      <c r="C70" s="514"/>
      <c r="D70" s="514"/>
      <c r="E70" s="483"/>
      <c r="F70" s="508"/>
      <c r="I70" s="481"/>
      <c r="J70" s="481"/>
      <c r="K70" s="481"/>
      <c r="M70" s="489"/>
      <c r="S70" s="489"/>
      <c r="T70" s="489"/>
      <c r="U70" s="489"/>
      <c r="V70" s="489"/>
      <c r="AA70" s="489"/>
      <c r="AB70" s="489"/>
      <c r="AC70" s="489"/>
      <c r="AD70" s="421"/>
      <c r="AE70" s="421"/>
      <c r="AF70" s="421"/>
      <c r="AG70" s="421"/>
      <c r="AI70" s="489"/>
    </row>
    <row r="71" spans="2:37">
      <c r="B71" s="465"/>
      <c r="C71" s="514"/>
      <c r="D71" s="514"/>
      <c r="E71" s="483"/>
      <c r="F71" s="508"/>
      <c r="I71" s="481"/>
      <c r="J71" s="481"/>
      <c r="K71" s="481"/>
      <c r="M71" s="489"/>
      <c r="S71" s="489"/>
      <c r="T71" s="489"/>
      <c r="U71" s="489"/>
      <c r="V71" s="489"/>
      <c r="AA71" s="489"/>
      <c r="AB71" s="489"/>
      <c r="AC71" s="495"/>
      <c r="AD71" s="495"/>
      <c r="AI71" s="489"/>
    </row>
    <row r="72" spans="2:37">
      <c r="B72" s="465"/>
      <c r="C72" s="514"/>
      <c r="D72" s="514"/>
      <c r="E72" s="483"/>
      <c r="F72" s="508"/>
      <c r="I72" s="481"/>
      <c r="J72" s="481"/>
      <c r="K72" s="481"/>
      <c r="M72" s="495"/>
      <c r="S72" s="489"/>
      <c r="T72" s="489"/>
      <c r="U72" s="489"/>
      <c r="V72" s="489"/>
      <c r="AA72" s="489"/>
      <c r="AB72" s="489"/>
    </row>
    <row r="73" spans="2:37">
      <c r="B73" s="465"/>
      <c r="C73" s="514"/>
      <c r="D73" s="514"/>
      <c r="E73" s="483"/>
      <c r="F73" s="508"/>
      <c r="I73" s="481"/>
      <c r="J73" s="481"/>
      <c r="K73" s="489"/>
      <c r="L73" s="489"/>
      <c r="M73" s="421"/>
      <c r="S73" s="421"/>
      <c r="T73" s="421"/>
      <c r="U73" s="421"/>
      <c r="V73" s="489"/>
      <c r="AA73" s="489"/>
      <c r="AB73" s="489"/>
    </row>
    <row r="74" spans="2:37">
      <c r="B74" s="465"/>
      <c r="C74" s="514"/>
      <c r="D74" s="514"/>
      <c r="E74" s="483"/>
      <c r="F74" s="508"/>
      <c r="I74" s="481"/>
      <c r="J74" s="481"/>
      <c r="K74" s="489"/>
      <c r="L74" s="489"/>
      <c r="M74" s="421"/>
      <c r="N74" s="421"/>
      <c r="O74" s="421"/>
      <c r="P74" s="421"/>
      <c r="Q74" s="421"/>
      <c r="R74" s="421"/>
      <c r="S74" s="421"/>
      <c r="T74" s="421"/>
      <c r="U74" s="421"/>
      <c r="AC74" s="421"/>
      <c r="AD74" s="421"/>
      <c r="AI74" s="421"/>
      <c r="AJ74" s="421"/>
      <c r="AK74" s="421"/>
    </row>
    <row r="75" spans="2:37">
      <c r="B75" s="465"/>
      <c r="C75" s="514"/>
      <c r="D75" s="514"/>
      <c r="E75" s="483"/>
      <c r="F75" s="508"/>
      <c r="I75" s="481"/>
      <c r="J75" s="481"/>
      <c r="K75" s="489"/>
      <c r="L75" s="489"/>
      <c r="M75" s="520"/>
      <c r="N75" s="520"/>
      <c r="O75" s="421"/>
      <c r="P75" s="421"/>
      <c r="Q75" s="421"/>
      <c r="R75" s="421"/>
      <c r="S75" s="421"/>
      <c r="T75" s="421"/>
      <c r="U75" s="421"/>
      <c r="AC75" s="421"/>
      <c r="AD75" s="421"/>
      <c r="AE75" s="421"/>
      <c r="AF75" s="421"/>
      <c r="AG75" s="421"/>
      <c r="AH75" s="421"/>
      <c r="AI75" s="421"/>
      <c r="AJ75" s="421"/>
      <c r="AK75" s="421"/>
    </row>
    <row r="76" spans="2:37">
      <c r="B76" s="465"/>
      <c r="C76" s="514"/>
      <c r="D76" s="514"/>
      <c r="E76" s="483"/>
      <c r="F76" s="508"/>
      <c r="I76" s="481"/>
      <c r="J76" s="481"/>
      <c r="K76" s="489"/>
      <c r="L76" s="489"/>
      <c r="M76" s="421"/>
      <c r="N76" s="421"/>
      <c r="O76" s="421"/>
      <c r="P76" s="421"/>
      <c r="Q76" s="421"/>
      <c r="R76" s="421"/>
      <c r="S76" s="421"/>
      <c r="T76" s="421"/>
      <c r="U76" s="421"/>
      <c r="AC76" s="520"/>
      <c r="AD76" s="520"/>
      <c r="AE76" s="421"/>
      <c r="AF76" s="421"/>
      <c r="AG76" s="421"/>
      <c r="AH76" s="421"/>
      <c r="AI76" s="421"/>
      <c r="AJ76" s="421"/>
      <c r="AK76" s="421"/>
    </row>
    <row r="77" spans="2:37">
      <c r="B77" s="465"/>
      <c r="C77" s="514"/>
      <c r="D77" s="514"/>
      <c r="E77" s="483"/>
      <c r="F77" s="483"/>
      <c r="G77" s="483"/>
      <c r="H77" s="483"/>
      <c r="I77" s="483"/>
      <c r="J77" s="483"/>
      <c r="K77" s="489"/>
      <c r="L77" s="489"/>
      <c r="M77" s="421"/>
      <c r="N77" s="421"/>
      <c r="O77" s="421"/>
      <c r="P77" s="421"/>
      <c r="Q77" s="421"/>
      <c r="R77" s="421"/>
      <c r="S77" s="421"/>
      <c r="T77" s="421"/>
      <c r="U77" s="421"/>
      <c r="AC77" s="421"/>
      <c r="AD77" s="421"/>
      <c r="AE77" s="421"/>
      <c r="AF77" s="421"/>
      <c r="AG77" s="421"/>
      <c r="AH77" s="421"/>
      <c r="AI77" s="421"/>
      <c r="AJ77" s="421"/>
      <c r="AK77" s="421"/>
    </row>
    <row r="78" spans="2:37">
      <c r="E78" s="483"/>
      <c r="F78" s="483"/>
      <c r="G78" s="483"/>
      <c r="H78" s="483"/>
      <c r="I78" s="483"/>
      <c r="J78" s="483"/>
      <c r="K78" s="489"/>
      <c r="L78" s="489"/>
      <c r="M78" s="421"/>
      <c r="N78" s="421"/>
      <c r="O78" s="421"/>
      <c r="P78" s="421"/>
      <c r="Q78" s="421"/>
      <c r="R78" s="421"/>
      <c r="S78" s="421"/>
      <c r="T78" s="421"/>
      <c r="U78" s="421"/>
      <c r="AC78" s="421"/>
      <c r="AD78" s="421"/>
      <c r="AE78" s="421"/>
      <c r="AF78" s="421"/>
      <c r="AG78" s="421"/>
      <c r="AH78" s="421"/>
      <c r="AI78" s="421"/>
      <c r="AJ78" s="421"/>
      <c r="AK78" s="421"/>
    </row>
    <row r="79" spans="2:37">
      <c r="E79" s="483"/>
      <c r="F79" s="483"/>
      <c r="G79" s="483"/>
      <c r="H79" s="483"/>
      <c r="I79" s="483"/>
      <c r="J79" s="483"/>
      <c r="K79" s="489"/>
      <c r="L79" s="489"/>
      <c r="M79" s="421"/>
      <c r="N79" s="421"/>
      <c r="O79" s="421"/>
      <c r="P79" s="421"/>
      <c r="Q79" s="421"/>
      <c r="R79" s="421"/>
      <c r="S79" s="421"/>
      <c r="T79" s="421"/>
      <c r="U79" s="421"/>
      <c r="AC79" s="421"/>
      <c r="AD79" s="421"/>
      <c r="AE79" s="421"/>
      <c r="AF79" s="421"/>
      <c r="AG79" s="421"/>
      <c r="AH79" s="421"/>
      <c r="AI79" s="421"/>
      <c r="AJ79" s="421"/>
      <c r="AK79" s="421"/>
    </row>
    <row r="80" spans="2:37">
      <c r="E80" s="483"/>
      <c r="F80" s="483"/>
      <c r="G80" s="483"/>
      <c r="H80" s="483"/>
      <c r="I80" s="483"/>
      <c r="J80" s="483"/>
      <c r="K80" s="499"/>
      <c r="L80" s="499"/>
      <c r="M80" s="421"/>
      <c r="N80" s="421"/>
      <c r="O80" s="421"/>
      <c r="P80" s="421"/>
      <c r="Q80" s="421"/>
      <c r="R80" s="421"/>
      <c r="S80" s="421"/>
      <c r="T80" s="421"/>
      <c r="U80" s="421"/>
      <c r="AC80" s="421"/>
      <c r="AD80" s="421"/>
      <c r="AE80" s="421"/>
      <c r="AF80" s="421"/>
      <c r="AG80" s="421"/>
      <c r="AH80" s="421"/>
      <c r="AI80" s="421"/>
      <c r="AJ80" s="421"/>
      <c r="AK80" s="421"/>
    </row>
    <row r="81" spans="5:37">
      <c r="E81" s="483"/>
      <c r="F81" s="483"/>
      <c r="G81" s="483"/>
      <c r="H81" s="483"/>
      <c r="I81" s="483"/>
      <c r="J81" s="483"/>
      <c r="K81" s="489"/>
      <c r="L81" s="489"/>
      <c r="M81" s="421"/>
      <c r="N81" s="421"/>
      <c r="O81" s="421"/>
      <c r="P81" s="421"/>
      <c r="Q81" s="421"/>
      <c r="R81" s="421"/>
      <c r="S81" s="421"/>
      <c r="T81" s="421"/>
      <c r="U81" s="421"/>
      <c r="AC81" s="421"/>
      <c r="AD81" s="421"/>
      <c r="AE81" s="421"/>
      <c r="AF81" s="421"/>
      <c r="AG81" s="421"/>
      <c r="AH81" s="421"/>
      <c r="AI81" s="421"/>
      <c r="AJ81" s="421"/>
      <c r="AK81" s="421"/>
    </row>
    <row r="82" spans="5:37" ht="14.25">
      <c r="E82" s="483"/>
      <c r="F82" s="483"/>
      <c r="G82" s="483"/>
      <c r="H82" s="483"/>
      <c r="I82" s="483"/>
      <c r="J82" s="483"/>
      <c r="K82" s="489"/>
      <c r="L82" s="489"/>
      <c r="M82"/>
      <c r="N82"/>
      <c r="O82"/>
      <c r="P82"/>
      <c r="Q82"/>
      <c r="R82"/>
      <c r="S82"/>
      <c r="T82"/>
      <c r="U82"/>
      <c r="AC82" s="421"/>
      <c r="AD82" s="421"/>
      <c r="AE82" s="421"/>
      <c r="AF82" s="421"/>
      <c r="AG82" s="421"/>
      <c r="AH82" s="421"/>
      <c r="AI82" s="421"/>
      <c r="AJ82" s="421"/>
      <c r="AK82" s="421"/>
    </row>
    <row r="83" spans="5:37" ht="14.25">
      <c r="E83" s="483"/>
      <c r="F83" s="483"/>
      <c r="G83" s="483"/>
      <c r="H83" s="483"/>
      <c r="I83" s="483"/>
      <c r="J83" s="483"/>
      <c r="K83" s="489"/>
      <c r="L83" s="489"/>
      <c r="M83"/>
      <c r="N83"/>
      <c r="O83"/>
      <c r="P83"/>
      <c r="Q83"/>
      <c r="R83"/>
      <c r="S83"/>
      <c r="T83"/>
      <c r="U83"/>
      <c r="AC83" s="421"/>
      <c r="AD83" s="421"/>
      <c r="AE83" s="421"/>
      <c r="AF83" s="421"/>
      <c r="AG83" s="421"/>
      <c r="AH83" s="421"/>
      <c r="AI83" s="421"/>
      <c r="AJ83" s="421"/>
      <c r="AK83" s="421"/>
    </row>
    <row r="84" spans="5:37" ht="14.25">
      <c r="E84" s="483"/>
      <c r="F84" s="483"/>
      <c r="G84" s="483"/>
      <c r="H84" s="483"/>
      <c r="I84" s="483"/>
      <c r="J84" s="483"/>
      <c r="K84" s="489"/>
      <c r="L84" s="489"/>
      <c r="M84" s="482"/>
      <c r="N84" s="482"/>
      <c r="O84"/>
      <c r="P84"/>
      <c r="Q84"/>
      <c r="R84"/>
      <c r="S84"/>
      <c r="T84"/>
      <c r="U84"/>
      <c r="AC84" s="501"/>
      <c r="AD84" s="501"/>
      <c r="AE84" s="501"/>
      <c r="AF84" s="501"/>
      <c r="AG84" s="501"/>
      <c r="AH84" s="501"/>
      <c r="AI84" s="421"/>
      <c r="AJ84" s="421"/>
      <c r="AK84" s="421"/>
    </row>
    <row r="85" spans="5:37" ht="14.25">
      <c r="E85" s="483"/>
      <c r="F85" s="483"/>
      <c r="G85" s="483"/>
      <c r="H85" s="483"/>
      <c r="I85" s="483"/>
      <c r="J85" s="483"/>
      <c r="K85" s="499"/>
      <c r="L85" s="499"/>
      <c r="M85"/>
      <c r="N85"/>
      <c r="O85"/>
      <c r="P85"/>
      <c r="Q85"/>
      <c r="R85"/>
      <c r="S85"/>
      <c r="T85"/>
      <c r="U85"/>
      <c r="AC85" s="421"/>
      <c r="AD85" s="421"/>
      <c r="AE85" s="421"/>
      <c r="AF85" s="421"/>
      <c r="AG85" s="421"/>
      <c r="AH85" s="421"/>
      <c r="AI85" s="421"/>
      <c r="AJ85" s="421"/>
      <c r="AK85" s="421"/>
    </row>
    <row r="86" spans="5:37" ht="14.25">
      <c r="E86" s="483"/>
      <c r="F86" s="483"/>
      <c r="G86" s="483"/>
      <c r="H86" s="483"/>
      <c r="I86" s="483"/>
      <c r="J86" s="483"/>
      <c r="K86" s="489"/>
      <c r="L86" s="489"/>
      <c r="M86"/>
      <c r="N86"/>
      <c r="O86"/>
      <c r="P86"/>
      <c r="Q86"/>
      <c r="R86"/>
      <c r="S86"/>
      <c r="T86"/>
      <c r="U86"/>
      <c r="AC86" s="421"/>
      <c r="AD86" s="421"/>
      <c r="AE86" s="421"/>
      <c r="AF86" s="421"/>
      <c r="AG86" s="421"/>
      <c r="AH86" s="421"/>
      <c r="AI86" s="421"/>
      <c r="AJ86" s="421"/>
      <c r="AK86" s="421"/>
    </row>
    <row r="87" spans="5:37" ht="14.25">
      <c r="E87" s="483"/>
      <c r="F87" s="483"/>
      <c r="G87" s="483"/>
      <c r="H87" s="483"/>
      <c r="I87" s="483"/>
      <c r="J87" s="483"/>
      <c r="K87" s="489"/>
      <c r="L87" s="489"/>
      <c r="M87"/>
      <c r="N87"/>
      <c r="O87"/>
      <c r="P87"/>
      <c r="Q87"/>
      <c r="R87"/>
      <c r="S87"/>
      <c r="T87"/>
      <c r="U87"/>
      <c r="AC87" s="421"/>
      <c r="AD87" s="421"/>
      <c r="AE87" s="421"/>
      <c r="AF87" s="421"/>
      <c r="AG87" s="421"/>
      <c r="AH87" s="421"/>
      <c r="AI87" s="421"/>
      <c r="AJ87" s="421"/>
      <c r="AK87" s="421"/>
    </row>
    <row r="88" spans="5:37" ht="14.25">
      <c r="E88" s="483"/>
      <c r="F88" s="483"/>
      <c r="G88" s="483"/>
      <c r="H88" s="483"/>
      <c r="I88" s="483"/>
      <c r="J88" s="483"/>
      <c r="K88" s="489"/>
      <c r="L88" s="489"/>
      <c r="M88"/>
      <c r="N88"/>
      <c r="O88"/>
      <c r="P88"/>
      <c r="Q88"/>
      <c r="R88"/>
      <c r="S88"/>
      <c r="T88"/>
      <c r="U88"/>
      <c r="AC88" s="421"/>
      <c r="AD88" s="421"/>
      <c r="AE88" s="421"/>
      <c r="AF88" s="421"/>
      <c r="AG88" s="421"/>
      <c r="AH88" s="421"/>
      <c r="AI88" s="421"/>
      <c r="AJ88" s="421"/>
      <c r="AK88" s="421"/>
    </row>
    <row r="89" spans="5:37" ht="14.25">
      <c r="E89" s="483"/>
      <c r="F89" s="483"/>
      <c r="G89" s="483"/>
      <c r="H89" s="483"/>
      <c r="I89" s="483"/>
      <c r="J89" s="483"/>
      <c r="K89" s="489"/>
      <c r="L89" s="489"/>
      <c r="M89"/>
      <c r="N89"/>
      <c r="O89"/>
      <c r="P89"/>
      <c r="Q89"/>
      <c r="R89"/>
      <c r="S89"/>
      <c r="T89"/>
      <c r="U89"/>
      <c r="AC89" s="501"/>
      <c r="AD89" s="501"/>
      <c r="AE89" s="501"/>
      <c r="AF89" s="501"/>
      <c r="AG89" s="501"/>
      <c r="AH89" s="501"/>
      <c r="AI89" s="501"/>
      <c r="AJ89" s="501"/>
      <c r="AK89" s="501"/>
    </row>
    <row r="90" spans="5:37" ht="14.25">
      <c r="E90" s="483"/>
      <c r="F90" s="483"/>
      <c r="G90" s="483"/>
      <c r="H90" s="483"/>
      <c r="I90" s="483"/>
      <c r="J90" s="483"/>
      <c r="K90" s="489"/>
      <c r="L90" s="489"/>
      <c r="M90"/>
      <c r="N90"/>
      <c r="O90"/>
      <c r="P90"/>
      <c r="Q90"/>
      <c r="R90"/>
      <c r="S90"/>
      <c r="T90"/>
      <c r="U90"/>
      <c r="AC90" s="421"/>
      <c r="AD90" s="421"/>
      <c r="AE90" s="421"/>
      <c r="AF90" s="421"/>
      <c r="AG90" s="421"/>
      <c r="AH90" s="421"/>
      <c r="AI90" s="421"/>
      <c r="AJ90" s="421"/>
      <c r="AK90" s="421"/>
    </row>
    <row r="91" spans="5:37" ht="14.25">
      <c r="E91" s="483"/>
      <c r="F91" s="483"/>
      <c r="G91" s="483"/>
      <c r="H91" s="483"/>
      <c r="I91" s="483"/>
      <c r="J91" s="483"/>
      <c r="K91" s="489"/>
      <c r="L91" s="489"/>
      <c r="M91"/>
      <c r="N91"/>
      <c r="O91"/>
      <c r="P91"/>
      <c r="Q91"/>
      <c r="R91"/>
      <c r="S91"/>
      <c r="T91"/>
      <c r="U91"/>
      <c r="AC91" s="421"/>
      <c r="AD91" s="421"/>
      <c r="AE91" s="421"/>
      <c r="AF91" s="421"/>
      <c r="AG91" s="421"/>
      <c r="AH91" s="421"/>
      <c r="AI91" s="421"/>
      <c r="AJ91" s="421"/>
      <c r="AK91" s="421"/>
    </row>
    <row r="92" spans="5:37" ht="14.25">
      <c r="K92" s="489"/>
      <c r="L92" s="489"/>
      <c r="M92" s="484"/>
      <c r="N92" s="484"/>
      <c r="O92" s="484"/>
      <c r="P92" s="484"/>
      <c r="Q92" s="484"/>
      <c r="R92" s="484"/>
      <c r="S92"/>
      <c r="T92"/>
      <c r="U92"/>
      <c r="AC92" s="421"/>
      <c r="AD92" s="421"/>
      <c r="AE92" s="421"/>
      <c r="AF92" s="421"/>
      <c r="AG92" s="421"/>
      <c r="AH92" s="421"/>
      <c r="AI92" s="421"/>
      <c r="AJ92" s="421"/>
      <c r="AK92" s="421"/>
    </row>
    <row r="93" spans="5:37" ht="14.25">
      <c r="K93" s="499"/>
      <c r="L93" s="489"/>
      <c r="M93"/>
      <c r="N93"/>
      <c r="O93"/>
      <c r="P93"/>
      <c r="Q93"/>
      <c r="R93"/>
      <c r="S93"/>
      <c r="T93"/>
      <c r="U93"/>
      <c r="AC93" s="421"/>
      <c r="AD93" s="421"/>
      <c r="AE93" s="421"/>
      <c r="AF93" s="421"/>
      <c r="AG93" s="421"/>
      <c r="AH93" s="421"/>
      <c r="AI93" s="421"/>
      <c r="AJ93" s="421"/>
      <c r="AK93" s="421"/>
    </row>
    <row r="94" spans="5:37" ht="14.25">
      <c r="K94" s="489"/>
      <c r="L94" s="489"/>
      <c r="M94"/>
      <c r="N94"/>
      <c r="O94"/>
      <c r="P94"/>
      <c r="Q94"/>
      <c r="R94"/>
      <c r="S94"/>
      <c r="T94"/>
      <c r="U94"/>
      <c r="AC94" s="421"/>
      <c r="AD94" s="421"/>
      <c r="AE94" s="421"/>
      <c r="AF94" s="421"/>
      <c r="AG94" s="421"/>
      <c r="AH94" s="421"/>
      <c r="AI94" s="421"/>
      <c r="AJ94" s="421"/>
      <c r="AK94" s="421"/>
    </row>
    <row r="95" spans="5:37" ht="14.25">
      <c r="K95" s="489"/>
      <c r="L95" s="489"/>
      <c r="M95"/>
      <c r="N95"/>
      <c r="O95"/>
      <c r="P95"/>
      <c r="Q95"/>
      <c r="R95"/>
      <c r="S95"/>
      <c r="T95"/>
      <c r="U95"/>
      <c r="AC95" s="421"/>
      <c r="AD95" s="421"/>
      <c r="AE95" s="421"/>
      <c r="AF95" s="421"/>
      <c r="AG95" s="421"/>
      <c r="AH95" s="421"/>
      <c r="AI95" s="421"/>
      <c r="AJ95" s="421"/>
      <c r="AK95" s="421"/>
    </row>
    <row r="96" spans="5:37" ht="14.25">
      <c r="K96" s="489"/>
      <c r="L96" s="489"/>
      <c r="M96"/>
      <c r="N96"/>
      <c r="O96"/>
      <c r="P96"/>
      <c r="Q96"/>
      <c r="R96"/>
      <c r="S96"/>
      <c r="T96"/>
      <c r="U96"/>
      <c r="AC96" s="421"/>
      <c r="AD96" s="421"/>
      <c r="AE96" s="421"/>
      <c r="AF96" s="421"/>
      <c r="AG96" s="421"/>
      <c r="AH96" s="421"/>
      <c r="AI96" s="421"/>
      <c r="AJ96" s="421"/>
      <c r="AK96" s="421"/>
    </row>
    <row r="97" spans="11:37" ht="14.25">
      <c r="K97" s="489"/>
      <c r="L97" s="489"/>
      <c r="M97" s="484"/>
      <c r="N97" s="484"/>
      <c r="O97" s="484"/>
      <c r="P97" s="484"/>
      <c r="Q97" s="484"/>
      <c r="R97" s="484"/>
      <c r="S97" s="484"/>
      <c r="T97" s="484"/>
      <c r="U97" s="484"/>
      <c r="AC97" s="421"/>
      <c r="AD97" s="421"/>
      <c r="AE97" s="421"/>
      <c r="AF97" s="421"/>
      <c r="AG97" s="421"/>
      <c r="AH97" s="421"/>
      <c r="AI97" s="421"/>
      <c r="AJ97" s="421"/>
      <c r="AK97" s="421"/>
    </row>
    <row r="98" spans="11:37" ht="14.25">
      <c r="K98" s="489"/>
      <c r="L98" s="489"/>
      <c r="M98"/>
      <c r="N98"/>
      <c r="O98"/>
      <c r="P98"/>
      <c r="Q98"/>
      <c r="R98"/>
      <c r="S98"/>
      <c r="T98"/>
      <c r="U98"/>
      <c r="AC98" s="501"/>
      <c r="AD98" s="501"/>
      <c r="AE98" s="501"/>
      <c r="AF98" s="421"/>
      <c r="AG98" s="421"/>
      <c r="AH98" s="421"/>
      <c r="AI98" s="421"/>
      <c r="AJ98" s="421"/>
      <c r="AK98" s="421"/>
    </row>
    <row r="99" spans="11:37" ht="14.25">
      <c r="K99" s="489"/>
      <c r="L99" s="489"/>
      <c r="M99"/>
      <c r="N99"/>
      <c r="O99"/>
      <c r="P99"/>
      <c r="Q99"/>
      <c r="R99"/>
      <c r="S99"/>
      <c r="T99"/>
      <c r="U99"/>
      <c r="AC99" s="421"/>
      <c r="AD99" s="421"/>
      <c r="AE99" s="421"/>
      <c r="AF99" s="421"/>
      <c r="AG99" s="421"/>
      <c r="AH99" s="421"/>
      <c r="AI99" s="421"/>
      <c r="AJ99" s="421"/>
      <c r="AK99" s="421"/>
    </row>
    <row r="100" spans="11:37" ht="14.25">
      <c r="K100" s="489"/>
      <c r="L100" s="489"/>
      <c r="M100"/>
      <c r="N100"/>
      <c r="O100"/>
      <c r="P100"/>
      <c r="Q100"/>
      <c r="R100"/>
      <c r="S100"/>
      <c r="T100"/>
      <c r="U100"/>
      <c r="AC100" s="421"/>
      <c r="AD100" s="421"/>
      <c r="AE100" s="421"/>
      <c r="AF100" s="421"/>
      <c r="AG100" s="421"/>
      <c r="AH100" s="421"/>
      <c r="AI100" s="421"/>
      <c r="AJ100" s="421"/>
      <c r="AK100" s="421"/>
    </row>
    <row r="101" spans="11:37" ht="14.25">
      <c r="K101" s="489"/>
      <c r="L101" s="489"/>
      <c r="M101"/>
      <c r="N101"/>
      <c r="O101"/>
      <c r="P101"/>
      <c r="Q101"/>
      <c r="R101"/>
      <c r="S101"/>
      <c r="T101"/>
      <c r="U101"/>
      <c r="AC101" s="421"/>
      <c r="AD101" s="421"/>
      <c r="AE101" s="421"/>
      <c r="AF101" s="421"/>
      <c r="AG101" s="421"/>
      <c r="AH101" s="421"/>
      <c r="AI101" s="421"/>
      <c r="AJ101" s="421"/>
      <c r="AK101" s="421"/>
    </row>
    <row r="102" spans="11:37" ht="14.25">
      <c r="K102" s="489"/>
      <c r="L102" s="489"/>
      <c r="M102"/>
      <c r="N102"/>
      <c r="O102"/>
      <c r="P102"/>
      <c r="Q102"/>
      <c r="R102"/>
      <c r="S102"/>
      <c r="T102"/>
      <c r="U102"/>
      <c r="AC102" s="421"/>
      <c r="AD102" s="421"/>
      <c r="AE102" s="421"/>
      <c r="AF102" s="421"/>
      <c r="AG102" s="421"/>
      <c r="AH102" s="421"/>
      <c r="AI102" s="421"/>
      <c r="AJ102" s="421"/>
      <c r="AK102" s="421"/>
    </row>
    <row r="103" spans="11:37" ht="14.25">
      <c r="K103" s="489"/>
      <c r="L103" s="489"/>
      <c r="M103"/>
      <c r="N103"/>
      <c r="O103"/>
      <c r="P103"/>
      <c r="Q103"/>
      <c r="R103"/>
      <c r="S103"/>
      <c r="T103"/>
      <c r="U103"/>
      <c r="AC103" s="421"/>
      <c r="AD103" s="421"/>
      <c r="AE103" s="421"/>
      <c r="AF103" s="421"/>
      <c r="AG103" s="421"/>
      <c r="AH103" s="421"/>
      <c r="AI103" s="421"/>
      <c r="AJ103" s="421"/>
      <c r="AK103" s="421"/>
    </row>
    <row r="104" spans="11:37" ht="14.25">
      <c r="K104" s="489"/>
      <c r="L104" s="489"/>
      <c r="M104"/>
      <c r="N104"/>
      <c r="O104"/>
      <c r="P104"/>
      <c r="Q104"/>
      <c r="R104"/>
      <c r="S104"/>
      <c r="T104"/>
      <c r="U104"/>
      <c r="AC104" s="421"/>
      <c r="AD104" s="421"/>
      <c r="AE104" s="421"/>
      <c r="AF104" s="421"/>
      <c r="AG104" s="421"/>
      <c r="AH104" s="421"/>
      <c r="AI104" s="421"/>
      <c r="AJ104" s="421"/>
      <c r="AK104" s="421"/>
    </row>
    <row r="105" spans="11:37" ht="14.25">
      <c r="K105" s="489"/>
      <c r="L105" s="489"/>
      <c r="M105" s="484"/>
      <c r="N105" s="521"/>
      <c r="O105" s="484"/>
      <c r="P105"/>
      <c r="Q105"/>
      <c r="R105"/>
      <c r="S105"/>
      <c r="T105"/>
      <c r="U105"/>
      <c r="AC105" s="421"/>
      <c r="AD105" s="421"/>
      <c r="AE105" s="421"/>
      <c r="AF105" s="421"/>
      <c r="AG105" s="421"/>
      <c r="AH105" s="421"/>
      <c r="AI105" s="421"/>
      <c r="AJ105" s="421"/>
      <c r="AK105" s="421"/>
    </row>
    <row r="106" spans="11:37" ht="14.25">
      <c r="K106" s="489"/>
      <c r="L106" s="489"/>
      <c r="M106"/>
      <c r="N106"/>
      <c r="O106"/>
      <c r="P106"/>
      <c r="Q106"/>
      <c r="R106"/>
      <c r="S106"/>
      <c r="T106"/>
      <c r="U106"/>
      <c r="AC106" s="421"/>
      <c r="AD106" s="421"/>
      <c r="AE106" s="421"/>
      <c r="AF106" s="421"/>
      <c r="AG106" s="421"/>
      <c r="AH106" s="421"/>
      <c r="AI106" s="421"/>
      <c r="AJ106" s="421"/>
      <c r="AK106" s="421"/>
    </row>
    <row r="107" spans="11:37" ht="14.25">
      <c r="K107" s="489"/>
      <c r="L107" s="489"/>
      <c r="M107"/>
      <c r="N107"/>
      <c r="O107"/>
      <c r="P107"/>
      <c r="Q107"/>
      <c r="R107"/>
      <c r="S107"/>
      <c r="T107"/>
      <c r="U107"/>
      <c r="AC107" s="421"/>
      <c r="AD107" s="421"/>
      <c r="AE107" s="421"/>
      <c r="AF107" s="421"/>
      <c r="AG107" s="421"/>
      <c r="AH107" s="421"/>
      <c r="AI107" s="421"/>
      <c r="AJ107" s="421"/>
      <c r="AK107" s="421"/>
    </row>
    <row r="108" spans="11:37" ht="14.25">
      <c r="K108" s="489"/>
      <c r="L108" s="489"/>
      <c r="M108"/>
      <c r="N108"/>
      <c r="O108"/>
      <c r="P108"/>
      <c r="Q108"/>
      <c r="R108"/>
      <c r="S108"/>
      <c r="T108"/>
      <c r="U108"/>
      <c r="AC108" s="421"/>
      <c r="AD108" s="421"/>
      <c r="AE108" s="421"/>
      <c r="AF108" s="421"/>
      <c r="AG108" s="421"/>
      <c r="AH108" s="421"/>
      <c r="AI108" s="421"/>
      <c r="AJ108" s="421"/>
      <c r="AK108" s="421"/>
    </row>
    <row r="109" spans="11:37" ht="14.25">
      <c r="K109" s="489"/>
      <c r="L109" s="489"/>
      <c r="M109"/>
      <c r="N109"/>
      <c r="O109"/>
      <c r="P109"/>
      <c r="Q109"/>
      <c r="R109"/>
      <c r="S109"/>
      <c r="T109"/>
      <c r="U109"/>
      <c r="AC109" s="421"/>
      <c r="AD109" s="421"/>
      <c r="AE109" s="421"/>
      <c r="AF109" s="421"/>
      <c r="AG109" s="421"/>
      <c r="AH109" s="421"/>
      <c r="AI109" s="421"/>
      <c r="AJ109" s="421"/>
      <c r="AK109" s="421"/>
    </row>
    <row r="110" spans="11:37" ht="14.25">
      <c r="K110" s="489"/>
      <c r="L110" s="489"/>
      <c r="M110"/>
      <c r="N110"/>
      <c r="O110"/>
      <c r="P110"/>
      <c r="Q110"/>
      <c r="R110"/>
      <c r="S110"/>
      <c r="T110"/>
      <c r="U110"/>
      <c r="AC110" s="421"/>
      <c r="AD110" s="421"/>
      <c r="AE110" s="421"/>
      <c r="AF110" s="421"/>
      <c r="AG110" s="421"/>
      <c r="AH110" s="421"/>
      <c r="AI110" s="421"/>
      <c r="AJ110" s="421"/>
      <c r="AK110" s="421"/>
    </row>
    <row r="111" spans="11:37" ht="14.25">
      <c r="K111" s="489"/>
      <c r="L111" s="489"/>
      <c r="M111"/>
      <c r="N111"/>
      <c r="O111"/>
      <c r="P111"/>
      <c r="Q111"/>
      <c r="R111"/>
      <c r="S111"/>
      <c r="T111"/>
      <c r="U111"/>
      <c r="AC111" s="421"/>
      <c r="AD111" s="421"/>
      <c r="AE111" s="421"/>
      <c r="AF111" s="421"/>
      <c r="AG111" s="421"/>
      <c r="AH111" s="421"/>
      <c r="AI111" s="421"/>
      <c r="AJ111" s="421"/>
      <c r="AK111" s="421"/>
    </row>
    <row r="112" spans="11:37" ht="14.25">
      <c r="K112" s="489"/>
      <c r="L112" s="489"/>
      <c r="M112"/>
      <c r="N112"/>
      <c r="O112"/>
      <c r="P112"/>
      <c r="Q112"/>
      <c r="R112"/>
      <c r="S112"/>
      <c r="T112"/>
      <c r="U112"/>
      <c r="AC112" s="421"/>
      <c r="AD112" s="421"/>
      <c r="AE112" s="421"/>
      <c r="AF112" s="421"/>
      <c r="AG112" s="421"/>
      <c r="AH112" s="421"/>
      <c r="AI112" s="421"/>
      <c r="AJ112" s="421"/>
      <c r="AK112" s="421"/>
    </row>
    <row r="113" spans="11:37" ht="14.25">
      <c r="K113" s="489"/>
      <c r="L113" s="489"/>
      <c r="M113"/>
      <c r="N113"/>
      <c r="O113"/>
      <c r="P113"/>
      <c r="Q113"/>
      <c r="R113"/>
      <c r="S113"/>
      <c r="T113"/>
      <c r="U113"/>
      <c r="AC113" s="421"/>
      <c r="AD113" s="421"/>
      <c r="AE113" s="421"/>
      <c r="AF113" s="421"/>
      <c r="AG113" s="421"/>
      <c r="AH113" s="421"/>
      <c r="AI113" s="421"/>
      <c r="AJ113" s="421"/>
      <c r="AK113" s="421"/>
    </row>
    <row r="114" spans="11:37" ht="14.25">
      <c r="K114" s="489"/>
      <c r="L114" s="489"/>
      <c r="M114"/>
      <c r="N114"/>
      <c r="O114"/>
      <c r="P114"/>
      <c r="Q114"/>
      <c r="R114"/>
      <c r="S114"/>
      <c r="T114"/>
      <c r="U114"/>
      <c r="AC114" s="421"/>
      <c r="AD114" s="421"/>
      <c r="AE114" s="421"/>
      <c r="AF114" s="421"/>
      <c r="AG114" s="421"/>
      <c r="AH114" s="421"/>
      <c r="AI114" s="421"/>
      <c r="AJ114" s="421"/>
      <c r="AK114" s="421"/>
    </row>
    <row r="115" spans="11:37" ht="14.25">
      <c r="K115" s="489"/>
      <c r="L115" s="489"/>
      <c r="M115"/>
      <c r="N115"/>
      <c r="O115"/>
      <c r="P115"/>
      <c r="Q115"/>
      <c r="R115"/>
      <c r="S115"/>
      <c r="T115"/>
      <c r="U115"/>
      <c r="AC115" s="421"/>
      <c r="AD115" s="421"/>
      <c r="AE115" s="421"/>
      <c r="AF115" s="421"/>
      <c r="AG115" s="421"/>
      <c r="AH115" s="421"/>
      <c r="AI115" s="421"/>
      <c r="AJ115" s="421"/>
      <c r="AK115" s="421"/>
    </row>
    <row r="116" spans="11:37" ht="14.25">
      <c r="K116" s="489"/>
      <c r="L116" s="489"/>
      <c r="M116"/>
      <c r="N116"/>
      <c r="O116"/>
      <c r="P116"/>
      <c r="Q116"/>
      <c r="R116"/>
      <c r="S116"/>
      <c r="T116"/>
      <c r="U116"/>
      <c r="AC116" s="421"/>
      <c r="AD116" s="421"/>
      <c r="AE116" s="421"/>
      <c r="AF116" s="421"/>
      <c r="AG116" s="421"/>
      <c r="AH116" s="421"/>
      <c r="AI116" s="421"/>
      <c r="AJ116" s="421"/>
      <c r="AK116" s="421"/>
    </row>
    <row r="117" spans="11:37" ht="14.25">
      <c r="K117" s="489"/>
      <c r="L117" s="489"/>
      <c r="M117"/>
      <c r="N117"/>
      <c r="O117"/>
      <c r="P117"/>
      <c r="Q117"/>
      <c r="R117"/>
      <c r="S117"/>
      <c r="T117"/>
      <c r="U117"/>
      <c r="AC117" s="421"/>
      <c r="AD117" s="421"/>
      <c r="AE117" s="421"/>
      <c r="AF117" s="421"/>
      <c r="AG117" s="421"/>
      <c r="AH117" s="421"/>
      <c r="AI117" s="421"/>
      <c r="AJ117" s="421"/>
      <c r="AK117" s="421"/>
    </row>
    <row r="118" spans="11:37" ht="14.25">
      <c r="K118" s="489"/>
      <c r="L118" s="489"/>
      <c r="M118"/>
      <c r="N118"/>
      <c r="O118"/>
      <c r="P118"/>
      <c r="Q118"/>
      <c r="R118"/>
      <c r="S118"/>
      <c r="T118"/>
      <c r="U118"/>
      <c r="AC118" s="421"/>
      <c r="AD118" s="421"/>
      <c r="AE118" s="421"/>
      <c r="AF118" s="421"/>
      <c r="AG118" s="421"/>
      <c r="AH118" s="421"/>
      <c r="AI118" s="421"/>
      <c r="AJ118" s="421"/>
      <c r="AK118" s="421"/>
    </row>
    <row r="119" spans="11:37" ht="14.25">
      <c r="K119" s="489"/>
      <c r="L119" s="489"/>
      <c r="M119"/>
      <c r="N119"/>
      <c r="O119"/>
      <c r="P119"/>
      <c r="Q119"/>
      <c r="R119"/>
      <c r="S119"/>
      <c r="T119"/>
      <c r="U119"/>
      <c r="AC119" s="421"/>
      <c r="AD119" s="421"/>
      <c r="AE119" s="421"/>
      <c r="AF119" s="421"/>
      <c r="AG119" s="421"/>
      <c r="AH119" s="421"/>
      <c r="AI119" s="421"/>
      <c r="AJ119" s="421"/>
      <c r="AK119" s="421"/>
    </row>
    <row r="120" spans="11:37" ht="14.25">
      <c r="K120" s="489"/>
      <c r="L120" s="489"/>
      <c r="M120"/>
      <c r="N120"/>
      <c r="O120"/>
      <c r="P120"/>
      <c r="Q120"/>
      <c r="R120"/>
      <c r="S120"/>
      <c r="T120"/>
      <c r="U120"/>
      <c r="AC120" s="421"/>
      <c r="AD120" s="421"/>
      <c r="AE120" s="421"/>
      <c r="AF120" s="421"/>
      <c r="AG120" s="421"/>
      <c r="AH120" s="421"/>
      <c r="AI120" s="421"/>
      <c r="AJ120" s="421"/>
      <c r="AK120" s="421"/>
    </row>
    <row r="121" spans="11:37" ht="14.25">
      <c r="K121" s="489"/>
      <c r="L121" s="489"/>
      <c r="M121"/>
      <c r="N121"/>
      <c r="O121"/>
      <c r="P121"/>
      <c r="Q121"/>
      <c r="R121"/>
      <c r="S121"/>
      <c r="T121"/>
      <c r="U121"/>
      <c r="AC121" s="421"/>
      <c r="AD121" s="421"/>
      <c r="AE121" s="421"/>
      <c r="AF121" s="421"/>
      <c r="AG121" s="421"/>
      <c r="AH121" s="421"/>
      <c r="AI121" s="421"/>
      <c r="AJ121" s="421"/>
      <c r="AK121" s="421"/>
    </row>
    <row r="122" spans="11:37" ht="14.25">
      <c r="K122" s="489"/>
      <c r="L122" s="489"/>
      <c r="M122"/>
      <c r="N122"/>
      <c r="O122"/>
      <c r="P122"/>
      <c r="Q122"/>
      <c r="R122"/>
      <c r="S122"/>
      <c r="T122"/>
      <c r="U122"/>
      <c r="AC122" s="421"/>
      <c r="AD122" s="421"/>
      <c r="AE122" s="421"/>
      <c r="AF122" s="421"/>
      <c r="AG122" s="421"/>
      <c r="AH122" s="421"/>
      <c r="AI122" s="421"/>
      <c r="AJ122" s="421"/>
      <c r="AK122" s="421"/>
    </row>
    <row r="123" spans="11:37" ht="14.25">
      <c r="K123" s="489"/>
      <c r="L123" s="489"/>
      <c r="M123"/>
      <c r="N123"/>
      <c r="O123"/>
      <c r="P123"/>
      <c r="Q123"/>
      <c r="R123"/>
      <c r="S123"/>
      <c r="T123"/>
      <c r="U123"/>
      <c r="AC123" s="421"/>
      <c r="AD123" s="421"/>
      <c r="AE123" s="421"/>
      <c r="AF123" s="421"/>
      <c r="AG123" s="421"/>
      <c r="AH123" s="421"/>
      <c r="AI123" s="421"/>
      <c r="AJ123" s="421"/>
      <c r="AK123" s="421"/>
    </row>
    <row r="124" spans="11:37" ht="14.25">
      <c r="K124" s="489"/>
      <c r="L124" s="489"/>
      <c r="M124"/>
      <c r="N124"/>
      <c r="O124"/>
      <c r="P124"/>
      <c r="Q124"/>
      <c r="R124"/>
      <c r="S124"/>
      <c r="T124"/>
      <c r="U124"/>
      <c r="AC124" s="421"/>
      <c r="AD124" s="421"/>
      <c r="AE124" s="421"/>
      <c r="AF124" s="421"/>
      <c r="AG124" s="421"/>
      <c r="AH124" s="421"/>
      <c r="AI124" s="421"/>
      <c r="AJ124" s="421"/>
      <c r="AK124" s="421"/>
    </row>
    <row r="125" spans="11:37" ht="14.25">
      <c r="M125"/>
      <c r="N125"/>
      <c r="O125"/>
      <c r="P125"/>
      <c r="Q125"/>
      <c r="R125"/>
      <c r="S125"/>
      <c r="T125"/>
      <c r="U125"/>
      <c r="AC125" s="421"/>
      <c r="AD125" s="421"/>
      <c r="AE125" s="421"/>
      <c r="AF125" s="421"/>
      <c r="AG125" s="421"/>
      <c r="AH125" s="421"/>
      <c r="AI125" s="421"/>
      <c r="AJ125" s="421"/>
      <c r="AK125" s="421"/>
    </row>
    <row r="126" spans="11:37" ht="14.25">
      <c r="M126"/>
      <c r="N126"/>
      <c r="O126"/>
      <c r="P126"/>
      <c r="Q126"/>
      <c r="R126"/>
      <c r="S126"/>
      <c r="T126"/>
      <c r="U126"/>
      <c r="AC126" s="421"/>
      <c r="AD126" s="421"/>
      <c r="AE126" s="421"/>
      <c r="AF126" s="421"/>
      <c r="AG126" s="421"/>
      <c r="AH126" s="421"/>
      <c r="AI126" s="421"/>
      <c r="AJ126" s="421"/>
      <c r="AK126" s="421"/>
    </row>
    <row r="127" spans="11:37" ht="14.25">
      <c r="M127"/>
      <c r="N127"/>
      <c r="O127"/>
      <c r="P127"/>
      <c r="Q127"/>
      <c r="R127"/>
      <c r="S127"/>
      <c r="T127"/>
      <c r="U127"/>
      <c r="AC127" s="421"/>
      <c r="AD127" s="421"/>
      <c r="AE127" s="421"/>
      <c r="AF127" s="421"/>
      <c r="AG127" s="421"/>
      <c r="AH127" s="421"/>
      <c r="AI127" s="421"/>
      <c r="AJ127" s="421"/>
      <c r="AK127" s="421"/>
    </row>
    <row r="128" spans="11:37" ht="14.25">
      <c r="M128"/>
      <c r="N128"/>
      <c r="O128"/>
      <c r="P128"/>
      <c r="Q128"/>
      <c r="R128"/>
      <c r="S128"/>
      <c r="T128"/>
      <c r="U128"/>
      <c r="AC128" s="421"/>
      <c r="AD128" s="421"/>
      <c r="AE128" s="421"/>
      <c r="AF128" s="421"/>
      <c r="AG128" s="421"/>
      <c r="AH128" s="421"/>
      <c r="AI128" s="421"/>
      <c r="AJ128" s="421"/>
      <c r="AK128" s="421"/>
    </row>
    <row r="129" spans="13:37" ht="14.25">
      <c r="M129"/>
      <c r="N129"/>
      <c r="O129"/>
      <c r="P129"/>
      <c r="Q129"/>
      <c r="R129"/>
      <c r="S129"/>
      <c r="T129"/>
      <c r="U129"/>
      <c r="AC129" s="421"/>
      <c r="AD129" s="421"/>
      <c r="AE129" s="421"/>
      <c r="AF129" s="421"/>
      <c r="AG129" s="421"/>
      <c r="AH129" s="421"/>
      <c r="AI129" s="421"/>
      <c r="AJ129" s="421"/>
      <c r="AK129" s="421"/>
    </row>
    <row r="130" spans="13:37" ht="14.25">
      <c r="M130"/>
      <c r="N130"/>
      <c r="O130"/>
      <c r="P130"/>
      <c r="Q130"/>
      <c r="R130"/>
      <c r="S130"/>
      <c r="T130"/>
      <c r="U130"/>
      <c r="AC130" s="421"/>
      <c r="AD130" s="421"/>
      <c r="AE130" s="421"/>
      <c r="AF130" s="421"/>
      <c r="AG130" s="421"/>
      <c r="AH130" s="421"/>
      <c r="AI130" s="421"/>
      <c r="AJ130" s="421"/>
      <c r="AK130" s="421"/>
    </row>
    <row r="131" spans="13:37" ht="14.25">
      <c r="M131"/>
      <c r="N131"/>
      <c r="O131"/>
      <c r="P131"/>
      <c r="Q131"/>
      <c r="R131"/>
      <c r="S131"/>
      <c r="T131"/>
      <c r="U131"/>
      <c r="AC131" s="421"/>
      <c r="AD131" s="421"/>
      <c r="AE131" s="421"/>
      <c r="AF131" s="421"/>
      <c r="AG131" s="421"/>
      <c r="AH131" s="421"/>
      <c r="AI131" s="421"/>
      <c r="AJ131" s="421"/>
      <c r="AK131" s="421"/>
    </row>
    <row r="132" spans="13:37" ht="14.25">
      <c r="M132"/>
      <c r="N132"/>
      <c r="O132"/>
      <c r="P132"/>
      <c r="Q132"/>
      <c r="R132"/>
      <c r="S132"/>
      <c r="T132"/>
      <c r="U132"/>
      <c r="AC132" s="421"/>
      <c r="AD132" s="421"/>
      <c r="AE132" s="421"/>
      <c r="AF132" s="421"/>
      <c r="AG132" s="421"/>
      <c r="AH132" s="421"/>
      <c r="AI132" s="421"/>
      <c r="AJ132" s="421"/>
      <c r="AK132" s="421"/>
    </row>
    <row r="133" spans="13:37" ht="14.25">
      <c r="M133"/>
      <c r="N133"/>
      <c r="O133"/>
      <c r="P133"/>
      <c r="Q133"/>
      <c r="R133"/>
      <c r="S133"/>
      <c r="T133"/>
      <c r="U133"/>
    </row>
    <row r="134" spans="13:37" ht="14.25">
      <c r="M134"/>
      <c r="N134"/>
      <c r="O134"/>
      <c r="P134"/>
      <c r="Q134"/>
      <c r="R134"/>
      <c r="S134"/>
      <c r="T134"/>
      <c r="U134"/>
    </row>
    <row r="135" spans="13:37" ht="14.25">
      <c r="M135"/>
      <c r="N135"/>
      <c r="O135"/>
      <c r="P135"/>
      <c r="Q135"/>
      <c r="R135"/>
      <c r="S135"/>
      <c r="T135"/>
      <c r="U135"/>
    </row>
    <row r="136" spans="13:37" ht="14.25">
      <c r="M136"/>
      <c r="N136"/>
      <c r="O136"/>
      <c r="P136"/>
      <c r="Q136"/>
      <c r="R136"/>
      <c r="S136"/>
      <c r="T136"/>
      <c r="U136"/>
    </row>
    <row r="137" spans="13:37" ht="14.25">
      <c r="M137"/>
      <c r="N137"/>
      <c r="O137"/>
      <c r="P137"/>
      <c r="Q137"/>
      <c r="R137"/>
      <c r="S137"/>
      <c r="T137"/>
      <c r="U137"/>
    </row>
    <row r="138" spans="13:37" ht="14.25">
      <c r="M138"/>
      <c r="N138"/>
      <c r="O138"/>
      <c r="P138"/>
      <c r="Q138"/>
      <c r="R138"/>
      <c r="S138"/>
      <c r="T138"/>
      <c r="U138"/>
    </row>
    <row r="139" spans="13:37" ht="14.25">
      <c r="M139"/>
      <c r="N139"/>
      <c r="O139"/>
      <c r="P139"/>
      <c r="Q139"/>
      <c r="R139"/>
      <c r="S139"/>
      <c r="T139"/>
      <c r="U139"/>
    </row>
  </sheetData>
  <mergeCells count="1">
    <mergeCell ref="B1:K1"/>
  </mergeCells>
  <printOptions horizontalCentered="1"/>
  <pageMargins left="0.7" right="0.7" top="0.75" bottom="0.75" header="0.3" footer="0.3"/>
  <pageSetup scale="68" fitToWidth="4" fitToHeight="0" orientation="portrait" useFirstPageNumber="1" r:id="rId1"/>
  <headerFooter scaleWithDoc="0">
    <oddHeader>&amp;R&amp;"Arial,Regular"&amp;10DEU Exhibit 2.18R
Page &amp;P of 4</oddHeader>
  </headerFooter>
  <colBreaks count="1" manualBreakCount="1">
    <brk id="11" max="6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68"/>
  <sheetViews>
    <sheetView view="pageLayout" zoomScale="85" zoomScaleNormal="100" zoomScaleSheetLayoutView="85" zoomScalePageLayoutView="85" workbookViewId="0">
      <selection activeCell="N9" sqref="N9"/>
    </sheetView>
  </sheetViews>
  <sheetFormatPr defaultColWidth="8" defaultRowHeight="12.75"/>
  <cols>
    <col min="1" max="1" width="4.375" style="415" customWidth="1"/>
    <col min="2" max="2" width="8" style="415"/>
    <col min="3" max="4" width="19.125" style="415" customWidth="1"/>
    <col min="5" max="9" width="8" style="415"/>
    <col min="10" max="10" width="9.625" style="415" customWidth="1"/>
    <col min="11" max="11" width="12.5" style="415" customWidth="1"/>
    <col min="12" max="16384" width="8" style="415"/>
  </cols>
  <sheetData>
    <row r="2" spans="1:11">
      <c r="A2" s="522"/>
      <c r="B2" s="522"/>
      <c r="C2" s="522"/>
      <c r="D2" s="522"/>
      <c r="E2" s="522"/>
      <c r="F2" s="522"/>
      <c r="G2" s="523"/>
      <c r="H2" s="522"/>
      <c r="I2" s="524"/>
    </row>
    <row r="3" spans="1:11" ht="14.25">
      <c r="B3" s="525" t="s">
        <v>1704</v>
      </c>
      <c r="C3" s="526"/>
      <c r="D3" s="526"/>
      <c r="E3" s="522"/>
      <c r="F3" s="526"/>
      <c r="G3" s="526"/>
      <c r="H3" s="526"/>
      <c r="I3" s="526"/>
      <c r="J3" s="522"/>
      <c r="K3" s="526"/>
    </row>
    <row r="23" spans="1:15" ht="33.75" customHeight="1">
      <c r="A23" s="470"/>
      <c r="C23" s="527" t="s">
        <v>1705</v>
      </c>
      <c r="D23" s="527" t="s">
        <v>1706</v>
      </c>
      <c r="F23" s="527" t="s">
        <v>1707</v>
      </c>
      <c r="M23" s="528"/>
      <c r="N23" s="528"/>
      <c r="O23" s="528"/>
    </row>
    <row r="24" spans="1:15" ht="13.5" thickBot="1">
      <c r="A24" s="414"/>
      <c r="B24" s="529" t="s">
        <v>1643</v>
      </c>
      <c r="C24" s="530" t="s">
        <v>1708</v>
      </c>
      <c r="D24" s="530" t="s">
        <v>1708</v>
      </c>
      <c r="F24" s="530" t="s">
        <v>1708</v>
      </c>
      <c r="I24" s="842" t="s">
        <v>1707</v>
      </c>
      <c r="J24" s="842"/>
      <c r="K24" s="842"/>
      <c r="M24" s="531"/>
      <c r="N24" s="532"/>
      <c r="O24" s="532"/>
    </row>
    <row r="25" spans="1:15">
      <c r="A25" s="533"/>
      <c r="B25" s="534">
        <v>1926</v>
      </c>
      <c r="C25" s="535">
        <v>0.1162</v>
      </c>
      <c r="D25" s="535">
        <v>3.73E-2</v>
      </c>
      <c r="F25" s="535">
        <f t="shared" ref="F25:F88" si="0">(C25-D25)</f>
        <v>7.8899999999999998E-2</v>
      </c>
      <c r="H25" s="536"/>
      <c r="I25" s="537" t="s">
        <v>1709</v>
      </c>
      <c r="J25" s="538" t="s">
        <v>1710</v>
      </c>
      <c r="K25" s="538" t="s">
        <v>1711</v>
      </c>
      <c r="M25" s="536"/>
      <c r="N25" s="539"/>
      <c r="O25" s="540"/>
    </row>
    <row r="26" spans="1:15">
      <c r="A26" s="533"/>
      <c r="B26" s="541">
        <v>1927</v>
      </c>
      <c r="C26" s="542">
        <v>0.37490000000000001</v>
      </c>
      <c r="D26" s="542">
        <v>3.4099999999999998E-2</v>
      </c>
      <c r="F26" s="542">
        <f t="shared" si="0"/>
        <v>0.34079999999999999</v>
      </c>
      <c r="H26" s="536"/>
      <c r="I26" s="536">
        <v>-0.5</v>
      </c>
      <c r="J26" s="543">
        <f t="array" ref="J26:J67">FREQUENCY($F$25:$F$117,$I$26:$I$67)</f>
        <v>0</v>
      </c>
      <c r="K26" s="545">
        <f>SUM(J$26:J26)/J$69</f>
        <v>0</v>
      </c>
      <c r="M26" s="536"/>
      <c r="N26" s="539"/>
      <c r="O26" s="540"/>
    </row>
    <row r="27" spans="1:15">
      <c r="A27" s="533"/>
      <c r="B27" s="541">
        <v>1928</v>
      </c>
      <c r="C27" s="542">
        <v>0.43609999999999999</v>
      </c>
      <c r="D27" s="542">
        <v>3.2199999999999999E-2</v>
      </c>
      <c r="F27" s="542">
        <f t="shared" si="0"/>
        <v>0.40389999999999998</v>
      </c>
      <c r="H27" s="536"/>
      <c r="I27" s="536">
        <v>-0.47499999999999998</v>
      </c>
      <c r="J27" s="543">
        <v>0</v>
      </c>
      <c r="K27" s="545">
        <f>SUM(J$26:J27)/J$69</f>
        <v>0</v>
      </c>
      <c r="M27" s="536"/>
      <c r="N27" s="539"/>
      <c r="O27" s="540"/>
    </row>
    <row r="28" spans="1:15">
      <c r="A28" s="533"/>
      <c r="B28" s="541">
        <v>1929</v>
      </c>
      <c r="C28" s="542">
        <v>-8.4199999999999997E-2</v>
      </c>
      <c r="D28" s="542">
        <v>3.4700000000000002E-2</v>
      </c>
      <c r="F28" s="542">
        <f t="shared" si="0"/>
        <v>-0.11890000000000001</v>
      </c>
      <c r="H28" s="536"/>
      <c r="I28" s="536">
        <v>-0.45</v>
      </c>
      <c r="J28" s="543">
        <v>1</v>
      </c>
      <c r="K28" s="545">
        <f>SUM(J$26:J28)/J$69</f>
        <v>1.0752688172043012E-2</v>
      </c>
      <c r="M28" s="536"/>
      <c r="N28" s="539"/>
      <c r="O28" s="540"/>
    </row>
    <row r="29" spans="1:15">
      <c r="A29" s="533"/>
      <c r="B29" s="546">
        <v>1930</v>
      </c>
      <c r="C29" s="547">
        <v>-0.249</v>
      </c>
      <c r="D29" s="547">
        <v>3.32E-2</v>
      </c>
      <c r="F29" s="547">
        <f t="shared" si="0"/>
        <v>-0.28220000000000001</v>
      </c>
      <c r="H29" s="536"/>
      <c r="I29" s="536">
        <v>-0.42499999999999999</v>
      </c>
      <c r="J29" s="543">
        <v>0</v>
      </c>
      <c r="K29" s="545">
        <f>SUM(J$26:J29)/J$69</f>
        <v>1.0752688172043012E-2</v>
      </c>
      <c r="M29" s="536"/>
      <c r="N29" s="539"/>
      <c r="O29" s="540"/>
    </row>
    <row r="30" spans="1:15">
      <c r="A30" s="533"/>
      <c r="B30" s="534">
        <v>1931</v>
      </c>
      <c r="C30" s="535">
        <v>-0.43340000000000001</v>
      </c>
      <c r="D30" s="535">
        <v>3.3300000000000003E-2</v>
      </c>
      <c r="F30" s="535">
        <f t="shared" si="0"/>
        <v>-0.4667</v>
      </c>
      <c r="H30" s="536"/>
      <c r="I30" s="536">
        <v>-0.4</v>
      </c>
      <c r="J30" s="543">
        <v>1</v>
      </c>
      <c r="K30" s="545">
        <f>SUM(J$26:J30)/J$69</f>
        <v>2.1505376344086023E-2</v>
      </c>
      <c r="M30" s="536"/>
      <c r="N30" s="539"/>
      <c r="O30" s="540"/>
    </row>
    <row r="31" spans="1:15">
      <c r="A31" s="533"/>
      <c r="B31" s="541">
        <v>1932</v>
      </c>
      <c r="C31" s="542">
        <v>-8.1900000000000001E-2</v>
      </c>
      <c r="D31" s="542">
        <v>3.6900000000000002E-2</v>
      </c>
      <c r="F31" s="542">
        <f t="shared" si="0"/>
        <v>-0.1188</v>
      </c>
      <c r="H31" s="536"/>
      <c r="I31" s="536">
        <v>-0.375</v>
      </c>
      <c r="J31" s="543">
        <v>1</v>
      </c>
      <c r="K31" s="545">
        <f>SUM(J$26:J31)/J$69</f>
        <v>3.2258064516129031E-2</v>
      </c>
      <c r="M31" s="536"/>
      <c r="N31" s="539"/>
      <c r="O31" s="540"/>
    </row>
    <row r="32" spans="1:15">
      <c r="A32" s="533"/>
      <c r="B32" s="541">
        <v>1933</v>
      </c>
      <c r="C32" s="542">
        <v>0.53990000000000005</v>
      </c>
      <c r="D32" s="542">
        <v>3.1199999999999999E-2</v>
      </c>
      <c r="F32" s="542">
        <f t="shared" si="0"/>
        <v>0.50870000000000004</v>
      </c>
      <c r="H32" s="536"/>
      <c r="I32" s="536">
        <v>-0.35</v>
      </c>
      <c r="J32" s="543">
        <v>0</v>
      </c>
      <c r="K32" s="545">
        <f>SUM(J$26:J32)/J$69</f>
        <v>3.2258064516129031E-2</v>
      </c>
      <c r="M32" s="536"/>
      <c r="N32" s="539"/>
      <c r="O32" s="540"/>
    </row>
    <row r="33" spans="1:15">
      <c r="A33" s="533"/>
      <c r="B33" s="541">
        <v>1934</v>
      </c>
      <c r="C33" s="542">
        <v>-1.44E-2</v>
      </c>
      <c r="D33" s="542">
        <v>3.1800000000000002E-2</v>
      </c>
      <c r="F33" s="542">
        <f t="shared" si="0"/>
        <v>-4.6200000000000005E-2</v>
      </c>
      <c r="H33" s="536"/>
      <c r="I33" s="536">
        <v>-0.32500000000000001</v>
      </c>
      <c r="J33" s="543">
        <v>1</v>
      </c>
      <c r="K33" s="545">
        <f>SUM(J$26:J33)/J$69</f>
        <v>4.3010752688172046E-2</v>
      </c>
      <c r="M33" s="536"/>
      <c r="N33" s="539"/>
      <c r="O33" s="540"/>
    </row>
    <row r="34" spans="1:15">
      <c r="A34" s="533"/>
      <c r="B34" s="546">
        <v>1935</v>
      </c>
      <c r="C34" s="547">
        <v>0.47670000000000001</v>
      </c>
      <c r="D34" s="547">
        <v>2.81E-2</v>
      </c>
      <c r="E34" s="548"/>
      <c r="F34" s="547">
        <f t="shared" si="0"/>
        <v>0.4486</v>
      </c>
      <c r="H34" s="536"/>
      <c r="I34" s="536">
        <v>-0.3</v>
      </c>
      <c r="J34" s="543">
        <v>0</v>
      </c>
      <c r="K34" s="545">
        <f>SUM(J$26:J34)/J$69</f>
        <v>4.3010752688172046E-2</v>
      </c>
      <c r="M34" s="536"/>
      <c r="N34" s="539"/>
      <c r="O34" s="540"/>
    </row>
    <row r="35" spans="1:15">
      <c r="A35" s="533"/>
      <c r="B35" s="534">
        <v>1936</v>
      </c>
      <c r="C35" s="535">
        <v>0.3392</v>
      </c>
      <c r="D35" s="535">
        <v>2.7699999999999999E-2</v>
      </c>
      <c r="F35" s="535">
        <f t="shared" si="0"/>
        <v>0.3115</v>
      </c>
      <c r="H35" s="536"/>
      <c r="I35" s="536">
        <v>-0.27500000000000002</v>
      </c>
      <c r="J35" s="543">
        <v>2</v>
      </c>
      <c r="K35" s="545">
        <f>SUM(J$26:J35)/J$69</f>
        <v>6.4516129032258063E-2</v>
      </c>
      <c r="M35" s="536"/>
      <c r="N35" s="539"/>
      <c r="O35" s="540"/>
    </row>
    <row r="36" spans="1:15">
      <c r="A36" s="533"/>
      <c r="B36" s="541">
        <v>1937</v>
      </c>
      <c r="C36" s="542">
        <v>-0.3503</v>
      </c>
      <c r="D36" s="542">
        <v>2.6599999999999999E-2</v>
      </c>
      <c r="F36" s="542">
        <f t="shared" si="0"/>
        <v>-0.37690000000000001</v>
      </c>
      <c r="H36" s="536"/>
      <c r="I36" s="536">
        <v>-0.25</v>
      </c>
      <c r="J36" s="543">
        <v>0</v>
      </c>
      <c r="K36" s="545">
        <f>SUM(J$26:J36)/J$69</f>
        <v>6.4516129032258063E-2</v>
      </c>
      <c r="M36" s="536"/>
      <c r="N36" s="539"/>
      <c r="O36" s="540"/>
    </row>
    <row r="37" spans="1:15">
      <c r="A37" s="533"/>
      <c r="B37" s="541">
        <v>1938</v>
      </c>
      <c r="C37" s="542">
        <v>0.31119999999999998</v>
      </c>
      <c r="D37" s="542">
        <v>2.64E-2</v>
      </c>
      <c r="F37" s="542">
        <f t="shared" si="0"/>
        <v>0.2848</v>
      </c>
      <c r="H37" s="536"/>
      <c r="I37" s="536">
        <v>-0.22500000000000001</v>
      </c>
      <c r="J37" s="543">
        <v>0</v>
      </c>
      <c r="K37" s="545">
        <f>SUM(J$26:J37)/J$69</f>
        <v>6.4516129032258063E-2</v>
      </c>
      <c r="M37" s="536"/>
      <c r="N37" s="539"/>
      <c r="O37" s="540"/>
    </row>
    <row r="38" spans="1:15">
      <c r="A38" s="533"/>
      <c r="B38" s="541">
        <v>1939</v>
      </c>
      <c r="C38" s="542">
        <v>-4.1000000000000003E-3</v>
      </c>
      <c r="D38" s="542">
        <v>2.4E-2</v>
      </c>
      <c r="F38" s="542">
        <f t="shared" si="0"/>
        <v>-2.81E-2</v>
      </c>
      <c r="H38" s="536"/>
      <c r="I38" s="536">
        <v>-0.2</v>
      </c>
      <c r="J38" s="543">
        <v>1</v>
      </c>
      <c r="K38" s="545">
        <f>SUM(J$26:J38)/J$69</f>
        <v>7.5268817204301078E-2</v>
      </c>
      <c r="M38" s="536"/>
      <c r="N38" s="539"/>
      <c r="O38" s="540"/>
    </row>
    <row r="39" spans="1:15">
      <c r="A39" s="533"/>
      <c r="B39" s="546">
        <v>1940</v>
      </c>
      <c r="C39" s="547">
        <v>-9.7799999999999998E-2</v>
      </c>
      <c r="D39" s="547">
        <v>2.23E-2</v>
      </c>
      <c r="F39" s="547">
        <f t="shared" si="0"/>
        <v>-0.1201</v>
      </c>
      <c r="H39" s="536"/>
      <c r="I39" s="536">
        <v>-0.17499999999999999</v>
      </c>
      <c r="J39" s="543">
        <v>0</v>
      </c>
      <c r="K39" s="545">
        <f>SUM(J$26:J39)/J$69</f>
        <v>7.5268817204301078E-2</v>
      </c>
      <c r="M39" s="536"/>
      <c r="N39" s="539"/>
      <c r="O39" s="540"/>
    </row>
    <row r="40" spans="1:15">
      <c r="A40" s="533"/>
      <c r="B40" s="534">
        <v>1941</v>
      </c>
      <c r="C40" s="535">
        <v>-0.1159</v>
      </c>
      <c r="D40" s="535">
        <v>1.9400000000000001E-2</v>
      </c>
      <c r="F40" s="535">
        <f t="shared" si="0"/>
        <v>-0.1353</v>
      </c>
      <c r="H40" s="536"/>
      <c r="I40" s="536">
        <v>-0.15</v>
      </c>
      <c r="J40" s="543">
        <v>3</v>
      </c>
      <c r="K40" s="545">
        <f>SUM(J$26:J40)/J$69</f>
        <v>0.10752688172043011</v>
      </c>
      <c r="M40" s="536"/>
      <c r="N40" s="539"/>
      <c r="O40" s="540"/>
    </row>
    <row r="41" spans="1:15">
      <c r="A41" s="533"/>
      <c r="B41" s="541">
        <v>1942</v>
      </c>
      <c r="C41" s="542">
        <v>0.2034</v>
      </c>
      <c r="D41" s="542">
        <v>2.46E-2</v>
      </c>
      <c r="F41" s="542">
        <f t="shared" si="0"/>
        <v>0.17879999999999999</v>
      </c>
      <c r="H41" s="536"/>
      <c r="I41" s="536">
        <v>-0.125</v>
      </c>
      <c r="J41" s="543">
        <v>6</v>
      </c>
      <c r="K41" s="545">
        <f>SUM(J$26:J41)/J$69</f>
        <v>0.17204301075268819</v>
      </c>
      <c r="M41" s="536"/>
      <c r="N41" s="539"/>
      <c r="O41" s="540"/>
    </row>
    <row r="42" spans="1:15">
      <c r="A42" s="533"/>
      <c r="B42" s="541">
        <v>1943</v>
      </c>
      <c r="C42" s="542">
        <v>0.25900000000000001</v>
      </c>
      <c r="D42" s="542">
        <v>2.4400000000000002E-2</v>
      </c>
      <c r="F42" s="542">
        <f t="shared" si="0"/>
        <v>0.2346</v>
      </c>
      <c r="H42" s="536"/>
      <c r="I42" s="536">
        <v>-0.1</v>
      </c>
      <c r="J42" s="543">
        <v>5</v>
      </c>
      <c r="K42" s="545">
        <f>SUM(J$26:J42)/J$69</f>
        <v>0.22580645161290322</v>
      </c>
      <c r="M42" s="536"/>
      <c r="N42" s="539"/>
      <c r="O42" s="540"/>
    </row>
    <row r="43" spans="1:15">
      <c r="A43" s="533"/>
      <c r="B43" s="541">
        <v>1944</v>
      </c>
      <c r="C43" s="542">
        <v>0.19750000000000001</v>
      </c>
      <c r="D43" s="542">
        <v>2.46E-2</v>
      </c>
      <c r="F43" s="542">
        <f t="shared" si="0"/>
        <v>0.1729</v>
      </c>
      <c r="H43" s="536"/>
      <c r="I43" s="536">
        <v>-7.4999999999999997E-2</v>
      </c>
      <c r="J43" s="543">
        <v>0</v>
      </c>
      <c r="K43" s="545">
        <f>SUM(J$26:J43)/J$69</f>
        <v>0.22580645161290322</v>
      </c>
      <c r="M43" s="536"/>
      <c r="N43" s="539"/>
      <c r="O43" s="540"/>
    </row>
    <row r="44" spans="1:15">
      <c r="A44" s="533"/>
      <c r="B44" s="546">
        <v>1945</v>
      </c>
      <c r="C44" s="547">
        <v>0.3644</v>
      </c>
      <c r="D44" s="547">
        <v>2.3400000000000001E-2</v>
      </c>
      <c r="F44" s="547">
        <f t="shared" si="0"/>
        <v>0.34100000000000003</v>
      </c>
      <c r="H44" s="536"/>
      <c r="I44" s="536">
        <v>-0.05</v>
      </c>
      <c r="J44" s="543">
        <v>3</v>
      </c>
      <c r="K44" s="545">
        <f>SUM(J$26:J44)/J$69</f>
        <v>0.25806451612903225</v>
      </c>
      <c r="M44" s="536"/>
      <c r="N44" s="539"/>
      <c r="O44" s="540"/>
    </row>
    <row r="45" spans="1:15">
      <c r="A45" s="533"/>
      <c r="B45" s="534">
        <v>1946</v>
      </c>
      <c r="C45" s="535">
        <v>-8.0699999999999994E-2</v>
      </c>
      <c r="D45" s="535">
        <v>2.0400000000000001E-2</v>
      </c>
      <c r="F45" s="535">
        <f t="shared" si="0"/>
        <v>-0.1011</v>
      </c>
      <c r="H45" s="536"/>
      <c r="I45" s="536">
        <v>-2.5000000000000001E-2</v>
      </c>
      <c r="J45" s="543">
        <v>6</v>
      </c>
      <c r="K45" s="545">
        <f>SUM(J$26:J45)/J$69</f>
        <v>0.32258064516129031</v>
      </c>
      <c r="M45" s="536"/>
      <c r="N45" s="539"/>
      <c r="O45" s="540"/>
    </row>
    <row r="46" spans="1:15">
      <c r="A46" s="533"/>
      <c r="B46" s="541">
        <v>1947</v>
      </c>
      <c r="C46" s="542">
        <v>5.7099999999999998E-2</v>
      </c>
      <c r="D46" s="542">
        <v>2.1299999999999999E-2</v>
      </c>
      <c r="F46" s="542">
        <f t="shared" si="0"/>
        <v>3.5799999999999998E-2</v>
      </c>
      <c r="H46" s="536"/>
      <c r="I46" s="536">
        <v>0</v>
      </c>
      <c r="J46" s="543">
        <v>3</v>
      </c>
      <c r="K46" s="545">
        <f>SUM(J$26:J46)/J$69</f>
        <v>0.35483870967741937</v>
      </c>
      <c r="M46" s="536"/>
      <c r="N46" s="539"/>
      <c r="O46" s="540"/>
    </row>
    <row r="47" spans="1:15">
      <c r="A47" s="533"/>
      <c r="B47" s="541">
        <v>1948</v>
      </c>
      <c r="C47" s="542">
        <v>5.5E-2</v>
      </c>
      <c r="D47" s="542">
        <v>2.4E-2</v>
      </c>
      <c r="F47" s="542">
        <f t="shared" si="0"/>
        <v>3.1E-2</v>
      </c>
      <c r="H47" s="536"/>
      <c r="I47" s="536">
        <v>2.5000000000000001E-2</v>
      </c>
      <c r="J47" s="543">
        <v>3</v>
      </c>
      <c r="K47" s="545">
        <f>SUM(J$26:J47)/J$69</f>
        <v>0.38709677419354838</v>
      </c>
      <c r="M47" s="536"/>
      <c r="N47" s="539"/>
      <c r="O47" s="540"/>
    </row>
    <row r="48" spans="1:15">
      <c r="A48" s="533"/>
      <c r="B48" s="541">
        <v>1949</v>
      </c>
      <c r="C48" s="542">
        <v>0.18790000000000001</v>
      </c>
      <c r="D48" s="542">
        <v>2.2499999999999999E-2</v>
      </c>
      <c r="F48" s="542">
        <f t="shared" si="0"/>
        <v>0.16540000000000002</v>
      </c>
      <c r="H48" s="536"/>
      <c r="I48" s="536">
        <v>0.05</v>
      </c>
      <c r="J48" s="543">
        <v>4</v>
      </c>
      <c r="K48" s="545">
        <f>SUM(J$26:J48)/J$69</f>
        <v>0.43010752688172044</v>
      </c>
      <c r="M48" s="536"/>
      <c r="N48" s="539"/>
      <c r="O48" s="540"/>
    </row>
    <row r="49" spans="1:15">
      <c r="A49" s="533"/>
      <c r="B49" s="546">
        <v>1950</v>
      </c>
      <c r="C49" s="547">
        <v>0.31709999999999999</v>
      </c>
      <c r="D49" s="547">
        <v>2.12E-2</v>
      </c>
      <c r="F49" s="547">
        <f t="shared" si="0"/>
        <v>0.2959</v>
      </c>
      <c r="H49" s="536"/>
      <c r="I49" s="536">
        <v>7.4999999999999997E-2</v>
      </c>
      <c r="J49" s="543">
        <v>2</v>
      </c>
      <c r="K49" s="545">
        <f>SUM(J$26:J49)/J$69</f>
        <v>0.45161290322580644</v>
      </c>
      <c r="M49" s="536"/>
      <c r="N49" s="539"/>
      <c r="O49" s="540"/>
    </row>
    <row r="50" spans="1:15">
      <c r="A50" s="533"/>
      <c r="B50" s="534">
        <v>1951</v>
      </c>
      <c r="C50" s="535">
        <v>0.2402</v>
      </c>
      <c r="D50" s="535">
        <v>2.3800000000000002E-2</v>
      </c>
      <c r="F50" s="535">
        <f t="shared" si="0"/>
        <v>0.21639999999999998</v>
      </c>
      <c r="H50" s="536"/>
      <c r="I50" s="536">
        <v>0.1</v>
      </c>
      <c r="J50" s="543">
        <v>9</v>
      </c>
      <c r="K50" s="545">
        <f>SUM(J$26:J50)/J$69</f>
        <v>0.54838709677419351</v>
      </c>
      <c r="M50" s="536"/>
      <c r="N50" s="539"/>
      <c r="O50" s="540"/>
    </row>
    <row r="51" spans="1:15">
      <c r="A51" s="533"/>
      <c r="B51" s="541">
        <v>1952</v>
      </c>
      <c r="C51" s="542">
        <v>0.1837</v>
      </c>
      <c r="D51" s="542">
        <v>2.6599999999999999E-2</v>
      </c>
      <c r="F51" s="542">
        <f t="shared" si="0"/>
        <v>0.15710000000000002</v>
      </c>
      <c r="H51" s="536"/>
      <c r="I51" s="536">
        <v>0.125</v>
      </c>
      <c r="J51" s="543">
        <v>5</v>
      </c>
      <c r="K51" s="545">
        <f>SUM(J$26:J51)/J$69</f>
        <v>0.60215053763440862</v>
      </c>
      <c r="M51" s="536"/>
      <c r="N51" s="539"/>
      <c r="O51" s="540"/>
    </row>
    <row r="52" spans="1:15">
      <c r="A52" s="533"/>
      <c r="B52" s="541">
        <v>1953</v>
      </c>
      <c r="C52" s="542">
        <v>-9.9000000000000008E-3</v>
      </c>
      <c r="D52" s="542">
        <v>2.8400000000000002E-2</v>
      </c>
      <c r="F52" s="542">
        <f t="shared" si="0"/>
        <v>-3.8300000000000001E-2</v>
      </c>
      <c r="H52" s="536"/>
      <c r="I52" s="536">
        <v>0.15</v>
      </c>
      <c r="J52" s="543">
        <v>2</v>
      </c>
      <c r="K52" s="545">
        <f>SUM(J$26:J52)/J$69</f>
        <v>0.62365591397849462</v>
      </c>
      <c r="M52" s="536"/>
      <c r="N52" s="539"/>
      <c r="O52" s="540"/>
    </row>
    <row r="53" spans="1:15">
      <c r="A53" s="533"/>
      <c r="B53" s="541">
        <v>1954</v>
      </c>
      <c r="C53" s="542">
        <v>0.5262</v>
      </c>
      <c r="D53" s="542">
        <v>2.7900000000000001E-2</v>
      </c>
      <c r="F53" s="542">
        <f t="shared" si="0"/>
        <v>0.49830000000000002</v>
      </c>
      <c r="H53" s="536"/>
      <c r="I53" s="536">
        <v>0.17499999999999999</v>
      </c>
      <c r="J53" s="543">
        <v>6</v>
      </c>
      <c r="K53" s="545">
        <f>SUM(J$26:J53)/J$69</f>
        <v>0.68817204301075274</v>
      </c>
      <c r="M53" s="536"/>
      <c r="N53" s="539"/>
      <c r="O53" s="540"/>
    </row>
    <row r="54" spans="1:15">
      <c r="A54" s="533"/>
      <c r="B54" s="546">
        <v>1955</v>
      </c>
      <c r="C54" s="547">
        <v>0.31559999999999999</v>
      </c>
      <c r="D54" s="547">
        <v>2.75E-2</v>
      </c>
      <c r="F54" s="547">
        <f t="shared" si="0"/>
        <v>0.28809999999999997</v>
      </c>
      <c r="H54" s="536"/>
      <c r="I54" s="536">
        <v>0.2</v>
      </c>
      <c r="J54" s="543">
        <v>4</v>
      </c>
      <c r="K54" s="545">
        <f>SUM(J$26:J54)/J$69</f>
        <v>0.73118279569892475</v>
      </c>
      <c r="M54" s="536"/>
      <c r="N54" s="539"/>
      <c r="O54" s="540"/>
    </row>
    <row r="55" spans="1:15">
      <c r="A55" s="533"/>
      <c r="B55" s="534">
        <v>1956</v>
      </c>
      <c r="C55" s="535">
        <v>6.5600000000000006E-2</v>
      </c>
      <c r="D55" s="535">
        <v>2.9899999999999999E-2</v>
      </c>
      <c r="F55" s="535">
        <f t="shared" si="0"/>
        <v>3.570000000000001E-2</v>
      </c>
      <c r="H55" s="536"/>
      <c r="I55" s="536">
        <v>0.22500000000000001</v>
      </c>
      <c r="J55" s="543">
        <v>3</v>
      </c>
      <c r="K55" s="545">
        <f>SUM(J$26:J55)/J$69</f>
        <v>0.76344086021505375</v>
      </c>
      <c r="M55" s="536"/>
      <c r="N55" s="539"/>
      <c r="O55" s="540"/>
    </row>
    <row r="56" spans="1:15">
      <c r="A56" s="533"/>
      <c r="B56" s="541">
        <v>1957</v>
      </c>
      <c r="C56" s="542">
        <v>-0.10780000000000001</v>
      </c>
      <c r="D56" s="542">
        <v>3.44E-2</v>
      </c>
      <c r="F56" s="542">
        <f t="shared" si="0"/>
        <v>-0.14219999999999999</v>
      </c>
      <c r="H56" s="536"/>
      <c r="I56" s="536">
        <v>0.25</v>
      </c>
      <c r="J56" s="543">
        <v>7</v>
      </c>
      <c r="K56" s="545">
        <f>SUM(J$26:J56)/J$69</f>
        <v>0.83870967741935487</v>
      </c>
      <c r="M56" s="536"/>
      <c r="N56" s="539"/>
      <c r="O56" s="540"/>
    </row>
    <row r="57" spans="1:15">
      <c r="A57" s="533"/>
      <c r="B57" s="541">
        <v>1958</v>
      </c>
      <c r="C57" s="542">
        <v>0.43359999999999999</v>
      </c>
      <c r="D57" s="542">
        <v>3.27E-2</v>
      </c>
      <c r="F57" s="542">
        <f t="shared" si="0"/>
        <v>0.40089999999999998</v>
      </c>
      <c r="H57" s="536"/>
      <c r="I57" s="536">
        <v>0.27500000000000002</v>
      </c>
      <c r="J57" s="543">
        <v>1</v>
      </c>
      <c r="K57" s="545">
        <f>SUM(J$26:J57)/J$69</f>
        <v>0.84946236559139787</v>
      </c>
      <c r="M57" s="536"/>
      <c r="N57" s="539"/>
      <c r="O57" s="540"/>
    </row>
    <row r="58" spans="1:15">
      <c r="A58" s="533"/>
      <c r="B58" s="541">
        <v>1959</v>
      </c>
      <c r="C58" s="542">
        <v>0.1196</v>
      </c>
      <c r="D58" s="542">
        <v>4.0099999999999997E-2</v>
      </c>
      <c r="F58" s="542">
        <f t="shared" si="0"/>
        <v>7.9500000000000001E-2</v>
      </c>
      <c r="H58" s="536"/>
      <c r="I58" s="536">
        <v>0.3</v>
      </c>
      <c r="J58" s="543">
        <v>6</v>
      </c>
      <c r="K58" s="545">
        <f>SUM(J$26:J58)/J$69</f>
        <v>0.91397849462365588</v>
      </c>
      <c r="M58" s="536"/>
      <c r="N58" s="539"/>
      <c r="O58" s="540"/>
    </row>
    <row r="59" spans="1:15">
      <c r="A59" s="533"/>
      <c r="B59" s="546">
        <v>1960</v>
      </c>
      <c r="C59" s="547">
        <v>4.7000000000000002E-3</v>
      </c>
      <c r="D59" s="547">
        <v>4.2599999999999999E-2</v>
      </c>
      <c r="F59" s="547">
        <f t="shared" si="0"/>
        <v>-3.7899999999999996E-2</v>
      </c>
      <c r="H59" s="536"/>
      <c r="I59" s="536">
        <v>0.32500000000000001</v>
      </c>
      <c r="J59" s="543">
        <v>1</v>
      </c>
      <c r="K59" s="545">
        <f>SUM(J$26:J59)/J$69</f>
        <v>0.92473118279569888</v>
      </c>
      <c r="M59" s="536"/>
      <c r="N59" s="539"/>
      <c r="O59" s="540"/>
    </row>
    <row r="60" spans="1:15">
      <c r="A60" s="533"/>
      <c r="B60" s="534">
        <v>1961</v>
      </c>
      <c r="C60" s="535">
        <v>0.26889999999999997</v>
      </c>
      <c r="D60" s="535">
        <v>3.8300000000000001E-2</v>
      </c>
      <c r="F60" s="535">
        <f t="shared" si="0"/>
        <v>0.23059999999999997</v>
      </c>
      <c r="H60" s="536"/>
      <c r="I60" s="536">
        <v>0.35</v>
      </c>
      <c r="J60" s="543">
        <v>2</v>
      </c>
      <c r="K60" s="545">
        <f>SUM(J$26:J60)/J$69</f>
        <v>0.94623655913978499</v>
      </c>
      <c r="M60" s="536"/>
      <c r="N60" s="539"/>
      <c r="O60" s="540"/>
    </row>
    <row r="61" spans="1:15">
      <c r="A61" s="533"/>
      <c r="B61" s="541">
        <v>1962</v>
      </c>
      <c r="C61" s="542">
        <v>-8.7300000000000003E-2</v>
      </c>
      <c r="D61" s="542">
        <v>0.04</v>
      </c>
      <c r="F61" s="542">
        <f t="shared" si="0"/>
        <v>-0.1273</v>
      </c>
      <c r="H61" s="536"/>
      <c r="I61" s="536">
        <v>0.375</v>
      </c>
      <c r="J61" s="543">
        <v>0</v>
      </c>
      <c r="K61" s="545">
        <f>SUM(J$26:J61)/J$69</f>
        <v>0.94623655913978499</v>
      </c>
      <c r="M61" s="536"/>
      <c r="N61" s="539"/>
      <c r="O61" s="540"/>
    </row>
    <row r="62" spans="1:15">
      <c r="A62" s="533"/>
      <c r="B62" s="541">
        <v>1963</v>
      </c>
      <c r="C62" s="542">
        <v>0.22800000000000001</v>
      </c>
      <c r="D62" s="542">
        <v>3.8899999999999997E-2</v>
      </c>
      <c r="F62" s="542">
        <f t="shared" si="0"/>
        <v>0.18910000000000002</v>
      </c>
      <c r="H62" s="536"/>
      <c r="I62" s="536">
        <v>0.4</v>
      </c>
      <c r="J62" s="543">
        <v>0</v>
      </c>
      <c r="K62" s="545">
        <f>SUM(J$26:J62)/J$69</f>
        <v>0.94623655913978499</v>
      </c>
      <c r="M62" s="536"/>
      <c r="N62" s="539"/>
      <c r="O62" s="540"/>
    </row>
    <row r="63" spans="1:15">
      <c r="A63" s="533"/>
      <c r="B63" s="541">
        <v>1964</v>
      </c>
      <c r="C63" s="542">
        <v>0.1648</v>
      </c>
      <c r="D63" s="542">
        <v>4.1500000000000002E-2</v>
      </c>
      <c r="F63" s="542">
        <f t="shared" si="0"/>
        <v>0.12329999999999999</v>
      </c>
      <c r="H63" s="536"/>
      <c r="I63" s="536">
        <v>0.42499999999999999</v>
      </c>
      <c r="J63" s="543">
        <v>2</v>
      </c>
      <c r="K63" s="545">
        <f>SUM(J$26:J63)/J$69</f>
        <v>0.967741935483871</v>
      </c>
      <c r="M63" s="536"/>
      <c r="N63" s="539"/>
      <c r="O63" s="540"/>
    </row>
    <row r="64" spans="1:15">
      <c r="A64" s="533"/>
      <c r="B64" s="546">
        <v>1965</v>
      </c>
      <c r="C64" s="547">
        <v>0.1245</v>
      </c>
      <c r="D64" s="547">
        <v>4.19E-2</v>
      </c>
      <c r="F64" s="547">
        <f t="shared" si="0"/>
        <v>8.2600000000000007E-2</v>
      </c>
      <c r="H64" s="536"/>
      <c r="I64" s="536">
        <v>0.45</v>
      </c>
      <c r="J64" s="543">
        <v>1</v>
      </c>
      <c r="K64" s="545">
        <f>SUM(J$26:J64)/J$69</f>
        <v>0.978494623655914</v>
      </c>
      <c r="M64" s="536"/>
      <c r="N64" s="539"/>
      <c r="O64" s="540"/>
    </row>
    <row r="65" spans="1:15">
      <c r="A65" s="533"/>
      <c r="B65" s="534">
        <v>1966</v>
      </c>
      <c r="C65" s="535">
        <v>-0.10059999999999999</v>
      </c>
      <c r="D65" s="535">
        <v>4.4900000000000002E-2</v>
      </c>
      <c r="F65" s="535">
        <f t="shared" si="0"/>
        <v>-0.14549999999999999</v>
      </c>
      <c r="H65" s="536"/>
      <c r="I65" s="536">
        <v>0.47499999999999998</v>
      </c>
      <c r="J65" s="543">
        <v>0</v>
      </c>
      <c r="K65" s="545">
        <f>SUM(J$26:J65)/J$69</f>
        <v>0.978494623655914</v>
      </c>
      <c r="M65" s="536"/>
      <c r="N65" s="539"/>
      <c r="O65" s="540"/>
    </row>
    <row r="66" spans="1:15">
      <c r="A66" s="533"/>
      <c r="B66" s="541">
        <v>1967</v>
      </c>
      <c r="C66" s="542">
        <v>0.23980000000000001</v>
      </c>
      <c r="D66" s="542">
        <v>4.5900000000000003E-2</v>
      </c>
      <c r="F66" s="542">
        <f t="shared" si="0"/>
        <v>0.19390000000000002</v>
      </c>
      <c r="H66" s="536"/>
      <c r="I66" s="536">
        <v>0.5</v>
      </c>
      <c r="J66" s="543">
        <v>1</v>
      </c>
      <c r="K66" s="545">
        <f>SUM(J$26:J66)/J$69</f>
        <v>0.989247311827957</v>
      </c>
      <c r="M66" s="536"/>
      <c r="N66" s="539"/>
      <c r="O66" s="540"/>
    </row>
    <row r="67" spans="1:15" ht="13.5" thickBot="1">
      <c r="A67" s="533"/>
      <c r="B67" s="541">
        <v>1968</v>
      </c>
      <c r="C67" s="542">
        <v>0.1106</v>
      </c>
      <c r="D67" s="542">
        <v>5.5E-2</v>
      </c>
      <c r="F67" s="542">
        <f t="shared" si="0"/>
        <v>5.5600000000000004E-2</v>
      </c>
      <c r="I67" s="536">
        <v>0.51</v>
      </c>
      <c r="J67" s="544">
        <v>1</v>
      </c>
      <c r="K67" s="545">
        <f>SUM(J$26:J67)/J$69</f>
        <v>1</v>
      </c>
      <c r="M67" s="536"/>
      <c r="N67" s="539"/>
      <c r="O67" s="540"/>
    </row>
    <row r="68" spans="1:15">
      <c r="A68" s="533"/>
      <c r="B68" s="541">
        <v>1969</v>
      </c>
      <c r="C68" s="542">
        <v>-8.5000000000000006E-2</v>
      </c>
      <c r="D68" s="542">
        <v>5.9499999999999997E-2</v>
      </c>
      <c r="F68" s="542">
        <f t="shared" si="0"/>
        <v>-0.14450000000000002</v>
      </c>
      <c r="I68" s="536"/>
      <c r="J68" s="539"/>
      <c r="K68" s="549"/>
      <c r="M68" s="536"/>
      <c r="N68" s="539"/>
      <c r="O68" s="540"/>
    </row>
    <row r="69" spans="1:15">
      <c r="A69" s="533"/>
      <c r="B69" s="541">
        <v>1970</v>
      </c>
      <c r="C69" s="542">
        <v>3.8600000000000002E-2</v>
      </c>
      <c r="D69" s="542">
        <v>6.7400000000000002E-2</v>
      </c>
      <c r="F69" s="542">
        <f t="shared" si="0"/>
        <v>-2.8799999999999999E-2</v>
      </c>
      <c r="I69" s="502" t="s">
        <v>1712</v>
      </c>
      <c r="J69" s="543">
        <f>SUM(J26:J67)</f>
        <v>93</v>
      </c>
      <c r="K69" s="549"/>
      <c r="M69" s="536"/>
      <c r="N69" s="539"/>
      <c r="O69" s="540"/>
    </row>
    <row r="70" spans="1:15">
      <c r="A70" s="533"/>
      <c r="B70" s="534">
        <v>1971</v>
      </c>
      <c r="C70" s="535">
        <v>0.14299999999999999</v>
      </c>
      <c r="D70" s="535">
        <v>6.3200000000000006E-2</v>
      </c>
      <c r="F70" s="535">
        <f t="shared" si="0"/>
        <v>7.9799999999999982E-2</v>
      </c>
      <c r="M70" s="502"/>
      <c r="N70" s="543"/>
      <c r="O70" s="540"/>
    </row>
    <row r="71" spans="1:15">
      <c r="A71" s="533"/>
      <c r="B71" s="541">
        <v>1972</v>
      </c>
      <c r="C71" s="542">
        <v>0.18990000000000001</v>
      </c>
      <c r="D71" s="542">
        <v>5.8700000000000002E-2</v>
      </c>
      <c r="F71" s="542">
        <f t="shared" si="0"/>
        <v>0.13120000000000001</v>
      </c>
      <c r="I71" s="550"/>
      <c r="J71" s="551" t="s">
        <v>1713</v>
      </c>
      <c r="K71" s="552" t="s">
        <v>1714</v>
      </c>
      <c r="M71" s="523"/>
      <c r="N71" s="523"/>
      <c r="O71" s="540"/>
    </row>
    <row r="72" spans="1:15">
      <c r="A72" s="533"/>
      <c r="B72" s="541">
        <v>1973</v>
      </c>
      <c r="C72" s="553">
        <v>-0.1469</v>
      </c>
      <c r="D72" s="553">
        <v>6.5100000000000005E-2</v>
      </c>
      <c r="F72" s="553">
        <f t="shared" si="0"/>
        <v>-0.21200000000000002</v>
      </c>
      <c r="I72" s="554"/>
      <c r="J72" s="555">
        <v>0.1202</v>
      </c>
      <c r="K72" s="556">
        <f>_xlfn.PERCENTRANK.EXC(F25:F117,J72)</f>
        <v>0.58299999999999996</v>
      </c>
      <c r="L72" s="404">
        <f>1-K72</f>
        <v>0.41700000000000004</v>
      </c>
      <c r="M72" s="543"/>
      <c r="N72" s="523"/>
      <c r="O72" s="557"/>
    </row>
    <row r="73" spans="1:15">
      <c r="A73" s="533"/>
      <c r="B73" s="541">
        <v>1974</v>
      </c>
      <c r="C73" s="542">
        <v>-0.26469999999999999</v>
      </c>
      <c r="D73" s="542">
        <v>7.2700000000000001E-2</v>
      </c>
      <c r="F73" s="542">
        <f t="shared" si="0"/>
        <v>-0.33739999999999998</v>
      </c>
      <c r="I73" s="554"/>
      <c r="J73" s="558"/>
      <c r="K73" s="559"/>
      <c r="M73" s="543"/>
      <c r="N73" s="523"/>
      <c r="O73" s="523"/>
    </row>
    <row r="74" spans="1:15">
      <c r="A74" s="533"/>
      <c r="B74" s="546">
        <v>1975</v>
      </c>
      <c r="C74" s="547">
        <v>0.37230000000000002</v>
      </c>
      <c r="D74" s="547">
        <v>7.9899999999999999E-2</v>
      </c>
      <c r="F74" s="547">
        <f t="shared" si="0"/>
        <v>0.29239999999999999</v>
      </c>
      <c r="I74" s="560" t="s">
        <v>1715</v>
      </c>
      <c r="J74" s="557"/>
      <c r="K74" s="557"/>
      <c r="M74" s="523"/>
      <c r="N74" s="523"/>
      <c r="O74" s="523"/>
    </row>
    <row r="75" spans="1:15">
      <c r="A75" s="533"/>
      <c r="B75" s="534">
        <v>1976</v>
      </c>
      <c r="C75" s="535">
        <v>0.23930000000000001</v>
      </c>
      <c r="D75" s="535">
        <v>7.8899999999999998E-2</v>
      </c>
      <c r="E75" s="554"/>
      <c r="F75" s="535">
        <f t="shared" si="0"/>
        <v>0.16040000000000001</v>
      </c>
      <c r="G75" s="554"/>
      <c r="I75" s="561" t="s">
        <v>1716</v>
      </c>
      <c r="J75" s="562" t="s">
        <v>1717</v>
      </c>
      <c r="K75" s="562" t="s">
        <v>1718</v>
      </c>
      <c r="L75" s="563"/>
      <c r="M75" s="543"/>
      <c r="N75" s="523"/>
      <c r="O75" s="523"/>
    </row>
    <row r="76" spans="1:15">
      <c r="A76" s="533"/>
      <c r="B76" s="541">
        <v>1977</v>
      </c>
      <c r="C76" s="542">
        <v>-7.1599999999999997E-2</v>
      </c>
      <c r="D76" s="542">
        <v>7.1400000000000005E-2</v>
      </c>
      <c r="E76" s="554"/>
      <c r="F76" s="542">
        <f t="shared" si="0"/>
        <v>-0.14300000000000002</v>
      </c>
      <c r="G76" s="554"/>
      <c r="I76" s="564">
        <v>0.14929999999999999</v>
      </c>
      <c r="J76" s="565">
        <f>PERCENTRANK($C$25:$C$117,I76)</f>
        <v>0.51900000000000002</v>
      </c>
      <c r="K76" s="523">
        <f>COUNTIF($C$25:$C$117, "&gt;="&amp;I76)</f>
        <v>45</v>
      </c>
      <c r="L76" s="563"/>
      <c r="M76" s="523"/>
      <c r="N76" s="523"/>
      <c r="O76" s="523"/>
    </row>
    <row r="77" spans="1:15">
      <c r="A77" s="533"/>
      <c r="B77" s="541">
        <v>1978</v>
      </c>
      <c r="C77" s="542">
        <v>6.5699999999999995E-2</v>
      </c>
      <c r="D77" s="542">
        <v>7.9000000000000001E-2</v>
      </c>
      <c r="E77" s="554"/>
      <c r="F77" s="542">
        <f t="shared" si="0"/>
        <v>-1.3300000000000006E-2</v>
      </c>
      <c r="G77" s="554"/>
      <c r="I77" s="564">
        <v>0.13420000000000001</v>
      </c>
      <c r="J77" s="565">
        <f>PERCENTRANK($C$25:$C$117,I77)</f>
        <v>0.497</v>
      </c>
      <c r="K77" s="523">
        <f>COUNTIF($C$25:$C$117, "&gt;="&amp;I77)</f>
        <v>47</v>
      </c>
      <c r="M77" s="523"/>
      <c r="N77" s="523"/>
      <c r="O77" s="523"/>
    </row>
    <row r="78" spans="1:15">
      <c r="A78" s="533"/>
      <c r="B78" s="541">
        <v>1979</v>
      </c>
      <c r="C78" s="542">
        <v>0.18609999999999999</v>
      </c>
      <c r="D78" s="542">
        <v>8.8599999999999998E-2</v>
      </c>
      <c r="E78" s="554"/>
      <c r="F78" s="542">
        <f t="shared" si="0"/>
        <v>9.7499999999999989E-2</v>
      </c>
      <c r="G78" s="554"/>
      <c r="H78" s="554"/>
      <c r="I78" s="554"/>
      <c r="J78" s="566"/>
      <c r="K78" s="523">
        <f>COUNT(C25:C117)</f>
        <v>93</v>
      </c>
      <c r="M78" s="523"/>
      <c r="N78" s="543"/>
      <c r="O78" s="523"/>
    </row>
    <row r="79" spans="1:15">
      <c r="A79" s="533"/>
      <c r="B79" s="546">
        <v>1980</v>
      </c>
      <c r="C79" s="547">
        <v>0.32500000000000001</v>
      </c>
      <c r="D79" s="547">
        <v>9.9699999999999997E-2</v>
      </c>
      <c r="E79" s="554"/>
      <c r="F79" s="547">
        <f t="shared" si="0"/>
        <v>0.2253</v>
      </c>
      <c r="G79" s="554"/>
      <c r="H79" s="554"/>
      <c r="I79" s="566"/>
      <c r="M79" s="523"/>
      <c r="N79" s="543"/>
      <c r="O79" s="523"/>
    </row>
    <row r="80" spans="1:15">
      <c r="A80" s="533"/>
      <c r="B80" s="534">
        <v>1981</v>
      </c>
      <c r="C80" s="535">
        <v>-4.9200000000000001E-2</v>
      </c>
      <c r="D80" s="535">
        <v>0.11550000000000001</v>
      </c>
      <c r="E80" s="554"/>
      <c r="F80" s="535">
        <f t="shared" si="0"/>
        <v>-0.16470000000000001</v>
      </c>
      <c r="G80" s="554"/>
      <c r="H80" s="567"/>
      <c r="I80" s="566"/>
      <c r="M80" s="543"/>
      <c r="N80" s="543"/>
      <c r="O80" s="543"/>
    </row>
    <row r="81" spans="1:15">
      <c r="A81" s="533"/>
      <c r="B81" s="541">
        <v>1982</v>
      </c>
      <c r="C81" s="542">
        <v>0.2155</v>
      </c>
      <c r="D81" s="542">
        <v>0.13500000000000001</v>
      </c>
      <c r="E81" s="554"/>
      <c r="F81" s="542">
        <f t="shared" si="0"/>
        <v>8.0499999999999988E-2</v>
      </c>
      <c r="G81" s="554"/>
      <c r="H81" s="567"/>
      <c r="I81" s="568"/>
      <c r="J81" s="523"/>
      <c r="M81" s="523"/>
      <c r="N81" s="543"/>
      <c r="O81" s="543"/>
    </row>
    <row r="82" spans="1:15">
      <c r="A82" s="533"/>
      <c r="B82" s="541">
        <v>1983</v>
      </c>
      <c r="C82" s="542">
        <v>0.22559999999999999</v>
      </c>
      <c r="D82" s="542">
        <v>0.1038</v>
      </c>
      <c r="E82" s="554"/>
      <c r="F82" s="542">
        <f t="shared" si="0"/>
        <v>0.12179999999999999</v>
      </c>
      <c r="G82" s="554"/>
      <c r="H82" s="554"/>
      <c r="I82" s="568"/>
      <c r="J82" s="523"/>
      <c r="M82" s="543"/>
      <c r="N82" s="543"/>
      <c r="O82" s="543"/>
    </row>
    <row r="83" spans="1:15">
      <c r="A83" s="533"/>
      <c r="B83" s="541">
        <v>1984</v>
      </c>
      <c r="C83" s="542">
        <v>6.2700000000000006E-2</v>
      </c>
      <c r="D83" s="542">
        <v>0.1174</v>
      </c>
      <c r="E83" s="554"/>
      <c r="F83" s="542">
        <f t="shared" si="0"/>
        <v>-5.4699999999999999E-2</v>
      </c>
      <c r="G83" s="554"/>
      <c r="H83" s="554"/>
      <c r="I83" s="566"/>
      <c r="M83" s="523"/>
      <c r="N83" s="543"/>
      <c r="O83" s="543"/>
    </row>
    <row r="84" spans="1:15">
      <c r="A84" s="533"/>
      <c r="B84" s="546">
        <v>1985</v>
      </c>
      <c r="C84" s="547">
        <v>0.31730000000000003</v>
      </c>
      <c r="D84" s="547">
        <v>0.1125</v>
      </c>
      <c r="E84" s="554"/>
      <c r="F84" s="547">
        <f t="shared" si="0"/>
        <v>0.20480000000000004</v>
      </c>
      <c r="G84" s="554"/>
      <c r="H84" s="554"/>
      <c r="I84" s="566"/>
      <c r="M84" s="543"/>
      <c r="N84" s="543"/>
      <c r="O84" s="543"/>
    </row>
    <row r="85" spans="1:15">
      <c r="A85" s="533"/>
      <c r="B85" s="534">
        <v>1986</v>
      </c>
      <c r="C85" s="535">
        <v>0.1867</v>
      </c>
      <c r="D85" s="535">
        <v>8.9800000000000005E-2</v>
      </c>
      <c r="E85" s="554"/>
      <c r="F85" s="535">
        <f t="shared" si="0"/>
        <v>9.69E-2</v>
      </c>
      <c r="G85" s="554"/>
      <c r="H85" s="554"/>
      <c r="I85" s="566"/>
      <c r="M85" s="523"/>
      <c r="N85" s="543"/>
      <c r="O85" s="543"/>
    </row>
    <row r="86" spans="1:15">
      <c r="A86" s="533"/>
      <c r="B86" s="541">
        <v>1987</v>
      </c>
      <c r="C86" s="542">
        <v>5.2499999999999998E-2</v>
      </c>
      <c r="D86" s="542">
        <v>7.9200000000000007E-2</v>
      </c>
      <c r="E86" s="554"/>
      <c r="F86" s="542">
        <f t="shared" si="0"/>
        <v>-2.6700000000000008E-2</v>
      </c>
      <c r="G86" s="554"/>
      <c r="H86" s="554"/>
      <c r="I86" s="566"/>
      <c r="M86" s="523"/>
      <c r="N86" s="543"/>
      <c r="O86" s="543"/>
    </row>
    <row r="87" spans="1:15">
      <c r="A87" s="533"/>
      <c r="B87" s="541">
        <v>1988</v>
      </c>
      <c r="C87" s="542">
        <v>0.1661</v>
      </c>
      <c r="D87" s="542">
        <v>8.9700000000000002E-2</v>
      </c>
      <c r="E87" s="554"/>
      <c r="F87" s="542">
        <f t="shared" si="0"/>
        <v>7.6399999999999996E-2</v>
      </c>
      <c r="G87" s="554"/>
      <c r="H87" s="554"/>
      <c r="I87" s="566"/>
      <c r="M87" s="523"/>
      <c r="N87" s="543"/>
      <c r="O87" s="543"/>
    </row>
    <row r="88" spans="1:15">
      <c r="A88" s="533"/>
      <c r="B88" s="541">
        <v>1989</v>
      </c>
      <c r="C88" s="542">
        <v>0.31690000000000002</v>
      </c>
      <c r="D88" s="542">
        <v>8.8099999999999998E-2</v>
      </c>
      <c r="E88" s="554"/>
      <c r="F88" s="542">
        <f t="shared" si="0"/>
        <v>0.2288</v>
      </c>
      <c r="G88" s="554"/>
      <c r="H88" s="554"/>
      <c r="I88" s="566"/>
      <c r="M88" s="523"/>
      <c r="N88" s="543"/>
      <c r="O88" s="543"/>
    </row>
    <row r="89" spans="1:15">
      <c r="A89" s="533"/>
      <c r="B89" s="546">
        <v>1990</v>
      </c>
      <c r="C89" s="547">
        <v>-3.1E-2</v>
      </c>
      <c r="D89" s="547">
        <v>8.1900000000000001E-2</v>
      </c>
      <c r="E89" s="554"/>
      <c r="F89" s="547">
        <f t="shared" ref="F89:F117" si="1">(C89-D89)</f>
        <v>-0.1129</v>
      </c>
      <c r="G89" s="554"/>
      <c r="H89" s="554"/>
      <c r="I89" s="566"/>
      <c r="M89" s="523"/>
      <c r="N89" s="543"/>
      <c r="O89" s="543"/>
    </row>
    <row r="90" spans="1:15">
      <c r="A90" s="533"/>
      <c r="B90" s="534">
        <v>1991</v>
      </c>
      <c r="C90" s="535">
        <v>0.30470000000000003</v>
      </c>
      <c r="D90" s="535">
        <v>8.2199999999999995E-2</v>
      </c>
      <c r="E90" s="554"/>
      <c r="F90" s="535">
        <f t="shared" si="1"/>
        <v>0.22250000000000003</v>
      </c>
      <c r="G90" s="554"/>
      <c r="H90" s="554"/>
      <c r="I90" s="566"/>
      <c r="M90" s="523"/>
      <c r="N90" s="543"/>
      <c r="O90" s="543"/>
    </row>
    <row r="91" spans="1:15">
      <c r="A91" s="533"/>
      <c r="B91" s="541">
        <v>1992</v>
      </c>
      <c r="C91" s="542">
        <v>7.6200000000000004E-2</v>
      </c>
      <c r="D91" s="542">
        <v>7.2599999999999998E-2</v>
      </c>
      <c r="E91" s="554"/>
      <c r="F91" s="542">
        <f t="shared" si="1"/>
        <v>3.600000000000006E-3</v>
      </c>
      <c r="G91" s="554"/>
      <c r="H91" s="554"/>
      <c r="I91" s="566"/>
      <c r="M91" s="523"/>
      <c r="N91" s="543"/>
      <c r="O91" s="543"/>
    </row>
    <row r="92" spans="1:15">
      <c r="A92" s="533"/>
      <c r="B92" s="541">
        <v>1993</v>
      </c>
      <c r="C92" s="542">
        <v>0.1008</v>
      </c>
      <c r="D92" s="542">
        <v>7.17E-2</v>
      </c>
      <c r="E92" s="554"/>
      <c r="F92" s="542">
        <f t="shared" si="1"/>
        <v>2.9100000000000001E-2</v>
      </c>
      <c r="G92" s="554"/>
      <c r="H92" s="554"/>
      <c r="I92" s="566"/>
      <c r="M92" s="523"/>
      <c r="N92" s="543"/>
      <c r="O92" s="543"/>
    </row>
    <row r="93" spans="1:15">
      <c r="A93" s="533"/>
      <c r="B93" s="541">
        <v>1994</v>
      </c>
      <c r="C93" s="542">
        <v>1.32E-2</v>
      </c>
      <c r="D93" s="542">
        <v>6.59E-2</v>
      </c>
      <c r="E93" s="554"/>
      <c r="F93" s="542">
        <f t="shared" si="1"/>
        <v>-5.2699999999999997E-2</v>
      </c>
      <c r="G93" s="554"/>
      <c r="H93" s="554"/>
      <c r="I93" s="566"/>
      <c r="M93" s="543"/>
      <c r="N93" s="543"/>
      <c r="O93" s="543"/>
    </row>
    <row r="94" spans="1:15">
      <c r="A94" s="533"/>
      <c r="B94" s="546">
        <v>1995</v>
      </c>
      <c r="C94" s="547">
        <v>0.37580000000000002</v>
      </c>
      <c r="D94" s="547">
        <v>7.5999999999999998E-2</v>
      </c>
      <c r="E94" s="554"/>
      <c r="F94" s="547">
        <f t="shared" si="1"/>
        <v>0.29980000000000001</v>
      </c>
      <c r="G94" s="554"/>
      <c r="H94" s="554"/>
      <c r="I94" s="566"/>
      <c r="M94" s="543"/>
      <c r="N94" s="543"/>
      <c r="O94" s="543"/>
    </row>
    <row r="95" spans="1:15">
      <c r="A95" s="533"/>
      <c r="B95" s="534">
        <v>1996</v>
      </c>
      <c r="C95" s="535">
        <v>0.2296</v>
      </c>
      <c r="D95" s="535">
        <v>6.1800000000000001E-2</v>
      </c>
      <c r="E95" s="554"/>
      <c r="F95" s="535">
        <f t="shared" si="1"/>
        <v>0.1678</v>
      </c>
      <c r="G95" s="554"/>
      <c r="H95" s="554"/>
      <c r="I95" s="566"/>
      <c r="M95" s="543"/>
      <c r="N95" s="543"/>
      <c r="O95" s="543"/>
    </row>
    <row r="96" spans="1:15">
      <c r="A96" s="533"/>
      <c r="B96" s="541">
        <v>1997</v>
      </c>
      <c r="C96" s="542">
        <v>0.33360000000000001</v>
      </c>
      <c r="D96" s="542">
        <v>6.6400000000000001E-2</v>
      </c>
      <c r="E96" s="554"/>
      <c r="F96" s="542">
        <f t="shared" si="1"/>
        <v>0.26719999999999999</v>
      </c>
      <c r="G96" s="554"/>
      <c r="H96" s="554"/>
      <c r="I96" s="566"/>
      <c r="M96" s="543"/>
      <c r="N96" s="543"/>
      <c r="O96" s="543"/>
    </row>
    <row r="97" spans="1:15">
      <c r="A97" s="533"/>
      <c r="B97" s="541">
        <v>1998</v>
      </c>
      <c r="C97" s="542">
        <v>0.2858</v>
      </c>
      <c r="D97" s="542">
        <v>5.8299999999999998E-2</v>
      </c>
      <c r="E97" s="554"/>
      <c r="F97" s="542">
        <f t="shared" si="1"/>
        <v>0.22750000000000001</v>
      </c>
      <c r="G97" s="554"/>
      <c r="H97" s="554"/>
      <c r="I97" s="566"/>
      <c r="M97" s="523"/>
      <c r="N97" s="543"/>
      <c r="O97" s="543"/>
    </row>
    <row r="98" spans="1:15">
      <c r="A98" s="533"/>
      <c r="B98" s="541">
        <v>1999</v>
      </c>
      <c r="C98" s="542">
        <v>0.2104</v>
      </c>
      <c r="D98" s="542">
        <v>5.57E-2</v>
      </c>
      <c r="E98" s="554"/>
      <c r="F98" s="542">
        <f t="shared" si="1"/>
        <v>0.1547</v>
      </c>
      <c r="G98" s="554"/>
      <c r="H98" s="554"/>
      <c r="I98" s="566"/>
      <c r="M98" s="523"/>
      <c r="N98" s="543"/>
      <c r="O98" s="543"/>
    </row>
    <row r="99" spans="1:15">
      <c r="A99" s="533"/>
      <c r="B99" s="546">
        <v>2000</v>
      </c>
      <c r="C99" s="547">
        <v>-9.0999999999999998E-2</v>
      </c>
      <c r="D99" s="547">
        <v>6.5000000000000002E-2</v>
      </c>
      <c r="E99" s="554"/>
      <c r="F99" s="547">
        <f t="shared" si="1"/>
        <v>-0.156</v>
      </c>
      <c r="G99" s="554"/>
      <c r="H99" s="554"/>
      <c r="I99" s="566"/>
      <c r="M99" s="523"/>
      <c r="N99" s="543"/>
      <c r="O99" s="543"/>
    </row>
    <row r="100" spans="1:15">
      <c r="A100" s="533"/>
      <c r="B100" s="534">
        <v>2001</v>
      </c>
      <c r="C100" s="535">
        <v>-0.11890000000000001</v>
      </c>
      <c r="D100" s="535">
        <v>5.5300000000000002E-2</v>
      </c>
      <c r="E100" s="554"/>
      <c r="F100" s="535">
        <f t="shared" si="1"/>
        <v>-0.17420000000000002</v>
      </c>
      <c r="G100" s="554"/>
      <c r="H100" s="554"/>
      <c r="I100" s="566"/>
      <c r="M100" s="543"/>
      <c r="N100" s="543"/>
      <c r="O100" s="543"/>
    </row>
    <row r="101" spans="1:15">
      <c r="A101" s="533"/>
      <c r="B101" s="541">
        <v>2002</v>
      </c>
      <c r="C101" s="542">
        <v>-0.221</v>
      </c>
      <c r="D101" s="542">
        <v>5.5899999999999998E-2</v>
      </c>
      <c r="E101" s="554"/>
      <c r="F101" s="542">
        <f t="shared" si="1"/>
        <v>-0.27689999999999998</v>
      </c>
      <c r="G101" s="554"/>
      <c r="H101" s="554"/>
      <c r="I101" s="566"/>
      <c r="M101" s="523"/>
      <c r="N101" s="543"/>
      <c r="O101" s="543"/>
    </row>
    <row r="102" spans="1:15">
      <c r="A102" s="533"/>
      <c r="B102" s="541">
        <v>2003</v>
      </c>
      <c r="C102" s="542">
        <v>0.2868</v>
      </c>
      <c r="D102" s="542">
        <v>4.8000000000000001E-2</v>
      </c>
      <c r="E102" s="554"/>
      <c r="F102" s="542">
        <f t="shared" si="1"/>
        <v>0.23880000000000001</v>
      </c>
      <c r="G102" s="554"/>
      <c r="H102" s="554"/>
      <c r="I102" s="566"/>
      <c r="M102" s="543"/>
      <c r="N102" s="543"/>
      <c r="O102" s="543"/>
    </row>
    <row r="103" spans="1:15">
      <c r="A103" s="533"/>
      <c r="B103" s="541">
        <v>2004</v>
      </c>
      <c r="C103" s="542">
        <v>0.10879999999999999</v>
      </c>
      <c r="D103" s="542">
        <v>5.0200000000000002E-2</v>
      </c>
      <c r="E103" s="554"/>
      <c r="F103" s="542">
        <f t="shared" si="1"/>
        <v>5.8599999999999992E-2</v>
      </c>
      <c r="G103" s="554"/>
      <c r="H103" s="554"/>
      <c r="I103" s="566"/>
      <c r="M103" s="543"/>
      <c r="N103" s="543"/>
      <c r="O103" s="543"/>
    </row>
    <row r="104" spans="1:15">
      <c r="A104" s="533"/>
      <c r="B104" s="546">
        <v>2005</v>
      </c>
      <c r="C104" s="547">
        <v>4.9099999999999998E-2</v>
      </c>
      <c r="D104" s="547">
        <v>4.6899999999999997E-2</v>
      </c>
      <c r="E104" s="554"/>
      <c r="F104" s="547">
        <f t="shared" si="1"/>
        <v>2.2000000000000006E-3</v>
      </c>
      <c r="G104" s="554"/>
      <c r="H104" s="554"/>
      <c r="I104" s="566"/>
      <c r="M104" s="543"/>
      <c r="N104" s="543"/>
      <c r="O104" s="543"/>
    </row>
    <row r="105" spans="1:15">
      <c r="A105" s="533"/>
      <c r="B105" s="534">
        <v>2006</v>
      </c>
      <c r="C105" s="535">
        <v>0.15790000000000001</v>
      </c>
      <c r="D105" s="535">
        <v>4.6800000000000001E-2</v>
      </c>
      <c r="E105" s="554"/>
      <c r="F105" s="535">
        <f t="shared" si="1"/>
        <v>0.1111</v>
      </c>
      <c r="G105" s="554"/>
      <c r="H105" s="554"/>
      <c r="I105" s="566"/>
      <c r="M105" s="523"/>
      <c r="N105" s="543"/>
      <c r="O105" s="543"/>
    </row>
    <row r="106" spans="1:15">
      <c r="A106" s="533"/>
      <c r="B106" s="541">
        <v>2007</v>
      </c>
      <c r="C106" s="542">
        <v>5.4899999999999997E-2</v>
      </c>
      <c r="D106" s="542">
        <v>4.8599999999999997E-2</v>
      </c>
      <c r="E106" s="554"/>
      <c r="F106" s="542">
        <f t="shared" si="1"/>
        <v>6.3E-3</v>
      </c>
      <c r="G106" s="554"/>
      <c r="H106" s="554"/>
      <c r="I106" s="566"/>
      <c r="M106" s="523"/>
      <c r="N106" s="543"/>
      <c r="O106" s="543"/>
    </row>
    <row r="107" spans="1:15">
      <c r="A107" s="533"/>
      <c r="B107" s="541">
        <v>2008</v>
      </c>
      <c r="C107" s="542">
        <v>-0.37</v>
      </c>
      <c r="D107" s="542">
        <v>4.4499999999999998E-2</v>
      </c>
      <c r="E107" s="554"/>
      <c r="F107" s="542">
        <f t="shared" si="1"/>
        <v>-0.41449999999999998</v>
      </c>
      <c r="G107" s="554"/>
      <c r="H107" s="554"/>
      <c r="I107" s="566"/>
      <c r="M107" s="543"/>
      <c r="N107" s="543"/>
      <c r="O107" s="543"/>
    </row>
    <row r="108" spans="1:15">
      <c r="A108" s="533"/>
      <c r="B108" s="541">
        <v>2009</v>
      </c>
      <c r="C108" s="542">
        <v>0.2646</v>
      </c>
      <c r="D108" s="542">
        <v>3.4700000000000002E-2</v>
      </c>
      <c r="E108" s="554"/>
      <c r="F108" s="542">
        <f t="shared" si="1"/>
        <v>0.22989999999999999</v>
      </c>
      <c r="G108" s="554"/>
      <c r="H108" s="554"/>
      <c r="I108" s="566"/>
      <c r="M108" s="523"/>
      <c r="N108" s="543"/>
      <c r="O108" s="543"/>
    </row>
    <row r="109" spans="1:15">
      <c r="A109" s="533"/>
      <c r="B109" s="541">
        <v>2010</v>
      </c>
      <c r="C109" s="547">
        <v>0.15060000000000001</v>
      </c>
      <c r="D109" s="547">
        <v>4.2500000000000003E-2</v>
      </c>
      <c r="E109" s="554"/>
      <c r="F109" s="547">
        <f t="shared" si="1"/>
        <v>0.1081</v>
      </c>
      <c r="G109" s="554"/>
      <c r="H109" s="554"/>
      <c r="I109" s="566"/>
      <c r="M109" s="543"/>
      <c r="N109" s="543"/>
      <c r="O109" s="543"/>
    </row>
    <row r="110" spans="1:15">
      <c r="A110" s="533"/>
      <c r="B110" s="534">
        <v>2011</v>
      </c>
      <c r="C110" s="535">
        <v>2.1100000000000001E-2</v>
      </c>
      <c r="D110" s="535">
        <v>3.8199999999999998E-2</v>
      </c>
      <c r="E110" s="554"/>
      <c r="F110" s="535">
        <f t="shared" si="1"/>
        <v>-1.7099999999999997E-2</v>
      </c>
      <c r="G110" s="554"/>
      <c r="H110" s="554"/>
      <c r="I110" s="566"/>
      <c r="M110" s="543"/>
      <c r="N110" s="543"/>
      <c r="O110" s="543"/>
    </row>
    <row r="111" spans="1:15">
      <c r="A111" s="533"/>
      <c r="B111" s="541">
        <v>2012</v>
      </c>
      <c r="C111" s="542">
        <v>0.16</v>
      </c>
      <c r="D111" s="542">
        <v>2.46E-2</v>
      </c>
      <c r="E111" s="554"/>
      <c r="F111" s="542">
        <f t="shared" si="1"/>
        <v>0.13539999999999999</v>
      </c>
      <c r="G111" s="554"/>
      <c r="H111" s="554"/>
      <c r="I111" s="566"/>
      <c r="M111" s="543"/>
      <c r="N111" s="543"/>
      <c r="O111" s="543"/>
    </row>
    <row r="112" spans="1:15">
      <c r="A112" s="533"/>
      <c r="B112" s="569">
        <v>2013</v>
      </c>
      <c r="C112" s="542">
        <v>0.32390000000000002</v>
      </c>
      <c r="D112" s="542">
        <v>2.8799999999999999E-2</v>
      </c>
      <c r="E112" s="554"/>
      <c r="F112" s="542">
        <f t="shared" si="1"/>
        <v>0.29510000000000003</v>
      </c>
      <c r="G112" s="554"/>
      <c r="H112" s="554"/>
      <c r="I112" s="566"/>
      <c r="M112" s="523"/>
      <c r="N112" s="543"/>
      <c r="O112" s="543"/>
    </row>
    <row r="113" spans="1:15">
      <c r="A113" s="533"/>
      <c r="B113" s="569">
        <v>2014</v>
      </c>
      <c r="C113" s="542">
        <v>0.13689999999999999</v>
      </c>
      <c r="D113" s="542">
        <v>3.4099999999999998E-2</v>
      </c>
      <c r="E113" s="554"/>
      <c r="F113" s="542">
        <f t="shared" si="1"/>
        <v>0.1028</v>
      </c>
      <c r="G113" s="554"/>
      <c r="H113" s="554"/>
      <c r="I113" s="566"/>
      <c r="M113" s="543"/>
      <c r="N113" s="543"/>
      <c r="O113" s="543"/>
    </row>
    <row r="114" spans="1:15">
      <c r="A114" s="533"/>
      <c r="B114" s="570">
        <v>2015</v>
      </c>
      <c r="C114" s="547">
        <v>1.38E-2</v>
      </c>
      <c r="D114" s="547">
        <v>2.47E-2</v>
      </c>
      <c r="E114" s="554"/>
      <c r="F114" s="547">
        <f t="shared" si="1"/>
        <v>-1.09E-2</v>
      </c>
      <c r="G114" s="571"/>
      <c r="H114" s="554"/>
      <c r="I114" s="566"/>
      <c r="M114" s="543"/>
      <c r="N114" s="543"/>
      <c r="O114" s="543"/>
    </row>
    <row r="115" spans="1:15">
      <c r="A115" s="533"/>
      <c r="B115" s="534">
        <v>2016</v>
      </c>
      <c r="C115" s="535">
        <v>0.1196</v>
      </c>
      <c r="D115" s="535">
        <v>2.3E-2</v>
      </c>
      <c r="E115" s="554"/>
      <c r="F115" s="535">
        <f t="shared" si="1"/>
        <v>9.6599999999999991E-2</v>
      </c>
      <c r="G115" s="571"/>
      <c r="H115" s="554"/>
      <c r="I115" s="566"/>
      <c r="M115" s="543"/>
      <c r="N115" s="543"/>
      <c r="O115" s="543"/>
    </row>
    <row r="116" spans="1:15">
      <c r="A116" s="533"/>
      <c r="B116" s="569">
        <v>2017</v>
      </c>
      <c r="C116" s="542">
        <v>0.21829999999999999</v>
      </c>
      <c r="D116" s="542">
        <v>2.6700000000000002E-2</v>
      </c>
      <c r="E116" s="554"/>
      <c r="F116" s="542">
        <f t="shared" si="1"/>
        <v>0.19159999999999999</v>
      </c>
      <c r="G116" s="571"/>
      <c r="H116" s="554"/>
      <c r="I116" s="566"/>
      <c r="M116" s="543"/>
      <c r="N116" s="543"/>
      <c r="O116" s="543"/>
    </row>
    <row r="117" spans="1:15">
      <c r="A117" s="533"/>
      <c r="B117" s="570">
        <v>2018</v>
      </c>
      <c r="C117" s="547">
        <v>-4.3799999999999999E-2</v>
      </c>
      <c r="D117" s="547">
        <v>2.8199999999999999E-2</v>
      </c>
      <c r="E117" s="554"/>
      <c r="F117" s="547">
        <f t="shared" si="1"/>
        <v>-7.1999999999999995E-2</v>
      </c>
      <c r="G117" s="571"/>
      <c r="H117" s="554"/>
      <c r="I117" s="566"/>
      <c r="M117" s="543"/>
      <c r="N117" s="543"/>
      <c r="O117" s="543"/>
    </row>
    <row r="118" spans="1:15">
      <c r="A118" s="533"/>
      <c r="B118" s="569" t="s">
        <v>20</v>
      </c>
      <c r="C118" s="542">
        <f>AVERAGE(C25:C117)</f>
        <v>0.11882365591397853</v>
      </c>
      <c r="D118" s="542">
        <f>AVERAGE(D25:D117)</f>
        <v>4.9679569892473116E-2</v>
      </c>
      <c r="E118" s="554"/>
      <c r="F118" s="542">
        <f>AVERAGE(F25:F117)</f>
        <v>6.914408602150536E-2</v>
      </c>
      <c r="G118" s="571"/>
      <c r="H118" s="571"/>
      <c r="I118" s="566"/>
      <c r="M118" s="543"/>
      <c r="N118" s="543"/>
      <c r="O118" s="543"/>
    </row>
    <row r="119" spans="1:15">
      <c r="A119" s="533"/>
      <c r="B119" s="569" t="s">
        <v>1719</v>
      </c>
      <c r="C119" s="542">
        <f>STDEV(C25:C117)</f>
        <v>0.19763872750103445</v>
      </c>
      <c r="D119" s="542">
        <f>STDEV(D25:D117)</f>
        <v>2.6269802299531596E-2</v>
      </c>
      <c r="E119" s="554"/>
      <c r="F119" s="542">
        <f>STDEV(F25:F117)</f>
        <v>0.19845400872437705</v>
      </c>
      <c r="G119" s="554"/>
      <c r="H119" s="554"/>
      <c r="I119" s="566"/>
      <c r="M119" s="543"/>
      <c r="N119" s="543"/>
      <c r="O119" s="543"/>
    </row>
    <row r="120" spans="1:15">
      <c r="B120" s="554"/>
      <c r="C120" s="554"/>
      <c r="D120" s="554"/>
      <c r="E120" s="554"/>
      <c r="F120" s="554"/>
      <c r="G120" s="554"/>
      <c r="H120" s="554"/>
      <c r="I120" s="566"/>
      <c r="N120" s="543"/>
      <c r="O120" s="543"/>
    </row>
    <row r="121" spans="1:15">
      <c r="B121" s="572" t="s">
        <v>1720</v>
      </c>
      <c r="C121" s="554"/>
      <c r="D121" s="554"/>
      <c r="E121" s="554"/>
      <c r="F121" s="554"/>
      <c r="G121" s="554"/>
      <c r="H121" s="554"/>
      <c r="I121" s="566"/>
      <c r="O121" s="543"/>
    </row>
    <row r="122" spans="1:15">
      <c r="B122" s="554"/>
      <c r="C122" s="554"/>
      <c r="D122" s="554"/>
      <c r="E122" s="554"/>
      <c r="F122" s="554"/>
      <c r="G122" s="554"/>
      <c r="H122" s="554"/>
      <c r="I122" s="566"/>
      <c r="O122" s="543"/>
    </row>
    <row r="123" spans="1:15">
      <c r="B123" s="554"/>
      <c r="C123" s="554"/>
      <c r="D123" s="554"/>
      <c r="E123" s="554"/>
      <c r="F123" s="554"/>
      <c r="G123" s="554"/>
      <c r="H123" s="554"/>
      <c r="I123" s="566"/>
    </row>
    <row r="124" spans="1:15">
      <c r="B124" s="554"/>
      <c r="C124" s="554"/>
      <c r="D124" s="554"/>
      <c r="E124" s="554"/>
      <c r="F124" s="554"/>
      <c r="G124" s="554"/>
      <c r="H124" s="554"/>
      <c r="I124" s="566"/>
    </row>
    <row r="125" spans="1:15">
      <c r="B125" s="554"/>
      <c r="C125" s="554"/>
      <c r="D125" s="554"/>
      <c r="E125" s="554"/>
      <c r="F125" s="554"/>
      <c r="G125" s="554"/>
      <c r="H125" s="554"/>
      <c r="I125" s="566"/>
    </row>
    <row r="126" spans="1:15">
      <c r="B126" s="554"/>
      <c r="C126" s="554"/>
      <c r="D126" s="554"/>
      <c r="E126" s="554"/>
      <c r="F126" s="554"/>
      <c r="G126" s="554"/>
      <c r="H126" s="554"/>
      <c r="I126" s="566"/>
    </row>
    <row r="127" spans="1:15">
      <c r="B127" s="554"/>
      <c r="C127" s="554"/>
      <c r="D127" s="554"/>
      <c r="E127" s="554"/>
      <c r="F127" s="554"/>
      <c r="G127" s="554"/>
      <c r="I127" s="566"/>
    </row>
    <row r="128" spans="1:15">
      <c r="I128" s="566"/>
    </row>
    <row r="129" spans="9:9">
      <c r="I129" s="566"/>
    </row>
    <row r="130" spans="9:9">
      <c r="I130" s="566"/>
    </row>
    <row r="131" spans="9:9">
      <c r="I131" s="566"/>
    </row>
    <row r="132" spans="9:9">
      <c r="I132" s="566"/>
    </row>
    <row r="133" spans="9:9">
      <c r="I133" s="566"/>
    </row>
    <row r="134" spans="9:9">
      <c r="I134" s="566"/>
    </row>
    <row r="135" spans="9:9">
      <c r="I135" s="566"/>
    </row>
    <row r="136" spans="9:9">
      <c r="I136" s="566"/>
    </row>
    <row r="137" spans="9:9">
      <c r="I137" s="566"/>
    </row>
    <row r="138" spans="9:9">
      <c r="I138" s="566"/>
    </row>
    <row r="139" spans="9:9">
      <c r="I139" s="566"/>
    </row>
    <row r="140" spans="9:9">
      <c r="I140" s="566"/>
    </row>
    <row r="141" spans="9:9">
      <c r="I141" s="566"/>
    </row>
    <row r="142" spans="9:9">
      <c r="I142" s="566"/>
    </row>
    <row r="143" spans="9:9">
      <c r="I143" s="566"/>
    </row>
    <row r="144" spans="9:9">
      <c r="I144" s="566"/>
    </row>
    <row r="145" spans="9:9">
      <c r="I145" s="566"/>
    </row>
    <row r="146" spans="9:9">
      <c r="I146" s="566"/>
    </row>
    <row r="147" spans="9:9">
      <c r="I147" s="566"/>
    </row>
    <row r="148" spans="9:9">
      <c r="I148" s="566"/>
    </row>
    <row r="149" spans="9:9">
      <c r="I149" s="566"/>
    </row>
    <row r="150" spans="9:9">
      <c r="I150" s="566"/>
    </row>
    <row r="151" spans="9:9">
      <c r="I151" s="566"/>
    </row>
    <row r="152" spans="9:9">
      <c r="I152" s="566"/>
    </row>
    <row r="153" spans="9:9">
      <c r="I153" s="566"/>
    </row>
    <row r="154" spans="9:9">
      <c r="I154" s="566"/>
    </row>
    <row r="155" spans="9:9">
      <c r="I155" s="566"/>
    </row>
    <row r="156" spans="9:9">
      <c r="I156" s="566"/>
    </row>
    <row r="157" spans="9:9">
      <c r="I157" s="566"/>
    </row>
    <row r="158" spans="9:9">
      <c r="I158" s="566"/>
    </row>
    <row r="159" spans="9:9">
      <c r="I159" s="566"/>
    </row>
    <row r="160" spans="9:9">
      <c r="I160" s="566"/>
    </row>
    <row r="161" spans="9:10">
      <c r="I161" s="566"/>
    </row>
    <row r="162" spans="9:10">
      <c r="I162" s="566"/>
    </row>
    <row r="163" spans="9:10">
      <c r="I163" s="566"/>
    </row>
    <row r="164" spans="9:10">
      <c r="I164" s="566"/>
    </row>
    <row r="165" spans="9:10">
      <c r="I165" s="566"/>
      <c r="J165" s="573"/>
    </row>
    <row r="167" spans="9:10">
      <c r="I167" s="560"/>
      <c r="J167" s="574"/>
    </row>
    <row r="168" spans="9:10">
      <c r="I168" s="566"/>
      <c r="J168" s="574"/>
    </row>
  </sheetData>
  <mergeCells count="1">
    <mergeCell ref="I24:K24"/>
  </mergeCells>
  <printOptions horizontalCentered="1"/>
  <pageMargins left="0.7" right="0.7" top="1" bottom="0.75" header="0.3" footer="0.3"/>
  <pageSetup scale="44" orientation="portrait" useFirstPageNumber="1" r:id="rId1"/>
  <headerFooter scaleWithDoc="0">
    <oddHeader>&amp;RDEU Exhibit 2.19R
Page &amp;P of 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0"/>
  <sheetViews>
    <sheetView view="pageBreakPreview" zoomScale="120" zoomScaleNormal="100" zoomScaleSheetLayoutView="120" zoomScalePageLayoutView="120" workbookViewId="0">
      <selection activeCell="J3" sqref="J3"/>
    </sheetView>
  </sheetViews>
  <sheetFormatPr defaultColWidth="8" defaultRowHeight="12.75"/>
  <cols>
    <col min="1" max="1" width="8" style="634"/>
    <col min="2" max="6" width="9.375" style="634" customWidth="1"/>
    <col min="7" max="7" width="9.375" style="646" customWidth="1"/>
    <col min="8" max="8" width="9.375" style="634" customWidth="1"/>
    <col min="9" max="9" width="9.375" style="647" customWidth="1"/>
    <col min="10" max="10" width="6.5" style="634" customWidth="1"/>
    <col min="11" max="16384" width="8" style="634"/>
  </cols>
  <sheetData>
    <row r="1" spans="1:11" ht="12.75" customHeight="1">
      <c r="A1" s="843" t="s">
        <v>1779</v>
      </c>
      <c r="B1" s="843"/>
      <c r="C1" s="843"/>
      <c r="D1" s="843"/>
      <c r="E1" s="843"/>
      <c r="F1" s="843"/>
      <c r="G1" s="843"/>
      <c r="H1" s="843"/>
      <c r="I1" s="843"/>
      <c r="J1" s="843"/>
      <c r="K1" s="843"/>
    </row>
    <row r="2" spans="1:11">
      <c r="A2" s="844" t="s">
        <v>1780</v>
      </c>
      <c r="B2" s="844"/>
      <c r="C2" s="844"/>
      <c r="D2" s="844"/>
      <c r="E2" s="844"/>
      <c r="F2" s="844"/>
      <c r="G2" s="844"/>
      <c r="H2" s="844"/>
      <c r="I2" s="844"/>
      <c r="J2" s="844"/>
      <c r="K2" s="844"/>
    </row>
    <row r="4" spans="1:11">
      <c r="C4" s="635" t="s">
        <v>589</v>
      </c>
      <c r="D4" s="636">
        <v>2.5000000000000001E-2</v>
      </c>
      <c r="G4" s="637" t="s">
        <v>1781</v>
      </c>
      <c r="H4" s="638">
        <v>0.33</v>
      </c>
      <c r="I4" s="639">
        <v>0.25</v>
      </c>
    </row>
    <row r="5" spans="1:11">
      <c r="C5" s="635" t="s">
        <v>1707</v>
      </c>
      <c r="D5" s="636">
        <v>8.5000000000000006E-2</v>
      </c>
      <c r="E5" s="844" t="s">
        <v>1782</v>
      </c>
      <c r="F5" s="844"/>
      <c r="G5" s="637" t="s">
        <v>1783</v>
      </c>
      <c r="H5" s="638">
        <v>0.67</v>
      </c>
      <c r="I5" s="639">
        <v>0.75</v>
      </c>
      <c r="J5" s="640"/>
    </row>
    <row r="6" spans="1:11">
      <c r="C6" s="635"/>
      <c r="D6" s="636"/>
      <c r="E6" s="640"/>
      <c r="F6" s="640"/>
      <c r="G6" s="638"/>
      <c r="H6" s="640"/>
      <c r="I6" s="639"/>
      <c r="J6" s="640"/>
    </row>
    <row r="7" spans="1:11" ht="25.5">
      <c r="B7" s="641" t="s">
        <v>1784</v>
      </c>
      <c r="C7" s="641" t="s">
        <v>1785</v>
      </c>
      <c r="D7" s="641" t="s">
        <v>1786</v>
      </c>
      <c r="E7" s="642">
        <v>0.01</v>
      </c>
      <c r="F7" s="642">
        <v>0.02</v>
      </c>
      <c r="G7" s="643" t="s">
        <v>1787</v>
      </c>
      <c r="H7" s="642" t="s">
        <v>1788</v>
      </c>
      <c r="I7" s="644" t="s">
        <v>1789</v>
      </c>
      <c r="J7" s="636"/>
    </row>
    <row r="8" spans="1:11">
      <c r="B8" s="639">
        <v>0</v>
      </c>
      <c r="C8" s="636">
        <f t="shared" ref="C8:C71" si="0">D$4+(B8*D$5)</f>
        <v>2.5000000000000001E-2</v>
      </c>
      <c r="D8" s="636">
        <f>D$4+($I$5*B8*D$5)+($I$4*D$5)</f>
        <v>4.6249999999999999E-2</v>
      </c>
      <c r="E8" s="645">
        <f>$D$4+E$7+($B8*($D$5-E$7))</f>
        <v>3.5000000000000003E-2</v>
      </c>
      <c r="F8" s="645">
        <f t="shared" ref="E8:F27" si="1">$D$4+F$7+($B8*($D$5-F$7))</f>
        <v>4.4999999999999998E-2</v>
      </c>
      <c r="G8" s="638">
        <f>(B8-H$4)/H$5</f>
        <v>-0.4925373134328358</v>
      </c>
      <c r="H8" s="645">
        <f>D$4+(H$4*D$5)+(G8*D$5*H$5)</f>
        <v>2.4999999999999998E-2</v>
      </c>
      <c r="I8" s="343">
        <f>D$4+(I$4*D$5)+(G8*D$5*I$5)</f>
        <v>1.485074626865672E-2</v>
      </c>
      <c r="J8" s="645"/>
    </row>
    <row r="9" spans="1:11">
      <c r="B9" s="639">
        <f t="shared" ref="B9:B72" si="2">B8+0.01</f>
        <v>0.01</v>
      </c>
      <c r="C9" s="636">
        <f t="shared" si="0"/>
        <v>2.5850000000000001E-2</v>
      </c>
      <c r="D9" s="636">
        <f t="shared" ref="D9:D72" si="3">D$4+($I$5*B9*D$5)+($I$4*D$5)</f>
        <v>4.6887499999999999E-2</v>
      </c>
      <c r="E9" s="645">
        <f t="shared" si="1"/>
        <v>3.5750000000000004E-2</v>
      </c>
      <c r="F9" s="645">
        <f t="shared" si="1"/>
        <v>4.5649999999999996E-2</v>
      </c>
      <c r="G9" s="638">
        <f t="shared" ref="G9:G72" si="4">(B9-H$4)/H$5</f>
        <v>-0.47761194029850745</v>
      </c>
      <c r="H9" s="645">
        <f t="shared" ref="H9:H72" si="5">D$4+(H$4*D$5)+(G9*D$5*H$5)</f>
        <v>2.5849999999999995E-2</v>
      </c>
      <c r="I9" s="343">
        <f t="shared" ref="I9:I72" si="6">D$4+(I$4*D$5)+(G9*D$5*I$5)</f>
        <v>1.5802238805970144E-2</v>
      </c>
      <c r="J9" s="645"/>
    </row>
    <row r="10" spans="1:11">
      <c r="B10" s="639">
        <f t="shared" si="2"/>
        <v>0.02</v>
      </c>
      <c r="C10" s="636">
        <f t="shared" si="0"/>
        <v>2.6700000000000002E-2</v>
      </c>
      <c r="D10" s="636">
        <f t="shared" si="3"/>
        <v>4.7524999999999998E-2</v>
      </c>
      <c r="E10" s="645">
        <f t="shared" si="1"/>
        <v>3.6500000000000005E-2</v>
      </c>
      <c r="F10" s="645">
        <f t="shared" si="1"/>
        <v>4.6300000000000001E-2</v>
      </c>
      <c r="G10" s="638">
        <f t="shared" si="4"/>
        <v>-0.46268656716417905</v>
      </c>
      <c r="H10" s="645">
        <f>D$4+(H$4*D$5)+(G10*D$5*H$5)</f>
        <v>2.6699999999999998E-2</v>
      </c>
      <c r="I10" s="343">
        <f>D$4+(I$4*D$5)+(G10*D$5*I$5)</f>
        <v>1.6753731343283583E-2</v>
      </c>
      <c r="J10" s="645"/>
    </row>
    <row r="11" spans="1:11">
      <c r="B11" s="639">
        <f t="shared" si="2"/>
        <v>0.03</v>
      </c>
      <c r="C11" s="636">
        <f t="shared" si="0"/>
        <v>2.7550000000000002E-2</v>
      </c>
      <c r="D11" s="636">
        <f t="shared" si="3"/>
        <v>4.8162500000000004E-2</v>
      </c>
      <c r="E11" s="645">
        <f t="shared" si="1"/>
        <v>3.7250000000000005E-2</v>
      </c>
      <c r="F11" s="645">
        <f t="shared" si="1"/>
        <v>4.6949999999999999E-2</v>
      </c>
      <c r="G11" s="638">
        <f t="shared" si="4"/>
        <v>-0.44776119402985076</v>
      </c>
      <c r="H11" s="645">
        <f t="shared" si="5"/>
        <v>2.7549999999999995E-2</v>
      </c>
      <c r="I11" s="343">
        <f t="shared" si="6"/>
        <v>1.7705223880597011E-2</v>
      </c>
      <c r="J11" s="645"/>
    </row>
    <row r="12" spans="1:11">
      <c r="B12" s="639">
        <f t="shared" si="2"/>
        <v>0.04</v>
      </c>
      <c r="C12" s="636">
        <f t="shared" si="0"/>
        <v>2.8400000000000002E-2</v>
      </c>
      <c r="D12" s="636">
        <f t="shared" si="3"/>
        <v>4.8800000000000003E-2</v>
      </c>
      <c r="E12" s="645">
        <f t="shared" si="1"/>
        <v>3.8000000000000006E-2</v>
      </c>
      <c r="F12" s="645">
        <f t="shared" si="1"/>
        <v>4.7599999999999996E-2</v>
      </c>
      <c r="G12" s="638">
        <f t="shared" si="4"/>
        <v>-0.43283582089552242</v>
      </c>
      <c r="H12" s="645">
        <f t="shared" si="5"/>
        <v>2.8399999999999995E-2</v>
      </c>
      <c r="I12" s="343">
        <f t="shared" si="6"/>
        <v>1.8656716417910446E-2</v>
      </c>
      <c r="J12" s="645"/>
    </row>
    <row r="13" spans="1:11">
      <c r="B13" s="639">
        <f t="shared" si="2"/>
        <v>0.05</v>
      </c>
      <c r="C13" s="636">
        <f t="shared" si="0"/>
        <v>2.9250000000000002E-2</v>
      </c>
      <c r="D13" s="636">
        <f t="shared" si="3"/>
        <v>4.9437500000000002E-2</v>
      </c>
      <c r="E13" s="645">
        <f t="shared" si="1"/>
        <v>3.8750000000000007E-2</v>
      </c>
      <c r="F13" s="645">
        <f t="shared" si="1"/>
        <v>4.8250000000000001E-2</v>
      </c>
      <c r="G13" s="638">
        <f t="shared" si="4"/>
        <v>-0.41791044776119407</v>
      </c>
      <c r="H13" s="645">
        <f t="shared" si="5"/>
        <v>2.9249999999999995E-2</v>
      </c>
      <c r="I13" s="343">
        <f t="shared" si="6"/>
        <v>1.9608208955223878E-2</v>
      </c>
      <c r="J13" s="645"/>
    </row>
    <row r="14" spans="1:11">
      <c r="B14" s="639">
        <f t="shared" si="2"/>
        <v>6.0000000000000005E-2</v>
      </c>
      <c r="C14" s="636">
        <f t="shared" si="0"/>
        <v>3.0100000000000002E-2</v>
      </c>
      <c r="D14" s="636">
        <f t="shared" si="3"/>
        <v>5.0075000000000008E-2</v>
      </c>
      <c r="E14" s="645">
        <f t="shared" si="1"/>
        <v>3.9500000000000007E-2</v>
      </c>
      <c r="F14" s="645">
        <f t="shared" si="1"/>
        <v>4.8899999999999999E-2</v>
      </c>
      <c r="G14" s="638">
        <f t="shared" si="4"/>
        <v>-0.40298507462686567</v>
      </c>
      <c r="H14" s="645">
        <f t="shared" si="5"/>
        <v>3.0099999999999998E-2</v>
      </c>
      <c r="I14" s="343">
        <f t="shared" si="6"/>
        <v>2.0559701492537309E-2</v>
      </c>
      <c r="J14" s="645"/>
    </row>
    <row r="15" spans="1:11" ht="12" customHeight="1">
      <c r="B15" s="639">
        <f t="shared" si="2"/>
        <v>7.0000000000000007E-2</v>
      </c>
      <c r="C15" s="636">
        <f t="shared" si="0"/>
        <v>3.0950000000000002E-2</v>
      </c>
      <c r="D15" s="636">
        <f t="shared" si="3"/>
        <v>5.0712500000000008E-2</v>
      </c>
      <c r="E15" s="645">
        <f t="shared" si="1"/>
        <v>4.0250000000000008E-2</v>
      </c>
      <c r="F15" s="645">
        <f t="shared" si="1"/>
        <v>4.9549999999999997E-2</v>
      </c>
      <c r="G15" s="638">
        <f t="shared" si="4"/>
        <v>-0.38805970149253732</v>
      </c>
      <c r="H15" s="645">
        <f t="shared" si="5"/>
        <v>3.0949999999999998E-2</v>
      </c>
      <c r="I15" s="343">
        <f t="shared" si="6"/>
        <v>2.1511194029850744E-2</v>
      </c>
      <c r="J15" s="645"/>
    </row>
    <row r="16" spans="1:11">
      <c r="B16" s="639">
        <f t="shared" si="2"/>
        <v>0.08</v>
      </c>
      <c r="C16" s="636">
        <f t="shared" si="0"/>
        <v>3.1800000000000002E-2</v>
      </c>
      <c r="D16" s="636">
        <f t="shared" si="3"/>
        <v>5.1350000000000007E-2</v>
      </c>
      <c r="E16" s="645">
        <f t="shared" si="1"/>
        <v>4.1000000000000002E-2</v>
      </c>
      <c r="F16" s="645">
        <f t="shared" si="1"/>
        <v>5.0200000000000002E-2</v>
      </c>
      <c r="G16" s="638">
        <f t="shared" si="4"/>
        <v>-0.37313432835820892</v>
      </c>
      <c r="H16" s="645">
        <f t="shared" si="5"/>
        <v>3.1799999999999995E-2</v>
      </c>
      <c r="I16" s="343">
        <f t="shared" si="6"/>
        <v>2.2462686567164179E-2</v>
      </c>
      <c r="J16" s="645"/>
    </row>
    <row r="17" spans="2:10">
      <c r="B17" s="639">
        <f t="shared" si="2"/>
        <v>0.09</v>
      </c>
      <c r="C17" s="636">
        <f t="shared" si="0"/>
        <v>3.2649999999999998E-2</v>
      </c>
      <c r="D17" s="636">
        <f t="shared" si="3"/>
        <v>5.1987500000000006E-2</v>
      </c>
      <c r="E17" s="645">
        <f t="shared" si="1"/>
        <v>4.1750000000000002E-2</v>
      </c>
      <c r="F17" s="645">
        <f t="shared" si="1"/>
        <v>5.0849999999999999E-2</v>
      </c>
      <c r="G17" s="638">
        <f t="shared" si="4"/>
        <v>-0.35820895522388058</v>
      </c>
      <c r="H17" s="645">
        <f t="shared" si="5"/>
        <v>3.2649999999999998E-2</v>
      </c>
      <c r="I17" s="343">
        <f t="shared" si="6"/>
        <v>2.3414179104477611E-2</v>
      </c>
      <c r="J17" s="645"/>
    </row>
    <row r="18" spans="2:10">
      <c r="B18" s="639">
        <f t="shared" si="2"/>
        <v>9.9999999999999992E-2</v>
      </c>
      <c r="C18" s="636">
        <f t="shared" si="0"/>
        <v>3.3500000000000002E-2</v>
      </c>
      <c r="D18" s="636">
        <f t="shared" si="3"/>
        <v>5.2625000000000005E-2</v>
      </c>
      <c r="E18" s="645">
        <f t="shared" si="1"/>
        <v>4.2500000000000003E-2</v>
      </c>
      <c r="F18" s="645">
        <f t="shared" si="1"/>
        <v>5.1499999999999997E-2</v>
      </c>
      <c r="G18" s="638">
        <f t="shared" si="4"/>
        <v>-0.34328358208955229</v>
      </c>
      <c r="H18" s="645">
        <f t="shared" si="5"/>
        <v>3.3499999999999995E-2</v>
      </c>
      <c r="I18" s="343">
        <f t="shared" si="6"/>
        <v>2.4365671641791039E-2</v>
      </c>
      <c r="J18" s="645"/>
    </row>
    <row r="19" spans="2:10">
      <c r="B19" s="639">
        <f t="shared" si="2"/>
        <v>0.10999999999999999</v>
      </c>
      <c r="C19" s="636">
        <f t="shared" si="0"/>
        <v>3.4349999999999999E-2</v>
      </c>
      <c r="D19" s="636">
        <f t="shared" si="3"/>
        <v>5.3262500000000004E-2</v>
      </c>
      <c r="E19" s="645">
        <f t="shared" si="1"/>
        <v>4.3250000000000004E-2</v>
      </c>
      <c r="F19" s="645">
        <f t="shared" si="1"/>
        <v>5.2149999999999995E-2</v>
      </c>
      <c r="G19" s="638">
        <f t="shared" si="4"/>
        <v>-0.32835820895522388</v>
      </c>
      <c r="H19" s="645">
        <f t="shared" si="5"/>
        <v>3.4349999999999992E-2</v>
      </c>
      <c r="I19" s="343">
        <f t="shared" si="6"/>
        <v>2.5317164179104474E-2</v>
      </c>
      <c r="J19" s="645"/>
    </row>
    <row r="20" spans="2:10">
      <c r="B20" s="639">
        <f t="shared" si="2"/>
        <v>0.11999999999999998</v>
      </c>
      <c r="C20" s="636">
        <f t="shared" si="0"/>
        <v>3.5200000000000002E-2</v>
      </c>
      <c r="D20" s="636">
        <f t="shared" si="3"/>
        <v>5.3900000000000003E-2</v>
      </c>
      <c r="E20" s="645">
        <f t="shared" si="1"/>
        <v>4.4000000000000004E-2</v>
      </c>
      <c r="F20" s="645">
        <f t="shared" si="1"/>
        <v>5.28E-2</v>
      </c>
      <c r="G20" s="638">
        <f t="shared" si="4"/>
        <v>-0.31343283582089554</v>
      </c>
      <c r="H20" s="645">
        <f t="shared" si="5"/>
        <v>3.5199999999999995E-2</v>
      </c>
      <c r="I20" s="343">
        <f t="shared" si="6"/>
        <v>2.6268656716417909E-2</v>
      </c>
      <c r="J20" s="645"/>
    </row>
    <row r="21" spans="2:10">
      <c r="B21" s="639">
        <f t="shared" si="2"/>
        <v>0.12999999999999998</v>
      </c>
      <c r="C21" s="636">
        <f t="shared" si="0"/>
        <v>3.6049999999999999E-2</v>
      </c>
      <c r="D21" s="636">
        <f t="shared" si="3"/>
        <v>5.4537500000000003E-2</v>
      </c>
      <c r="E21" s="645">
        <f t="shared" si="1"/>
        <v>4.4750000000000005E-2</v>
      </c>
      <c r="F21" s="645">
        <f t="shared" si="1"/>
        <v>5.3449999999999998E-2</v>
      </c>
      <c r="G21" s="638">
        <f t="shared" si="4"/>
        <v>-0.29850746268656719</v>
      </c>
      <c r="H21" s="645">
        <f t="shared" si="5"/>
        <v>3.6049999999999999E-2</v>
      </c>
      <c r="I21" s="343">
        <f t="shared" si="6"/>
        <v>2.7220149253731341E-2</v>
      </c>
      <c r="J21" s="645"/>
    </row>
    <row r="22" spans="2:10">
      <c r="B22" s="639">
        <f t="shared" si="2"/>
        <v>0.13999999999999999</v>
      </c>
      <c r="C22" s="636">
        <f t="shared" si="0"/>
        <v>3.6900000000000002E-2</v>
      </c>
      <c r="D22" s="636">
        <f t="shared" si="3"/>
        <v>5.5175000000000002E-2</v>
      </c>
      <c r="E22" s="645">
        <f t="shared" si="1"/>
        <v>4.5500000000000006E-2</v>
      </c>
      <c r="F22" s="645">
        <f t="shared" si="1"/>
        <v>5.4099999999999995E-2</v>
      </c>
      <c r="G22" s="638">
        <f t="shared" si="4"/>
        <v>-0.28358208955223885</v>
      </c>
      <c r="H22" s="645">
        <f t="shared" si="5"/>
        <v>3.6899999999999995E-2</v>
      </c>
      <c r="I22" s="343">
        <f t="shared" si="6"/>
        <v>2.8171641791044772E-2</v>
      </c>
      <c r="J22" s="645"/>
    </row>
    <row r="23" spans="2:10">
      <c r="B23" s="639">
        <f t="shared" si="2"/>
        <v>0.15</v>
      </c>
      <c r="C23" s="636">
        <f t="shared" si="0"/>
        <v>3.7750000000000006E-2</v>
      </c>
      <c r="D23" s="636">
        <f t="shared" si="3"/>
        <v>5.5812500000000001E-2</v>
      </c>
      <c r="E23" s="645">
        <f t="shared" si="1"/>
        <v>4.6250000000000006E-2</v>
      </c>
      <c r="F23" s="645">
        <f t="shared" si="1"/>
        <v>5.475E-2</v>
      </c>
      <c r="G23" s="638">
        <f t="shared" si="4"/>
        <v>-0.26865671641791045</v>
      </c>
      <c r="H23" s="645">
        <f t="shared" si="5"/>
        <v>3.7749999999999999E-2</v>
      </c>
      <c r="I23" s="343">
        <f t="shared" si="6"/>
        <v>2.9123134328358207E-2</v>
      </c>
      <c r="J23" s="645"/>
    </row>
    <row r="24" spans="2:10">
      <c r="B24" s="639">
        <f t="shared" si="2"/>
        <v>0.16</v>
      </c>
      <c r="C24" s="636">
        <f t="shared" si="0"/>
        <v>3.8600000000000002E-2</v>
      </c>
      <c r="D24" s="636">
        <f t="shared" si="3"/>
        <v>5.645E-2</v>
      </c>
      <c r="E24" s="645">
        <f t="shared" si="1"/>
        <v>4.7000000000000007E-2</v>
      </c>
      <c r="F24" s="645">
        <f t="shared" si="1"/>
        <v>5.5399999999999998E-2</v>
      </c>
      <c r="G24" s="638">
        <f t="shared" si="4"/>
        <v>-0.2537313432835821</v>
      </c>
      <c r="H24" s="645">
        <f t="shared" si="5"/>
        <v>3.8599999999999995E-2</v>
      </c>
      <c r="I24" s="343">
        <f t="shared" si="6"/>
        <v>3.0074626865671639E-2</v>
      </c>
      <c r="J24" s="645"/>
    </row>
    <row r="25" spans="2:10">
      <c r="B25" s="639">
        <f t="shared" si="2"/>
        <v>0.17</v>
      </c>
      <c r="C25" s="636">
        <f t="shared" si="0"/>
        <v>3.9450000000000006E-2</v>
      </c>
      <c r="D25" s="636">
        <f t="shared" si="3"/>
        <v>5.7087499999999999E-2</v>
      </c>
      <c r="E25" s="645">
        <f t="shared" si="1"/>
        <v>4.7750000000000008E-2</v>
      </c>
      <c r="F25" s="645">
        <f t="shared" si="1"/>
        <v>5.6050000000000003E-2</v>
      </c>
      <c r="G25" s="638">
        <f t="shared" si="4"/>
        <v>-0.23880597014925373</v>
      </c>
      <c r="H25" s="645">
        <f t="shared" si="5"/>
        <v>3.9449999999999999E-2</v>
      </c>
      <c r="I25" s="343">
        <f t="shared" si="6"/>
        <v>3.1026119402985074E-2</v>
      </c>
      <c r="J25" s="645"/>
    </row>
    <row r="26" spans="2:10">
      <c r="B26" s="639">
        <f t="shared" si="2"/>
        <v>0.18000000000000002</v>
      </c>
      <c r="C26" s="636">
        <f t="shared" si="0"/>
        <v>4.0300000000000002E-2</v>
      </c>
      <c r="D26" s="636">
        <f t="shared" si="3"/>
        <v>5.7724999999999999E-2</v>
      </c>
      <c r="E26" s="645">
        <f t="shared" si="1"/>
        <v>4.8500000000000008E-2</v>
      </c>
      <c r="F26" s="645">
        <f t="shared" si="1"/>
        <v>5.67E-2</v>
      </c>
      <c r="G26" s="638">
        <f t="shared" si="4"/>
        <v>-0.22388059701492535</v>
      </c>
      <c r="H26" s="645">
        <f t="shared" si="5"/>
        <v>4.0300000000000002E-2</v>
      </c>
      <c r="I26" s="343">
        <f t="shared" si="6"/>
        <v>3.1977611940298509E-2</v>
      </c>
      <c r="J26" s="645"/>
    </row>
    <row r="27" spans="2:10">
      <c r="B27" s="639">
        <f t="shared" si="2"/>
        <v>0.19000000000000003</v>
      </c>
      <c r="C27" s="636">
        <f t="shared" si="0"/>
        <v>4.1150000000000006E-2</v>
      </c>
      <c r="D27" s="636">
        <f t="shared" si="3"/>
        <v>5.8362500000000012E-2</v>
      </c>
      <c r="E27" s="645">
        <f t="shared" si="1"/>
        <v>4.9250000000000009E-2</v>
      </c>
      <c r="F27" s="645">
        <f t="shared" si="1"/>
        <v>5.7349999999999998E-2</v>
      </c>
      <c r="G27" s="638">
        <f t="shared" si="4"/>
        <v>-0.20895522388059698</v>
      </c>
      <c r="H27" s="645">
        <f t="shared" si="5"/>
        <v>4.1149999999999999E-2</v>
      </c>
      <c r="I27" s="343">
        <f t="shared" si="6"/>
        <v>3.2929104477611937E-2</v>
      </c>
      <c r="J27" s="645"/>
    </row>
    <row r="28" spans="2:10">
      <c r="B28" s="639">
        <f t="shared" si="2"/>
        <v>0.20000000000000004</v>
      </c>
      <c r="C28" s="636">
        <f t="shared" si="0"/>
        <v>4.200000000000001E-2</v>
      </c>
      <c r="D28" s="636">
        <f t="shared" si="3"/>
        <v>5.9000000000000011E-2</v>
      </c>
      <c r="E28" s="645">
        <f t="shared" ref="E28:F47" si="7">$D$4+E$7+($B28*($D$5-E$7))</f>
        <v>5.000000000000001E-2</v>
      </c>
      <c r="F28" s="645">
        <f t="shared" si="7"/>
        <v>5.8000000000000003E-2</v>
      </c>
      <c r="G28" s="638">
        <f t="shared" si="4"/>
        <v>-0.19402985074626861</v>
      </c>
      <c r="H28" s="645">
        <f t="shared" si="5"/>
        <v>4.2000000000000003E-2</v>
      </c>
      <c r="I28" s="343">
        <f t="shared" si="6"/>
        <v>3.3880597014925379E-2</v>
      </c>
      <c r="J28" s="645"/>
    </row>
    <row r="29" spans="2:10">
      <c r="B29" s="639">
        <f t="shared" si="2"/>
        <v>0.21000000000000005</v>
      </c>
      <c r="C29" s="636">
        <f t="shared" si="0"/>
        <v>4.2850000000000006E-2</v>
      </c>
      <c r="D29" s="636">
        <f t="shared" si="3"/>
        <v>5.963750000000001E-2</v>
      </c>
      <c r="E29" s="645">
        <f t="shared" si="7"/>
        <v>5.075000000000001E-2</v>
      </c>
      <c r="F29" s="645">
        <f t="shared" si="7"/>
        <v>5.8650000000000001E-2</v>
      </c>
      <c r="G29" s="638">
        <f t="shared" si="4"/>
        <v>-0.17910447761194023</v>
      </c>
      <c r="H29" s="645">
        <f t="shared" si="5"/>
        <v>4.2849999999999999E-2</v>
      </c>
      <c r="I29" s="343">
        <f t="shared" si="6"/>
        <v>3.4832089552238807E-2</v>
      </c>
      <c r="J29" s="645"/>
    </row>
    <row r="30" spans="2:10">
      <c r="B30" s="639">
        <f t="shared" si="2"/>
        <v>0.22000000000000006</v>
      </c>
      <c r="C30" s="636">
        <f t="shared" si="0"/>
        <v>4.3700000000000003E-2</v>
      </c>
      <c r="D30" s="636">
        <f t="shared" si="3"/>
        <v>6.0275000000000009E-2</v>
      </c>
      <c r="E30" s="645">
        <f t="shared" si="7"/>
        <v>5.1500000000000011E-2</v>
      </c>
      <c r="F30" s="645">
        <f t="shared" si="7"/>
        <v>5.9300000000000005E-2</v>
      </c>
      <c r="G30" s="638">
        <f t="shared" si="4"/>
        <v>-0.16417910447761186</v>
      </c>
      <c r="H30" s="645">
        <f t="shared" si="5"/>
        <v>4.3700000000000003E-2</v>
      </c>
      <c r="I30" s="343">
        <f t="shared" si="6"/>
        <v>3.5783582089552242E-2</v>
      </c>
      <c r="J30" s="645"/>
    </row>
    <row r="31" spans="2:10">
      <c r="B31" s="639">
        <f t="shared" si="2"/>
        <v>0.23000000000000007</v>
      </c>
      <c r="C31" s="636">
        <f t="shared" si="0"/>
        <v>4.4550000000000006E-2</v>
      </c>
      <c r="D31" s="636">
        <f t="shared" si="3"/>
        <v>6.0912500000000008E-2</v>
      </c>
      <c r="E31" s="645">
        <f t="shared" si="7"/>
        <v>5.2250000000000012E-2</v>
      </c>
      <c r="F31" s="645">
        <f t="shared" si="7"/>
        <v>5.9950000000000003E-2</v>
      </c>
      <c r="G31" s="638">
        <f t="shared" si="4"/>
        <v>-0.14925373134328349</v>
      </c>
      <c r="H31" s="645">
        <f t="shared" si="5"/>
        <v>4.4550000000000006E-2</v>
      </c>
      <c r="I31" s="343">
        <f t="shared" si="6"/>
        <v>3.6735074626865677E-2</v>
      </c>
      <c r="J31" s="645"/>
    </row>
    <row r="32" spans="2:10">
      <c r="B32" s="639">
        <f t="shared" si="2"/>
        <v>0.24000000000000007</v>
      </c>
      <c r="C32" s="636">
        <f t="shared" si="0"/>
        <v>4.540000000000001E-2</v>
      </c>
      <c r="D32" s="636">
        <f t="shared" si="3"/>
        <v>6.1550000000000007E-2</v>
      </c>
      <c r="E32" s="645">
        <f t="shared" si="7"/>
        <v>5.3000000000000012E-2</v>
      </c>
      <c r="F32" s="645">
        <f t="shared" si="7"/>
        <v>6.0600000000000001E-2</v>
      </c>
      <c r="G32" s="638">
        <f t="shared" si="4"/>
        <v>-0.13432835820895514</v>
      </c>
      <c r="H32" s="645">
        <f t="shared" si="5"/>
        <v>4.5400000000000003E-2</v>
      </c>
      <c r="I32" s="343">
        <f t="shared" si="6"/>
        <v>3.7686567164179105E-2</v>
      </c>
      <c r="J32" s="645"/>
    </row>
    <row r="33" spans="2:10">
      <c r="B33" s="639">
        <f t="shared" si="2"/>
        <v>0.25000000000000006</v>
      </c>
      <c r="C33" s="636">
        <f t="shared" si="0"/>
        <v>4.6250000000000006E-2</v>
      </c>
      <c r="D33" s="636">
        <f t="shared" si="3"/>
        <v>6.2187500000000007E-2</v>
      </c>
      <c r="E33" s="645">
        <f t="shared" si="7"/>
        <v>5.3750000000000006E-2</v>
      </c>
      <c r="F33" s="645">
        <f t="shared" si="7"/>
        <v>6.1249999999999999E-2</v>
      </c>
      <c r="G33" s="638">
        <f t="shared" si="4"/>
        <v>-0.11940298507462679</v>
      </c>
      <c r="H33" s="645">
        <f t="shared" si="5"/>
        <v>4.6249999999999999E-2</v>
      </c>
      <c r="I33" s="343">
        <f t="shared" si="6"/>
        <v>3.863805970149254E-2</v>
      </c>
      <c r="J33" s="645"/>
    </row>
    <row r="34" spans="2:10">
      <c r="B34" s="639">
        <f t="shared" si="2"/>
        <v>0.26000000000000006</v>
      </c>
      <c r="C34" s="636">
        <f t="shared" si="0"/>
        <v>4.710000000000001E-2</v>
      </c>
      <c r="D34" s="636">
        <f t="shared" si="3"/>
        <v>6.2825000000000006E-2</v>
      </c>
      <c r="E34" s="645">
        <f t="shared" si="7"/>
        <v>5.4500000000000007E-2</v>
      </c>
      <c r="F34" s="645">
        <f t="shared" si="7"/>
        <v>6.1900000000000004E-2</v>
      </c>
      <c r="G34" s="638">
        <f t="shared" si="4"/>
        <v>-0.10447761194029843</v>
      </c>
      <c r="H34" s="645">
        <f t="shared" si="5"/>
        <v>4.7100000000000003E-2</v>
      </c>
      <c r="I34" s="343">
        <f t="shared" si="6"/>
        <v>3.9589552238805975E-2</v>
      </c>
      <c r="J34" s="645"/>
    </row>
    <row r="35" spans="2:10">
      <c r="B35" s="639">
        <f t="shared" si="2"/>
        <v>0.27000000000000007</v>
      </c>
      <c r="C35" s="636">
        <f t="shared" si="0"/>
        <v>4.7950000000000007E-2</v>
      </c>
      <c r="D35" s="636">
        <f t="shared" si="3"/>
        <v>6.3462500000000005E-2</v>
      </c>
      <c r="E35" s="645">
        <f t="shared" si="7"/>
        <v>5.5250000000000007E-2</v>
      </c>
      <c r="F35" s="645">
        <f t="shared" si="7"/>
        <v>6.2550000000000008E-2</v>
      </c>
      <c r="G35" s="638">
        <f t="shared" si="4"/>
        <v>-8.9552238805970061E-2</v>
      </c>
      <c r="H35" s="645">
        <f t="shared" si="5"/>
        <v>4.7950000000000007E-2</v>
      </c>
      <c r="I35" s="343">
        <f t="shared" si="6"/>
        <v>4.054104477611941E-2</v>
      </c>
      <c r="J35" s="645"/>
    </row>
    <row r="36" spans="2:10">
      <c r="B36" s="639">
        <f t="shared" si="2"/>
        <v>0.28000000000000008</v>
      </c>
      <c r="C36" s="636">
        <f t="shared" si="0"/>
        <v>4.880000000000001E-2</v>
      </c>
      <c r="D36" s="636">
        <f t="shared" si="3"/>
        <v>6.4100000000000018E-2</v>
      </c>
      <c r="E36" s="645">
        <f t="shared" si="7"/>
        <v>5.6000000000000008E-2</v>
      </c>
      <c r="F36" s="645">
        <f t="shared" si="7"/>
        <v>6.3200000000000006E-2</v>
      </c>
      <c r="G36" s="638">
        <f t="shared" si="4"/>
        <v>-7.4626865671641687E-2</v>
      </c>
      <c r="H36" s="645">
        <f t="shared" si="5"/>
        <v>4.8800000000000003E-2</v>
      </c>
      <c r="I36" s="343">
        <f t="shared" si="6"/>
        <v>4.1492537313432845E-2</v>
      </c>
      <c r="J36" s="645"/>
    </row>
    <row r="37" spans="2:10">
      <c r="B37" s="639">
        <f t="shared" si="2"/>
        <v>0.29000000000000009</v>
      </c>
      <c r="C37" s="636">
        <f t="shared" si="0"/>
        <v>4.9650000000000014E-2</v>
      </c>
      <c r="D37" s="636">
        <f t="shared" si="3"/>
        <v>6.4737500000000017E-2</v>
      </c>
      <c r="E37" s="645">
        <f t="shared" si="7"/>
        <v>5.6750000000000009E-2</v>
      </c>
      <c r="F37" s="645">
        <f t="shared" si="7"/>
        <v>6.3850000000000004E-2</v>
      </c>
      <c r="G37" s="638">
        <f t="shared" si="4"/>
        <v>-5.9701492537313314E-2</v>
      </c>
      <c r="H37" s="645">
        <f t="shared" si="5"/>
        <v>4.9650000000000007E-2</v>
      </c>
      <c r="I37" s="343">
        <f t="shared" si="6"/>
        <v>4.2444029850746273E-2</v>
      </c>
      <c r="J37" s="645"/>
    </row>
    <row r="38" spans="2:10">
      <c r="B38" s="639">
        <f t="shared" si="2"/>
        <v>0.3000000000000001</v>
      </c>
      <c r="C38" s="636">
        <f t="shared" si="0"/>
        <v>5.050000000000001E-2</v>
      </c>
      <c r="D38" s="636">
        <f t="shared" si="3"/>
        <v>6.5375000000000016E-2</v>
      </c>
      <c r="E38" s="645">
        <f t="shared" si="7"/>
        <v>5.7500000000000009E-2</v>
      </c>
      <c r="F38" s="645">
        <f t="shared" si="7"/>
        <v>6.4500000000000002E-2</v>
      </c>
      <c r="G38" s="638">
        <f t="shared" si="4"/>
        <v>-4.4776119402984947E-2</v>
      </c>
      <c r="H38" s="645">
        <f t="shared" si="5"/>
        <v>5.050000000000001E-2</v>
      </c>
      <c r="I38" s="343">
        <f t="shared" si="6"/>
        <v>4.3395522388059708E-2</v>
      </c>
      <c r="J38" s="645"/>
    </row>
    <row r="39" spans="2:10">
      <c r="B39" s="639">
        <f t="shared" si="2"/>
        <v>0.31000000000000011</v>
      </c>
      <c r="C39" s="636">
        <f t="shared" si="0"/>
        <v>5.1350000000000014E-2</v>
      </c>
      <c r="D39" s="636">
        <f t="shared" si="3"/>
        <v>6.6012500000000016E-2</v>
      </c>
      <c r="E39" s="645">
        <f t="shared" si="7"/>
        <v>5.825000000000001E-2</v>
      </c>
      <c r="F39" s="645">
        <f t="shared" si="7"/>
        <v>6.5150000000000013E-2</v>
      </c>
      <c r="G39" s="638">
        <f t="shared" si="4"/>
        <v>-2.9850746268656577E-2</v>
      </c>
      <c r="H39" s="645">
        <f t="shared" si="5"/>
        <v>5.1350000000000007E-2</v>
      </c>
      <c r="I39" s="343">
        <f t="shared" si="6"/>
        <v>4.4347014925373143E-2</v>
      </c>
      <c r="J39" s="645"/>
    </row>
    <row r="40" spans="2:10">
      <c r="B40" s="639">
        <f t="shared" si="2"/>
        <v>0.32000000000000012</v>
      </c>
      <c r="C40" s="636">
        <f t="shared" si="0"/>
        <v>5.220000000000001E-2</v>
      </c>
      <c r="D40" s="636">
        <f t="shared" si="3"/>
        <v>6.6650000000000015E-2</v>
      </c>
      <c r="E40" s="645">
        <f t="shared" si="7"/>
        <v>5.9000000000000011E-2</v>
      </c>
      <c r="F40" s="645">
        <f t="shared" si="7"/>
        <v>6.5800000000000011E-2</v>
      </c>
      <c r="G40" s="638">
        <f t="shared" si="4"/>
        <v>-1.4925373134328205E-2</v>
      </c>
      <c r="H40" s="645">
        <f t="shared" si="5"/>
        <v>5.220000000000001E-2</v>
      </c>
      <c r="I40" s="343">
        <f t="shared" si="6"/>
        <v>4.5298507462686578E-2</v>
      </c>
      <c r="J40" s="645"/>
    </row>
    <row r="41" spans="2:10">
      <c r="B41" s="639">
        <f t="shared" si="2"/>
        <v>0.33000000000000013</v>
      </c>
      <c r="C41" s="636">
        <f t="shared" si="0"/>
        <v>5.3050000000000014E-2</v>
      </c>
      <c r="D41" s="636">
        <f t="shared" si="3"/>
        <v>6.7287500000000014E-2</v>
      </c>
      <c r="E41" s="645">
        <f t="shared" si="7"/>
        <v>5.9750000000000011E-2</v>
      </c>
      <c r="F41" s="645">
        <f t="shared" si="7"/>
        <v>6.6450000000000009E-2</v>
      </c>
      <c r="G41" s="638">
        <f t="shared" si="4"/>
        <v>1.6570492904853081E-16</v>
      </c>
      <c r="H41" s="645">
        <f t="shared" si="5"/>
        <v>5.3050000000000007E-2</v>
      </c>
      <c r="I41" s="343">
        <f t="shared" si="6"/>
        <v>4.6250000000000013E-2</v>
      </c>
      <c r="J41" s="645"/>
    </row>
    <row r="42" spans="2:10">
      <c r="B42" s="639">
        <f t="shared" si="2"/>
        <v>0.34000000000000014</v>
      </c>
      <c r="C42" s="636">
        <f t="shared" si="0"/>
        <v>5.3900000000000017E-2</v>
      </c>
      <c r="D42" s="636">
        <f t="shared" si="3"/>
        <v>6.7925000000000013E-2</v>
      </c>
      <c r="E42" s="645">
        <f t="shared" si="7"/>
        <v>6.0500000000000012E-2</v>
      </c>
      <c r="F42" s="645">
        <f t="shared" si="7"/>
        <v>6.7100000000000007E-2</v>
      </c>
      <c r="G42" s="638">
        <f t="shared" si="4"/>
        <v>1.4925373134328537E-2</v>
      </c>
      <c r="H42" s="645">
        <f t="shared" si="5"/>
        <v>5.390000000000001E-2</v>
      </c>
      <c r="I42" s="343">
        <f t="shared" si="6"/>
        <v>4.7201492537313441E-2</v>
      </c>
      <c r="J42" s="645"/>
    </row>
    <row r="43" spans="2:10">
      <c r="B43" s="639">
        <f t="shared" si="2"/>
        <v>0.35000000000000014</v>
      </c>
      <c r="C43" s="636">
        <f t="shared" si="0"/>
        <v>5.4750000000000021E-2</v>
      </c>
      <c r="D43" s="636">
        <f t="shared" si="3"/>
        <v>6.8562500000000012E-2</v>
      </c>
      <c r="E43" s="645">
        <f t="shared" si="7"/>
        <v>6.125000000000002E-2</v>
      </c>
      <c r="F43" s="645">
        <f t="shared" si="7"/>
        <v>6.7750000000000005E-2</v>
      </c>
      <c r="G43" s="638">
        <f t="shared" si="4"/>
        <v>2.9850746268656907E-2</v>
      </c>
      <c r="H43" s="645">
        <f t="shared" si="5"/>
        <v>5.4750000000000014E-2</v>
      </c>
      <c r="I43" s="343">
        <f t="shared" si="6"/>
        <v>4.8152985074626876E-2</v>
      </c>
      <c r="J43" s="645"/>
    </row>
    <row r="44" spans="2:10">
      <c r="B44" s="639">
        <f t="shared" si="2"/>
        <v>0.36000000000000015</v>
      </c>
      <c r="C44" s="636">
        <f t="shared" si="0"/>
        <v>5.5600000000000017E-2</v>
      </c>
      <c r="D44" s="636">
        <f t="shared" si="3"/>
        <v>6.9200000000000012E-2</v>
      </c>
      <c r="E44" s="645">
        <f t="shared" si="7"/>
        <v>6.200000000000002E-2</v>
      </c>
      <c r="F44" s="645">
        <f t="shared" si="7"/>
        <v>6.8400000000000016E-2</v>
      </c>
      <c r="G44" s="638">
        <f t="shared" si="4"/>
        <v>4.477611940298528E-2</v>
      </c>
      <c r="H44" s="645">
        <f t="shared" si="5"/>
        <v>5.5600000000000011E-2</v>
      </c>
      <c r="I44" s="343">
        <f t="shared" si="6"/>
        <v>4.9104477611940311E-2</v>
      </c>
      <c r="J44" s="645"/>
    </row>
    <row r="45" spans="2:10">
      <c r="B45" s="639">
        <f t="shared" si="2"/>
        <v>0.37000000000000016</v>
      </c>
      <c r="C45" s="636">
        <f t="shared" si="0"/>
        <v>5.6450000000000014E-2</v>
      </c>
      <c r="D45" s="636">
        <f t="shared" si="3"/>
        <v>6.9837500000000025E-2</v>
      </c>
      <c r="E45" s="645">
        <f t="shared" si="7"/>
        <v>6.2750000000000028E-2</v>
      </c>
      <c r="F45" s="645">
        <f t="shared" si="7"/>
        <v>6.9050000000000014E-2</v>
      </c>
      <c r="G45" s="638">
        <f t="shared" si="4"/>
        <v>5.9701492537313647E-2</v>
      </c>
      <c r="H45" s="645">
        <f t="shared" si="5"/>
        <v>5.6450000000000014E-2</v>
      </c>
      <c r="I45" s="343">
        <f t="shared" si="6"/>
        <v>5.0055970149253746E-2</v>
      </c>
      <c r="J45" s="645"/>
    </row>
    <row r="46" spans="2:10">
      <c r="B46" s="639">
        <f t="shared" si="2"/>
        <v>0.38000000000000017</v>
      </c>
      <c r="C46" s="636">
        <f t="shared" si="0"/>
        <v>5.7300000000000018E-2</v>
      </c>
      <c r="D46" s="636">
        <f t="shared" si="3"/>
        <v>7.0475000000000024E-2</v>
      </c>
      <c r="E46" s="645">
        <f t="shared" si="7"/>
        <v>6.3500000000000029E-2</v>
      </c>
      <c r="F46" s="645">
        <f t="shared" si="7"/>
        <v>6.9700000000000012E-2</v>
      </c>
      <c r="G46" s="638">
        <f t="shared" si="4"/>
        <v>7.462686567164202E-2</v>
      </c>
      <c r="H46" s="645">
        <f t="shared" si="5"/>
        <v>5.7300000000000011E-2</v>
      </c>
      <c r="I46" s="343">
        <f t="shared" si="6"/>
        <v>5.1007462686567182E-2</v>
      </c>
      <c r="J46" s="645"/>
    </row>
    <row r="47" spans="2:10">
      <c r="B47" s="639">
        <f t="shared" si="2"/>
        <v>0.39000000000000018</v>
      </c>
      <c r="C47" s="636">
        <f t="shared" si="0"/>
        <v>5.8150000000000021E-2</v>
      </c>
      <c r="D47" s="636">
        <f t="shared" si="3"/>
        <v>7.1112500000000023E-2</v>
      </c>
      <c r="E47" s="645">
        <f t="shared" si="7"/>
        <v>6.4250000000000029E-2</v>
      </c>
      <c r="F47" s="645">
        <f t="shared" si="7"/>
        <v>7.035000000000001E-2</v>
      </c>
      <c r="G47" s="638">
        <f t="shared" si="4"/>
        <v>8.9552238805970394E-2</v>
      </c>
      <c r="H47" s="645">
        <f t="shared" si="5"/>
        <v>5.8150000000000014E-2</v>
      </c>
      <c r="I47" s="343">
        <f t="shared" si="6"/>
        <v>5.195895522388061E-2</v>
      </c>
      <c r="J47" s="645"/>
    </row>
    <row r="48" spans="2:10">
      <c r="B48" s="639">
        <f t="shared" si="2"/>
        <v>0.40000000000000019</v>
      </c>
      <c r="C48" s="636">
        <f t="shared" si="0"/>
        <v>5.9000000000000018E-2</v>
      </c>
      <c r="D48" s="636">
        <f t="shared" si="3"/>
        <v>7.1750000000000022E-2</v>
      </c>
      <c r="E48" s="645">
        <f t="shared" ref="E48:F67" si="8">$D$4+E$7+($B48*($D$5-E$7))</f>
        <v>6.500000000000003E-2</v>
      </c>
      <c r="F48" s="645">
        <f t="shared" si="8"/>
        <v>7.1000000000000008E-2</v>
      </c>
      <c r="G48" s="638">
        <f t="shared" si="4"/>
        <v>0.10447761194029875</v>
      </c>
      <c r="H48" s="645">
        <f t="shared" si="5"/>
        <v>5.9000000000000018E-2</v>
      </c>
      <c r="I48" s="343">
        <f t="shared" si="6"/>
        <v>5.2910447761194045E-2</v>
      </c>
      <c r="J48" s="645"/>
    </row>
    <row r="49" spans="2:10">
      <c r="B49" s="639">
        <f t="shared" si="2"/>
        <v>0.4100000000000002</v>
      </c>
      <c r="C49" s="636">
        <f t="shared" si="0"/>
        <v>5.9850000000000021E-2</v>
      </c>
      <c r="D49" s="636">
        <f t="shared" si="3"/>
        <v>7.2387500000000021E-2</v>
      </c>
      <c r="E49" s="645">
        <f t="shared" si="8"/>
        <v>6.5750000000000031E-2</v>
      </c>
      <c r="F49" s="645">
        <f t="shared" si="8"/>
        <v>7.1650000000000019E-2</v>
      </c>
      <c r="G49" s="638">
        <f t="shared" si="4"/>
        <v>0.11940298507462713</v>
      </c>
      <c r="H49" s="645">
        <f t="shared" si="5"/>
        <v>5.9850000000000014E-2</v>
      </c>
      <c r="I49" s="343">
        <f t="shared" si="6"/>
        <v>5.386194029850748E-2</v>
      </c>
      <c r="J49" s="645"/>
    </row>
    <row r="50" spans="2:10">
      <c r="B50" s="639">
        <f t="shared" si="2"/>
        <v>0.42000000000000021</v>
      </c>
      <c r="C50" s="636">
        <f t="shared" si="0"/>
        <v>6.0700000000000025E-2</v>
      </c>
      <c r="D50" s="636">
        <f t="shared" si="3"/>
        <v>7.302500000000002E-2</v>
      </c>
      <c r="E50" s="645">
        <f t="shared" si="8"/>
        <v>6.6500000000000031E-2</v>
      </c>
      <c r="F50" s="645">
        <f t="shared" si="8"/>
        <v>7.2300000000000017E-2</v>
      </c>
      <c r="G50" s="638">
        <f t="shared" si="4"/>
        <v>0.1343283582089555</v>
      </c>
      <c r="H50" s="645">
        <f t="shared" si="5"/>
        <v>6.0700000000000018E-2</v>
      </c>
      <c r="I50" s="343">
        <f t="shared" si="6"/>
        <v>5.4813432835820915E-2</v>
      </c>
      <c r="J50" s="645"/>
    </row>
    <row r="51" spans="2:10">
      <c r="B51" s="639">
        <f t="shared" si="2"/>
        <v>0.43000000000000022</v>
      </c>
      <c r="C51" s="636">
        <f t="shared" si="0"/>
        <v>6.1550000000000021E-2</v>
      </c>
      <c r="D51" s="636">
        <f t="shared" si="3"/>
        <v>7.366250000000002E-2</v>
      </c>
      <c r="E51" s="645">
        <f t="shared" si="8"/>
        <v>6.7250000000000032E-2</v>
      </c>
      <c r="F51" s="645">
        <f t="shared" si="8"/>
        <v>7.2950000000000015E-2</v>
      </c>
      <c r="G51" s="638">
        <f t="shared" si="4"/>
        <v>0.14925373134328387</v>
      </c>
      <c r="H51" s="645">
        <f t="shared" si="5"/>
        <v>6.1550000000000021E-2</v>
      </c>
      <c r="I51" s="343">
        <f t="shared" si="6"/>
        <v>5.576492537313435E-2</v>
      </c>
      <c r="J51" s="645"/>
    </row>
    <row r="52" spans="2:10">
      <c r="B52" s="639">
        <f t="shared" si="2"/>
        <v>0.44000000000000022</v>
      </c>
      <c r="C52" s="636">
        <f t="shared" si="0"/>
        <v>6.2400000000000025E-2</v>
      </c>
      <c r="D52" s="636">
        <f t="shared" si="3"/>
        <v>7.4300000000000019E-2</v>
      </c>
      <c r="E52" s="645">
        <f t="shared" si="8"/>
        <v>6.8000000000000033E-2</v>
      </c>
      <c r="F52" s="645">
        <f t="shared" si="8"/>
        <v>7.3600000000000013E-2</v>
      </c>
      <c r="G52" s="638">
        <f t="shared" si="4"/>
        <v>0.16417910447761225</v>
      </c>
      <c r="H52" s="645">
        <f t="shared" si="5"/>
        <v>6.2400000000000018E-2</v>
      </c>
      <c r="I52" s="343">
        <f t="shared" si="6"/>
        <v>5.6716417910447778E-2</v>
      </c>
      <c r="J52" s="645"/>
    </row>
    <row r="53" spans="2:10">
      <c r="B53" s="639">
        <f t="shared" si="2"/>
        <v>0.45000000000000023</v>
      </c>
      <c r="C53" s="636">
        <f t="shared" si="0"/>
        <v>6.3250000000000028E-2</v>
      </c>
      <c r="D53" s="636">
        <f t="shared" si="3"/>
        <v>7.4937500000000018E-2</v>
      </c>
      <c r="E53" s="645">
        <f t="shared" si="8"/>
        <v>6.8750000000000033E-2</v>
      </c>
      <c r="F53" s="645">
        <f t="shared" si="8"/>
        <v>7.425000000000001E-2</v>
      </c>
      <c r="G53" s="638">
        <f t="shared" si="4"/>
        <v>0.17910447761194062</v>
      </c>
      <c r="H53" s="645">
        <f t="shared" si="5"/>
        <v>6.3250000000000015E-2</v>
      </c>
      <c r="I53" s="343">
        <f t="shared" si="6"/>
        <v>5.7667910447761213E-2</v>
      </c>
      <c r="J53" s="645"/>
    </row>
    <row r="54" spans="2:10">
      <c r="B54" s="639">
        <f t="shared" si="2"/>
        <v>0.46000000000000024</v>
      </c>
      <c r="C54" s="636">
        <f t="shared" si="0"/>
        <v>6.4100000000000018E-2</v>
      </c>
      <c r="D54" s="636">
        <f t="shared" si="3"/>
        <v>7.5575000000000017E-2</v>
      </c>
      <c r="E54" s="645">
        <f t="shared" si="8"/>
        <v>6.9500000000000034E-2</v>
      </c>
      <c r="F54" s="645">
        <f t="shared" si="8"/>
        <v>7.4900000000000022E-2</v>
      </c>
      <c r="G54" s="638">
        <f t="shared" si="4"/>
        <v>0.19402985074626899</v>
      </c>
      <c r="H54" s="645">
        <f t="shared" si="5"/>
        <v>6.4100000000000018E-2</v>
      </c>
      <c r="I54" s="343">
        <f t="shared" si="6"/>
        <v>5.8619402985074648E-2</v>
      </c>
      <c r="J54" s="645"/>
    </row>
    <row r="55" spans="2:10">
      <c r="B55" s="639">
        <f t="shared" si="2"/>
        <v>0.47000000000000025</v>
      </c>
      <c r="C55" s="636">
        <f t="shared" si="0"/>
        <v>6.4950000000000035E-2</v>
      </c>
      <c r="D55" s="636">
        <f t="shared" si="3"/>
        <v>7.621250000000003E-2</v>
      </c>
      <c r="E55" s="645">
        <f t="shared" si="8"/>
        <v>7.0250000000000035E-2</v>
      </c>
      <c r="F55" s="645">
        <f t="shared" si="8"/>
        <v>7.555000000000002E-2</v>
      </c>
      <c r="G55" s="638">
        <f t="shared" si="4"/>
        <v>0.20895522388059734</v>
      </c>
      <c r="H55" s="645">
        <f t="shared" si="5"/>
        <v>6.4950000000000022E-2</v>
      </c>
      <c r="I55" s="343">
        <f t="shared" si="6"/>
        <v>5.9570895522388083E-2</v>
      </c>
      <c r="J55" s="645"/>
    </row>
    <row r="56" spans="2:10">
      <c r="B56" s="639">
        <f t="shared" si="2"/>
        <v>0.48000000000000026</v>
      </c>
      <c r="C56" s="636">
        <f t="shared" si="0"/>
        <v>6.5800000000000025E-2</v>
      </c>
      <c r="D56" s="636">
        <f t="shared" si="3"/>
        <v>7.6850000000000029E-2</v>
      </c>
      <c r="E56" s="645">
        <f t="shared" si="8"/>
        <v>7.1000000000000035E-2</v>
      </c>
      <c r="F56" s="645">
        <f t="shared" si="8"/>
        <v>7.6200000000000018E-2</v>
      </c>
      <c r="G56" s="638">
        <f t="shared" si="4"/>
        <v>0.22388059701492571</v>
      </c>
      <c r="H56" s="645">
        <f t="shared" si="5"/>
        <v>6.5800000000000025E-2</v>
      </c>
      <c r="I56" s="343">
        <f t="shared" si="6"/>
        <v>6.0522388059701518E-2</v>
      </c>
      <c r="J56" s="645"/>
    </row>
    <row r="57" spans="2:10">
      <c r="B57" s="639">
        <f t="shared" si="2"/>
        <v>0.49000000000000027</v>
      </c>
      <c r="C57" s="636">
        <f t="shared" si="0"/>
        <v>6.6650000000000029E-2</v>
      </c>
      <c r="D57" s="636">
        <f t="shared" si="3"/>
        <v>7.7487500000000029E-2</v>
      </c>
      <c r="E57" s="645">
        <f t="shared" si="8"/>
        <v>7.1750000000000036E-2</v>
      </c>
      <c r="F57" s="645">
        <f t="shared" si="8"/>
        <v>7.6850000000000016E-2</v>
      </c>
      <c r="G57" s="638">
        <f t="shared" si="4"/>
        <v>0.23880597014925409</v>
      </c>
      <c r="H57" s="645">
        <f t="shared" si="5"/>
        <v>6.6650000000000015E-2</v>
      </c>
      <c r="I57" s="343">
        <f t="shared" si="6"/>
        <v>6.1473880597014946E-2</v>
      </c>
      <c r="J57" s="645"/>
    </row>
    <row r="58" spans="2:10">
      <c r="B58" s="639">
        <f t="shared" si="2"/>
        <v>0.50000000000000022</v>
      </c>
      <c r="C58" s="636">
        <f t="shared" si="0"/>
        <v>6.7500000000000032E-2</v>
      </c>
      <c r="D58" s="636">
        <f t="shared" si="3"/>
        <v>7.8125000000000014E-2</v>
      </c>
      <c r="E58" s="645">
        <f t="shared" si="8"/>
        <v>7.2500000000000023E-2</v>
      </c>
      <c r="F58" s="645">
        <f t="shared" si="8"/>
        <v>7.7500000000000013E-2</v>
      </c>
      <c r="G58" s="638">
        <f t="shared" si="4"/>
        <v>0.25373134328358238</v>
      </c>
      <c r="H58" s="645">
        <f t="shared" si="5"/>
        <v>6.7500000000000018E-2</v>
      </c>
      <c r="I58" s="343">
        <f t="shared" si="6"/>
        <v>6.2425373134328374E-2</v>
      </c>
      <c r="J58" s="645"/>
    </row>
    <row r="59" spans="2:10">
      <c r="B59" s="639">
        <f t="shared" si="2"/>
        <v>0.51000000000000023</v>
      </c>
      <c r="C59" s="636">
        <f t="shared" si="0"/>
        <v>6.8350000000000022E-2</v>
      </c>
      <c r="D59" s="636">
        <f t="shared" si="3"/>
        <v>7.8762500000000013E-2</v>
      </c>
      <c r="E59" s="645">
        <f t="shared" si="8"/>
        <v>7.3250000000000023E-2</v>
      </c>
      <c r="F59" s="645">
        <f t="shared" si="8"/>
        <v>7.8150000000000011E-2</v>
      </c>
      <c r="G59" s="638">
        <f t="shared" si="4"/>
        <v>0.26865671641791078</v>
      </c>
      <c r="H59" s="645">
        <f t="shared" si="5"/>
        <v>6.8350000000000022E-2</v>
      </c>
      <c r="I59" s="343">
        <f t="shared" si="6"/>
        <v>6.3376865671641816E-2</v>
      </c>
      <c r="J59" s="645"/>
    </row>
    <row r="60" spans="2:10">
      <c r="B60" s="639">
        <f t="shared" si="2"/>
        <v>0.52000000000000024</v>
      </c>
      <c r="C60" s="636">
        <f t="shared" si="0"/>
        <v>6.9200000000000025E-2</v>
      </c>
      <c r="D60" s="636">
        <f t="shared" si="3"/>
        <v>7.9400000000000026E-2</v>
      </c>
      <c r="E60" s="645">
        <f t="shared" si="8"/>
        <v>7.4000000000000024E-2</v>
      </c>
      <c r="F60" s="645">
        <f t="shared" si="8"/>
        <v>7.8800000000000009E-2</v>
      </c>
      <c r="G60" s="638">
        <f t="shared" si="4"/>
        <v>0.28358208955223912</v>
      </c>
      <c r="H60" s="645">
        <f t="shared" si="5"/>
        <v>6.9200000000000025E-2</v>
      </c>
      <c r="I60" s="343">
        <f t="shared" si="6"/>
        <v>6.4328358208955244E-2</v>
      </c>
      <c r="J60" s="645"/>
    </row>
    <row r="61" spans="2:10">
      <c r="B61" s="639">
        <f t="shared" si="2"/>
        <v>0.53000000000000025</v>
      </c>
      <c r="C61" s="636">
        <f t="shared" si="0"/>
        <v>7.0050000000000029E-2</v>
      </c>
      <c r="D61" s="636">
        <f t="shared" si="3"/>
        <v>8.0037500000000025E-2</v>
      </c>
      <c r="E61" s="645">
        <f t="shared" si="8"/>
        <v>7.4750000000000025E-2</v>
      </c>
      <c r="F61" s="645">
        <f t="shared" si="8"/>
        <v>7.9450000000000021E-2</v>
      </c>
      <c r="G61" s="638">
        <f t="shared" si="4"/>
        <v>0.29850746268656747</v>
      </c>
      <c r="H61" s="645">
        <f t="shared" si="5"/>
        <v>7.0050000000000029E-2</v>
      </c>
      <c r="I61" s="343">
        <f t="shared" si="6"/>
        <v>6.5279850746268686E-2</v>
      </c>
      <c r="J61" s="645"/>
    </row>
    <row r="62" spans="2:10">
      <c r="B62" s="639">
        <f t="shared" si="2"/>
        <v>0.54000000000000026</v>
      </c>
      <c r="C62" s="636">
        <f t="shared" si="0"/>
        <v>7.0900000000000019E-2</v>
      </c>
      <c r="D62" s="636">
        <f t="shared" si="3"/>
        <v>8.0675000000000024E-2</v>
      </c>
      <c r="E62" s="645">
        <f t="shared" si="8"/>
        <v>7.5500000000000025E-2</v>
      </c>
      <c r="F62" s="645">
        <f t="shared" si="8"/>
        <v>8.0100000000000018E-2</v>
      </c>
      <c r="G62" s="638">
        <f t="shared" si="4"/>
        <v>0.31343283582089587</v>
      </c>
      <c r="H62" s="645">
        <f t="shared" si="5"/>
        <v>7.0900000000000019E-2</v>
      </c>
      <c r="I62" s="343">
        <f t="shared" si="6"/>
        <v>6.6231343283582114E-2</v>
      </c>
      <c r="J62" s="645"/>
    </row>
    <row r="63" spans="2:10">
      <c r="B63" s="639">
        <f t="shared" si="2"/>
        <v>0.55000000000000027</v>
      </c>
      <c r="C63" s="636">
        <f t="shared" si="0"/>
        <v>7.1750000000000036E-2</v>
      </c>
      <c r="D63" s="636">
        <f t="shared" si="3"/>
        <v>8.1312500000000024E-2</v>
      </c>
      <c r="E63" s="645">
        <f t="shared" si="8"/>
        <v>7.6250000000000026E-2</v>
      </c>
      <c r="F63" s="645">
        <f t="shared" si="8"/>
        <v>8.0750000000000016E-2</v>
      </c>
      <c r="G63" s="638">
        <f t="shared" si="4"/>
        <v>0.32835820895522422</v>
      </c>
      <c r="H63" s="645">
        <f t="shared" si="5"/>
        <v>7.1750000000000022E-2</v>
      </c>
      <c r="I63" s="343">
        <f t="shared" si="6"/>
        <v>6.7182835820895542E-2</v>
      </c>
      <c r="J63" s="645"/>
    </row>
    <row r="64" spans="2:10">
      <c r="B64" s="639">
        <f t="shared" si="2"/>
        <v>0.56000000000000028</v>
      </c>
      <c r="C64" s="636">
        <f t="shared" si="0"/>
        <v>7.2600000000000026E-2</v>
      </c>
      <c r="D64" s="636">
        <f t="shared" si="3"/>
        <v>8.1950000000000023E-2</v>
      </c>
      <c r="E64" s="645">
        <f t="shared" si="8"/>
        <v>7.7000000000000027E-2</v>
      </c>
      <c r="F64" s="645">
        <f t="shared" si="8"/>
        <v>8.1400000000000014E-2</v>
      </c>
      <c r="G64" s="638">
        <f t="shared" si="4"/>
        <v>0.34328358208955262</v>
      </c>
      <c r="H64" s="645">
        <f t="shared" si="5"/>
        <v>7.2600000000000026E-2</v>
      </c>
      <c r="I64" s="343">
        <f t="shared" si="6"/>
        <v>6.8134328358208984E-2</v>
      </c>
      <c r="J64" s="645"/>
    </row>
    <row r="65" spans="2:10">
      <c r="B65" s="639">
        <f t="shared" si="2"/>
        <v>0.57000000000000028</v>
      </c>
      <c r="C65" s="636">
        <f t="shared" si="0"/>
        <v>7.3450000000000029E-2</v>
      </c>
      <c r="D65" s="636">
        <f t="shared" si="3"/>
        <v>8.2587500000000022E-2</v>
      </c>
      <c r="E65" s="645">
        <f t="shared" si="8"/>
        <v>7.7750000000000041E-2</v>
      </c>
      <c r="F65" s="645">
        <f t="shared" si="8"/>
        <v>8.2050000000000012E-2</v>
      </c>
      <c r="G65" s="638">
        <f t="shared" si="4"/>
        <v>0.35820895522388096</v>
      </c>
      <c r="H65" s="645">
        <f t="shared" si="5"/>
        <v>7.3450000000000015E-2</v>
      </c>
      <c r="I65" s="343">
        <f t="shared" si="6"/>
        <v>6.9085820895522412E-2</v>
      </c>
      <c r="J65" s="645"/>
    </row>
    <row r="66" spans="2:10">
      <c r="B66" s="639">
        <f t="shared" si="2"/>
        <v>0.58000000000000029</v>
      </c>
      <c r="C66" s="636">
        <f t="shared" si="0"/>
        <v>7.4300000000000033E-2</v>
      </c>
      <c r="D66" s="636">
        <f t="shared" si="3"/>
        <v>8.3225000000000021E-2</v>
      </c>
      <c r="E66" s="645">
        <f t="shared" si="8"/>
        <v>7.8500000000000042E-2</v>
      </c>
      <c r="F66" s="645">
        <f t="shared" si="8"/>
        <v>8.2700000000000023E-2</v>
      </c>
      <c r="G66" s="638">
        <f t="shared" si="4"/>
        <v>0.37313432835820937</v>
      </c>
      <c r="H66" s="645">
        <f t="shared" si="5"/>
        <v>7.4300000000000033E-2</v>
      </c>
      <c r="I66" s="343">
        <f t="shared" si="6"/>
        <v>7.003731343283584E-2</v>
      </c>
      <c r="J66" s="645"/>
    </row>
    <row r="67" spans="2:10">
      <c r="B67" s="639">
        <f t="shared" si="2"/>
        <v>0.5900000000000003</v>
      </c>
      <c r="C67" s="636">
        <f t="shared" si="0"/>
        <v>7.5150000000000022E-2</v>
      </c>
      <c r="D67" s="636">
        <f t="shared" si="3"/>
        <v>8.386250000000002E-2</v>
      </c>
      <c r="E67" s="645">
        <f t="shared" si="8"/>
        <v>7.9250000000000043E-2</v>
      </c>
      <c r="F67" s="645">
        <f t="shared" si="8"/>
        <v>8.3350000000000021E-2</v>
      </c>
      <c r="G67" s="638">
        <f t="shared" si="4"/>
        <v>0.38805970149253771</v>
      </c>
      <c r="H67" s="645">
        <f t="shared" si="5"/>
        <v>7.5150000000000022E-2</v>
      </c>
      <c r="I67" s="343">
        <f t="shared" si="6"/>
        <v>7.0988805970149282E-2</v>
      </c>
      <c r="J67" s="645"/>
    </row>
    <row r="68" spans="2:10">
      <c r="B68" s="639">
        <f t="shared" si="2"/>
        <v>0.60000000000000031</v>
      </c>
      <c r="C68" s="636">
        <f t="shared" si="0"/>
        <v>7.600000000000004E-2</v>
      </c>
      <c r="D68" s="636">
        <f t="shared" si="3"/>
        <v>8.4500000000000033E-2</v>
      </c>
      <c r="E68" s="645">
        <f t="shared" ref="E68:F87" si="9">$D$4+E$7+($B68*($D$5-E$7))</f>
        <v>8.0000000000000043E-2</v>
      </c>
      <c r="F68" s="645">
        <f t="shared" si="9"/>
        <v>8.4000000000000019E-2</v>
      </c>
      <c r="G68" s="638">
        <f t="shared" si="4"/>
        <v>0.40298507462686611</v>
      </c>
      <c r="H68" s="645">
        <f t="shared" si="5"/>
        <v>7.6000000000000026E-2</v>
      </c>
      <c r="I68" s="343">
        <f t="shared" si="6"/>
        <v>7.194029850746271E-2</v>
      </c>
      <c r="J68" s="645"/>
    </row>
    <row r="69" spans="2:10">
      <c r="B69" s="639">
        <f t="shared" si="2"/>
        <v>0.61000000000000032</v>
      </c>
      <c r="C69" s="636">
        <f t="shared" si="0"/>
        <v>7.6850000000000029E-2</v>
      </c>
      <c r="D69" s="636">
        <f t="shared" si="3"/>
        <v>8.5137500000000033E-2</v>
      </c>
      <c r="E69" s="645">
        <f t="shared" si="9"/>
        <v>8.0750000000000044E-2</v>
      </c>
      <c r="F69" s="645">
        <f t="shared" si="9"/>
        <v>8.4650000000000031E-2</v>
      </c>
      <c r="G69" s="638">
        <f t="shared" si="4"/>
        <v>0.41791044776119446</v>
      </c>
      <c r="H69" s="645">
        <f t="shared" si="5"/>
        <v>7.6850000000000029E-2</v>
      </c>
      <c r="I69" s="343">
        <f t="shared" si="6"/>
        <v>7.2891791044776139E-2</v>
      </c>
      <c r="J69" s="645"/>
    </row>
    <row r="70" spans="2:10">
      <c r="B70" s="639">
        <f t="shared" si="2"/>
        <v>0.62000000000000033</v>
      </c>
      <c r="C70" s="636">
        <f t="shared" si="0"/>
        <v>7.7700000000000033E-2</v>
      </c>
      <c r="D70" s="636">
        <f t="shared" si="3"/>
        <v>8.5775000000000032E-2</v>
      </c>
      <c r="E70" s="645">
        <f t="shared" si="9"/>
        <v>8.1500000000000045E-2</v>
      </c>
      <c r="F70" s="645">
        <f t="shared" si="9"/>
        <v>8.5300000000000015E-2</v>
      </c>
      <c r="G70" s="638">
        <f t="shared" si="4"/>
        <v>0.4328358208955228</v>
      </c>
      <c r="H70" s="645">
        <f t="shared" si="5"/>
        <v>7.7700000000000019E-2</v>
      </c>
      <c r="I70" s="343">
        <f t="shared" si="6"/>
        <v>7.3843283582089581E-2</v>
      </c>
      <c r="J70" s="645"/>
    </row>
    <row r="71" spans="2:10">
      <c r="B71" s="639">
        <f t="shared" si="2"/>
        <v>0.63000000000000034</v>
      </c>
      <c r="C71" s="636">
        <f t="shared" si="0"/>
        <v>7.8550000000000036E-2</v>
      </c>
      <c r="D71" s="636">
        <f t="shared" si="3"/>
        <v>8.6412500000000031E-2</v>
      </c>
      <c r="E71" s="645">
        <f t="shared" si="9"/>
        <v>8.2250000000000045E-2</v>
      </c>
      <c r="F71" s="645">
        <f t="shared" si="9"/>
        <v>8.5950000000000026E-2</v>
      </c>
      <c r="G71" s="638">
        <f t="shared" si="4"/>
        <v>0.44776119402985121</v>
      </c>
      <c r="H71" s="645">
        <f t="shared" si="5"/>
        <v>7.8550000000000023E-2</v>
      </c>
      <c r="I71" s="343">
        <f t="shared" si="6"/>
        <v>7.4794776119403023E-2</v>
      </c>
      <c r="J71" s="645"/>
    </row>
    <row r="72" spans="2:10">
      <c r="B72" s="639">
        <f t="shared" si="2"/>
        <v>0.64000000000000035</v>
      </c>
      <c r="C72" s="636">
        <f t="shared" ref="C72:C135" si="10">D$4+(B72*D$5)</f>
        <v>7.9400000000000026E-2</v>
      </c>
      <c r="D72" s="636">
        <f t="shared" si="3"/>
        <v>8.705000000000003E-2</v>
      </c>
      <c r="E72" s="645">
        <f t="shared" si="9"/>
        <v>8.3000000000000046E-2</v>
      </c>
      <c r="F72" s="645">
        <f t="shared" si="9"/>
        <v>8.6600000000000024E-2</v>
      </c>
      <c r="G72" s="638">
        <f t="shared" si="4"/>
        <v>0.46268656716417955</v>
      </c>
      <c r="H72" s="645">
        <f t="shared" si="5"/>
        <v>7.9400000000000026E-2</v>
      </c>
      <c r="I72" s="343">
        <f t="shared" si="6"/>
        <v>7.5746268656716451E-2</v>
      </c>
      <c r="J72" s="645"/>
    </row>
    <row r="73" spans="2:10">
      <c r="B73" s="639">
        <f t="shared" ref="B73:B136" si="11">B72+0.01</f>
        <v>0.65000000000000036</v>
      </c>
      <c r="C73" s="636">
        <f t="shared" si="10"/>
        <v>8.0250000000000044E-2</v>
      </c>
      <c r="D73" s="636">
        <f t="shared" ref="D73:D136" si="12">D$4+($I$5*B73*D$5)+($I$4*D$5)</f>
        <v>8.7687500000000029E-2</v>
      </c>
      <c r="E73" s="645">
        <f t="shared" si="9"/>
        <v>8.3750000000000047E-2</v>
      </c>
      <c r="F73" s="645">
        <f t="shared" si="9"/>
        <v>8.7250000000000022E-2</v>
      </c>
      <c r="G73" s="638">
        <f t="shared" ref="G73:G136" si="13">(B73-H$4)/H$5</f>
        <v>0.47761194029850795</v>
      </c>
      <c r="H73" s="645">
        <f t="shared" ref="H73:H136" si="14">D$4+(H$4*D$5)+(G73*D$5*H$5)</f>
        <v>8.025000000000003E-2</v>
      </c>
      <c r="I73" s="343">
        <f t="shared" ref="I73:I136" si="15">D$4+(I$4*D$5)+(G73*D$5*I$5)</f>
        <v>7.6697761194029879E-2</v>
      </c>
      <c r="J73" s="645"/>
    </row>
    <row r="74" spans="2:10">
      <c r="B74" s="639">
        <f t="shared" si="11"/>
        <v>0.66000000000000036</v>
      </c>
      <c r="C74" s="636">
        <f t="shared" si="10"/>
        <v>8.1100000000000033E-2</v>
      </c>
      <c r="D74" s="636">
        <f t="shared" si="12"/>
        <v>8.8325000000000028E-2</v>
      </c>
      <c r="E74" s="645">
        <f t="shared" si="9"/>
        <v>8.4500000000000047E-2</v>
      </c>
      <c r="F74" s="645">
        <f t="shared" si="9"/>
        <v>8.7900000000000034E-2</v>
      </c>
      <c r="G74" s="638">
        <f t="shared" si="13"/>
        <v>0.4925373134328363</v>
      </c>
      <c r="H74" s="645">
        <f t="shared" si="14"/>
        <v>8.1100000000000033E-2</v>
      </c>
      <c r="I74" s="343">
        <f t="shared" si="15"/>
        <v>7.7649253731343321E-2</v>
      </c>
      <c r="J74" s="645"/>
    </row>
    <row r="75" spans="2:10">
      <c r="B75" s="639">
        <f t="shared" si="11"/>
        <v>0.67000000000000037</v>
      </c>
      <c r="C75" s="636">
        <f t="shared" si="10"/>
        <v>8.1950000000000037E-2</v>
      </c>
      <c r="D75" s="636">
        <f t="shared" si="12"/>
        <v>8.8962500000000042E-2</v>
      </c>
      <c r="E75" s="645">
        <f t="shared" si="9"/>
        <v>8.5250000000000048E-2</v>
      </c>
      <c r="F75" s="645">
        <f t="shared" si="9"/>
        <v>8.8550000000000018E-2</v>
      </c>
      <c r="G75" s="638">
        <f t="shared" si="13"/>
        <v>0.50746268656716464</v>
      </c>
      <c r="H75" s="645">
        <f t="shared" si="14"/>
        <v>8.1950000000000023E-2</v>
      </c>
      <c r="I75" s="343">
        <f t="shared" si="15"/>
        <v>7.8600746268656749E-2</v>
      </c>
      <c r="J75" s="645"/>
    </row>
    <row r="76" spans="2:10">
      <c r="B76" s="639">
        <f t="shared" si="11"/>
        <v>0.68000000000000038</v>
      </c>
      <c r="C76" s="636">
        <f t="shared" si="10"/>
        <v>8.280000000000004E-2</v>
      </c>
      <c r="D76" s="636">
        <f t="shared" si="12"/>
        <v>8.9600000000000027E-2</v>
      </c>
      <c r="E76" s="645">
        <f t="shared" si="9"/>
        <v>8.6000000000000049E-2</v>
      </c>
      <c r="F76" s="645">
        <f t="shared" si="9"/>
        <v>8.9200000000000029E-2</v>
      </c>
      <c r="G76" s="638">
        <f t="shared" si="13"/>
        <v>0.52238805970149305</v>
      </c>
      <c r="H76" s="645">
        <f t="shared" si="14"/>
        <v>8.280000000000004E-2</v>
      </c>
      <c r="I76" s="343">
        <f t="shared" si="15"/>
        <v>7.9552238805970177E-2</v>
      </c>
      <c r="J76" s="645"/>
    </row>
    <row r="77" spans="2:10">
      <c r="B77" s="639">
        <f t="shared" si="11"/>
        <v>0.69000000000000039</v>
      </c>
      <c r="C77" s="636">
        <f t="shared" si="10"/>
        <v>8.365000000000003E-2</v>
      </c>
      <c r="D77" s="636">
        <f t="shared" si="12"/>
        <v>9.023750000000004E-2</v>
      </c>
      <c r="E77" s="645">
        <f t="shared" si="9"/>
        <v>8.6750000000000049E-2</v>
      </c>
      <c r="F77" s="645">
        <f t="shared" si="9"/>
        <v>8.9850000000000027E-2</v>
      </c>
      <c r="G77" s="638">
        <f t="shared" si="13"/>
        <v>0.53731343283582145</v>
      </c>
      <c r="H77" s="645">
        <f t="shared" si="14"/>
        <v>8.365000000000003E-2</v>
      </c>
      <c r="I77" s="343">
        <f t="shared" si="15"/>
        <v>8.0503731343283619E-2</v>
      </c>
      <c r="J77" s="645"/>
    </row>
    <row r="78" spans="2:10">
      <c r="B78" s="639">
        <f t="shared" si="11"/>
        <v>0.7000000000000004</v>
      </c>
      <c r="C78" s="636">
        <f t="shared" si="10"/>
        <v>8.4500000000000047E-2</v>
      </c>
      <c r="D78" s="636">
        <f t="shared" si="12"/>
        <v>9.0875000000000039E-2</v>
      </c>
      <c r="E78" s="645">
        <f t="shared" si="9"/>
        <v>8.750000000000005E-2</v>
      </c>
      <c r="F78" s="645">
        <f t="shared" si="9"/>
        <v>9.0500000000000025E-2</v>
      </c>
      <c r="G78" s="638">
        <f t="shared" si="13"/>
        <v>0.55223880597014985</v>
      </c>
      <c r="H78" s="645">
        <f t="shared" si="14"/>
        <v>8.4500000000000047E-2</v>
      </c>
      <c r="I78" s="343">
        <f t="shared" si="15"/>
        <v>8.1455223880597061E-2</v>
      </c>
      <c r="J78" s="645"/>
    </row>
    <row r="79" spans="2:10">
      <c r="B79" s="639">
        <f t="shared" si="11"/>
        <v>0.71000000000000041</v>
      </c>
      <c r="C79" s="636">
        <f t="shared" si="10"/>
        <v>8.5350000000000037E-2</v>
      </c>
      <c r="D79" s="636">
        <f t="shared" si="12"/>
        <v>9.1512500000000038E-2</v>
      </c>
      <c r="E79" s="645">
        <f t="shared" si="9"/>
        <v>8.8250000000000051E-2</v>
      </c>
      <c r="F79" s="645">
        <f t="shared" si="9"/>
        <v>9.1150000000000037E-2</v>
      </c>
      <c r="G79" s="638">
        <f t="shared" si="13"/>
        <v>0.56716417910447814</v>
      </c>
      <c r="H79" s="645">
        <f t="shared" si="14"/>
        <v>8.5350000000000037E-2</v>
      </c>
      <c r="I79" s="343">
        <f t="shared" si="15"/>
        <v>8.2406716417910489E-2</v>
      </c>
      <c r="J79" s="645"/>
    </row>
    <row r="80" spans="2:10">
      <c r="B80" s="639">
        <f t="shared" si="11"/>
        <v>0.72000000000000042</v>
      </c>
      <c r="C80" s="636">
        <f t="shared" si="10"/>
        <v>8.620000000000004E-2</v>
      </c>
      <c r="D80" s="636">
        <f t="shared" si="12"/>
        <v>9.2150000000000024E-2</v>
      </c>
      <c r="E80" s="645">
        <f t="shared" si="9"/>
        <v>8.9000000000000051E-2</v>
      </c>
      <c r="F80" s="645">
        <f t="shared" si="9"/>
        <v>9.180000000000002E-2</v>
      </c>
      <c r="G80" s="638">
        <f t="shared" si="13"/>
        <v>0.58208955223880654</v>
      </c>
      <c r="H80" s="645">
        <f t="shared" si="14"/>
        <v>8.6200000000000027E-2</v>
      </c>
      <c r="I80" s="343">
        <f t="shared" si="15"/>
        <v>8.3358208955223917E-2</v>
      </c>
      <c r="J80" s="645"/>
    </row>
    <row r="81" spans="2:10">
      <c r="B81" s="639">
        <f t="shared" si="11"/>
        <v>0.73000000000000043</v>
      </c>
      <c r="C81" s="636">
        <f t="shared" si="10"/>
        <v>8.7050000000000044E-2</v>
      </c>
      <c r="D81" s="636">
        <f t="shared" si="12"/>
        <v>9.2787500000000037E-2</v>
      </c>
      <c r="E81" s="645">
        <f t="shared" si="9"/>
        <v>8.9750000000000052E-2</v>
      </c>
      <c r="F81" s="645">
        <f t="shared" si="9"/>
        <v>9.2450000000000032E-2</v>
      </c>
      <c r="G81" s="638">
        <f t="shared" si="13"/>
        <v>0.59701492537313494</v>
      </c>
      <c r="H81" s="645">
        <f t="shared" si="14"/>
        <v>8.7050000000000044E-2</v>
      </c>
      <c r="I81" s="343">
        <f t="shared" si="15"/>
        <v>8.4309701492537359E-2</v>
      </c>
      <c r="J81" s="645"/>
    </row>
    <row r="82" spans="2:10">
      <c r="B82" s="639">
        <f t="shared" si="11"/>
        <v>0.74000000000000044</v>
      </c>
      <c r="C82" s="636">
        <f t="shared" si="10"/>
        <v>8.7900000000000034E-2</v>
      </c>
      <c r="D82" s="636">
        <f t="shared" si="12"/>
        <v>9.342500000000005E-2</v>
      </c>
      <c r="E82" s="645">
        <f t="shared" si="9"/>
        <v>9.0500000000000053E-2</v>
      </c>
      <c r="F82" s="645">
        <f t="shared" si="9"/>
        <v>9.310000000000003E-2</v>
      </c>
      <c r="G82" s="638">
        <f t="shared" si="13"/>
        <v>0.61194029850746323</v>
      </c>
      <c r="H82" s="645">
        <f t="shared" si="14"/>
        <v>8.7900000000000034E-2</v>
      </c>
      <c r="I82" s="343">
        <f t="shared" si="15"/>
        <v>8.5261194029850787E-2</v>
      </c>
      <c r="J82" s="645"/>
    </row>
    <row r="83" spans="2:10">
      <c r="B83" s="639">
        <f t="shared" si="11"/>
        <v>0.75000000000000044</v>
      </c>
      <c r="C83" s="636">
        <f t="shared" si="10"/>
        <v>8.8750000000000051E-2</v>
      </c>
      <c r="D83" s="636">
        <f t="shared" si="12"/>
        <v>9.4062500000000035E-2</v>
      </c>
      <c r="E83" s="645">
        <f t="shared" si="9"/>
        <v>9.1250000000000053E-2</v>
      </c>
      <c r="F83" s="645">
        <f t="shared" si="9"/>
        <v>9.3750000000000028E-2</v>
      </c>
      <c r="G83" s="638">
        <f t="shared" si="13"/>
        <v>0.62686567164179163</v>
      </c>
      <c r="H83" s="645">
        <f t="shared" si="14"/>
        <v>8.8750000000000037E-2</v>
      </c>
      <c r="I83" s="343">
        <f t="shared" si="15"/>
        <v>8.6212686567164215E-2</v>
      </c>
      <c r="J83" s="645"/>
    </row>
    <row r="84" spans="2:10">
      <c r="B84" s="639">
        <f t="shared" si="11"/>
        <v>0.76000000000000045</v>
      </c>
      <c r="C84" s="636">
        <f t="shared" si="10"/>
        <v>8.9600000000000041E-2</v>
      </c>
      <c r="D84" s="636">
        <f t="shared" si="12"/>
        <v>9.4700000000000034E-2</v>
      </c>
      <c r="E84" s="645">
        <f t="shared" si="9"/>
        <v>9.2000000000000054E-2</v>
      </c>
      <c r="F84" s="645">
        <f t="shared" si="9"/>
        <v>9.4400000000000039E-2</v>
      </c>
      <c r="G84" s="638">
        <f t="shared" si="13"/>
        <v>0.64179104477612003</v>
      </c>
      <c r="H84" s="645">
        <f t="shared" si="14"/>
        <v>8.9600000000000041E-2</v>
      </c>
      <c r="I84" s="343">
        <f t="shared" si="15"/>
        <v>8.7164179104477657E-2</v>
      </c>
      <c r="J84" s="645"/>
    </row>
    <row r="85" spans="2:10">
      <c r="B85" s="639">
        <f t="shared" si="11"/>
        <v>0.77000000000000046</v>
      </c>
      <c r="C85" s="636">
        <f t="shared" si="10"/>
        <v>9.0450000000000058E-2</v>
      </c>
      <c r="D85" s="636">
        <f t="shared" si="12"/>
        <v>9.5337500000000033E-2</v>
      </c>
      <c r="E85" s="645">
        <f t="shared" si="9"/>
        <v>9.2750000000000055E-2</v>
      </c>
      <c r="F85" s="645">
        <f t="shared" si="9"/>
        <v>9.5050000000000023E-2</v>
      </c>
      <c r="G85" s="638">
        <f t="shared" si="13"/>
        <v>0.65671641791044844</v>
      </c>
      <c r="H85" s="645">
        <f t="shared" si="14"/>
        <v>9.0450000000000044E-2</v>
      </c>
      <c r="I85" s="343">
        <f t="shared" si="15"/>
        <v>8.8115671641791099E-2</v>
      </c>
      <c r="J85" s="645"/>
    </row>
    <row r="86" spans="2:10">
      <c r="B86" s="639">
        <f t="shared" si="11"/>
        <v>0.78000000000000047</v>
      </c>
      <c r="C86" s="636">
        <f t="shared" si="10"/>
        <v>9.1300000000000048E-2</v>
      </c>
      <c r="D86" s="636">
        <f t="shared" si="12"/>
        <v>9.5975000000000046E-2</v>
      </c>
      <c r="E86" s="645">
        <f t="shared" si="9"/>
        <v>9.3500000000000055E-2</v>
      </c>
      <c r="F86" s="645">
        <f t="shared" si="9"/>
        <v>9.5700000000000035E-2</v>
      </c>
      <c r="G86" s="638">
        <f t="shared" si="13"/>
        <v>0.67164179104477673</v>
      </c>
      <c r="H86" s="645">
        <f t="shared" si="14"/>
        <v>9.1300000000000048E-2</v>
      </c>
      <c r="I86" s="343">
        <f t="shared" si="15"/>
        <v>8.9067164179104513E-2</v>
      </c>
      <c r="J86" s="645"/>
    </row>
    <row r="87" spans="2:10">
      <c r="B87" s="639">
        <f t="shared" si="11"/>
        <v>0.79000000000000048</v>
      </c>
      <c r="C87" s="636">
        <f t="shared" si="10"/>
        <v>9.2150000000000037E-2</v>
      </c>
      <c r="D87" s="636">
        <f t="shared" si="12"/>
        <v>9.6612500000000032E-2</v>
      </c>
      <c r="E87" s="645">
        <f t="shared" si="9"/>
        <v>9.4250000000000056E-2</v>
      </c>
      <c r="F87" s="645">
        <f t="shared" si="9"/>
        <v>9.6350000000000033E-2</v>
      </c>
      <c r="G87" s="638">
        <f t="shared" si="13"/>
        <v>0.68656716417910513</v>
      </c>
      <c r="H87" s="645">
        <f t="shared" si="14"/>
        <v>9.2150000000000037E-2</v>
      </c>
      <c r="I87" s="343">
        <f t="shared" si="15"/>
        <v>9.0018656716417955E-2</v>
      </c>
      <c r="J87" s="645"/>
    </row>
    <row r="88" spans="2:10">
      <c r="B88" s="639">
        <f t="shared" si="11"/>
        <v>0.80000000000000049</v>
      </c>
      <c r="C88" s="636">
        <f t="shared" si="10"/>
        <v>9.3000000000000055E-2</v>
      </c>
      <c r="D88" s="636">
        <f t="shared" si="12"/>
        <v>9.7250000000000045E-2</v>
      </c>
      <c r="E88" s="645">
        <f t="shared" ref="E88:F107" si="16">$D$4+E$7+($B88*($D$5-E$7))</f>
        <v>9.5000000000000057E-2</v>
      </c>
      <c r="F88" s="645">
        <f t="shared" si="16"/>
        <v>9.7000000000000031E-2</v>
      </c>
      <c r="G88" s="638">
        <f t="shared" si="13"/>
        <v>0.70149253731343353</v>
      </c>
      <c r="H88" s="645">
        <f t="shared" si="14"/>
        <v>9.3000000000000055E-2</v>
      </c>
      <c r="I88" s="343">
        <f t="shared" si="15"/>
        <v>9.0970149253731397E-2</v>
      </c>
      <c r="J88" s="645"/>
    </row>
    <row r="89" spans="2:10">
      <c r="B89" s="639">
        <f t="shared" si="11"/>
        <v>0.8100000000000005</v>
      </c>
      <c r="C89" s="636">
        <f t="shared" si="10"/>
        <v>9.3850000000000044E-2</v>
      </c>
      <c r="D89" s="636">
        <f t="shared" si="12"/>
        <v>9.7887500000000044E-2</v>
      </c>
      <c r="E89" s="645">
        <f t="shared" si="16"/>
        <v>9.5750000000000057E-2</v>
      </c>
      <c r="F89" s="645">
        <f t="shared" si="16"/>
        <v>9.7650000000000042E-2</v>
      </c>
      <c r="G89" s="638">
        <f t="shared" si="13"/>
        <v>0.71641791044776182</v>
      </c>
      <c r="H89" s="645">
        <f t="shared" si="14"/>
        <v>9.3850000000000044E-2</v>
      </c>
      <c r="I89" s="343">
        <f t="shared" si="15"/>
        <v>9.1921641791044811E-2</v>
      </c>
      <c r="J89" s="645"/>
    </row>
    <row r="90" spans="2:10">
      <c r="B90" s="639">
        <f t="shared" si="11"/>
        <v>0.82000000000000051</v>
      </c>
      <c r="C90" s="636">
        <f t="shared" si="10"/>
        <v>9.4700000000000062E-2</v>
      </c>
      <c r="D90" s="636">
        <f t="shared" si="12"/>
        <v>9.8525000000000043E-2</v>
      </c>
      <c r="E90" s="645">
        <f t="shared" si="16"/>
        <v>9.6500000000000058E-2</v>
      </c>
      <c r="F90" s="645">
        <f t="shared" si="16"/>
        <v>9.8300000000000026E-2</v>
      </c>
      <c r="G90" s="638">
        <f t="shared" si="13"/>
        <v>0.73134328358209022</v>
      </c>
      <c r="H90" s="645">
        <f t="shared" si="14"/>
        <v>9.4700000000000048E-2</v>
      </c>
      <c r="I90" s="343">
        <f t="shared" si="15"/>
        <v>9.2873134328358253E-2</v>
      </c>
      <c r="J90" s="645"/>
    </row>
    <row r="91" spans="2:10">
      <c r="B91" s="639">
        <f t="shared" si="11"/>
        <v>0.83000000000000052</v>
      </c>
      <c r="C91" s="636">
        <f t="shared" si="10"/>
        <v>9.5550000000000052E-2</v>
      </c>
      <c r="D91" s="636">
        <f t="shared" si="12"/>
        <v>9.9162500000000042E-2</v>
      </c>
      <c r="E91" s="645">
        <f t="shared" si="16"/>
        <v>9.7250000000000059E-2</v>
      </c>
      <c r="F91" s="645">
        <f t="shared" si="16"/>
        <v>9.8950000000000038E-2</v>
      </c>
      <c r="G91" s="638">
        <f t="shared" si="13"/>
        <v>0.74626865671641851</v>
      </c>
      <c r="H91" s="645">
        <f t="shared" si="14"/>
        <v>9.5550000000000052E-2</v>
      </c>
      <c r="I91" s="343">
        <f t="shared" si="15"/>
        <v>9.3824626865671681E-2</v>
      </c>
      <c r="J91" s="645"/>
    </row>
    <row r="92" spans="2:10">
      <c r="B92" s="639">
        <f t="shared" si="11"/>
        <v>0.84000000000000052</v>
      </c>
      <c r="C92" s="636">
        <f t="shared" si="10"/>
        <v>9.6400000000000041E-2</v>
      </c>
      <c r="D92" s="636">
        <f t="shared" si="12"/>
        <v>9.9800000000000041E-2</v>
      </c>
      <c r="E92" s="645">
        <f t="shared" si="16"/>
        <v>9.8000000000000045E-2</v>
      </c>
      <c r="F92" s="645">
        <f t="shared" si="16"/>
        <v>9.9600000000000036E-2</v>
      </c>
      <c r="G92" s="638">
        <f t="shared" si="13"/>
        <v>0.76119402985074691</v>
      </c>
      <c r="H92" s="645">
        <f t="shared" si="14"/>
        <v>9.6400000000000041E-2</v>
      </c>
      <c r="I92" s="343">
        <f t="shared" si="15"/>
        <v>9.4776119402985123E-2</v>
      </c>
      <c r="J92" s="645"/>
    </row>
    <row r="93" spans="2:10">
      <c r="B93" s="639">
        <f t="shared" si="11"/>
        <v>0.85000000000000053</v>
      </c>
      <c r="C93" s="636">
        <f t="shared" si="10"/>
        <v>9.7250000000000059E-2</v>
      </c>
      <c r="D93" s="636">
        <f t="shared" si="12"/>
        <v>0.10043750000000005</v>
      </c>
      <c r="E93" s="645">
        <f t="shared" si="16"/>
        <v>9.8750000000000046E-2</v>
      </c>
      <c r="F93" s="645">
        <f t="shared" si="16"/>
        <v>0.10025000000000003</v>
      </c>
      <c r="G93" s="638">
        <f t="shared" si="13"/>
        <v>0.77611940298507531</v>
      </c>
      <c r="H93" s="645">
        <f t="shared" si="14"/>
        <v>9.7250000000000045E-2</v>
      </c>
      <c r="I93" s="343">
        <f t="shared" si="15"/>
        <v>9.5727611940298551E-2</v>
      </c>
      <c r="J93" s="645"/>
    </row>
    <row r="94" spans="2:10">
      <c r="B94" s="639">
        <f t="shared" si="11"/>
        <v>0.86000000000000054</v>
      </c>
      <c r="C94" s="636">
        <f t="shared" si="10"/>
        <v>9.8100000000000048E-2</v>
      </c>
      <c r="D94" s="636">
        <f t="shared" si="12"/>
        <v>0.10107500000000004</v>
      </c>
      <c r="E94" s="645">
        <f t="shared" si="16"/>
        <v>9.9500000000000047E-2</v>
      </c>
      <c r="F94" s="645">
        <f t="shared" si="16"/>
        <v>0.10090000000000005</v>
      </c>
      <c r="G94" s="638">
        <f t="shared" si="13"/>
        <v>0.7910447761194036</v>
      </c>
      <c r="H94" s="645">
        <f t="shared" si="14"/>
        <v>9.8100000000000048E-2</v>
      </c>
      <c r="I94" s="343">
        <f t="shared" si="15"/>
        <v>9.667910447761198E-2</v>
      </c>
      <c r="J94" s="645"/>
    </row>
    <row r="95" spans="2:10">
      <c r="B95" s="639">
        <f t="shared" si="11"/>
        <v>0.87000000000000055</v>
      </c>
      <c r="C95" s="636">
        <f t="shared" si="10"/>
        <v>9.8950000000000066E-2</v>
      </c>
      <c r="D95" s="636">
        <f t="shared" si="12"/>
        <v>0.10171250000000005</v>
      </c>
      <c r="E95" s="645">
        <f t="shared" si="16"/>
        <v>0.10025000000000005</v>
      </c>
      <c r="F95" s="645">
        <f t="shared" si="16"/>
        <v>0.10155000000000003</v>
      </c>
      <c r="G95" s="638">
        <f t="shared" si="13"/>
        <v>0.805970149253732</v>
      </c>
      <c r="H95" s="645">
        <f t="shared" si="14"/>
        <v>9.8950000000000038E-2</v>
      </c>
      <c r="I95" s="343">
        <f t="shared" si="15"/>
        <v>9.7630597014925422E-2</v>
      </c>
      <c r="J95" s="645"/>
    </row>
    <row r="96" spans="2:10">
      <c r="B96" s="639">
        <f t="shared" si="11"/>
        <v>0.88000000000000056</v>
      </c>
      <c r="C96" s="636">
        <f t="shared" si="10"/>
        <v>9.9800000000000055E-2</v>
      </c>
      <c r="D96" s="636">
        <f t="shared" si="12"/>
        <v>0.10235000000000004</v>
      </c>
      <c r="E96" s="645">
        <f t="shared" si="16"/>
        <v>0.10100000000000006</v>
      </c>
      <c r="F96" s="645">
        <f t="shared" si="16"/>
        <v>0.10220000000000004</v>
      </c>
      <c r="G96" s="638">
        <f t="shared" si="13"/>
        <v>0.82089552238806041</v>
      </c>
      <c r="H96" s="645">
        <f t="shared" si="14"/>
        <v>9.9800000000000055E-2</v>
      </c>
      <c r="I96" s="343">
        <f t="shared" si="15"/>
        <v>9.858208955223885E-2</v>
      </c>
      <c r="J96" s="645"/>
    </row>
    <row r="97" spans="2:10">
      <c r="B97" s="639">
        <f t="shared" si="11"/>
        <v>0.89000000000000057</v>
      </c>
      <c r="C97" s="636">
        <f t="shared" si="10"/>
        <v>0.10065000000000004</v>
      </c>
      <c r="D97" s="636">
        <f t="shared" si="12"/>
        <v>0.10298750000000005</v>
      </c>
      <c r="E97" s="645">
        <f t="shared" si="16"/>
        <v>0.10175000000000006</v>
      </c>
      <c r="F97" s="645">
        <f t="shared" si="16"/>
        <v>0.10285000000000004</v>
      </c>
      <c r="G97" s="638">
        <f t="shared" si="13"/>
        <v>0.83582089552238881</v>
      </c>
      <c r="H97" s="645">
        <f t="shared" si="14"/>
        <v>0.10065000000000004</v>
      </c>
      <c r="I97" s="343">
        <f t="shared" si="15"/>
        <v>9.9533582089552292E-2</v>
      </c>
      <c r="J97" s="645"/>
    </row>
    <row r="98" spans="2:10">
      <c r="B98" s="639">
        <f t="shared" si="11"/>
        <v>0.90000000000000058</v>
      </c>
      <c r="C98" s="636">
        <f t="shared" si="10"/>
        <v>0.10150000000000006</v>
      </c>
      <c r="D98" s="636">
        <f t="shared" si="12"/>
        <v>0.10362500000000005</v>
      </c>
      <c r="E98" s="645">
        <f t="shared" si="16"/>
        <v>0.10250000000000006</v>
      </c>
      <c r="F98" s="645">
        <f t="shared" si="16"/>
        <v>0.10350000000000004</v>
      </c>
      <c r="G98" s="638">
        <f t="shared" si="13"/>
        <v>0.8507462686567171</v>
      </c>
      <c r="H98" s="645">
        <f t="shared" si="14"/>
        <v>0.10150000000000005</v>
      </c>
      <c r="I98" s="343">
        <f t="shared" si="15"/>
        <v>0.10048507462686572</v>
      </c>
      <c r="J98" s="645"/>
    </row>
    <row r="99" spans="2:10">
      <c r="B99" s="639">
        <f t="shared" si="11"/>
        <v>0.91000000000000059</v>
      </c>
      <c r="C99" s="636">
        <f t="shared" si="10"/>
        <v>0.10235000000000005</v>
      </c>
      <c r="D99" s="636">
        <f t="shared" si="12"/>
        <v>0.10426250000000005</v>
      </c>
      <c r="E99" s="645">
        <f t="shared" si="16"/>
        <v>0.10325000000000006</v>
      </c>
      <c r="F99" s="645">
        <f t="shared" si="16"/>
        <v>0.10415000000000005</v>
      </c>
      <c r="G99" s="638">
        <f t="shared" si="13"/>
        <v>0.8656716417910455</v>
      </c>
      <c r="H99" s="645">
        <f t="shared" si="14"/>
        <v>0.10235000000000005</v>
      </c>
      <c r="I99" s="343">
        <f t="shared" si="15"/>
        <v>0.10143656716417915</v>
      </c>
      <c r="J99" s="645"/>
    </row>
    <row r="100" spans="2:10">
      <c r="B100" s="639">
        <f t="shared" si="11"/>
        <v>0.9200000000000006</v>
      </c>
      <c r="C100" s="636">
        <f t="shared" si="10"/>
        <v>0.10320000000000007</v>
      </c>
      <c r="D100" s="636">
        <f t="shared" si="12"/>
        <v>0.10490000000000003</v>
      </c>
      <c r="E100" s="645">
        <f t="shared" si="16"/>
        <v>0.10400000000000006</v>
      </c>
      <c r="F100" s="645">
        <f t="shared" si="16"/>
        <v>0.10480000000000003</v>
      </c>
      <c r="G100" s="638">
        <f t="shared" si="13"/>
        <v>0.8805970149253739</v>
      </c>
      <c r="H100" s="645">
        <f t="shared" si="14"/>
        <v>0.10320000000000004</v>
      </c>
      <c r="I100" s="343">
        <f t="shared" si="15"/>
        <v>0.10238805970149259</v>
      </c>
      <c r="J100" s="645"/>
    </row>
    <row r="101" spans="2:10">
      <c r="B101" s="639">
        <f t="shared" si="11"/>
        <v>0.9300000000000006</v>
      </c>
      <c r="C101" s="636">
        <f t="shared" si="10"/>
        <v>0.10405000000000006</v>
      </c>
      <c r="D101" s="636">
        <f t="shared" si="12"/>
        <v>0.10553750000000005</v>
      </c>
      <c r="E101" s="645">
        <f t="shared" si="16"/>
        <v>0.10475000000000007</v>
      </c>
      <c r="F101" s="645">
        <f t="shared" si="16"/>
        <v>0.10545000000000004</v>
      </c>
      <c r="G101" s="638">
        <f t="shared" si="13"/>
        <v>0.89552238805970219</v>
      </c>
      <c r="H101" s="645">
        <f t="shared" si="14"/>
        <v>0.10405000000000005</v>
      </c>
      <c r="I101" s="343">
        <f t="shared" si="15"/>
        <v>0.10333955223880602</v>
      </c>
      <c r="J101" s="645"/>
    </row>
    <row r="102" spans="2:10">
      <c r="B102" s="639">
        <f t="shared" si="11"/>
        <v>0.94000000000000061</v>
      </c>
      <c r="C102" s="636">
        <f t="shared" si="10"/>
        <v>0.10490000000000005</v>
      </c>
      <c r="D102" s="636">
        <f t="shared" si="12"/>
        <v>0.10617500000000006</v>
      </c>
      <c r="E102" s="645">
        <f t="shared" si="16"/>
        <v>0.10550000000000007</v>
      </c>
      <c r="F102" s="645">
        <f t="shared" si="16"/>
        <v>0.10610000000000004</v>
      </c>
      <c r="G102" s="638">
        <f t="shared" si="13"/>
        <v>0.91044776119403059</v>
      </c>
      <c r="H102" s="645">
        <f t="shared" si="14"/>
        <v>0.10490000000000005</v>
      </c>
      <c r="I102" s="343">
        <f t="shared" si="15"/>
        <v>0.10429104477611946</v>
      </c>
      <c r="J102" s="645"/>
    </row>
    <row r="103" spans="2:10">
      <c r="B103" s="639">
        <f t="shared" si="11"/>
        <v>0.95000000000000062</v>
      </c>
      <c r="C103" s="636">
        <f t="shared" si="10"/>
        <v>0.10575000000000007</v>
      </c>
      <c r="D103" s="636">
        <f t="shared" si="12"/>
        <v>0.10681250000000005</v>
      </c>
      <c r="E103" s="645">
        <f t="shared" si="16"/>
        <v>0.10625000000000007</v>
      </c>
      <c r="F103" s="645">
        <f t="shared" si="16"/>
        <v>0.10675000000000004</v>
      </c>
      <c r="G103" s="638">
        <f t="shared" si="13"/>
        <v>0.92537313432835899</v>
      </c>
      <c r="H103" s="645">
        <f t="shared" si="14"/>
        <v>0.10575000000000004</v>
      </c>
      <c r="I103" s="343">
        <f t="shared" si="15"/>
        <v>0.10524253731343289</v>
      </c>
      <c r="J103" s="645"/>
    </row>
    <row r="104" spans="2:10">
      <c r="B104" s="639">
        <f t="shared" si="11"/>
        <v>0.96000000000000063</v>
      </c>
      <c r="C104" s="636">
        <f t="shared" si="10"/>
        <v>0.10660000000000006</v>
      </c>
      <c r="D104" s="636">
        <f t="shared" si="12"/>
        <v>0.10745000000000005</v>
      </c>
      <c r="E104" s="645">
        <f t="shared" si="16"/>
        <v>0.10700000000000007</v>
      </c>
      <c r="F104" s="645">
        <f t="shared" si="16"/>
        <v>0.10740000000000005</v>
      </c>
      <c r="G104" s="638">
        <f t="shared" si="13"/>
        <v>0.94029850746268739</v>
      </c>
      <c r="H104" s="645">
        <f t="shared" si="14"/>
        <v>0.10660000000000006</v>
      </c>
      <c r="I104" s="343">
        <f t="shared" si="15"/>
        <v>0.10619402985074633</v>
      </c>
      <c r="J104" s="645"/>
    </row>
    <row r="105" spans="2:10">
      <c r="B105" s="639">
        <f t="shared" si="11"/>
        <v>0.97000000000000064</v>
      </c>
      <c r="C105" s="636">
        <f t="shared" si="10"/>
        <v>0.10745000000000007</v>
      </c>
      <c r="D105" s="636">
        <f t="shared" si="12"/>
        <v>0.10808750000000004</v>
      </c>
      <c r="E105" s="645">
        <f t="shared" si="16"/>
        <v>0.10775000000000007</v>
      </c>
      <c r="F105" s="645">
        <f t="shared" si="16"/>
        <v>0.10805000000000005</v>
      </c>
      <c r="G105" s="638">
        <f t="shared" si="13"/>
        <v>0.95522388059701568</v>
      </c>
      <c r="H105" s="645">
        <f t="shared" si="14"/>
        <v>0.10745000000000005</v>
      </c>
      <c r="I105" s="343">
        <f t="shared" si="15"/>
        <v>0.10714552238805974</v>
      </c>
      <c r="J105" s="645"/>
    </row>
    <row r="106" spans="2:10">
      <c r="B106" s="639">
        <f t="shared" si="11"/>
        <v>0.98000000000000065</v>
      </c>
      <c r="C106" s="636">
        <f t="shared" si="10"/>
        <v>0.10830000000000006</v>
      </c>
      <c r="D106" s="636">
        <f t="shared" si="12"/>
        <v>0.10872500000000006</v>
      </c>
      <c r="E106" s="645">
        <f t="shared" si="16"/>
        <v>0.10850000000000007</v>
      </c>
      <c r="F106" s="645">
        <f t="shared" si="16"/>
        <v>0.10870000000000005</v>
      </c>
      <c r="G106" s="638">
        <f t="shared" si="13"/>
        <v>0.97014925373134409</v>
      </c>
      <c r="H106" s="645">
        <f t="shared" si="14"/>
        <v>0.10830000000000006</v>
      </c>
      <c r="I106" s="343">
        <f t="shared" si="15"/>
        <v>0.10809701492537319</v>
      </c>
      <c r="J106" s="645"/>
    </row>
    <row r="107" spans="2:10">
      <c r="B107" s="639">
        <f t="shared" si="11"/>
        <v>0.99000000000000066</v>
      </c>
      <c r="C107" s="636">
        <f t="shared" si="10"/>
        <v>0.10915000000000005</v>
      </c>
      <c r="D107" s="636">
        <f t="shared" si="12"/>
        <v>0.10936250000000004</v>
      </c>
      <c r="E107" s="645">
        <f t="shared" si="16"/>
        <v>0.10925000000000007</v>
      </c>
      <c r="F107" s="645">
        <f t="shared" si="16"/>
        <v>0.10935000000000004</v>
      </c>
      <c r="G107" s="638">
        <f t="shared" si="13"/>
        <v>0.98507462686567249</v>
      </c>
      <c r="H107" s="645">
        <f t="shared" si="14"/>
        <v>0.10915000000000005</v>
      </c>
      <c r="I107" s="343">
        <f t="shared" si="15"/>
        <v>0.10904850746268663</v>
      </c>
      <c r="J107" s="645"/>
    </row>
    <row r="108" spans="2:10">
      <c r="B108" s="639">
        <f t="shared" si="11"/>
        <v>1.0000000000000007</v>
      </c>
      <c r="C108" s="636">
        <f t="shared" si="10"/>
        <v>0.11000000000000007</v>
      </c>
      <c r="D108" s="636">
        <f t="shared" si="12"/>
        <v>0.11000000000000006</v>
      </c>
      <c r="E108" s="645">
        <f t="shared" ref="E108:F127" si="17">$D$4+E$7+($B108*($D$5-E$7))</f>
        <v>0.11000000000000007</v>
      </c>
      <c r="F108" s="645">
        <f t="shared" si="17"/>
        <v>0.11000000000000004</v>
      </c>
      <c r="G108" s="638">
        <f t="shared" si="13"/>
        <v>1.0000000000000009</v>
      </c>
      <c r="H108" s="645">
        <f t="shared" si="14"/>
        <v>0.11000000000000006</v>
      </c>
      <c r="I108" s="343">
        <f t="shared" si="15"/>
        <v>0.11000000000000006</v>
      </c>
      <c r="J108" s="645"/>
    </row>
    <row r="109" spans="2:10">
      <c r="B109" s="639">
        <f t="shared" si="11"/>
        <v>1.0100000000000007</v>
      </c>
      <c r="C109" s="636">
        <f t="shared" si="10"/>
        <v>0.11085000000000006</v>
      </c>
      <c r="D109" s="636">
        <f t="shared" si="12"/>
        <v>0.11063750000000004</v>
      </c>
      <c r="E109" s="645">
        <f t="shared" si="17"/>
        <v>0.11075000000000007</v>
      </c>
      <c r="F109" s="645">
        <f t="shared" si="17"/>
        <v>0.11065000000000004</v>
      </c>
      <c r="G109" s="638">
        <f t="shared" si="13"/>
        <v>1.0149253731343293</v>
      </c>
      <c r="H109" s="645">
        <f t="shared" si="14"/>
        <v>0.11085000000000006</v>
      </c>
      <c r="I109" s="343">
        <f t="shared" si="15"/>
        <v>0.1109514925373135</v>
      </c>
      <c r="J109" s="645"/>
    </row>
    <row r="110" spans="2:10">
      <c r="B110" s="639">
        <f t="shared" si="11"/>
        <v>1.0200000000000007</v>
      </c>
      <c r="C110" s="636">
        <f t="shared" si="10"/>
        <v>0.11170000000000008</v>
      </c>
      <c r="D110" s="636">
        <f t="shared" si="12"/>
        <v>0.11127500000000005</v>
      </c>
      <c r="E110" s="645">
        <f t="shared" si="17"/>
        <v>0.11150000000000007</v>
      </c>
      <c r="F110" s="645">
        <f t="shared" si="17"/>
        <v>0.11130000000000005</v>
      </c>
      <c r="G110" s="638">
        <f t="shared" si="13"/>
        <v>1.0298507462686575</v>
      </c>
      <c r="H110" s="645">
        <f t="shared" si="14"/>
        <v>0.11170000000000005</v>
      </c>
      <c r="I110" s="343">
        <f t="shared" si="15"/>
        <v>0.11190298507462693</v>
      </c>
      <c r="J110" s="645"/>
    </row>
    <row r="111" spans="2:10">
      <c r="B111" s="639">
        <f t="shared" si="11"/>
        <v>1.0300000000000007</v>
      </c>
      <c r="C111" s="636">
        <f t="shared" si="10"/>
        <v>0.11255000000000007</v>
      </c>
      <c r="D111" s="636">
        <f t="shared" si="12"/>
        <v>0.11191250000000007</v>
      </c>
      <c r="E111" s="645">
        <f t="shared" si="17"/>
        <v>0.11225000000000007</v>
      </c>
      <c r="F111" s="645">
        <f t="shared" si="17"/>
        <v>0.11195000000000005</v>
      </c>
      <c r="G111" s="638">
        <f t="shared" si="13"/>
        <v>1.0447761194029859</v>
      </c>
      <c r="H111" s="645">
        <f t="shared" si="14"/>
        <v>0.11255000000000005</v>
      </c>
      <c r="I111" s="343">
        <f t="shared" si="15"/>
        <v>0.11285447761194035</v>
      </c>
      <c r="J111" s="645"/>
    </row>
    <row r="112" spans="2:10">
      <c r="B112" s="639">
        <f t="shared" si="11"/>
        <v>1.0400000000000007</v>
      </c>
      <c r="C112" s="636">
        <f t="shared" si="10"/>
        <v>0.11340000000000006</v>
      </c>
      <c r="D112" s="636">
        <f t="shared" si="12"/>
        <v>0.11255000000000005</v>
      </c>
      <c r="E112" s="645">
        <f t="shared" si="17"/>
        <v>0.11300000000000007</v>
      </c>
      <c r="F112" s="645">
        <f t="shared" si="17"/>
        <v>0.11260000000000005</v>
      </c>
      <c r="G112" s="638">
        <f t="shared" si="13"/>
        <v>1.0597014925373143</v>
      </c>
      <c r="H112" s="645">
        <f t="shared" si="14"/>
        <v>0.11340000000000006</v>
      </c>
      <c r="I112" s="343">
        <f t="shared" si="15"/>
        <v>0.1138059701492538</v>
      </c>
      <c r="J112" s="645"/>
    </row>
    <row r="113" spans="2:10">
      <c r="B113" s="639">
        <f t="shared" si="11"/>
        <v>1.0500000000000007</v>
      </c>
      <c r="C113" s="636">
        <f t="shared" si="10"/>
        <v>0.11425000000000007</v>
      </c>
      <c r="D113" s="636">
        <f t="shared" si="12"/>
        <v>0.11318750000000007</v>
      </c>
      <c r="E113" s="645">
        <f t="shared" si="17"/>
        <v>0.11375000000000007</v>
      </c>
      <c r="F113" s="645">
        <f t="shared" si="17"/>
        <v>0.11325000000000005</v>
      </c>
      <c r="G113" s="638">
        <f t="shared" si="13"/>
        <v>1.0746268656716427</v>
      </c>
      <c r="H113" s="645">
        <f t="shared" si="14"/>
        <v>0.11425000000000006</v>
      </c>
      <c r="I113" s="343">
        <f t="shared" si="15"/>
        <v>0.11475746268656722</v>
      </c>
      <c r="J113" s="645"/>
    </row>
    <row r="114" spans="2:10">
      <c r="B114" s="639">
        <f t="shared" si="11"/>
        <v>1.0600000000000007</v>
      </c>
      <c r="C114" s="636">
        <f t="shared" si="10"/>
        <v>0.11510000000000006</v>
      </c>
      <c r="D114" s="636">
        <f t="shared" si="12"/>
        <v>0.11382500000000005</v>
      </c>
      <c r="E114" s="645">
        <f t="shared" si="17"/>
        <v>0.11450000000000007</v>
      </c>
      <c r="F114" s="645">
        <f t="shared" si="17"/>
        <v>0.11390000000000004</v>
      </c>
      <c r="G114" s="638">
        <f t="shared" si="13"/>
        <v>1.0895522388059711</v>
      </c>
      <c r="H114" s="645">
        <f t="shared" si="14"/>
        <v>0.11510000000000006</v>
      </c>
      <c r="I114" s="343">
        <f t="shared" si="15"/>
        <v>0.11570895522388065</v>
      </c>
      <c r="J114" s="645"/>
    </row>
    <row r="115" spans="2:10">
      <c r="B115" s="639">
        <f t="shared" si="11"/>
        <v>1.0700000000000007</v>
      </c>
      <c r="C115" s="636">
        <f t="shared" si="10"/>
        <v>0.11595000000000008</v>
      </c>
      <c r="D115" s="636">
        <f t="shared" si="12"/>
        <v>0.11446250000000006</v>
      </c>
      <c r="E115" s="645">
        <f t="shared" si="17"/>
        <v>0.11525000000000007</v>
      </c>
      <c r="F115" s="645">
        <f t="shared" si="17"/>
        <v>0.11455000000000005</v>
      </c>
      <c r="G115" s="638">
        <f t="shared" si="13"/>
        <v>1.1044776119402995</v>
      </c>
      <c r="H115" s="645">
        <f t="shared" si="14"/>
        <v>0.11595000000000007</v>
      </c>
      <c r="I115" s="343">
        <f t="shared" si="15"/>
        <v>0.11666044776119409</v>
      </c>
      <c r="J115" s="645"/>
    </row>
    <row r="116" spans="2:10">
      <c r="B116" s="639">
        <f t="shared" si="11"/>
        <v>1.0800000000000007</v>
      </c>
      <c r="C116" s="636">
        <f t="shared" si="10"/>
        <v>0.11680000000000007</v>
      </c>
      <c r="D116" s="636">
        <f t="shared" si="12"/>
        <v>0.11510000000000005</v>
      </c>
      <c r="E116" s="645">
        <f t="shared" si="17"/>
        <v>0.11600000000000008</v>
      </c>
      <c r="F116" s="645">
        <f t="shared" si="17"/>
        <v>0.11520000000000005</v>
      </c>
      <c r="G116" s="638">
        <f t="shared" si="13"/>
        <v>1.1194029850746279</v>
      </c>
      <c r="H116" s="645">
        <f t="shared" si="14"/>
        <v>0.11680000000000007</v>
      </c>
      <c r="I116" s="343">
        <f t="shared" si="15"/>
        <v>0.11761194029850754</v>
      </c>
      <c r="J116" s="645"/>
    </row>
    <row r="117" spans="2:10">
      <c r="B117" s="639">
        <f t="shared" si="11"/>
        <v>1.0900000000000007</v>
      </c>
      <c r="C117" s="636">
        <f t="shared" si="10"/>
        <v>0.11765000000000006</v>
      </c>
      <c r="D117" s="636">
        <f t="shared" si="12"/>
        <v>0.11573750000000006</v>
      </c>
      <c r="E117" s="645">
        <f t="shared" si="17"/>
        <v>0.11675000000000008</v>
      </c>
      <c r="F117" s="645">
        <f t="shared" si="17"/>
        <v>0.11585000000000005</v>
      </c>
      <c r="G117" s="638">
        <f t="shared" si="13"/>
        <v>1.1343283582089561</v>
      </c>
      <c r="H117" s="645">
        <f t="shared" si="14"/>
        <v>0.11765000000000006</v>
      </c>
      <c r="I117" s="343">
        <f t="shared" si="15"/>
        <v>0.11856343283582095</v>
      </c>
      <c r="J117" s="645"/>
    </row>
    <row r="118" spans="2:10">
      <c r="B118" s="639">
        <f t="shared" si="11"/>
        <v>1.1000000000000008</v>
      </c>
      <c r="C118" s="636">
        <f t="shared" si="10"/>
        <v>0.11850000000000008</v>
      </c>
      <c r="D118" s="636">
        <f t="shared" si="12"/>
        <v>0.11637500000000008</v>
      </c>
      <c r="E118" s="645">
        <f t="shared" si="17"/>
        <v>0.11750000000000008</v>
      </c>
      <c r="F118" s="645">
        <f t="shared" si="17"/>
        <v>0.11650000000000005</v>
      </c>
      <c r="G118" s="638">
        <f t="shared" si="13"/>
        <v>1.1492537313432845</v>
      </c>
      <c r="H118" s="645">
        <f t="shared" si="14"/>
        <v>0.11850000000000006</v>
      </c>
      <c r="I118" s="343">
        <f t="shared" si="15"/>
        <v>0.11951492537313439</v>
      </c>
      <c r="J118" s="645"/>
    </row>
    <row r="119" spans="2:10">
      <c r="B119" s="639">
        <f t="shared" si="11"/>
        <v>1.1100000000000008</v>
      </c>
      <c r="C119" s="636">
        <f t="shared" si="10"/>
        <v>0.11935000000000007</v>
      </c>
      <c r="D119" s="636">
        <f t="shared" si="12"/>
        <v>0.11701250000000006</v>
      </c>
      <c r="E119" s="645">
        <f t="shared" si="17"/>
        <v>0.11825000000000008</v>
      </c>
      <c r="F119" s="645">
        <f t="shared" si="17"/>
        <v>0.11715000000000005</v>
      </c>
      <c r="G119" s="638">
        <f t="shared" si="13"/>
        <v>1.1641791044776129</v>
      </c>
      <c r="H119" s="645">
        <f t="shared" si="14"/>
        <v>0.11935000000000007</v>
      </c>
      <c r="I119" s="343">
        <f t="shared" si="15"/>
        <v>0.12046641791044783</v>
      </c>
      <c r="J119" s="645"/>
    </row>
    <row r="120" spans="2:10">
      <c r="B120" s="639">
        <f t="shared" si="11"/>
        <v>1.1200000000000008</v>
      </c>
      <c r="C120" s="636">
        <f t="shared" si="10"/>
        <v>0.12020000000000008</v>
      </c>
      <c r="D120" s="636">
        <f t="shared" si="12"/>
        <v>0.11765000000000005</v>
      </c>
      <c r="E120" s="645">
        <f t="shared" si="17"/>
        <v>0.11900000000000008</v>
      </c>
      <c r="F120" s="645">
        <f t="shared" si="17"/>
        <v>0.11780000000000006</v>
      </c>
      <c r="G120" s="638">
        <f t="shared" si="13"/>
        <v>1.1791044776119413</v>
      </c>
      <c r="H120" s="645">
        <f t="shared" si="14"/>
        <v>0.12020000000000006</v>
      </c>
      <c r="I120" s="343">
        <f t="shared" si="15"/>
        <v>0.12141791044776125</v>
      </c>
      <c r="J120" s="645"/>
    </row>
    <row r="121" spans="2:10">
      <c r="B121" s="639">
        <f t="shared" si="11"/>
        <v>1.1300000000000008</v>
      </c>
      <c r="C121" s="636">
        <f t="shared" si="10"/>
        <v>0.12105000000000007</v>
      </c>
      <c r="D121" s="636">
        <f t="shared" si="12"/>
        <v>0.11828750000000006</v>
      </c>
      <c r="E121" s="645">
        <f t="shared" si="17"/>
        <v>0.11975000000000008</v>
      </c>
      <c r="F121" s="645">
        <f t="shared" si="17"/>
        <v>0.11845000000000006</v>
      </c>
      <c r="G121" s="638">
        <f t="shared" si="13"/>
        <v>1.1940298507462697</v>
      </c>
      <c r="H121" s="645">
        <f t="shared" si="14"/>
        <v>0.12105000000000006</v>
      </c>
      <c r="I121" s="343">
        <f t="shared" si="15"/>
        <v>0.12236940298507469</v>
      </c>
      <c r="J121" s="645"/>
    </row>
    <row r="122" spans="2:10">
      <c r="B122" s="639">
        <f t="shared" si="11"/>
        <v>1.1400000000000008</v>
      </c>
      <c r="C122" s="636">
        <f t="shared" si="10"/>
        <v>0.12190000000000006</v>
      </c>
      <c r="D122" s="636">
        <f t="shared" si="12"/>
        <v>0.11892500000000007</v>
      </c>
      <c r="E122" s="645">
        <f t="shared" si="17"/>
        <v>0.12050000000000008</v>
      </c>
      <c r="F122" s="645">
        <f t="shared" si="17"/>
        <v>0.11910000000000005</v>
      </c>
      <c r="G122" s="638">
        <f t="shared" si="13"/>
        <v>1.2089552238805981</v>
      </c>
      <c r="H122" s="645">
        <f t="shared" si="14"/>
        <v>0.12190000000000006</v>
      </c>
      <c r="I122" s="343">
        <f t="shared" si="15"/>
        <v>0.12332089552238813</v>
      </c>
      <c r="J122" s="645"/>
    </row>
    <row r="123" spans="2:10">
      <c r="B123" s="639">
        <f t="shared" si="11"/>
        <v>1.1500000000000008</v>
      </c>
      <c r="C123" s="636">
        <f t="shared" si="10"/>
        <v>0.12275000000000008</v>
      </c>
      <c r="D123" s="636">
        <f t="shared" si="12"/>
        <v>0.11956250000000006</v>
      </c>
      <c r="E123" s="645">
        <f t="shared" si="17"/>
        <v>0.12125000000000008</v>
      </c>
      <c r="F123" s="645">
        <f t="shared" si="17"/>
        <v>0.11975000000000005</v>
      </c>
      <c r="G123" s="638">
        <f t="shared" si="13"/>
        <v>1.2238805970149265</v>
      </c>
      <c r="H123" s="645">
        <f t="shared" si="14"/>
        <v>0.12275000000000008</v>
      </c>
      <c r="I123" s="343">
        <f t="shared" si="15"/>
        <v>0.12427238805970157</v>
      </c>
      <c r="J123" s="645"/>
    </row>
    <row r="124" spans="2:10">
      <c r="B124" s="639">
        <f t="shared" si="11"/>
        <v>1.1600000000000008</v>
      </c>
      <c r="C124" s="636">
        <f t="shared" si="10"/>
        <v>0.12360000000000007</v>
      </c>
      <c r="D124" s="636">
        <f t="shared" si="12"/>
        <v>0.12020000000000007</v>
      </c>
      <c r="E124" s="645">
        <f t="shared" si="17"/>
        <v>0.12200000000000008</v>
      </c>
      <c r="F124" s="645">
        <f t="shared" si="17"/>
        <v>0.12040000000000005</v>
      </c>
      <c r="G124" s="638">
        <f t="shared" si="13"/>
        <v>1.2388059701492549</v>
      </c>
      <c r="H124" s="645">
        <f t="shared" si="14"/>
        <v>0.12360000000000007</v>
      </c>
      <c r="I124" s="343">
        <f t="shared" si="15"/>
        <v>0.125223880597015</v>
      </c>
      <c r="J124" s="645"/>
    </row>
    <row r="125" spans="2:10">
      <c r="B125" s="639">
        <f t="shared" si="11"/>
        <v>1.1700000000000008</v>
      </c>
      <c r="C125" s="636">
        <f t="shared" si="10"/>
        <v>0.12445000000000009</v>
      </c>
      <c r="D125" s="636">
        <f t="shared" si="12"/>
        <v>0.12083750000000006</v>
      </c>
      <c r="E125" s="645">
        <f t="shared" si="17"/>
        <v>0.12275000000000008</v>
      </c>
      <c r="F125" s="645">
        <f t="shared" si="17"/>
        <v>0.12105000000000006</v>
      </c>
      <c r="G125" s="638">
        <f t="shared" si="13"/>
        <v>1.253731343283583</v>
      </c>
      <c r="H125" s="645">
        <f t="shared" si="14"/>
        <v>0.12445000000000006</v>
      </c>
      <c r="I125" s="343">
        <f t="shared" si="15"/>
        <v>0.12617537313432842</v>
      </c>
      <c r="J125" s="645"/>
    </row>
    <row r="126" spans="2:10">
      <c r="B126" s="639">
        <f t="shared" si="11"/>
        <v>1.1800000000000008</v>
      </c>
      <c r="C126" s="636">
        <f t="shared" si="10"/>
        <v>0.12530000000000008</v>
      </c>
      <c r="D126" s="636">
        <f t="shared" si="12"/>
        <v>0.12147500000000007</v>
      </c>
      <c r="E126" s="645">
        <f t="shared" si="17"/>
        <v>0.12350000000000008</v>
      </c>
      <c r="F126" s="645">
        <f t="shared" si="17"/>
        <v>0.12170000000000006</v>
      </c>
      <c r="G126" s="638">
        <f t="shared" si="13"/>
        <v>1.2686567164179114</v>
      </c>
      <c r="H126" s="645">
        <f t="shared" si="14"/>
        <v>0.12530000000000008</v>
      </c>
      <c r="I126" s="343">
        <f t="shared" si="15"/>
        <v>0.12712686567164186</v>
      </c>
      <c r="J126" s="645"/>
    </row>
    <row r="127" spans="2:10">
      <c r="B127" s="639">
        <f t="shared" si="11"/>
        <v>1.1900000000000008</v>
      </c>
      <c r="C127" s="636">
        <f t="shared" si="10"/>
        <v>0.12615000000000007</v>
      </c>
      <c r="D127" s="636">
        <f t="shared" si="12"/>
        <v>0.12211250000000005</v>
      </c>
      <c r="E127" s="645">
        <f t="shared" si="17"/>
        <v>0.12425000000000008</v>
      </c>
      <c r="F127" s="645">
        <f t="shared" si="17"/>
        <v>0.12235000000000006</v>
      </c>
      <c r="G127" s="638">
        <f t="shared" si="13"/>
        <v>1.2835820895522398</v>
      </c>
      <c r="H127" s="645">
        <f t="shared" si="14"/>
        <v>0.12615000000000007</v>
      </c>
      <c r="I127" s="343">
        <f t="shared" si="15"/>
        <v>0.1280783582089553</v>
      </c>
      <c r="J127" s="645"/>
    </row>
    <row r="128" spans="2:10">
      <c r="B128" s="639">
        <f t="shared" si="11"/>
        <v>1.2000000000000008</v>
      </c>
      <c r="C128" s="636">
        <f t="shared" si="10"/>
        <v>0.12700000000000009</v>
      </c>
      <c r="D128" s="636">
        <f t="shared" si="12"/>
        <v>0.12275000000000007</v>
      </c>
      <c r="E128" s="645">
        <f t="shared" ref="E128:F147" si="18">$D$4+E$7+($B128*($D$5-E$7))</f>
        <v>0.12500000000000008</v>
      </c>
      <c r="F128" s="645">
        <f t="shared" si="18"/>
        <v>0.12300000000000005</v>
      </c>
      <c r="G128" s="638">
        <f t="shared" si="13"/>
        <v>1.2985074626865682</v>
      </c>
      <c r="H128" s="645">
        <f t="shared" si="14"/>
        <v>0.12700000000000006</v>
      </c>
      <c r="I128" s="343">
        <f t="shared" si="15"/>
        <v>0.12902985074626871</v>
      </c>
      <c r="J128" s="645"/>
    </row>
    <row r="129" spans="2:10">
      <c r="B129" s="639">
        <f t="shared" si="11"/>
        <v>1.2100000000000009</v>
      </c>
      <c r="C129" s="636">
        <f t="shared" si="10"/>
        <v>0.12785000000000007</v>
      </c>
      <c r="D129" s="636">
        <f t="shared" si="12"/>
        <v>0.12338750000000005</v>
      </c>
      <c r="E129" s="645">
        <f t="shared" si="18"/>
        <v>0.12575000000000008</v>
      </c>
      <c r="F129" s="645">
        <f t="shared" si="18"/>
        <v>0.12365000000000005</v>
      </c>
      <c r="G129" s="638">
        <f t="shared" si="13"/>
        <v>1.3134328358208966</v>
      </c>
      <c r="H129" s="645">
        <f t="shared" si="14"/>
        <v>0.12785000000000007</v>
      </c>
      <c r="I129" s="343">
        <f t="shared" si="15"/>
        <v>0.12998134328358218</v>
      </c>
      <c r="J129" s="645"/>
    </row>
    <row r="130" spans="2:10">
      <c r="B130" s="639">
        <f t="shared" si="11"/>
        <v>1.2200000000000009</v>
      </c>
      <c r="C130" s="636">
        <f t="shared" si="10"/>
        <v>0.12870000000000009</v>
      </c>
      <c r="D130" s="636">
        <f t="shared" si="12"/>
        <v>0.12402500000000007</v>
      </c>
      <c r="E130" s="645">
        <f t="shared" si="18"/>
        <v>0.12650000000000008</v>
      </c>
      <c r="F130" s="645">
        <f t="shared" si="18"/>
        <v>0.12430000000000006</v>
      </c>
      <c r="G130" s="638">
        <f t="shared" si="13"/>
        <v>1.3283582089552251</v>
      </c>
      <c r="H130" s="645">
        <f t="shared" si="14"/>
        <v>0.12870000000000009</v>
      </c>
      <c r="I130" s="343">
        <f t="shared" si="15"/>
        <v>0.1309328358208956</v>
      </c>
      <c r="J130" s="645"/>
    </row>
    <row r="131" spans="2:10">
      <c r="B131" s="639">
        <f t="shared" si="11"/>
        <v>1.2300000000000009</v>
      </c>
      <c r="C131" s="636">
        <f t="shared" si="10"/>
        <v>0.12955000000000008</v>
      </c>
      <c r="D131" s="636">
        <f t="shared" si="12"/>
        <v>0.12466250000000008</v>
      </c>
      <c r="E131" s="645">
        <f t="shared" si="18"/>
        <v>0.12725000000000009</v>
      </c>
      <c r="F131" s="645">
        <f t="shared" si="18"/>
        <v>0.12495000000000006</v>
      </c>
      <c r="G131" s="638">
        <f t="shared" si="13"/>
        <v>1.3432835820895535</v>
      </c>
      <c r="H131" s="645">
        <f t="shared" si="14"/>
        <v>0.12955000000000008</v>
      </c>
      <c r="I131" s="343">
        <f t="shared" si="15"/>
        <v>0.13188432835820904</v>
      </c>
      <c r="J131" s="645"/>
    </row>
    <row r="132" spans="2:10">
      <c r="B132" s="639">
        <f t="shared" si="11"/>
        <v>1.2400000000000009</v>
      </c>
      <c r="C132" s="636">
        <f t="shared" si="10"/>
        <v>0.13040000000000007</v>
      </c>
      <c r="D132" s="636">
        <f t="shared" si="12"/>
        <v>0.12530000000000005</v>
      </c>
      <c r="E132" s="645">
        <f t="shared" si="18"/>
        <v>0.12800000000000009</v>
      </c>
      <c r="F132" s="645">
        <f t="shared" si="18"/>
        <v>0.12560000000000004</v>
      </c>
      <c r="G132" s="638">
        <f t="shared" si="13"/>
        <v>1.3582089552238816</v>
      </c>
      <c r="H132" s="645">
        <f t="shared" si="14"/>
        <v>0.13040000000000007</v>
      </c>
      <c r="I132" s="343">
        <f t="shared" si="15"/>
        <v>0.13283582089552246</v>
      </c>
      <c r="J132" s="645"/>
    </row>
    <row r="133" spans="2:10">
      <c r="B133" s="639">
        <f t="shared" si="11"/>
        <v>1.2500000000000009</v>
      </c>
      <c r="C133" s="636">
        <f t="shared" si="10"/>
        <v>0.13125000000000009</v>
      </c>
      <c r="D133" s="636">
        <f t="shared" si="12"/>
        <v>0.12593750000000006</v>
      </c>
      <c r="E133" s="645">
        <f t="shared" si="18"/>
        <v>0.12875000000000009</v>
      </c>
      <c r="F133" s="645">
        <f t="shared" si="18"/>
        <v>0.12625000000000006</v>
      </c>
      <c r="G133" s="638">
        <f t="shared" si="13"/>
        <v>1.37313432835821</v>
      </c>
      <c r="H133" s="645">
        <f t="shared" si="14"/>
        <v>0.13125000000000009</v>
      </c>
      <c r="I133" s="343">
        <f t="shared" si="15"/>
        <v>0.1337873134328359</v>
      </c>
      <c r="J133" s="645"/>
    </row>
    <row r="134" spans="2:10">
      <c r="B134" s="639">
        <f t="shared" si="11"/>
        <v>1.2600000000000009</v>
      </c>
      <c r="C134" s="636">
        <f t="shared" si="10"/>
        <v>0.13210000000000008</v>
      </c>
      <c r="D134" s="636">
        <f t="shared" si="12"/>
        <v>0.12657500000000005</v>
      </c>
      <c r="E134" s="645">
        <f t="shared" si="18"/>
        <v>0.12950000000000009</v>
      </c>
      <c r="F134" s="645">
        <f t="shared" si="18"/>
        <v>0.12690000000000007</v>
      </c>
      <c r="G134" s="638">
        <f t="shared" si="13"/>
        <v>1.3880597014925384</v>
      </c>
      <c r="H134" s="645">
        <f t="shared" si="14"/>
        <v>0.13210000000000008</v>
      </c>
      <c r="I134" s="343">
        <f t="shared" si="15"/>
        <v>0.13473880597014931</v>
      </c>
      <c r="J134" s="645"/>
    </row>
    <row r="135" spans="2:10">
      <c r="B135" s="639">
        <f t="shared" si="11"/>
        <v>1.2700000000000009</v>
      </c>
      <c r="C135" s="636">
        <f t="shared" si="10"/>
        <v>0.1329500000000001</v>
      </c>
      <c r="D135" s="636">
        <f t="shared" si="12"/>
        <v>0.12721250000000006</v>
      </c>
      <c r="E135" s="645">
        <f t="shared" si="18"/>
        <v>0.13025000000000009</v>
      </c>
      <c r="F135" s="645">
        <f t="shared" si="18"/>
        <v>0.12755000000000005</v>
      </c>
      <c r="G135" s="638">
        <f t="shared" si="13"/>
        <v>1.4029850746268668</v>
      </c>
      <c r="H135" s="645">
        <f t="shared" si="14"/>
        <v>0.13295000000000007</v>
      </c>
      <c r="I135" s="343">
        <f t="shared" si="15"/>
        <v>0.13569029850746278</v>
      </c>
      <c r="J135" s="645"/>
    </row>
    <row r="136" spans="2:10">
      <c r="B136" s="639">
        <f t="shared" si="11"/>
        <v>1.2800000000000009</v>
      </c>
      <c r="C136" s="636">
        <f t="shared" ref="C136:C158" si="19">D$4+(B136*D$5)</f>
        <v>0.13380000000000009</v>
      </c>
      <c r="D136" s="636">
        <f t="shared" si="12"/>
        <v>0.12785000000000005</v>
      </c>
      <c r="E136" s="645">
        <f t="shared" si="18"/>
        <v>0.13100000000000009</v>
      </c>
      <c r="F136" s="645">
        <f t="shared" si="18"/>
        <v>0.12820000000000006</v>
      </c>
      <c r="G136" s="638">
        <f t="shared" si="13"/>
        <v>1.4179104477611952</v>
      </c>
      <c r="H136" s="645">
        <f t="shared" si="14"/>
        <v>0.13380000000000009</v>
      </c>
      <c r="I136" s="343">
        <f t="shared" si="15"/>
        <v>0.1366417910447762</v>
      </c>
      <c r="J136" s="645"/>
    </row>
    <row r="137" spans="2:10">
      <c r="B137" s="639">
        <f t="shared" ref="B137:B158" si="20">B136+0.01</f>
        <v>1.2900000000000009</v>
      </c>
      <c r="C137" s="636">
        <f t="shared" si="19"/>
        <v>0.13465000000000008</v>
      </c>
      <c r="D137" s="636">
        <f t="shared" ref="D137:D158" si="21">D$4+($I$5*B137*D$5)+($I$4*D$5)</f>
        <v>0.12848750000000006</v>
      </c>
      <c r="E137" s="645">
        <f t="shared" si="18"/>
        <v>0.13175000000000009</v>
      </c>
      <c r="F137" s="645">
        <f t="shared" si="18"/>
        <v>0.12885000000000008</v>
      </c>
      <c r="G137" s="638">
        <f t="shared" ref="G137:G158" si="22">(B137-H$4)/H$5</f>
        <v>1.4328358208955236</v>
      </c>
      <c r="H137" s="645">
        <f t="shared" ref="H137:H158" si="23">D$4+(H$4*D$5)+(G137*D$5*H$5)</f>
        <v>0.13465000000000008</v>
      </c>
      <c r="I137" s="343">
        <f t="shared" ref="I137:I158" si="24">D$4+(I$4*D$5)+(G137*D$5*I$5)</f>
        <v>0.13759328358208964</v>
      </c>
      <c r="J137" s="645"/>
    </row>
    <row r="138" spans="2:10">
      <c r="B138" s="639">
        <f t="shared" si="20"/>
        <v>1.3000000000000009</v>
      </c>
      <c r="C138" s="636">
        <f t="shared" si="19"/>
        <v>0.13550000000000009</v>
      </c>
      <c r="D138" s="636">
        <f t="shared" si="21"/>
        <v>0.12912500000000007</v>
      </c>
      <c r="E138" s="645">
        <f t="shared" si="18"/>
        <v>0.13250000000000009</v>
      </c>
      <c r="F138" s="645">
        <f t="shared" si="18"/>
        <v>0.12950000000000006</v>
      </c>
      <c r="G138" s="638">
        <f t="shared" si="22"/>
        <v>1.447761194029852</v>
      </c>
      <c r="H138" s="645">
        <f t="shared" si="23"/>
        <v>0.13550000000000009</v>
      </c>
      <c r="I138" s="343">
        <f t="shared" si="24"/>
        <v>0.13854477611940308</v>
      </c>
      <c r="J138" s="645"/>
    </row>
    <row r="139" spans="2:10">
      <c r="B139" s="639">
        <f t="shared" si="20"/>
        <v>1.3100000000000009</v>
      </c>
      <c r="C139" s="636">
        <f t="shared" si="19"/>
        <v>0.13635000000000008</v>
      </c>
      <c r="D139" s="636">
        <f t="shared" si="21"/>
        <v>0.12976250000000006</v>
      </c>
      <c r="E139" s="645">
        <f t="shared" si="18"/>
        <v>0.13325000000000009</v>
      </c>
      <c r="F139" s="645">
        <f t="shared" si="18"/>
        <v>0.13015000000000004</v>
      </c>
      <c r="G139" s="638">
        <f t="shared" si="22"/>
        <v>1.4626865671641802</v>
      </c>
      <c r="H139" s="645">
        <f t="shared" si="23"/>
        <v>0.13635000000000008</v>
      </c>
      <c r="I139" s="343">
        <f t="shared" si="24"/>
        <v>0.13949626865671649</v>
      </c>
      <c r="J139" s="645"/>
    </row>
    <row r="140" spans="2:10">
      <c r="B140" s="639">
        <f t="shared" si="20"/>
        <v>1.320000000000001</v>
      </c>
      <c r="C140" s="636">
        <f t="shared" si="19"/>
        <v>0.1372000000000001</v>
      </c>
      <c r="D140" s="636">
        <f t="shared" si="21"/>
        <v>0.13040000000000004</v>
      </c>
      <c r="E140" s="645">
        <f t="shared" si="18"/>
        <v>0.13400000000000009</v>
      </c>
      <c r="F140" s="645">
        <f t="shared" si="18"/>
        <v>0.13080000000000008</v>
      </c>
      <c r="G140" s="638">
        <f t="shared" si="22"/>
        <v>1.4776119402985086</v>
      </c>
      <c r="H140" s="645">
        <f t="shared" si="23"/>
        <v>0.13720000000000007</v>
      </c>
      <c r="I140" s="343">
        <f t="shared" si="24"/>
        <v>0.14044776119402991</v>
      </c>
      <c r="J140" s="645"/>
    </row>
    <row r="141" spans="2:10">
      <c r="B141" s="639">
        <f t="shared" si="20"/>
        <v>1.330000000000001</v>
      </c>
      <c r="C141" s="636">
        <f t="shared" si="19"/>
        <v>0.13805000000000009</v>
      </c>
      <c r="D141" s="636">
        <f t="shared" si="21"/>
        <v>0.13103750000000006</v>
      </c>
      <c r="E141" s="645">
        <f t="shared" si="18"/>
        <v>0.13475000000000009</v>
      </c>
      <c r="F141" s="645">
        <f t="shared" si="18"/>
        <v>0.13145000000000007</v>
      </c>
      <c r="G141" s="638">
        <f t="shared" si="22"/>
        <v>1.492537313432837</v>
      </c>
      <c r="H141" s="645">
        <f t="shared" si="23"/>
        <v>0.13805000000000009</v>
      </c>
      <c r="I141" s="343">
        <f t="shared" si="24"/>
        <v>0.14139925373134338</v>
      </c>
      <c r="J141" s="645"/>
    </row>
    <row r="142" spans="2:10">
      <c r="B142" s="639">
        <f t="shared" si="20"/>
        <v>1.340000000000001</v>
      </c>
      <c r="C142" s="636">
        <f t="shared" si="19"/>
        <v>0.13890000000000008</v>
      </c>
      <c r="D142" s="636">
        <f t="shared" si="21"/>
        <v>0.13167500000000007</v>
      </c>
      <c r="E142" s="645">
        <f t="shared" si="18"/>
        <v>0.13550000000000009</v>
      </c>
      <c r="F142" s="645">
        <f t="shared" si="18"/>
        <v>0.13210000000000005</v>
      </c>
      <c r="G142" s="638">
        <f t="shared" si="22"/>
        <v>1.5074626865671654</v>
      </c>
      <c r="H142" s="645">
        <f t="shared" si="23"/>
        <v>0.13890000000000008</v>
      </c>
      <c r="I142" s="343">
        <f t="shared" si="24"/>
        <v>0.14235074626865679</v>
      </c>
      <c r="J142" s="645"/>
    </row>
    <row r="143" spans="2:10">
      <c r="B143" s="639">
        <f t="shared" si="20"/>
        <v>1.350000000000001</v>
      </c>
      <c r="C143" s="636">
        <f t="shared" si="19"/>
        <v>0.1397500000000001</v>
      </c>
      <c r="D143" s="636">
        <f t="shared" si="21"/>
        <v>0.13231250000000006</v>
      </c>
      <c r="E143" s="645">
        <f t="shared" si="18"/>
        <v>0.13625000000000009</v>
      </c>
      <c r="F143" s="645">
        <f t="shared" si="18"/>
        <v>0.13275000000000006</v>
      </c>
      <c r="G143" s="638">
        <f t="shared" si="22"/>
        <v>1.5223880597014938</v>
      </c>
      <c r="H143" s="645">
        <f t="shared" si="23"/>
        <v>0.1397500000000001</v>
      </c>
      <c r="I143" s="343">
        <f t="shared" si="24"/>
        <v>0.14330223880597026</v>
      </c>
      <c r="J143" s="645"/>
    </row>
    <row r="144" spans="2:10">
      <c r="B144" s="639">
        <f t="shared" si="20"/>
        <v>1.360000000000001</v>
      </c>
      <c r="C144" s="636">
        <f t="shared" si="19"/>
        <v>0.14060000000000009</v>
      </c>
      <c r="D144" s="636">
        <f t="shared" si="21"/>
        <v>0.13295000000000007</v>
      </c>
      <c r="E144" s="645">
        <f t="shared" si="18"/>
        <v>0.13700000000000009</v>
      </c>
      <c r="F144" s="645">
        <f t="shared" si="18"/>
        <v>0.13340000000000007</v>
      </c>
      <c r="G144" s="638">
        <f t="shared" si="22"/>
        <v>1.5373134328358222</v>
      </c>
      <c r="H144" s="645">
        <f t="shared" si="23"/>
        <v>0.14060000000000009</v>
      </c>
      <c r="I144" s="343">
        <f t="shared" si="24"/>
        <v>0.14425373134328368</v>
      </c>
      <c r="J144" s="645"/>
    </row>
    <row r="145" spans="2:10">
      <c r="B145" s="639">
        <f t="shared" si="20"/>
        <v>1.370000000000001</v>
      </c>
      <c r="C145" s="636">
        <f t="shared" si="19"/>
        <v>0.1414500000000001</v>
      </c>
      <c r="D145" s="636">
        <f t="shared" si="21"/>
        <v>0.13358750000000005</v>
      </c>
      <c r="E145" s="645">
        <f t="shared" si="18"/>
        <v>0.13775000000000009</v>
      </c>
      <c r="F145" s="645">
        <f t="shared" si="18"/>
        <v>0.13405000000000006</v>
      </c>
      <c r="G145" s="638">
        <f t="shared" si="22"/>
        <v>1.5522388059701506</v>
      </c>
      <c r="H145" s="645">
        <f t="shared" si="23"/>
        <v>0.14145000000000008</v>
      </c>
      <c r="I145" s="343">
        <f t="shared" si="24"/>
        <v>0.14520522388059709</v>
      </c>
      <c r="J145" s="645"/>
    </row>
    <row r="146" spans="2:10">
      <c r="B146" s="639">
        <f t="shared" si="20"/>
        <v>1.380000000000001</v>
      </c>
      <c r="C146" s="636">
        <f t="shared" si="19"/>
        <v>0.14230000000000009</v>
      </c>
      <c r="D146" s="636">
        <f t="shared" si="21"/>
        <v>0.13422500000000007</v>
      </c>
      <c r="E146" s="645">
        <f t="shared" si="18"/>
        <v>0.1385000000000001</v>
      </c>
      <c r="F146" s="645">
        <f t="shared" si="18"/>
        <v>0.13470000000000007</v>
      </c>
      <c r="G146" s="638">
        <f t="shared" si="22"/>
        <v>1.5671641791044788</v>
      </c>
      <c r="H146" s="645">
        <f t="shared" si="23"/>
        <v>0.14230000000000009</v>
      </c>
      <c r="I146" s="343">
        <f t="shared" si="24"/>
        <v>0.14615671641791053</v>
      </c>
      <c r="J146" s="645"/>
    </row>
    <row r="147" spans="2:10">
      <c r="B147" s="639">
        <f t="shared" si="20"/>
        <v>1.390000000000001</v>
      </c>
      <c r="C147" s="636">
        <f t="shared" si="19"/>
        <v>0.14315000000000008</v>
      </c>
      <c r="D147" s="636">
        <f t="shared" si="21"/>
        <v>0.13486250000000008</v>
      </c>
      <c r="E147" s="645">
        <f t="shared" si="18"/>
        <v>0.1392500000000001</v>
      </c>
      <c r="F147" s="645">
        <f t="shared" si="18"/>
        <v>0.13535000000000008</v>
      </c>
      <c r="G147" s="638">
        <f t="shared" si="22"/>
        <v>1.5820895522388072</v>
      </c>
      <c r="H147" s="645">
        <f t="shared" si="23"/>
        <v>0.14315000000000008</v>
      </c>
      <c r="I147" s="343">
        <f t="shared" si="24"/>
        <v>0.14710820895522397</v>
      </c>
      <c r="J147" s="645"/>
    </row>
    <row r="148" spans="2:10">
      <c r="B148" s="639">
        <f t="shared" si="20"/>
        <v>1.400000000000001</v>
      </c>
      <c r="C148" s="636">
        <f t="shared" si="19"/>
        <v>0.1440000000000001</v>
      </c>
      <c r="D148" s="636">
        <f t="shared" si="21"/>
        <v>0.13550000000000006</v>
      </c>
      <c r="E148" s="645">
        <f t="shared" ref="E148:F158" si="25">$D$4+E$7+($B148*($D$5-E$7))</f>
        <v>0.1400000000000001</v>
      </c>
      <c r="F148" s="645">
        <f t="shared" si="25"/>
        <v>0.13600000000000007</v>
      </c>
      <c r="G148" s="638">
        <f t="shared" si="22"/>
        <v>1.5970149253731356</v>
      </c>
      <c r="H148" s="645">
        <f t="shared" si="23"/>
        <v>0.14400000000000007</v>
      </c>
      <c r="I148" s="343">
        <f t="shared" si="24"/>
        <v>0.14805970149253739</v>
      </c>
      <c r="J148" s="645"/>
    </row>
    <row r="149" spans="2:10">
      <c r="B149" s="639">
        <f t="shared" si="20"/>
        <v>1.410000000000001</v>
      </c>
      <c r="C149" s="636">
        <f t="shared" si="19"/>
        <v>0.14485000000000009</v>
      </c>
      <c r="D149" s="636">
        <f t="shared" si="21"/>
        <v>0.13613750000000008</v>
      </c>
      <c r="E149" s="645">
        <f t="shared" si="25"/>
        <v>0.1407500000000001</v>
      </c>
      <c r="F149" s="645">
        <f t="shared" si="25"/>
        <v>0.13665000000000005</v>
      </c>
      <c r="G149" s="638">
        <f t="shared" si="22"/>
        <v>1.611940298507464</v>
      </c>
      <c r="H149" s="645">
        <f>D$4+(H$4*D$5)+(G149*D$5*H$5)</f>
        <v>0.14485000000000009</v>
      </c>
      <c r="I149" s="343">
        <f t="shared" si="24"/>
        <v>0.14901119402985086</v>
      </c>
      <c r="J149" s="645"/>
    </row>
    <row r="150" spans="2:10">
      <c r="B150" s="639">
        <f t="shared" si="20"/>
        <v>1.420000000000001</v>
      </c>
      <c r="C150" s="636">
        <f t="shared" si="19"/>
        <v>0.14570000000000011</v>
      </c>
      <c r="D150" s="636">
        <f t="shared" si="21"/>
        <v>0.13677500000000006</v>
      </c>
      <c r="E150" s="645">
        <f t="shared" si="25"/>
        <v>0.1415000000000001</v>
      </c>
      <c r="F150" s="645">
        <f t="shared" si="25"/>
        <v>0.13730000000000009</v>
      </c>
      <c r="G150" s="638">
        <f t="shared" si="22"/>
        <v>1.6268656716417924</v>
      </c>
      <c r="H150" s="645">
        <f t="shared" si="23"/>
        <v>0.14570000000000008</v>
      </c>
      <c r="I150" s="343">
        <f t="shared" si="24"/>
        <v>0.14996268656716427</v>
      </c>
      <c r="J150" s="645"/>
    </row>
    <row r="151" spans="2:10">
      <c r="B151" s="639">
        <f t="shared" si="20"/>
        <v>1.430000000000001</v>
      </c>
      <c r="C151" s="636">
        <f t="shared" si="19"/>
        <v>0.1465500000000001</v>
      </c>
      <c r="D151" s="636">
        <f t="shared" si="21"/>
        <v>0.13741250000000005</v>
      </c>
      <c r="E151" s="645">
        <f t="shared" si="25"/>
        <v>0.1422500000000001</v>
      </c>
      <c r="F151" s="645">
        <f t="shared" si="25"/>
        <v>0.13795000000000007</v>
      </c>
      <c r="G151" s="638">
        <f t="shared" si="22"/>
        <v>1.6417910447761208</v>
      </c>
      <c r="H151" s="645">
        <f t="shared" si="23"/>
        <v>0.1465500000000001</v>
      </c>
      <c r="I151" s="343">
        <f t="shared" si="24"/>
        <v>0.15091417910447771</v>
      </c>
      <c r="J151" s="645"/>
    </row>
    <row r="152" spans="2:10">
      <c r="B152" s="639">
        <f t="shared" si="20"/>
        <v>1.4400000000000011</v>
      </c>
      <c r="C152" s="636">
        <f t="shared" si="19"/>
        <v>0.14740000000000009</v>
      </c>
      <c r="D152" s="636">
        <f t="shared" si="21"/>
        <v>0.13805000000000006</v>
      </c>
      <c r="E152" s="645">
        <f t="shared" si="25"/>
        <v>0.1430000000000001</v>
      </c>
      <c r="F152" s="645">
        <f t="shared" si="25"/>
        <v>0.13860000000000006</v>
      </c>
      <c r="G152" s="638">
        <f t="shared" si="22"/>
        <v>1.6567164179104492</v>
      </c>
      <c r="H152" s="645">
        <f t="shared" si="23"/>
        <v>0.14740000000000009</v>
      </c>
      <c r="I152" s="343">
        <f t="shared" si="24"/>
        <v>0.15186567164179116</v>
      </c>
      <c r="J152" s="645"/>
    </row>
    <row r="153" spans="2:10">
      <c r="B153" s="639">
        <f t="shared" si="20"/>
        <v>1.4500000000000011</v>
      </c>
      <c r="C153" s="636">
        <f t="shared" si="19"/>
        <v>0.1482500000000001</v>
      </c>
      <c r="D153" s="636">
        <f t="shared" si="21"/>
        <v>0.13868750000000007</v>
      </c>
      <c r="E153" s="645">
        <f t="shared" si="25"/>
        <v>0.1437500000000001</v>
      </c>
      <c r="F153" s="645">
        <f t="shared" si="25"/>
        <v>0.13925000000000007</v>
      </c>
      <c r="G153" s="638">
        <f t="shared" si="22"/>
        <v>1.6716417910447776</v>
      </c>
      <c r="H153" s="645">
        <f t="shared" si="23"/>
        <v>0.1482500000000001</v>
      </c>
      <c r="I153" s="343">
        <f t="shared" si="24"/>
        <v>0.15281716417910457</v>
      </c>
      <c r="J153" s="645"/>
    </row>
    <row r="154" spans="2:10">
      <c r="B154" s="639">
        <f t="shared" si="20"/>
        <v>1.4600000000000011</v>
      </c>
      <c r="C154" s="636">
        <f t="shared" si="19"/>
        <v>0.14910000000000009</v>
      </c>
      <c r="D154" s="636">
        <f t="shared" si="21"/>
        <v>0.13932500000000006</v>
      </c>
      <c r="E154" s="645">
        <f t="shared" si="25"/>
        <v>0.1445000000000001</v>
      </c>
      <c r="F154" s="645">
        <f t="shared" si="25"/>
        <v>0.13990000000000008</v>
      </c>
      <c r="G154" s="638">
        <f t="shared" si="22"/>
        <v>1.6865671641791058</v>
      </c>
      <c r="H154" s="645">
        <f t="shared" si="23"/>
        <v>0.14910000000000007</v>
      </c>
      <c r="I154" s="343">
        <f t="shared" si="24"/>
        <v>0.15376865671641798</v>
      </c>
      <c r="J154" s="645"/>
    </row>
    <row r="155" spans="2:10">
      <c r="B155" s="639">
        <f t="shared" si="20"/>
        <v>1.4700000000000011</v>
      </c>
      <c r="C155" s="636">
        <f t="shared" si="19"/>
        <v>0.14995000000000011</v>
      </c>
      <c r="D155" s="636">
        <f t="shared" si="21"/>
        <v>0.13996250000000007</v>
      </c>
      <c r="E155" s="645">
        <f t="shared" si="25"/>
        <v>0.1452500000000001</v>
      </c>
      <c r="F155" s="645">
        <f t="shared" si="25"/>
        <v>0.14055000000000006</v>
      </c>
      <c r="G155" s="638">
        <f t="shared" si="22"/>
        <v>1.7014925373134342</v>
      </c>
      <c r="H155" s="645">
        <f t="shared" si="23"/>
        <v>0.14995000000000008</v>
      </c>
      <c r="I155" s="343">
        <f t="shared" si="24"/>
        <v>0.15472014925373145</v>
      </c>
      <c r="J155" s="645"/>
    </row>
    <row r="156" spans="2:10">
      <c r="B156" s="639">
        <f t="shared" si="20"/>
        <v>1.4800000000000011</v>
      </c>
      <c r="C156" s="636">
        <f t="shared" si="19"/>
        <v>0.1508000000000001</v>
      </c>
      <c r="D156" s="636">
        <f t="shared" si="21"/>
        <v>0.14060000000000006</v>
      </c>
      <c r="E156" s="645">
        <f t="shared" si="25"/>
        <v>0.1460000000000001</v>
      </c>
      <c r="F156" s="645">
        <f t="shared" si="25"/>
        <v>0.14120000000000008</v>
      </c>
      <c r="G156" s="638">
        <f t="shared" si="22"/>
        <v>1.7164179104477626</v>
      </c>
      <c r="H156" s="645">
        <f t="shared" si="23"/>
        <v>0.1508000000000001</v>
      </c>
      <c r="I156" s="343">
        <f t="shared" si="24"/>
        <v>0.15567164179104487</v>
      </c>
      <c r="J156" s="645"/>
    </row>
    <row r="157" spans="2:10">
      <c r="B157" s="639">
        <f t="shared" si="20"/>
        <v>1.4900000000000011</v>
      </c>
      <c r="C157" s="636">
        <f t="shared" si="19"/>
        <v>0.15165000000000009</v>
      </c>
      <c r="D157" s="636">
        <f t="shared" si="21"/>
        <v>0.14123750000000007</v>
      </c>
      <c r="E157" s="645">
        <f t="shared" si="25"/>
        <v>0.1467500000000001</v>
      </c>
      <c r="F157" s="645">
        <f t="shared" si="25"/>
        <v>0.14185000000000009</v>
      </c>
      <c r="G157" s="638">
        <f t="shared" si="22"/>
        <v>1.731343283582091</v>
      </c>
      <c r="H157" s="645">
        <f t="shared" si="23"/>
        <v>0.15165000000000009</v>
      </c>
      <c r="I157" s="343">
        <f t="shared" si="24"/>
        <v>0.15662313432835828</v>
      </c>
      <c r="J157" s="645"/>
    </row>
    <row r="158" spans="2:10">
      <c r="B158" s="639">
        <f t="shared" si="20"/>
        <v>1.5000000000000011</v>
      </c>
      <c r="C158" s="636">
        <f t="shared" si="19"/>
        <v>0.15250000000000011</v>
      </c>
      <c r="D158" s="636">
        <f t="shared" si="21"/>
        <v>0.14187500000000008</v>
      </c>
      <c r="E158" s="645">
        <f t="shared" si="25"/>
        <v>0.1475000000000001</v>
      </c>
      <c r="F158" s="645">
        <f t="shared" si="25"/>
        <v>0.14250000000000007</v>
      </c>
      <c r="G158" s="638">
        <f t="shared" si="22"/>
        <v>1.7462686567164194</v>
      </c>
      <c r="H158" s="645">
        <f t="shared" si="23"/>
        <v>0.15250000000000011</v>
      </c>
      <c r="I158" s="343">
        <f t="shared" si="24"/>
        <v>0.15757462686567175</v>
      </c>
      <c r="J158" s="645"/>
    </row>
    <row r="160" spans="2:10">
      <c r="B160" s="634" t="s">
        <v>1790</v>
      </c>
    </row>
  </sheetData>
  <mergeCells count="3">
    <mergeCell ref="A1:K1"/>
    <mergeCell ref="A2:K2"/>
    <mergeCell ref="E5:F5"/>
  </mergeCells>
  <pageMargins left="0.7" right="0.7" top="1" bottom="0.75" header="0.3" footer="0.3"/>
  <pageSetup scale="93" fitToHeight="3" orientation="portrait" useFirstPageNumber="1" r:id="rId1"/>
  <headerFooter scaleWithDoc="0">
    <oddHeader>&amp;RDEU Exhibit 2.20R
Page &amp;P of 4</oddHeader>
  </headerFooter>
  <rowBreaks count="1" manualBreakCount="1">
    <brk id="105"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46"/>
  <sheetViews>
    <sheetView view="pageBreakPreview" zoomScale="85" zoomScaleNormal="85" zoomScaleSheetLayoutView="85" zoomScalePageLayoutView="85" workbookViewId="0">
      <selection activeCell="J61" sqref="J61"/>
    </sheetView>
  </sheetViews>
  <sheetFormatPr defaultColWidth="8" defaultRowHeight="12.75"/>
  <cols>
    <col min="1" max="1" width="4.375" style="43" customWidth="1"/>
    <col min="2" max="2" width="28.25" style="43" customWidth="1"/>
    <col min="3" max="3" width="13.25" style="666" bestFit="1" customWidth="1"/>
    <col min="4" max="4" width="11.75" style="666" customWidth="1"/>
    <col min="5" max="5" width="9.25" style="666" customWidth="1"/>
    <col min="6" max="7" width="10.25" style="43" customWidth="1"/>
    <col min="8" max="8" width="11.25" style="43" customWidth="1"/>
    <col min="9" max="10" width="10" style="43" customWidth="1"/>
    <col min="11" max="13" width="8" style="43"/>
    <col min="14" max="20" width="8.125" style="43" bestFit="1" customWidth="1"/>
    <col min="21" max="16384" width="8" style="43"/>
  </cols>
  <sheetData>
    <row r="2" spans="1:23">
      <c r="C2" s="44" t="s">
        <v>1791</v>
      </c>
      <c r="D2" s="648"/>
      <c r="E2" s="648"/>
      <c r="F2" s="648"/>
      <c r="G2" s="44"/>
    </row>
    <row r="3" spans="1:23">
      <c r="C3" s="44"/>
      <c r="D3" s="648"/>
      <c r="E3" s="648"/>
      <c r="F3" s="648"/>
      <c r="G3" s="44"/>
    </row>
    <row r="4" spans="1:23">
      <c r="A4" s="470"/>
      <c r="C4" s="33" t="s">
        <v>50</v>
      </c>
      <c r="D4" s="649" t="s">
        <v>51</v>
      </c>
      <c r="E4" s="649" t="s">
        <v>52</v>
      </c>
      <c r="F4" s="649" t="s">
        <v>53</v>
      </c>
      <c r="G4" s="33"/>
    </row>
    <row r="5" spans="1:23" ht="51">
      <c r="A5" s="33"/>
      <c r="C5" s="650" t="s">
        <v>597</v>
      </c>
      <c r="D5" s="650" t="s">
        <v>1792</v>
      </c>
      <c r="E5" s="650" t="s">
        <v>1793</v>
      </c>
      <c r="F5" s="650" t="s">
        <v>1794</v>
      </c>
      <c r="G5" s="650"/>
    </row>
    <row r="6" spans="1:23">
      <c r="A6" s="33"/>
      <c r="B6" s="305"/>
      <c r="C6" s="651">
        <f>C31</f>
        <v>-2.6435267061228444E-2</v>
      </c>
      <c r="D6" s="652">
        <f>C32</f>
        <v>-2.542162830814412E-2</v>
      </c>
      <c r="E6" s="653">
        <f>C33</f>
        <v>0.45942000465380733</v>
      </c>
      <c r="F6" s="654">
        <f>C34</f>
        <v>-6.1019497889603359E-5</v>
      </c>
      <c r="G6" s="33"/>
    </row>
    <row r="7" spans="1:23">
      <c r="A7" s="33"/>
      <c r="B7" s="305" t="s">
        <v>1795</v>
      </c>
      <c r="C7" s="655"/>
      <c r="D7" s="655"/>
      <c r="E7" s="656">
        <f>G745</f>
        <v>1.3402054270595709E-2</v>
      </c>
      <c r="F7" s="657">
        <f>H745</f>
        <v>18.854169641920677</v>
      </c>
      <c r="G7" s="33"/>
    </row>
    <row r="8" spans="1:23">
      <c r="B8" s="305"/>
      <c r="C8" s="655"/>
      <c r="D8" s="655"/>
      <c r="E8" s="656"/>
      <c r="F8" s="657"/>
      <c r="G8" s="33"/>
    </row>
    <row r="9" spans="1:23" ht="38.25">
      <c r="A9" s="33"/>
      <c r="B9" s="305"/>
      <c r="C9" s="658"/>
      <c r="D9" s="658"/>
      <c r="E9" s="659" t="s">
        <v>1796</v>
      </c>
      <c r="F9" s="659" t="s">
        <v>1797</v>
      </c>
      <c r="G9" s="659" t="s">
        <v>1798</v>
      </c>
    </row>
    <row r="10" spans="1:23">
      <c r="A10" s="33"/>
      <c r="B10" s="305"/>
      <c r="C10" s="465"/>
      <c r="D10" s="660" t="s">
        <v>601</v>
      </c>
      <c r="E10" s="306">
        <v>2.112E-2</v>
      </c>
      <c r="F10" s="661">
        <f>$C$6+($E$6*$E$7)+($F$6*$F$7)+($D$6*LN(E10))</f>
        <v>7.663624919289011E-2</v>
      </c>
      <c r="G10" s="480">
        <f>E10+F10</f>
        <v>9.775624919289011E-2</v>
      </c>
    </row>
    <row r="11" spans="1:23">
      <c r="A11" s="33"/>
      <c r="B11" s="305"/>
      <c r="C11" s="465"/>
      <c r="D11" s="660" t="s">
        <v>1799</v>
      </c>
      <c r="E11" s="52">
        <v>2.2833333333333337E-2</v>
      </c>
      <c r="F11" s="661">
        <f>$C$6+($E$6*$E$7)+($F$6*$F$7)+($D$6*LN(E11))</f>
        <v>7.4653336820119931E-2</v>
      </c>
      <c r="G11" s="480">
        <f>E11+F11</f>
        <v>9.7486670153453275E-2</v>
      </c>
    </row>
    <row r="12" spans="1:23">
      <c r="A12" s="33"/>
      <c r="B12" s="305"/>
      <c r="C12" s="465"/>
      <c r="D12" s="660" t="s">
        <v>1800</v>
      </c>
      <c r="E12" s="52">
        <v>3.7000000000000005E-2</v>
      </c>
      <c r="F12" s="661">
        <f>$C$6+($E$6*$E$7)+($F$6*$F$7)+($D$6*LN(E12))</f>
        <v>6.2382406928906987E-2</v>
      </c>
      <c r="G12" s="480">
        <f>E12+F12</f>
        <v>9.9382406928906986E-2</v>
      </c>
    </row>
    <row r="13" spans="1:23">
      <c r="A13" s="33"/>
      <c r="B13" s="415"/>
      <c r="C13" s="415"/>
      <c r="D13" s="660" t="s">
        <v>1801</v>
      </c>
      <c r="E13" s="662">
        <v>2.5000000000000001E-2</v>
      </c>
      <c r="F13" s="661">
        <f>$C$6+($E$6*$E$7)+($F$6*$F$7)+($D$6*LN(E13))</f>
        <v>7.234875516549788E-2</v>
      </c>
      <c r="G13" s="480">
        <f>E13+F13</f>
        <v>9.7348755165497874E-2</v>
      </c>
      <c r="I13" s="415"/>
      <c r="J13" s="415"/>
    </row>
    <row r="14" spans="1:23" ht="12.75" customHeight="1">
      <c r="A14" s="33"/>
      <c r="B14" s="415"/>
      <c r="C14" s="415"/>
      <c r="D14" s="660"/>
      <c r="E14" s="661"/>
      <c r="F14" s="661"/>
      <c r="G14" s="480"/>
      <c r="I14" s="415"/>
      <c r="J14" s="415"/>
    </row>
    <row r="15" spans="1:23" ht="12.75" customHeight="1">
      <c r="B15" t="s">
        <v>1653</v>
      </c>
      <c r="C15"/>
      <c r="D15"/>
      <c r="E15"/>
      <c r="F15"/>
      <c r="G15"/>
      <c r="H15"/>
      <c r="I15"/>
      <c r="J15"/>
      <c r="M15" s="486"/>
      <c r="O15" s="486"/>
      <c r="P15" s="486"/>
      <c r="Q15" s="486"/>
      <c r="R15" s="486"/>
      <c r="S15" s="486"/>
      <c r="T15" s="486"/>
      <c r="U15" s="486"/>
      <c r="V15" s="486"/>
      <c r="W15" s="486"/>
    </row>
    <row r="16" spans="1:23" ht="12.75" customHeight="1" thickBot="1">
      <c r="A16" s="470"/>
      <c r="B16"/>
      <c r="C16"/>
      <c r="D16"/>
      <c r="E16"/>
      <c r="F16"/>
      <c r="G16"/>
      <c r="H16"/>
      <c r="I16"/>
      <c r="J16"/>
      <c r="M16" s="486"/>
      <c r="O16" s="486"/>
      <c r="P16" s="486"/>
      <c r="Q16" s="486"/>
      <c r="R16" s="486"/>
      <c r="S16" s="486"/>
      <c r="T16" s="486"/>
      <c r="U16" s="486"/>
      <c r="V16" s="486"/>
      <c r="W16" s="486"/>
    </row>
    <row r="17" spans="1:23" ht="12.75" customHeight="1">
      <c r="A17" s="470"/>
      <c r="B17" s="775" t="s">
        <v>1654</v>
      </c>
      <c r="C17" s="775"/>
      <c r="D17"/>
      <c r="E17"/>
      <c r="F17"/>
      <c r="G17"/>
      <c r="H17"/>
      <c r="I17"/>
      <c r="J17"/>
      <c r="M17" s="663"/>
      <c r="O17" s="663"/>
      <c r="P17" s="663"/>
      <c r="Q17" s="486"/>
      <c r="R17" s="486"/>
      <c r="S17" s="486"/>
      <c r="T17" s="486"/>
      <c r="U17" s="486"/>
      <c r="V17" s="486"/>
      <c r="W17" s="486"/>
    </row>
    <row r="18" spans="1:23" ht="12.75" customHeight="1">
      <c r="A18" s="414"/>
      <c r="B18" s="772" t="s">
        <v>1657</v>
      </c>
      <c r="C18" s="772">
        <v>0.82622744341334153</v>
      </c>
      <c r="D18"/>
      <c r="E18"/>
      <c r="F18"/>
      <c r="G18"/>
      <c r="H18"/>
      <c r="I18"/>
      <c r="J18"/>
      <c r="M18" s="486"/>
      <c r="O18" s="486"/>
      <c r="P18" s="486"/>
      <c r="Q18" s="486"/>
      <c r="R18" s="486"/>
      <c r="S18" s="486"/>
      <c r="T18" s="486"/>
      <c r="U18" s="486"/>
      <c r="V18" s="486"/>
      <c r="W18" s="486"/>
    </row>
    <row r="19" spans="1:23" ht="12.75" customHeight="1">
      <c r="A19" s="414"/>
      <c r="B19" s="772" t="s">
        <v>1659</v>
      </c>
      <c r="C19" s="772">
        <v>0.68265178824934647</v>
      </c>
      <c r="D19"/>
      <c r="E19"/>
      <c r="F19"/>
      <c r="G19"/>
      <c r="H19"/>
      <c r="I19"/>
      <c r="J19"/>
      <c r="M19" s="486"/>
      <c r="O19" s="486"/>
      <c r="P19" s="486"/>
      <c r="Q19" s="486"/>
      <c r="R19" s="486"/>
      <c r="S19" s="486"/>
      <c r="T19" s="486"/>
      <c r="U19" s="486"/>
      <c r="V19" s="486"/>
      <c r="W19" s="486"/>
    </row>
    <row r="20" spans="1:23" ht="12.75" customHeight="1">
      <c r="A20" s="414"/>
      <c r="B20" s="772" t="s">
        <v>1660</v>
      </c>
      <c r="C20" s="772">
        <v>0.68097565332812826</v>
      </c>
      <c r="D20"/>
      <c r="E20"/>
      <c r="F20"/>
      <c r="G20"/>
      <c r="H20"/>
      <c r="I20"/>
      <c r="J20"/>
      <c r="M20" s="486"/>
      <c r="O20" s="486"/>
      <c r="P20" s="486"/>
      <c r="Q20" s="486"/>
      <c r="R20" s="486"/>
      <c r="S20" s="486"/>
      <c r="T20" s="486"/>
      <c r="U20" s="486"/>
      <c r="V20" s="486"/>
      <c r="W20" s="486"/>
    </row>
    <row r="21" spans="1:23" ht="12.75" customHeight="1">
      <c r="A21" s="414"/>
      <c r="B21" s="772" t="s">
        <v>1661</v>
      </c>
      <c r="C21" s="772">
        <v>5.2212687451393932E-3</v>
      </c>
      <c r="D21"/>
      <c r="E21"/>
      <c r="F21"/>
      <c r="G21"/>
      <c r="H21"/>
      <c r="I21"/>
      <c r="J21"/>
      <c r="M21" s="486"/>
      <c r="O21" s="486"/>
      <c r="P21" s="486"/>
      <c r="Q21" s="486"/>
      <c r="R21" s="486"/>
      <c r="S21" s="486"/>
      <c r="T21" s="486"/>
      <c r="U21" s="486"/>
      <c r="V21" s="486"/>
      <c r="W21" s="486"/>
    </row>
    <row r="22" spans="1:23" ht="12.75" customHeight="1" thickBot="1">
      <c r="A22" s="414"/>
      <c r="B22" s="773" t="s">
        <v>1662</v>
      </c>
      <c r="C22" s="773">
        <v>572</v>
      </c>
      <c r="D22"/>
      <c r="E22"/>
      <c r="F22"/>
      <c r="G22"/>
      <c r="H22"/>
      <c r="I22"/>
      <c r="J22"/>
      <c r="M22" s="486"/>
      <c r="O22" s="486"/>
      <c r="P22" s="486"/>
      <c r="Q22" s="486"/>
      <c r="R22" s="486"/>
      <c r="S22" s="486"/>
      <c r="T22" s="486"/>
      <c r="U22" s="486"/>
      <c r="V22" s="486"/>
      <c r="W22" s="486"/>
    </row>
    <row r="23" spans="1:23" ht="12.75" customHeight="1">
      <c r="A23" s="414"/>
      <c r="B23"/>
      <c r="C23"/>
      <c r="D23"/>
      <c r="E23"/>
      <c r="F23"/>
      <c r="G23"/>
      <c r="H23"/>
      <c r="I23"/>
      <c r="J23"/>
      <c r="M23" s="486"/>
      <c r="O23" s="486"/>
      <c r="P23" s="486"/>
      <c r="Q23" s="486"/>
      <c r="R23" s="486"/>
      <c r="S23" s="486"/>
      <c r="T23" s="486"/>
      <c r="U23" s="486"/>
      <c r="V23" s="486"/>
      <c r="W23" s="486"/>
    </row>
    <row r="24" spans="1:23" ht="12.75" customHeight="1" thickBot="1">
      <c r="A24" s="414"/>
      <c r="B24" t="s">
        <v>1663</v>
      </c>
      <c r="C24"/>
      <c r="D24"/>
      <c r="E24"/>
      <c r="F24"/>
      <c r="G24"/>
      <c r="H24"/>
      <c r="I24"/>
      <c r="J24"/>
      <c r="M24" s="486"/>
      <c r="O24" s="486"/>
      <c r="P24" s="486"/>
      <c r="Q24" s="486"/>
      <c r="R24" s="486"/>
      <c r="S24" s="486"/>
      <c r="T24" s="486"/>
      <c r="U24" s="486"/>
      <c r="V24" s="486"/>
      <c r="W24" s="486"/>
    </row>
    <row r="25" spans="1:23" ht="12.75" customHeight="1">
      <c r="A25" s="414"/>
      <c r="B25" s="774"/>
      <c r="C25" s="774" t="s">
        <v>1664</v>
      </c>
      <c r="D25" s="774" t="s">
        <v>1665</v>
      </c>
      <c r="E25" s="774" t="s">
        <v>24</v>
      </c>
      <c r="F25" s="774" t="s">
        <v>25</v>
      </c>
      <c r="G25" s="789" t="s">
        <v>1666</v>
      </c>
      <c r="H25"/>
      <c r="I25"/>
      <c r="J25"/>
      <c r="M25" s="664"/>
      <c r="O25" s="664"/>
      <c r="P25" s="664"/>
      <c r="Q25" s="664"/>
      <c r="R25" s="664"/>
      <c r="S25" s="664"/>
      <c r="T25" s="664"/>
      <c r="U25" s="486"/>
      <c r="V25" s="486"/>
      <c r="W25" s="486"/>
    </row>
    <row r="26" spans="1:23" ht="12.75" customHeight="1">
      <c r="A26" s="414"/>
      <c r="B26" s="772" t="s">
        <v>1667</v>
      </c>
      <c r="C26" s="772">
        <v>3</v>
      </c>
      <c r="D26" s="772">
        <v>3.3309154383403969E-2</v>
      </c>
      <c r="E26" s="772">
        <v>1.1103051461134656E-2</v>
      </c>
      <c r="F26" s="772">
        <v>407.27734957826937</v>
      </c>
      <c r="G26" s="772">
        <v>4.2991255780897485E-141</v>
      </c>
      <c r="H26"/>
      <c r="I26"/>
      <c r="J26"/>
      <c r="M26" s="486"/>
      <c r="O26" s="486"/>
      <c r="P26" s="486"/>
      <c r="Q26" s="486"/>
      <c r="R26" s="486"/>
      <c r="S26" s="486"/>
      <c r="T26" s="486"/>
      <c r="U26" s="486"/>
      <c r="V26" s="486"/>
      <c r="W26" s="486"/>
    </row>
    <row r="27" spans="1:23" ht="12.75" customHeight="1">
      <c r="A27" s="414"/>
      <c r="B27" s="772" t="s">
        <v>1668</v>
      </c>
      <c r="C27" s="772">
        <v>568</v>
      </c>
      <c r="D27" s="772">
        <v>1.5484615671494674E-2</v>
      </c>
      <c r="E27" s="772">
        <v>2.7261647308969496E-5</v>
      </c>
      <c r="F27" s="772"/>
      <c r="G27" s="772"/>
      <c r="H27"/>
      <c r="I27"/>
      <c r="J27"/>
      <c r="M27" s="486"/>
      <c r="O27" s="486"/>
      <c r="P27" s="486"/>
      <c r="Q27" s="486"/>
      <c r="R27" s="486"/>
      <c r="S27" s="486"/>
      <c r="T27" s="486"/>
      <c r="U27" s="486"/>
      <c r="V27" s="486"/>
      <c r="W27" s="486"/>
    </row>
    <row r="28" spans="1:23" ht="12.75" customHeight="1" thickBot="1">
      <c r="A28" s="414"/>
      <c r="B28" s="773" t="s">
        <v>1669</v>
      </c>
      <c r="C28" s="773">
        <v>571</v>
      </c>
      <c r="D28" s="773">
        <v>4.8793770054898641E-2</v>
      </c>
      <c r="E28" s="773"/>
      <c r="F28" s="773"/>
      <c r="G28" s="773"/>
      <c r="H28"/>
      <c r="I28"/>
      <c r="J28"/>
      <c r="M28" s="486"/>
      <c r="O28" s="486"/>
      <c r="P28" s="486"/>
      <c r="Q28" s="486"/>
      <c r="R28" s="486"/>
      <c r="S28" s="486"/>
      <c r="T28" s="486"/>
      <c r="U28" s="486"/>
      <c r="V28" s="486"/>
      <c r="W28" s="486"/>
    </row>
    <row r="29" spans="1:23" ht="12.75" customHeight="1" thickBot="1">
      <c r="A29" s="414"/>
      <c r="B29"/>
      <c r="C29"/>
      <c r="D29"/>
      <c r="E29"/>
      <c r="F29"/>
      <c r="G29"/>
      <c r="H29"/>
      <c r="I29" s="776"/>
      <c r="J29" s="776"/>
      <c r="K29"/>
      <c r="L29"/>
      <c r="M29"/>
      <c r="N29"/>
      <c r="O29"/>
      <c r="P29" s="486"/>
      <c r="Q29" s="486"/>
      <c r="R29" s="486"/>
      <c r="S29" s="486"/>
      <c r="T29" s="486"/>
      <c r="U29" s="486"/>
      <c r="V29" s="486"/>
      <c r="W29" s="486"/>
    </row>
    <row r="30" spans="1:23" ht="12.75" customHeight="1">
      <c r="A30" s="414"/>
      <c r="B30" s="774"/>
      <c r="C30" s="774" t="s">
        <v>1670</v>
      </c>
      <c r="D30" s="774" t="s">
        <v>1661</v>
      </c>
      <c r="E30" s="774" t="s">
        <v>1671</v>
      </c>
      <c r="F30" s="774" t="s">
        <v>1672</v>
      </c>
      <c r="G30" s="774" t="s">
        <v>1673</v>
      </c>
      <c r="H30" s="774" t="s">
        <v>1674</v>
      </c>
      <c r="I30" s="778"/>
      <c r="J30" s="778"/>
      <c r="K30"/>
      <c r="L30"/>
      <c r="M30"/>
      <c r="N30"/>
      <c r="O30"/>
      <c r="P30" s="664"/>
      <c r="Q30" s="664"/>
      <c r="R30" s="664"/>
      <c r="S30" s="664"/>
      <c r="T30" s="664"/>
      <c r="U30" s="664"/>
      <c r="V30" s="664"/>
      <c r="W30" s="664"/>
    </row>
    <row r="31" spans="1:23" ht="12.75" customHeight="1">
      <c r="A31" s="414"/>
      <c r="B31" s="772" t="s">
        <v>1675</v>
      </c>
      <c r="C31" s="772">
        <v>-2.6435267061228444E-2</v>
      </c>
      <c r="D31" s="772">
        <v>2.4580011374722419E-3</v>
      </c>
      <c r="E31" s="772">
        <v>-10.7547822733776</v>
      </c>
      <c r="F31" s="772">
        <v>1.1119507385044224E-24</v>
      </c>
      <c r="G31" s="772">
        <v>-3.1263148227916489E-2</v>
      </c>
      <c r="H31" s="772">
        <v>-2.1607385894540403E-2</v>
      </c>
      <c r="I31" s="772"/>
      <c r="J31" s="772"/>
      <c r="K31"/>
      <c r="L31"/>
      <c r="M31"/>
      <c r="N31"/>
      <c r="O31"/>
      <c r="P31" s="486"/>
      <c r="Q31" s="486"/>
      <c r="R31" s="486"/>
      <c r="S31" s="486"/>
      <c r="T31" s="486"/>
      <c r="U31" s="486"/>
      <c r="V31" s="486"/>
      <c r="W31" s="486"/>
    </row>
    <row r="32" spans="1:23" ht="12.75" customHeight="1">
      <c r="A32" s="414"/>
      <c r="B32" s="772" t="str">
        <f>F59</f>
        <v>LN(30-Year Treasury)</v>
      </c>
      <c r="C32" s="772">
        <v>-2.542162830814412E-2</v>
      </c>
      <c r="D32" s="772">
        <v>7.3830323325050349E-4</v>
      </c>
      <c r="E32" s="772">
        <v>-34.432503019418114</v>
      </c>
      <c r="F32" s="772">
        <v>3.6987427713470833E-141</v>
      </c>
      <c r="G32" s="772">
        <v>-2.6871766072840433E-2</v>
      </c>
      <c r="H32" s="772">
        <v>-2.3971490543447806E-2</v>
      </c>
      <c r="I32" s="772"/>
      <c r="J32" s="772"/>
      <c r="K32"/>
      <c r="L32"/>
      <c r="M32"/>
      <c r="N32"/>
      <c r="O32"/>
      <c r="P32" s="486"/>
      <c r="Q32" s="486"/>
      <c r="R32" s="486"/>
      <c r="S32" s="486"/>
      <c r="T32" s="486"/>
      <c r="U32" s="486"/>
      <c r="V32" s="486"/>
      <c r="W32" s="486"/>
    </row>
    <row r="33" spans="1:23" ht="12.75" customHeight="1">
      <c r="A33" s="414"/>
      <c r="B33" s="772" t="str">
        <f>G59</f>
        <v>Moody's Utility A Credit Spread</v>
      </c>
      <c r="C33" s="772">
        <v>0.45942000465380733</v>
      </c>
      <c r="D33" s="772">
        <v>9.8053829472085144E-2</v>
      </c>
      <c r="E33" s="772">
        <v>4.6853856410024166</v>
      </c>
      <c r="F33" s="772">
        <v>3.5009592174792455E-6</v>
      </c>
      <c r="G33" s="772">
        <v>0.26682764600390552</v>
      </c>
      <c r="H33" s="772">
        <v>0.65201236330370915</v>
      </c>
      <c r="I33" s="772"/>
      <c r="J33" s="772"/>
      <c r="K33"/>
      <c r="L33"/>
      <c r="M33"/>
      <c r="N33"/>
      <c r="O33"/>
      <c r="P33" s="486"/>
      <c r="Q33" s="486"/>
      <c r="R33" s="486"/>
      <c r="S33" s="486"/>
      <c r="T33" s="486"/>
      <c r="U33" s="486"/>
      <c r="V33" s="486"/>
      <c r="W33" s="486"/>
    </row>
    <row r="34" spans="1:23" ht="12.75" customHeight="1" thickBot="1">
      <c r="A34" s="414"/>
      <c r="B34" s="773" t="str">
        <f>H59</f>
        <v>VIX</v>
      </c>
      <c r="C34" s="773">
        <v>-6.1019497889603359E-5</v>
      </c>
      <c r="D34" s="773">
        <v>6.3212125707763024E-5</v>
      </c>
      <c r="E34" s="773">
        <v>-0.96531317696391927</v>
      </c>
      <c r="F34" s="773">
        <v>0.33479878087754944</v>
      </c>
      <c r="G34" s="773">
        <v>-1.8517754914448099E-4</v>
      </c>
      <c r="H34" s="773">
        <v>6.3138553365274262E-5</v>
      </c>
      <c r="I34" s="772"/>
      <c r="J34" s="772"/>
      <c r="K34"/>
      <c r="L34"/>
      <c r="M34"/>
      <c r="N34"/>
      <c r="O34"/>
      <c r="P34" s="486"/>
      <c r="Q34" s="486"/>
      <c r="R34" s="486"/>
      <c r="S34" s="486"/>
      <c r="T34" s="486"/>
      <c r="U34" s="486"/>
      <c r="V34" s="486"/>
      <c r="W34" s="486"/>
    </row>
    <row r="35" spans="1:23" ht="12.75" customHeight="1">
      <c r="A35" s="414"/>
      <c r="B35"/>
      <c r="C35"/>
      <c r="D35"/>
      <c r="E35"/>
      <c r="F35"/>
      <c r="G35"/>
      <c r="H35"/>
      <c r="I35" s="776"/>
      <c r="J35" s="776"/>
      <c r="K35"/>
      <c r="L35"/>
      <c r="M35"/>
      <c r="N35"/>
      <c r="O35"/>
      <c r="P35" s="486"/>
      <c r="Q35" s="486"/>
      <c r="R35" s="486"/>
      <c r="S35" s="486"/>
      <c r="T35" s="486"/>
      <c r="U35" s="486"/>
      <c r="V35" s="486"/>
      <c r="W35" s="486"/>
    </row>
    <row r="36" spans="1:23" ht="12.75" customHeight="1">
      <c r="B36"/>
      <c r="C36"/>
      <c r="D36"/>
      <c r="E36"/>
      <c r="F36"/>
      <c r="G36"/>
      <c r="H36"/>
      <c r="I36"/>
      <c r="J36"/>
      <c r="K36" s="776"/>
      <c r="L36" s="776"/>
      <c r="M36" s="776"/>
      <c r="N36" s="776"/>
      <c r="O36" s="776"/>
      <c r="P36" s="758"/>
      <c r="Q36" s="486"/>
      <c r="R36" s="486"/>
      <c r="S36" s="486"/>
      <c r="T36" s="486"/>
      <c r="U36" s="486"/>
      <c r="V36" s="486"/>
      <c r="W36" s="486"/>
    </row>
    <row r="37" spans="1:23" ht="12.75" customHeight="1">
      <c r="A37" s="33"/>
      <c r="B37"/>
      <c r="C37"/>
      <c r="D37"/>
      <c r="E37"/>
      <c r="F37"/>
      <c r="G37"/>
      <c r="H37"/>
      <c r="I37"/>
      <c r="J37"/>
      <c r="K37" s="776"/>
      <c r="L37" s="776"/>
      <c r="M37" s="776"/>
      <c r="N37" s="776"/>
      <c r="O37" s="776"/>
      <c r="P37" s="758"/>
      <c r="Q37" s="486"/>
      <c r="R37" s="486"/>
      <c r="S37" s="486"/>
      <c r="T37" s="486"/>
      <c r="U37" s="486"/>
      <c r="V37" s="486"/>
      <c r="W37" s="486"/>
    </row>
    <row r="38" spans="1:23" ht="12.75" customHeight="1">
      <c r="A38" s="33"/>
      <c r="B38" s="665" t="s">
        <v>1803</v>
      </c>
      <c r="C38" s="649"/>
      <c r="D38" s="649"/>
      <c r="E38" s="649"/>
      <c r="F38" s="649"/>
      <c r="G38" s="776"/>
      <c r="H38" s="776"/>
      <c r="I38" s="776"/>
      <c r="J38" s="776"/>
      <c r="K38" s="776"/>
      <c r="L38" s="776"/>
      <c r="M38" s="776"/>
      <c r="N38" s="776"/>
      <c r="O38" s="776"/>
      <c r="P38" s="777"/>
    </row>
    <row r="39" spans="1:23" ht="12.75" customHeight="1">
      <c r="A39" s="33"/>
      <c r="B39" s="665" t="s">
        <v>1804</v>
      </c>
      <c r="C39" s="649"/>
      <c r="D39" s="649"/>
      <c r="E39" s="649"/>
      <c r="F39" s="649"/>
      <c r="G39" s="778"/>
      <c r="H39" s="778"/>
      <c r="I39" s="778"/>
      <c r="J39" s="778"/>
      <c r="K39" s="778"/>
      <c r="L39" s="778"/>
      <c r="M39" s="776"/>
      <c r="N39" s="776"/>
      <c r="O39" s="776"/>
      <c r="P39" s="777"/>
    </row>
    <row r="40" spans="1:23" ht="12.75" customHeight="1">
      <c r="A40" s="33"/>
      <c r="B40" s="665" t="s">
        <v>1805</v>
      </c>
      <c r="C40" s="649"/>
      <c r="D40" s="649"/>
      <c r="E40" s="649"/>
      <c r="F40" s="649"/>
      <c r="G40" s="772"/>
      <c r="H40" s="772"/>
      <c r="I40" s="772"/>
      <c r="J40" s="772"/>
      <c r="K40" s="772"/>
      <c r="L40" s="772"/>
      <c r="M40" s="776"/>
      <c r="N40" s="776"/>
      <c r="O40" s="776"/>
      <c r="P40" s="777"/>
    </row>
    <row r="41" spans="1:23" ht="12.75" customHeight="1">
      <c r="A41" s="33"/>
      <c r="B41" s="665" t="s">
        <v>1806</v>
      </c>
      <c r="C41" s="649"/>
      <c r="D41" s="649"/>
      <c r="E41" s="649"/>
      <c r="F41" s="649"/>
      <c r="G41" s="772"/>
      <c r="H41" s="772"/>
      <c r="I41" s="772"/>
      <c r="J41" s="772"/>
      <c r="K41" s="772"/>
      <c r="L41" s="772"/>
      <c r="M41" s="776"/>
      <c r="N41" s="776"/>
      <c r="O41" s="776"/>
      <c r="P41" s="777"/>
    </row>
    <row r="42" spans="1:23" ht="12.75" customHeight="1">
      <c r="A42" s="33"/>
      <c r="B42" s="665" t="s">
        <v>1807</v>
      </c>
      <c r="C42" s="649"/>
      <c r="D42" s="649"/>
      <c r="E42" s="649"/>
      <c r="F42" s="649"/>
      <c r="G42" s="772"/>
      <c r="H42" s="772"/>
      <c r="I42" s="772"/>
      <c r="J42" s="772"/>
      <c r="K42" s="772"/>
      <c r="L42" s="772"/>
      <c r="M42" s="776"/>
      <c r="N42" s="776"/>
      <c r="O42" s="776"/>
      <c r="P42" s="777"/>
    </row>
    <row r="43" spans="1:23" ht="12.75" customHeight="1">
      <c r="A43" s="33"/>
      <c r="B43" s="43" t="s">
        <v>1808</v>
      </c>
      <c r="C43" s="649"/>
      <c r="D43" s="649"/>
      <c r="E43" s="649"/>
      <c r="F43" s="649"/>
      <c r="G43" s="776"/>
      <c r="H43" s="776"/>
      <c r="I43" s="776"/>
      <c r="J43" s="776"/>
      <c r="K43" s="776"/>
      <c r="L43" s="776"/>
      <c r="M43" s="776"/>
      <c r="N43" s="776"/>
      <c r="O43" s="776"/>
      <c r="P43" s="777"/>
    </row>
    <row r="44" spans="1:23" ht="13.5" customHeight="1">
      <c r="A44" s="33"/>
      <c r="B44" s="665" t="s">
        <v>1809</v>
      </c>
      <c r="C44" s="649"/>
      <c r="D44" s="649"/>
      <c r="E44" s="649"/>
      <c r="F44" s="649"/>
      <c r="G44" s="778"/>
      <c r="H44" s="778"/>
      <c r="I44" s="778"/>
      <c r="J44" s="778"/>
      <c r="K44" s="778"/>
      <c r="L44" s="778"/>
      <c r="M44" s="778"/>
      <c r="N44" s="778"/>
      <c r="O44" s="778"/>
      <c r="P44" s="777"/>
    </row>
    <row r="45" spans="1:23" ht="12.75" customHeight="1">
      <c r="A45" s="33"/>
      <c r="B45" s="665" t="s">
        <v>1810</v>
      </c>
      <c r="C45" s="649"/>
      <c r="D45" s="649"/>
      <c r="E45" s="649"/>
      <c r="F45" s="649"/>
      <c r="G45" s="772"/>
      <c r="H45" s="772"/>
      <c r="I45" s="772"/>
      <c r="J45" s="772"/>
      <c r="K45" s="772"/>
      <c r="L45" s="772"/>
      <c r="M45" s="772"/>
      <c r="N45" s="772"/>
      <c r="O45" s="772"/>
      <c r="P45" s="777"/>
    </row>
    <row r="46" spans="1:23" ht="12.75" customHeight="1">
      <c r="A46" s="33"/>
      <c r="B46" s="667" t="s">
        <v>1811</v>
      </c>
      <c r="C46" s="649"/>
      <c r="D46" s="649"/>
      <c r="E46" s="649"/>
      <c r="F46" s="649"/>
      <c r="G46" s="772"/>
      <c r="H46" s="772"/>
      <c r="I46" s="772"/>
      <c r="J46" s="772"/>
      <c r="K46" s="772"/>
      <c r="L46" s="772"/>
      <c r="M46" s="772"/>
      <c r="N46" s="772"/>
      <c r="O46" s="772"/>
      <c r="P46" s="777"/>
    </row>
    <row r="47" spans="1:23" ht="12.75" customHeight="1">
      <c r="A47" s="33"/>
      <c r="B47" s="665" t="s">
        <v>1812</v>
      </c>
      <c r="C47" s="649"/>
      <c r="D47" s="649"/>
      <c r="E47" s="649"/>
      <c r="F47" s="649"/>
      <c r="G47" s="772"/>
      <c r="H47" s="772"/>
      <c r="I47" s="772"/>
      <c r="J47" s="772"/>
      <c r="K47" s="772"/>
      <c r="L47" s="772"/>
      <c r="M47" s="772"/>
      <c r="N47" s="772"/>
      <c r="O47" s="772"/>
      <c r="P47" s="777"/>
    </row>
    <row r="48" spans="1:23" ht="12.75" customHeight="1">
      <c r="A48" s="33"/>
      <c r="B48" s="665" t="s">
        <v>1813</v>
      </c>
      <c r="C48" s="649"/>
      <c r="D48" s="649"/>
      <c r="E48" s="649"/>
      <c r="F48" s="649"/>
      <c r="G48" s="772"/>
      <c r="H48" s="772"/>
      <c r="I48" s="772"/>
      <c r="J48" s="772"/>
      <c r="K48" s="772"/>
      <c r="L48" s="772"/>
      <c r="M48" s="772"/>
      <c r="N48" s="772"/>
      <c r="O48" s="772"/>
      <c r="P48" s="777"/>
    </row>
    <row r="49" spans="1:16" ht="12.75" customHeight="1">
      <c r="A49" s="33"/>
      <c r="B49" s="668" t="s">
        <v>1814</v>
      </c>
      <c r="G49" s="776"/>
      <c r="H49" s="776"/>
      <c r="I49" s="776"/>
      <c r="J49" s="776"/>
      <c r="K49" s="776"/>
      <c r="L49" s="776"/>
      <c r="M49" s="776"/>
      <c r="N49" s="776"/>
      <c r="O49" s="776"/>
      <c r="P49" s="777"/>
    </row>
    <row r="50" spans="1:16" ht="12.75" customHeight="1">
      <c r="A50" s="33"/>
      <c r="B50" s="668" t="s">
        <v>1815</v>
      </c>
      <c r="G50"/>
      <c r="H50"/>
      <c r="I50"/>
      <c r="J50"/>
      <c r="K50"/>
      <c r="L50"/>
      <c r="M50"/>
      <c r="N50"/>
      <c r="O50"/>
    </row>
    <row r="51" spans="1:16" ht="12.75" customHeight="1">
      <c r="A51" s="33"/>
      <c r="B51" s="668" t="s">
        <v>1816</v>
      </c>
      <c r="G51"/>
      <c r="H51"/>
      <c r="I51"/>
      <c r="J51"/>
      <c r="K51"/>
      <c r="L51"/>
      <c r="M51"/>
      <c r="N51"/>
      <c r="O51"/>
    </row>
    <row r="52" spans="1:16" ht="12.75" customHeight="1">
      <c r="A52" s="33"/>
      <c r="B52" s="668" t="s">
        <v>1817</v>
      </c>
    </row>
    <row r="53" spans="1:16" ht="12.75" customHeight="1">
      <c r="A53" s="33"/>
      <c r="B53" s="668" t="s">
        <v>1818</v>
      </c>
    </row>
    <row r="54" spans="1:16" ht="12.75" customHeight="1">
      <c r="A54" s="33"/>
      <c r="B54" s="669" t="s">
        <v>1819</v>
      </c>
    </row>
    <row r="55" spans="1:16" ht="12.75" customHeight="1">
      <c r="A55" s="33"/>
      <c r="B55" s="668" t="s">
        <v>1820</v>
      </c>
    </row>
    <row r="56" spans="1:16" ht="12.75" customHeight="1">
      <c r="A56" s="33"/>
      <c r="B56" s="669" t="s">
        <v>1821</v>
      </c>
    </row>
    <row r="57" spans="1:16">
      <c r="B57" s="40"/>
    </row>
    <row r="58" spans="1:16">
      <c r="B58" s="670" t="s">
        <v>58</v>
      </c>
      <c r="C58" s="671" t="s">
        <v>59</v>
      </c>
      <c r="D58" s="671" t="s">
        <v>60</v>
      </c>
      <c r="E58" s="670" t="s">
        <v>61</v>
      </c>
      <c r="F58" s="670" t="s">
        <v>87</v>
      </c>
      <c r="G58" s="671" t="s">
        <v>88</v>
      </c>
      <c r="H58" s="671" t="s">
        <v>89</v>
      </c>
      <c r="I58" s="670" t="s">
        <v>90</v>
      </c>
    </row>
    <row r="59" spans="1:16" s="60" customFormat="1" ht="51">
      <c r="A59" s="650"/>
      <c r="B59" s="672" t="s">
        <v>1822</v>
      </c>
      <c r="C59" s="673" t="s">
        <v>600</v>
      </c>
      <c r="D59" s="673" t="s">
        <v>599</v>
      </c>
      <c r="E59" s="673" t="s">
        <v>1823</v>
      </c>
      <c r="F59" s="673" t="s">
        <v>1792</v>
      </c>
      <c r="G59" s="673" t="s">
        <v>1802</v>
      </c>
      <c r="H59" s="673" t="s">
        <v>1794</v>
      </c>
      <c r="I59" s="673" t="s">
        <v>23</v>
      </c>
    </row>
    <row r="60" spans="1:16">
      <c r="A60" s="33"/>
      <c r="B60" s="674">
        <v>32882</v>
      </c>
      <c r="C60" s="675">
        <v>0.13</v>
      </c>
      <c r="D60" s="661">
        <v>8.1899037433155075E-2</v>
      </c>
      <c r="E60" s="661" t="s">
        <v>1191</v>
      </c>
      <c r="F60" s="676">
        <f t="shared" ref="F60:F123" si="0">LN(D60)</f>
        <v>-2.5022680411451095</v>
      </c>
      <c r="G60" s="649" t="str">
        <f t="shared" ref="G60:G123" si="1">IF(E60="","",E60-D60)</f>
        <v/>
      </c>
      <c r="H60" s="677">
        <v>19.536666666666662</v>
      </c>
      <c r="I60" s="649">
        <f t="shared" ref="I60:I123" si="2">C60-D60</f>
        <v>4.8100962566844929E-2</v>
      </c>
    </row>
    <row r="61" spans="1:16">
      <c r="A61" s="33"/>
      <c r="B61" s="674">
        <v>32891</v>
      </c>
      <c r="C61" s="675">
        <v>0.125</v>
      </c>
      <c r="D61" s="661">
        <v>8.1612941176470596E-2</v>
      </c>
      <c r="E61" s="661" t="s">
        <v>1191</v>
      </c>
      <c r="F61" s="676">
        <f>LN(D61)</f>
        <v>-2.5057674367376879</v>
      </c>
      <c r="G61" s="649" t="str">
        <f t="shared" si="1"/>
        <v/>
      </c>
      <c r="H61" s="677">
        <v>21.797692307692309</v>
      </c>
      <c r="I61" s="649">
        <f t="shared" si="2"/>
        <v>4.3387058823529404E-2</v>
      </c>
    </row>
    <row r="62" spans="1:16">
      <c r="A62" s="33"/>
      <c r="B62" s="674">
        <v>32899</v>
      </c>
      <c r="C62" s="675">
        <v>0.121</v>
      </c>
      <c r="D62" s="661">
        <v>8.1429037433155077E-2</v>
      </c>
      <c r="E62" s="661" t="s">
        <v>1191</v>
      </c>
      <c r="F62" s="676">
        <f t="shared" si="0"/>
        <v>-2.5080233443619222</v>
      </c>
      <c r="G62" s="649" t="str">
        <f t="shared" si="1"/>
        <v/>
      </c>
      <c r="H62" s="677">
        <v>22.873157894736838</v>
      </c>
      <c r="I62" s="649">
        <f t="shared" si="2"/>
        <v>3.9570962566844919E-2</v>
      </c>
    </row>
    <row r="63" spans="1:16">
      <c r="A63" s="33"/>
      <c r="B63" s="674">
        <v>32953</v>
      </c>
      <c r="C63" s="675">
        <v>0.128</v>
      </c>
      <c r="D63" s="661">
        <v>8.1466042780748635E-2</v>
      </c>
      <c r="E63" s="661" t="s">
        <v>1191</v>
      </c>
      <c r="F63" s="676">
        <f t="shared" si="0"/>
        <v>-2.507568998556247</v>
      </c>
      <c r="G63" s="649" t="str">
        <f t="shared" si="1"/>
        <v/>
      </c>
      <c r="H63" s="677">
        <v>22.414999999999992</v>
      </c>
      <c r="I63" s="649">
        <f t="shared" si="2"/>
        <v>4.6533957219251368E-2</v>
      </c>
    </row>
    <row r="64" spans="1:16">
      <c r="A64" s="33"/>
      <c r="B64" s="674">
        <v>32960</v>
      </c>
      <c r="C64" s="675">
        <v>0.13</v>
      </c>
      <c r="D64" s="661">
        <v>8.1569465240641695E-2</v>
      </c>
      <c r="E64" s="661" t="s">
        <v>1191</v>
      </c>
      <c r="F64" s="676">
        <f t="shared" si="0"/>
        <v>-2.5063002875248794</v>
      </c>
      <c r="G64" s="649" t="str">
        <f t="shared" si="1"/>
        <v/>
      </c>
      <c r="H64" s="677">
        <v>22.275573770491803</v>
      </c>
      <c r="I64" s="649">
        <f t="shared" si="2"/>
        <v>4.843053475935831E-2</v>
      </c>
    </row>
    <row r="65" spans="1:9">
      <c r="A65" s="33"/>
      <c r="B65" s="674">
        <v>32968</v>
      </c>
      <c r="C65" s="675">
        <v>0.122</v>
      </c>
      <c r="D65" s="661">
        <v>8.1743315508021372E-2</v>
      </c>
      <c r="E65" s="661" t="s">
        <v>1191</v>
      </c>
      <c r="F65" s="676">
        <f t="shared" si="0"/>
        <v>-2.5041712400338945</v>
      </c>
      <c r="G65" s="649" t="str">
        <f t="shared" si="1"/>
        <v/>
      </c>
      <c r="H65" s="677">
        <v>22.142089552238804</v>
      </c>
      <c r="I65" s="649">
        <f t="shared" si="2"/>
        <v>4.0256684491978625E-2</v>
      </c>
    </row>
    <row r="66" spans="1:9">
      <c r="A66" s="33"/>
      <c r="B66" s="674">
        <v>32975</v>
      </c>
      <c r="C66" s="675">
        <v>0.13250000000000001</v>
      </c>
      <c r="D66" s="661">
        <v>8.1855133689839557E-2</v>
      </c>
      <c r="E66" s="661" t="s">
        <v>1191</v>
      </c>
      <c r="F66" s="676">
        <f t="shared" si="0"/>
        <v>-2.5028042564252013</v>
      </c>
      <c r="G66" s="649" t="str">
        <f t="shared" si="1"/>
        <v/>
      </c>
      <c r="H66" s="677">
        <v>22.038888888888888</v>
      </c>
      <c r="I66" s="649">
        <f t="shared" si="2"/>
        <v>5.064486631016045E-2</v>
      </c>
    </row>
    <row r="67" spans="1:9">
      <c r="A67" s="33"/>
      <c r="B67" s="674">
        <v>32993</v>
      </c>
      <c r="C67" s="675">
        <v>0.1245</v>
      </c>
      <c r="D67" s="661">
        <v>8.2412192513368968E-2</v>
      </c>
      <c r="E67" s="661" t="s">
        <v>1191</v>
      </c>
      <c r="F67" s="676">
        <f t="shared" si="0"/>
        <v>-2.496021885617552</v>
      </c>
      <c r="G67" s="649" t="str">
        <f t="shared" si="1"/>
        <v/>
      </c>
      <c r="H67" s="677">
        <v>21.988795180722896</v>
      </c>
      <c r="I67" s="649">
        <f t="shared" si="2"/>
        <v>4.2087807486631032E-2</v>
      </c>
    </row>
    <row r="68" spans="1:9">
      <c r="A68" s="33"/>
      <c r="B68" s="674">
        <v>33024</v>
      </c>
      <c r="C68" s="675">
        <v>0.124</v>
      </c>
      <c r="D68" s="661">
        <v>8.3112727272727241E-2</v>
      </c>
      <c r="E68" s="661" t="s">
        <v>1191</v>
      </c>
      <c r="F68" s="676">
        <f t="shared" si="0"/>
        <v>-2.4875574327380998</v>
      </c>
      <c r="G68" s="649" t="str">
        <f t="shared" si="1"/>
        <v/>
      </c>
      <c r="H68" s="677">
        <v>21.173523809523811</v>
      </c>
      <c r="I68" s="649">
        <f t="shared" si="2"/>
        <v>4.0887272727272758E-2</v>
      </c>
    </row>
    <row r="69" spans="1:9">
      <c r="A69" s="33"/>
      <c r="B69" s="674">
        <v>33039</v>
      </c>
      <c r="C69" s="675">
        <v>0.13200000000000001</v>
      </c>
      <c r="D69" s="661">
        <v>8.3282085561497285E-2</v>
      </c>
      <c r="E69" s="661" t="s">
        <v>1191</v>
      </c>
      <c r="F69" s="676">
        <f t="shared" si="0"/>
        <v>-2.4855218122236513</v>
      </c>
      <c r="G69" s="649" t="str">
        <f t="shared" si="1"/>
        <v/>
      </c>
      <c r="H69" s="677">
        <v>20.803189655172414</v>
      </c>
      <c r="I69" s="649">
        <f t="shared" si="2"/>
        <v>4.8717914438502721E-2</v>
      </c>
    </row>
    <row r="70" spans="1:9">
      <c r="A70" s="33"/>
      <c r="B70" s="674">
        <v>33051</v>
      </c>
      <c r="C70" s="675">
        <v>0.129</v>
      </c>
      <c r="D70" s="661">
        <v>8.3408021390374301E-2</v>
      </c>
      <c r="E70" s="661" t="s">
        <v>1191</v>
      </c>
      <c r="F70" s="676">
        <f t="shared" si="0"/>
        <v>-2.4840107945017116</v>
      </c>
      <c r="G70" s="649" t="str">
        <f t="shared" si="1"/>
        <v/>
      </c>
      <c r="H70" s="677">
        <v>20.522661290322581</v>
      </c>
      <c r="I70" s="649">
        <f t="shared" si="2"/>
        <v>4.5591978609625702E-2</v>
      </c>
    </row>
    <row r="71" spans="1:9">
      <c r="A71" s="33"/>
      <c r="B71" s="674">
        <v>33053</v>
      </c>
      <c r="C71" s="675">
        <v>0.13250000000000001</v>
      </c>
      <c r="D71" s="661">
        <v>8.3452406417112254E-2</v>
      </c>
      <c r="E71" s="661" t="s">
        <v>1191</v>
      </c>
      <c r="F71" s="676">
        <f t="shared" si="0"/>
        <v>-2.4834787926560011</v>
      </c>
      <c r="G71" s="649" t="str">
        <f t="shared" si="1"/>
        <v/>
      </c>
      <c r="H71" s="677">
        <v>20.448333333333334</v>
      </c>
      <c r="I71" s="649">
        <f t="shared" si="2"/>
        <v>4.9047593582887752E-2</v>
      </c>
    </row>
    <row r="72" spans="1:9">
      <c r="A72" s="33"/>
      <c r="B72" s="674">
        <v>33060</v>
      </c>
      <c r="C72" s="675">
        <v>0.121</v>
      </c>
      <c r="D72" s="661">
        <v>8.3565882352941157E-2</v>
      </c>
      <c r="E72" s="661" t="s">
        <v>1191</v>
      </c>
      <c r="F72" s="676">
        <f t="shared" si="0"/>
        <v>-2.4821199480153902</v>
      </c>
      <c r="G72" s="649" t="str">
        <f t="shared" si="1"/>
        <v/>
      </c>
      <c r="H72" s="677">
        <v>20.327076923076923</v>
      </c>
      <c r="I72" s="649">
        <f t="shared" si="2"/>
        <v>3.743411764705884E-2</v>
      </c>
    </row>
    <row r="73" spans="1:9">
      <c r="A73" s="33"/>
      <c r="B73" s="674">
        <v>33073</v>
      </c>
      <c r="C73" s="675">
        <v>0.11699999999999999</v>
      </c>
      <c r="D73" s="661">
        <v>8.3837165775401082E-2</v>
      </c>
      <c r="E73" s="661" t="s">
        <v>1191</v>
      </c>
      <c r="F73" s="676">
        <f t="shared" si="0"/>
        <v>-2.4788788641406279</v>
      </c>
      <c r="G73" s="649" t="str">
        <f t="shared" si="1"/>
        <v/>
      </c>
      <c r="H73" s="677">
        <v>20.12805755395684</v>
      </c>
      <c r="I73" s="649">
        <f t="shared" si="2"/>
        <v>3.3162834224598911E-2</v>
      </c>
    </row>
    <row r="74" spans="1:9">
      <c r="A74" s="33"/>
      <c r="B74" s="674">
        <v>33116</v>
      </c>
      <c r="C74" s="675">
        <v>0.125</v>
      </c>
      <c r="D74" s="661">
        <v>8.5283048128342254E-2</v>
      </c>
      <c r="E74" s="661" t="s">
        <v>1191</v>
      </c>
      <c r="F74" s="676">
        <f t="shared" si="0"/>
        <v>-2.4617795766102226</v>
      </c>
      <c r="G74" s="649" t="str">
        <f t="shared" si="1"/>
        <v/>
      </c>
      <c r="H74" s="677">
        <v>21.239823529411765</v>
      </c>
      <c r="I74" s="649">
        <f t="shared" si="2"/>
        <v>3.9716951871657746E-2</v>
      </c>
    </row>
    <row r="75" spans="1:9">
      <c r="A75" s="33"/>
      <c r="B75" s="674">
        <v>33116</v>
      </c>
      <c r="C75" s="675">
        <v>0.125</v>
      </c>
      <c r="D75" s="661">
        <v>8.5283048128342254E-2</v>
      </c>
      <c r="E75" s="661" t="s">
        <v>1191</v>
      </c>
      <c r="F75" s="676">
        <f t="shared" si="0"/>
        <v>-2.4617795766102226</v>
      </c>
      <c r="G75" s="649" t="str">
        <f t="shared" si="1"/>
        <v/>
      </c>
      <c r="H75" s="677">
        <v>21.239823529411765</v>
      </c>
      <c r="I75" s="649">
        <f t="shared" si="2"/>
        <v>3.9716951871657746E-2</v>
      </c>
    </row>
    <row r="76" spans="1:9">
      <c r="A76" s="33"/>
      <c r="B76" s="674">
        <v>33129</v>
      </c>
      <c r="C76" s="675">
        <v>0.125</v>
      </c>
      <c r="D76" s="661">
        <v>8.5813957219251322E-2</v>
      </c>
      <c r="E76" s="661" t="s">
        <v>1191</v>
      </c>
      <c r="F76" s="676">
        <f t="shared" si="0"/>
        <v>-2.4555736141647571</v>
      </c>
      <c r="G76" s="649" t="str">
        <f t="shared" si="1"/>
        <v/>
      </c>
      <c r="H76" s="677">
        <v>21.58966292134831</v>
      </c>
      <c r="I76" s="649">
        <f t="shared" si="2"/>
        <v>3.9186042780748678E-2</v>
      </c>
    </row>
    <row r="77" spans="1:9">
      <c r="A77" s="33"/>
      <c r="B77" s="674">
        <v>33134</v>
      </c>
      <c r="C77" s="675">
        <v>0.1275</v>
      </c>
      <c r="D77" s="661">
        <v>8.5985775401069511E-2</v>
      </c>
      <c r="E77" s="661" t="s">
        <v>1191</v>
      </c>
      <c r="F77" s="676">
        <f t="shared" si="0"/>
        <v>-2.4535733987222459</v>
      </c>
      <c r="G77" s="649" t="str">
        <f t="shared" si="1"/>
        <v/>
      </c>
      <c r="H77" s="677">
        <v>21.723149171270713</v>
      </c>
      <c r="I77" s="649">
        <f t="shared" si="2"/>
        <v>4.1514224598930491E-2</v>
      </c>
    </row>
    <row r="78" spans="1:9">
      <c r="A78" s="33"/>
      <c r="B78" s="674">
        <v>33136</v>
      </c>
      <c r="C78" s="675">
        <v>0.125</v>
      </c>
      <c r="D78" s="661">
        <v>8.609711229946522E-2</v>
      </c>
      <c r="E78" s="661" t="s">
        <v>1191</v>
      </c>
      <c r="F78" s="676">
        <f t="shared" si="0"/>
        <v>-2.4522794070253511</v>
      </c>
      <c r="G78" s="649" t="str">
        <f t="shared" si="1"/>
        <v/>
      </c>
      <c r="H78" s="677">
        <v>21.79469945355191</v>
      </c>
      <c r="I78" s="649">
        <f t="shared" si="2"/>
        <v>3.890288770053478E-2</v>
      </c>
    </row>
    <row r="79" spans="1:9">
      <c r="A79" s="33"/>
      <c r="B79" s="674">
        <v>33148</v>
      </c>
      <c r="C79" s="675">
        <v>0.13</v>
      </c>
      <c r="D79" s="661">
        <v>8.6499732620320888E-2</v>
      </c>
      <c r="E79" s="661" t="s">
        <v>1191</v>
      </c>
      <c r="F79" s="676">
        <f t="shared" si="0"/>
        <v>-2.4476139561436372</v>
      </c>
      <c r="G79" s="649" t="str">
        <f t="shared" si="1"/>
        <v/>
      </c>
      <c r="H79" s="677">
        <v>22.162513368983959</v>
      </c>
      <c r="I79" s="649">
        <f t="shared" si="2"/>
        <v>4.3500267379679117E-2</v>
      </c>
    </row>
    <row r="80" spans="1:9">
      <c r="A80" s="33"/>
      <c r="B80" s="674">
        <v>33163</v>
      </c>
      <c r="C80" s="675">
        <v>0.11900000000000001</v>
      </c>
      <c r="D80" s="661">
        <v>8.6824385026738032E-2</v>
      </c>
      <c r="E80" s="661" t="s">
        <v>1191</v>
      </c>
      <c r="F80" s="676">
        <f t="shared" si="0"/>
        <v>-2.4438677632824901</v>
      </c>
      <c r="G80" s="649" t="str">
        <f t="shared" si="1"/>
        <v/>
      </c>
      <c r="H80" s="677">
        <v>22.567700534759361</v>
      </c>
      <c r="I80" s="649">
        <f t="shared" si="2"/>
        <v>3.2175614973261976E-2</v>
      </c>
    </row>
    <row r="81" spans="1:13">
      <c r="A81" s="33"/>
      <c r="B81" s="674">
        <v>33177</v>
      </c>
      <c r="C81" s="675">
        <v>0.1295</v>
      </c>
      <c r="D81" s="661">
        <v>8.6984652406417118E-2</v>
      </c>
      <c r="E81" s="661" t="s">
        <v>1191</v>
      </c>
      <c r="F81" s="676">
        <f t="shared" si="0"/>
        <v>-2.4420235850111149</v>
      </c>
      <c r="G81" s="649" t="str">
        <f t="shared" si="1"/>
        <v/>
      </c>
      <c r="H81" s="677">
        <v>22.769144385026745</v>
      </c>
      <c r="I81" s="649">
        <f t="shared" si="2"/>
        <v>4.2515347593582886E-2</v>
      </c>
    </row>
    <row r="82" spans="1:13">
      <c r="A82" s="33"/>
      <c r="B82" s="674">
        <v>33186</v>
      </c>
      <c r="C82" s="675">
        <v>0.13250000000000001</v>
      </c>
      <c r="D82" s="661">
        <v>8.7044705882352982E-2</v>
      </c>
      <c r="E82" s="661" t="s">
        <v>1191</v>
      </c>
      <c r="F82" s="676">
        <f t="shared" si="0"/>
        <v>-2.4413334315920592</v>
      </c>
      <c r="G82" s="649" t="str">
        <f t="shared" si="1"/>
        <v/>
      </c>
      <c r="H82" s="677">
        <v>22.989625668449211</v>
      </c>
      <c r="I82" s="649">
        <f t="shared" si="2"/>
        <v>4.5455294117647024E-2</v>
      </c>
    </row>
    <row r="83" spans="1:13">
      <c r="A83" s="33"/>
      <c r="B83" s="674">
        <v>33196</v>
      </c>
      <c r="C83" s="675">
        <v>0.13</v>
      </c>
      <c r="D83" s="661">
        <v>8.7037860962566882E-2</v>
      </c>
      <c r="E83" s="661" t="s">
        <v>1191</v>
      </c>
      <c r="F83" s="676">
        <f t="shared" si="0"/>
        <v>-2.4414120715146392</v>
      </c>
      <c r="G83" s="649" t="str">
        <f t="shared" si="1"/>
        <v/>
      </c>
      <c r="H83" s="677">
        <v>23.013903743315517</v>
      </c>
      <c r="I83" s="649">
        <f t="shared" si="2"/>
        <v>4.2962139037433122E-2</v>
      </c>
    </row>
    <row r="84" spans="1:13">
      <c r="A84" s="33"/>
      <c r="B84" s="674">
        <v>33198</v>
      </c>
      <c r="C84" s="675">
        <v>0.121</v>
      </c>
      <c r="D84" s="661">
        <v>8.7020855614973275E-2</v>
      </c>
      <c r="E84" s="661" t="s">
        <v>1191</v>
      </c>
      <c r="F84" s="676">
        <f t="shared" si="0"/>
        <v>-2.441607469343396</v>
      </c>
      <c r="G84" s="649" t="str">
        <f t="shared" si="1"/>
        <v/>
      </c>
      <c r="H84" s="677">
        <v>22.986791443850276</v>
      </c>
      <c r="I84" s="649">
        <f t="shared" si="2"/>
        <v>3.3979144385026722E-2</v>
      </c>
    </row>
    <row r="85" spans="1:13">
      <c r="A85" s="33"/>
      <c r="B85" s="674">
        <v>33198</v>
      </c>
      <c r="C85" s="675">
        <v>0.125</v>
      </c>
      <c r="D85" s="661">
        <v>8.7020855614973275E-2</v>
      </c>
      <c r="E85" s="661" t="s">
        <v>1191</v>
      </c>
      <c r="F85" s="676">
        <f t="shared" si="0"/>
        <v>-2.441607469343396</v>
      </c>
      <c r="G85" s="649" t="str">
        <f t="shared" si="1"/>
        <v/>
      </c>
      <c r="H85" s="677">
        <v>22.986791443850276</v>
      </c>
      <c r="I85" s="649">
        <f t="shared" si="2"/>
        <v>3.7979144385026725E-2</v>
      </c>
    </row>
    <row r="86" spans="1:13">
      <c r="A86" s="33"/>
      <c r="B86" s="674">
        <v>33205</v>
      </c>
      <c r="C86" s="675">
        <v>0.1275</v>
      </c>
      <c r="D86" s="661">
        <v>8.6979197860962601E-2</v>
      </c>
      <c r="E86" s="661" t="s">
        <v>1191</v>
      </c>
      <c r="F86" s="676">
        <f t="shared" si="0"/>
        <v>-2.4420862939641292</v>
      </c>
      <c r="G86" s="649" t="str">
        <f t="shared" si="1"/>
        <v/>
      </c>
      <c r="H86" s="677">
        <v>22.99909090909091</v>
      </c>
      <c r="I86" s="649">
        <f t="shared" si="2"/>
        <v>4.0520802139037401E-2</v>
      </c>
    </row>
    <row r="87" spans="1:13">
      <c r="A87" s="33"/>
      <c r="B87" s="674">
        <v>33206</v>
      </c>
      <c r="C87" s="675">
        <v>0.1275</v>
      </c>
      <c r="D87" s="661">
        <v>8.6967058823529453E-2</v>
      </c>
      <c r="E87" s="661" t="s">
        <v>1191</v>
      </c>
      <c r="F87" s="676">
        <f t="shared" si="0"/>
        <v>-2.442225866239891</v>
      </c>
      <c r="G87" s="649" t="str">
        <f t="shared" si="1"/>
        <v/>
      </c>
      <c r="H87" s="677">
        <v>23.017058823529414</v>
      </c>
      <c r="I87" s="649">
        <f t="shared" si="2"/>
        <v>4.0532941176470549E-2</v>
      </c>
    </row>
    <row r="88" spans="1:13">
      <c r="A88" s="33"/>
      <c r="B88" s="674">
        <v>33225</v>
      </c>
      <c r="C88" s="675">
        <v>0.13100000000000001</v>
      </c>
      <c r="D88" s="661">
        <v>8.6755775401069574E-2</v>
      </c>
      <c r="E88" s="661" t="s">
        <v>1191</v>
      </c>
      <c r="F88" s="676">
        <f t="shared" si="0"/>
        <v>-2.4446582871427331</v>
      </c>
      <c r="G88" s="649" t="str">
        <f t="shared" si="1"/>
        <v/>
      </c>
      <c r="H88" s="677">
        <v>23.226203208556147</v>
      </c>
      <c r="I88" s="649">
        <f t="shared" si="2"/>
        <v>4.4244224598930432E-2</v>
      </c>
    </row>
    <row r="89" spans="1:13">
      <c r="A89" s="33"/>
      <c r="B89" s="674">
        <v>33227</v>
      </c>
      <c r="C89" s="675">
        <v>0.125</v>
      </c>
      <c r="D89" s="661">
        <v>8.6711229946524124E-2</v>
      </c>
      <c r="E89" s="661" t="s">
        <v>1191</v>
      </c>
      <c r="F89" s="676">
        <f t="shared" si="0"/>
        <v>-2.4451718770953046</v>
      </c>
      <c r="G89" s="649" t="str">
        <f t="shared" si="1"/>
        <v/>
      </c>
      <c r="H89" s="677">
        <v>23.256203208556141</v>
      </c>
      <c r="I89" s="649">
        <f t="shared" si="2"/>
        <v>3.8288770053475876E-2</v>
      </c>
    </row>
    <row r="90" spans="1:13">
      <c r="A90" s="33"/>
      <c r="B90" s="674">
        <v>33228</v>
      </c>
      <c r="C90" s="675">
        <v>0.125</v>
      </c>
      <c r="D90" s="661">
        <v>8.6699037433155143E-2</v>
      </c>
      <c r="E90" s="661" t="s">
        <v>1191</v>
      </c>
      <c r="F90" s="676">
        <f t="shared" si="0"/>
        <v>-2.4453124975276852</v>
      </c>
      <c r="G90" s="649" t="str">
        <f t="shared" si="1"/>
        <v/>
      </c>
      <c r="H90" s="677">
        <v>23.27165775401069</v>
      </c>
      <c r="I90" s="649">
        <f t="shared" si="2"/>
        <v>3.8300962566844857E-2</v>
      </c>
    </row>
    <row r="91" spans="1:13">
      <c r="A91" s="33"/>
      <c r="B91" s="674">
        <v>33228</v>
      </c>
      <c r="C91" s="675">
        <v>0.13</v>
      </c>
      <c r="D91" s="661">
        <v>8.6699037433155143E-2</v>
      </c>
      <c r="E91" s="661" t="s">
        <v>1191</v>
      </c>
      <c r="F91" s="676">
        <f t="shared" si="0"/>
        <v>-2.4453124975276852</v>
      </c>
      <c r="G91" s="649" t="str">
        <f t="shared" si="1"/>
        <v/>
      </c>
      <c r="H91" s="677">
        <v>23.27165775401069</v>
      </c>
      <c r="I91" s="649">
        <f t="shared" si="2"/>
        <v>4.3300962566844861E-2</v>
      </c>
    </row>
    <row r="92" spans="1:13">
      <c r="A92" s="33"/>
      <c r="B92" s="674">
        <v>33228</v>
      </c>
      <c r="C92" s="675">
        <v>0.13600000000000001</v>
      </c>
      <c r="D92" s="661">
        <v>8.6699037433155143E-2</v>
      </c>
      <c r="E92" s="661" t="s">
        <v>1191</v>
      </c>
      <c r="F92" s="676">
        <f t="shared" si="0"/>
        <v>-2.4453124975276852</v>
      </c>
      <c r="G92" s="649" t="str">
        <f t="shared" si="1"/>
        <v/>
      </c>
      <c r="H92" s="677">
        <v>23.27165775401069</v>
      </c>
      <c r="I92" s="649">
        <f t="shared" si="2"/>
        <v>4.9300962566844866E-2</v>
      </c>
    </row>
    <row r="93" spans="1:13">
      <c r="A93" s="33"/>
      <c r="B93" s="674">
        <v>33241</v>
      </c>
      <c r="C93" s="675">
        <v>0.13019999999999998</v>
      </c>
      <c r="D93" s="661">
        <v>8.6591443850267388E-2</v>
      </c>
      <c r="E93" s="661" t="s">
        <v>1191</v>
      </c>
      <c r="F93" s="676">
        <f t="shared" si="0"/>
        <v>-2.446554269100095</v>
      </c>
      <c r="G93" s="649" t="str">
        <f t="shared" si="1"/>
        <v/>
      </c>
      <c r="H93" s="677">
        <v>23.445614973262025</v>
      </c>
      <c r="I93" s="649">
        <f t="shared" si="2"/>
        <v>4.3608556149732594E-2</v>
      </c>
    </row>
    <row r="94" spans="1:13">
      <c r="A94" s="33"/>
      <c r="B94" s="674">
        <v>33254</v>
      </c>
      <c r="C94" s="675">
        <v>0.13250000000000001</v>
      </c>
      <c r="D94" s="661">
        <v>8.6338288770053478E-2</v>
      </c>
      <c r="E94" s="661" t="s">
        <v>1191</v>
      </c>
      <c r="F94" s="676">
        <f t="shared" si="0"/>
        <v>-2.4494821087170333</v>
      </c>
      <c r="G94" s="649" t="str">
        <f t="shared" si="1"/>
        <v/>
      </c>
      <c r="H94" s="677">
        <v>23.970909090909085</v>
      </c>
      <c r="I94" s="649">
        <f t="shared" si="2"/>
        <v>4.6161711229946528E-2</v>
      </c>
    </row>
    <row r="95" spans="1:13">
      <c r="A95" s="33"/>
      <c r="B95" s="674">
        <v>33263</v>
      </c>
      <c r="C95" s="675">
        <v>0.11699999999999999</v>
      </c>
      <c r="D95" s="661">
        <v>8.6054331550802179E-2</v>
      </c>
      <c r="E95" s="661" t="s">
        <v>1191</v>
      </c>
      <c r="F95" s="676">
        <f t="shared" si="0"/>
        <v>-2.4527764199877393</v>
      </c>
      <c r="G95" s="649" t="str">
        <f t="shared" si="1"/>
        <v/>
      </c>
      <c r="H95" s="677">
        <v>24.098930481283418</v>
      </c>
      <c r="I95" s="649">
        <f t="shared" si="2"/>
        <v>3.0945668449197813E-2</v>
      </c>
    </row>
    <row r="96" spans="1:13">
      <c r="A96" s="33"/>
      <c r="B96" s="674">
        <v>33284</v>
      </c>
      <c r="C96" s="675">
        <v>0.127</v>
      </c>
      <c r="D96" s="661">
        <v>8.5554759358288809E-2</v>
      </c>
      <c r="E96" s="661" t="s">
        <v>1191</v>
      </c>
      <c r="F96" s="676">
        <f t="shared" si="0"/>
        <v>-2.4585986477157489</v>
      </c>
      <c r="G96" s="649" t="str">
        <f t="shared" si="1"/>
        <v/>
      </c>
      <c r="H96" s="677">
        <v>24.39459893048128</v>
      </c>
      <c r="I96" s="649">
        <f t="shared" si="2"/>
        <v>4.1445240641711192E-2</v>
      </c>
      <c r="L96" s="488"/>
      <c r="M96" s="488"/>
    </row>
    <row r="97" spans="1:13">
      <c r="A97" s="33"/>
      <c r="B97" s="674">
        <v>33284</v>
      </c>
      <c r="C97" s="675">
        <v>0.128</v>
      </c>
      <c r="D97" s="661">
        <v>8.5554759358288809E-2</v>
      </c>
      <c r="E97" s="661" t="s">
        <v>1191</v>
      </c>
      <c r="F97" s="676">
        <f t="shared" si="0"/>
        <v>-2.4585986477157489</v>
      </c>
      <c r="G97" s="649" t="str">
        <f t="shared" si="1"/>
        <v/>
      </c>
      <c r="H97" s="677">
        <v>24.39459893048128</v>
      </c>
      <c r="I97" s="649">
        <f t="shared" si="2"/>
        <v>4.2445240641711193E-2</v>
      </c>
      <c r="L97" s="488"/>
      <c r="M97" s="488"/>
    </row>
    <row r="98" spans="1:13">
      <c r="A98" s="33"/>
      <c r="B98" s="674">
        <v>33331</v>
      </c>
      <c r="C98" s="675">
        <v>0.13</v>
      </c>
      <c r="D98" s="661">
        <v>8.5110695187165811E-2</v>
      </c>
      <c r="E98" s="661" t="s">
        <v>1191</v>
      </c>
      <c r="F98" s="676">
        <f t="shared" si="0"/>
        <v>-2.4638025734245721</v>
      </c>
      <c r="G98" s="649" t="str">
        <f t="shared" si="1"/>
        <v/>
      </c>
      <c r="H98" s="677">
        <v>24.664866310160438</v>
      </c>
      <c r="I98" s="649">
        <f t="shared" si="2"/>
        <v>4.4889304812834194E-2</v>
      </c>
      <c r="L98" s="488"/>
      <c r="M98" s="488"/>
    </row>
    <row r="99" spans="1:13">
      <c r="A99" s="33"/>
      <c r="B99" s="674">
        <v>33358</v>
      </c>
      <c r="C99" s="675">
        <v>0.1245</v>
      </c>
      <c r="D99" s="661">
        <v>8.4759625668449218E-2</v>
      </c>
      <c r="E99" s="661" t="s">
        <v>1191</v>
      </c>
      <c r="F99" s="676">
        <f t="shared" si="0"/>
        <v>-2.4679359619621399</v>
      </c>
      <c r="G99" s="649" t="str">
        <f t="shared" si="1"/>
        <v/>
      </c>
      <c r="H99" s="677">
        <v>24.512459893048145</v>
      </c>
      <c r="I99" s="649">
        <f t="shared" si="2"/>
        <v>3.9740374331550782E-2</v>
      </c>
    </row>
    <row r="100" spans="1:13">
      <c r="A100" s="33"/>
      <c r="B100" s="674">
        <v>33358</v>
      </c>
      <c r="C100" s="675">
        <v>0.13</v>
      </c>
      <c r="D100" s="661">
        <v>8.4759625668449218E-2</v>
      </c>
      <c r="E100" s="661" t="s">
        <v>1191</v>
      </c>
      <c r="F100" s="676">
        <f t="shared" si="0"/>
        <v>-2.4679359619621399</v>
      </c>
      <c r="G100" s="649" t="str">
        <f t="shared" si="1"/>
        <v/>
      </c>
      <c r="H100" s="677">
        <v>24.512459893048145</v>
      </c>
      <c r="I100" s="649">
        <f t="shared" si="2"/>
        <v>4.5240374331550787E-2</v>
      </c>
    </row>
    <row r="101" spans="1:13">
      <c r="A101" s="33"/>
      <c r="B101" s="674">
        <v>33414</v>
      </c>
      <c r="C101" s="675">
        <v>0.11699999999999999</v>
      </c>
      <c r="D101" s="661">
        <v>8.3433957219251342E-2</v>
      </c>
      <c r="E101" s="661" t="s">
        <v>1191</v>
      </c>
      <c r="F101" s="676">
        <f t="shared" si="0"/>
        <v>-2.4836998915826491</v>
      </c>
      <c r="G101" s="649" t="str">
        <f t="shared" si="1"/>
        <v/>
      </c>
      <c r="H101" s="677">
        <v>22.042727272727266</v>
      </c>
      <c r="I101" s="649">
        <f t="shared" si="2"/>
        <v>3.3566042780748651E-2</v>
      </c>
    </row>
    <row r="102" spans="1:13">
      <c r="A102" s="33"/>
      <c r="B102" s="674">
        <v>33417</v>
      </c>
      <c r="C102" s="675">
        <v>0.125</v>
      </c>
      <c r="D102" s="661">
        <v>8.3380802139037438E-2</v>
      </c>
      <c r="E102" s="661" t="s">
        <v>1191</v>
      </c>
      <c r="F102" s="676">
        <f t="shared" si="0"/>
        <v>-2.484337186294669</v>
      </c>
      <c r="G102" s="649" t="str">
        <f t="shared" si="1"/>
        <v/>
      </c>
      <c r="H102" s="677">
        <v>21.879946524064163</v>
      </c>
      <c r="I102" s="649">
        <f t="shared" si="2"/>
        <v>4.1619197860962562E-2</v>
      </c>
    </row>
    <row r="103" spans="1:13">
      <c r="A103" s="33"/>
      <c r="B103" s="674">
        <v>33420</v>
      </c>
      <c r="C103" s="675">
        <v>0.11699999999999999</v>
      </c>
      <c r="D103" s="661">
        <v>8.3352513368983958E-2</v>
      </c>
      <c r="E103" s="661" t="s">
        <v>1191</v>
      </c>
      <c r="F103" s="676">
        <f t="shared" si="0"/>
        <v>-2.4846765158430406</v>
      </c>
      <c r="G103" s="649" t="str">
        <f t="shared" si="1"/>
        <v/>
      </c>
      <c r="H103" s="677">
        <v>21.833743315508016</v>
      </c>
      <c r="I103" s="649">
        <f t="shared" si="2"/>
        <v>3.3647486631016035E-2</v>
      </c>
    </row>
    <row r="104" spans="1:13">
      <c r="A104" s="33"/>
      <c r="B104" s="674">
        <v>33438</v>
      </c>
      <c r="C104" s="675">
        <v>0.121</v>
      </c>
      <c r="D104" s="661">
        <v>8.3058823529411741E-2</v>
      </c>
      <c r="E104" s="661" t="s">
        <v>1191</v>
      </c>
      <c r="F104" s="676">
        <f t="shared" si="0"/>
        <v>-2.4882062049851661</v>
      </c>
      <c r="G104" s="649" t="str">
        <f t="shared" si="1"/>
        <v/>
      </c>
      <c r="H104" s="677">
        <v>20.996256684491975</v>
      </c>
      <c r="I104" s="649">
        <f t="shared" si="2"/>
        <v>3.7941176470588256E-2</v>
      </c>
    </row>
    <row r="105" spans="1:13">
      <c r="A105" s="33"/>
      <c r="B105" s="674">
        <v>33438</v>
      </c>
      <c r="C105" s="675">
        <v>0.12300000000000001</v>
      </c>
      <c r="D105" s="661">
        <v>8.3058823529411741E-2</v>
      </c>
      <c r="E105" s="661" t="s">
        <v>1191</v>
      </c>
      <c r="F105" s="676">
        <f t="shared" si="0"/>
        <v>-2.4882062049851661</v>
      </c>
      <c r="G105" s="649" t="str">
        <f t="shared" si="1"/>
        <v/>
      </c>
      <c r="H105" s="677">
        <v>20.996256684491975</v>
      </c>
      <c r="I105" s="649">
        <f t="shared" si="2"/>
        <v>3.9941176470588272E-2</v>
      </c>
    </row>
    <row r="106" spans="1:13">
      <c r="A106" s="33"/>
      <c r="B106" s="674">
        <v>33441</v>
      </c>
      <c r="C106" s="675">
        <v>0.129</v>
      </c>
      <c r="D106" s="661">
        <v>8.3040053475935807E-2</v>
      </c>
      <c r="E106" s="661" t="s">
        <v>1191</v>
      </c>
      <c r="F106" s="676">
        <f t="shared" si="0"/>
        <v>-2.4884322155867333</v>
      </c>
      <c r="G106" s="649" t="str">
        <f t="shared" si="1"/>
        <v/>
      </c>
      <c r="H106" s="677">
        <v>20.94080213903743</v>
      </c>
      <c r="I106" s="649">
        <f t="shared" si="2"/>
        <v>4.5959946524064196E-2</v>
      </c>
    </row>
    <row r="107" spans="1:13">
      <c r="A107" s="33"/>
      <c r="B107" s="674">
        <v>33465</v>
      </c>
      <c r="C107" s="675">
        <v>0.1225</v>
      </c>
      <c r="D107" s="661">
        <v>8.2757112299465196E-2</v>
      </c>
      <c r="E107" s="661" t="s">
        <v>1191</v>
      </c>
      <c r="F107" s="676">
        <f t="shared" si="0"/>
        <v>-2.4918453191801389</v>
      </c>
      <c r="G107" s="649" t="str">
        <f t="shared" si="1"/>
        <v/>
      </c>
      <c r="H107" s="677">
        <v>19.703957219251343</v>
      </c>
      <c r="I107" s="649">
        <f t="shared" si="2"/>
        <v>3.9742887700534801E-2</v>
      </c>
    </row>
    <row r="108" spans="1:13">
      <c r="A108" s="33"/>
      <c r="B108" s="674">
        <v>33479</v>
      </c>
      <c r="C108" s="675">
        <v>0.13300000000000001</v>
      </c>
      <c r="D108" s="661">
        <v>8.2601069518716541E-2</v>
      </c>
      <c r="E108" s="661" t="s">
        <v>1191</v>
      </c>
      <c r="F108" s="676">
        <f t="shared" si="0"/>
        <v>-2.4937326503705504</v>
      </c>
      <c r="G108" s="649" t="str">
        <f t="shared" si="1"/>
        <v/>
      </c>
      <c r="H108" s="677">
        <v>19.393689839572193</v>
      </c>
      <c r="I108" s="649">
        <f t="shared" si="2"/>
        <v>5.0398930481283466E-2</v>
      </c>
    </row>
    <row r="109" spans="1:13">
      <c r="A109" s="33"/>
      <c r="B109" s="674">
        <v>33508</v>
      </c>
      <c r="C109" s="675">
        <v>0.125</v>
      </c>
      <c r="D109" s="661">
        <v>8.2297272727272733E-2</v>
      </c>
      <c r="E109" s="661" t="s">
        <v>1191</v>
      </c>
      <c r="F109" s="676">
        <f t="shared" si="0"/>
        <v>-2.4974173100344315</v>
      </c>
      <c r="G109" s="649" t="str">
        <f t="shared" si="1"/>
        <v/>
      </c>
      <c r="H109" s="677">
        <v>18.701069518716583</v>
      </c>
      <c r="I109" s="649">
        <f t="shared" si="2"/>
        <v>4.2702727272727267E-2</v>
      </c>
    </row>
    <row r="110" spans="1:13">
      <c r="A110" s="33"/>
      <c r="B110" s="674">
        <v>33511</v>
      </c>
      <c r="C110" s="675">
        <v>0.124</v>
      </c>
      <c r="D110" s="661">
        <v>8.2269625668449212E-2</v>
      </c>
      <c r="E110" s="661" t="s">
        <v>1191</v>
      </c>
      <c r="F110" s="676">
        <f t="shared" si="0"/>
        <v>-2.4977533078487322</v>
      </c>
      <c r="G110" s="649" t="str">
        <f t="shared" si="1"/>
        <v/>
      </c>
      <c r="H110" s="677">
        <v>18.643475935828882</v>
      </c>
      <c r="I110" s="649">
        <f t="shared" si="2"/>
        <v>4.1730374331550787E-2</v>
      </c>
    </row>
    <row r="111" spans="1:13">
      <c r="A111" s="33"/>
      <c r="B111" s="674">
        <v>33514</v>
      </c>
      <c r="C111" s="675">
        <v>0.113</v>
      </c>
      <c r="D111" s="661">
        <v>8.2181443850267377E-2</v>
      </c>
      <c r="E111" s="661" t="s">
        <v>1191</v>
      </c>
      <c r="F111" s="676">
        <f t="shared" si="0"/>
        <v>-2.4988257463180177</v>
      </c>
      <c r="G111" s="649" t="str">
        <f t="shared" si="1"/>
        <v/>
      </c>
      <c r="H111" s="677">
        <v>18.44877005347595</v>
      </c>
      <c r="I111" s="649">
        <f t="shared" si="2"/>
        <v>3.0818556149732626E-2</v>
      </c>
    </row>
    <row r="112" spans="1:13">
      <c r="A112" s="33"/>
      <c r="B112" s="674">
        <v>33520</v>
      </c>
      <c r="C112" s="675">
        <v>0.11699999999999999</v>
      </c>
      <c r="D112" s="661">
        <v>8.2092566844919765E-2</v>
      </c>
      <c r="E112" s="661" t="s">
        <v>1191</v>
      </c>
      <c r="F112" s="676">
        <f t="shared" si="0"/>
        <v>-2.4999078044432599</v>
      </c>
      <c r="G112" s="649" t="str">
        <f t="shared" si="1"/>
        <v/>
      </c>
      <c r="H112" s="677">
        <v>18.143529411764721</v>
      </c>
      <c r="I112" s="649">
        <f t="shared" si="2"/>
        <v>3.4907433155080228E-2</v>
      </c>
    </row>
    <row r="113" spans="1:9">
      <c r="A113" s="33"/>
      <c r="B113" s="674">
        <v>33526</v>
      </c>
      <c r="C113" s="675">
        <v>0.13400000000000001</v>
      </c>
      <c r="D113" s="661">
        <v>8.2024491978609601E-2</v>
      </c>
      <c r="E113" s="661" t="s">
        <v>1191</v>
      </c>
      <c r="F113" s="676">
        <f t="shared" si="0"/>
        <v>-2.5007373936487007</v>
      </c>
      <c r="G113" s="649" t="str">
        <f t="shared" si="1"/>
        <v/>
      </c>
      <c r="H113" s="677">
        <v>17.797647058823532</v>
      </c>
      <c r="I113" s="649">
        <f t="shared" si="2"/>
        <v>5.1975508021390407E-2</v>
      </c>
    </row>
    <row r="114" spans="1:9">
      <c r="A114" s="33"/>
      <c r="B114" s="674">
        <v>33543</v>
      </c>
      <c r="C114" s="675">
        <v>0.129</v>
      </c>
      <c r="D114" s="661">
        <v>8.1968449197860935E-2</v>
      </c>
      <c r="E114" s="661" t="s">
        <v>1191</v>
      </c>
      <c r="F114" s="676">
        <f t="shared" si="0"/>
        <v>-2.5014208716390129</v>
      </c>
      <c r="G114" s="649" t="str">
        <f t="shared" si="1"/>
        <v/>
      </c>
      <c r="H114" s="677">
        <v>17.310802139037442</v>
      </c>
      <c r="I114" s="649">
        <f t="shared" si="2"/>
        <v>4.7031550802139069E-2</v>
      </c>
    </row>
    <row r="115" spans="1:9">
      <c r="A115" s="33"/>
      <c r="B115" s="674">
        <v>33550</v>
      </c>
      <c r="C115" s="675">
        <v>0.1275</v>
      </c>
      <c r="D115" s="661">
        <v>8.1958770053475918E-2</v>
      </c>
      <c r="E115" s="661" t="s">
        <v>1191</v>
      </c>
      <c r="F115" s="676">
        <f t="shared" si="0"/>
        <v>-2.5015389623922197</v>
      </c>
      <c r="G115" s="649" t="str">
        <f t="shared" si="1"/>
        <v/>
      </c>
      <c r="H115" s="677">
        <v>17.130160427807496</v>
      </c>
      <c r="I115" s="649">
        <f t="shared" si="2"/>
        <v>4.5541229946524084E-2</v>
      </c>
    </row>
    <row r="116" spans="1:9">
      <c r="A116" s="33"/>
      <c r="B116" s="674">
        <v>33568</v>
      </c>
      <c r="C116" s="675">
        <v>0.11599999999999999</v>
      </c>
      <c r="D116" s="661">
        <v>8.1769090909090889E-2</v>
      </c>
      <c r="E116" s="661" t="s">
        <v>1191</v>
      </c>
      <c r="F116" s="676">
        <f t="shared" si="0"/>
        <v>-2.5038559685282293</v>
      </c>
      <c r="G116" s="649" t="str">
        <f t="shared" si="1"/>
        <v/>
      </c>
      <c r="H116" s="677">
        <v>16.95197860962568</v>
      </c>
      <c r="I116" s="649">
        <f t="shared" si="2"/>
        <v>3.4230909090909103E-2</v>
      </c>
    </row>
    <row r="117" spans="1:9">
      <c r="A117" s="33"/>
      <c r="B117" s="674">
        <v>33568</v>
      </c>
      <c r="C117" s="675">
        <v>0.12</v>
      </c>
      <c r="D117" s="661">
        <v>8.1769090909090889E-2</v>
      </c>
      <c r="E117" s="661" t="s">
        <v>1191</v>
      </c>
      <c r="F117" s="676">
        <f t="shared" si="0"/>
        <v>-2.5038559685282293</v>
      </c>
      <c r="G117" s="649" t="str">
        <f t="shared" si="1"/>
        <v/>
      </c>
      <c r="H117" s="677">
        <v>16.95197860962568</v>
      </c>
      <c r="I117" s="649">
        <f t="shared" si="2"/>
        <v>3.8230909090909107E-2</v>
      </c>
    </row>
    <row r="118" spans="1:9">
      <c r="A118" s="33"/>
      <c r="B118" s="674">
        <v>33569</v>
      </c>
      <c r="C118" s="675">
        <v>0.127</v>
      </c>
      <c r="D118" s="661">
        <v>8.1755401069518702E-2</v>
      </c>
      <c r="E118" s="661" t="s">
        <v>1191</v>
      </c>
      <c r="F118" s="676">
        <f t="shared" si="0"/>
        <v>-2.504023403258508</v>
      </c>
      <c r="G118" s="649" t="str">
        <f t="shared" si="1"/>
        <v/>
      </c>
      <c r="H118" s="677">
        <v>16.948716577540115</v>
      </c>
      <c r="I118" s="649">
        <f t="shared" si="2"/>
        <v>4.52445989304813E-2</v>
      </c>
    </row>
    <row r="119" spans="1:9">
      <c r="A119" s="33"/>
      <c r="B119" s="674">
        <v>33578</v>
      </c>
      <c r="C119" s="675">
        <v>0.127</v>
      </c>
      <c r="D119" s="661">
        <v>8.1605347593582858E-2</v>
      </c>
      <c r="E119" s="661" t="s">
        <v>1191</v>
      </c>
      <c r="F119" s="676">
        <f t="shared" si="0"/>
        <v>-2.5058604849242658</v>
      </c>
      <c r="G119" s="649" t="str">
        <f t="shared" si="1"/>
        <v/>
      </c>
      <c r="H119" s="677">
        <v>16.952513368983968</v>
      </c>
      <c r="I119" s="649">
        <f t="shared" si="2"/>
        <v>4.5394652406417144E-2</v>
      </c>
    </row>
    <row r="120" spans="1:9">
      <c r="A120" s="33"/>
      <c r="B120" s="674">
        <v>33582</v>
      </c>
      <c r="C120" s="675">
        <v>0.11749999999999999</v>
      </c>
      <c r="D120" s="661">
        <v>8.1548609625668428E-2</v>
      </c>
      <c r="E120" s="661" t="s">
        <v>1191</v>
      </c>
      <c r="F120" s="676">
        <f t="shared" si="0"/>
        <v>-2.5065559994084827</v>
      </c>
      <c r="G120" s="649" t="str">
        <f t="shared" si="1"/>
        <v/>
      </c>
      <c r="H120" s="677">
        <v>17.004866310160434</v>
      </c>
      <c r="I120" s="649">
        <f t="shared" si="2"/>
        <v>3.5951390374331565E-2</v>
      </c>
    </row>
    <row r="121" spans="1:9">
      <c r="A121" s="33"/>
      <c r="B121" s="674">
        <v>33591</v>
      </c>
      <c r="C121" s="675">
        <v>0.126</v>
      </c>
      <c r="D121" s="661">
        <v>8.1357058823529435E-2</v>
      </c>
      <c r="E121" s="661" t="s">
        <v>1191</v>
      </c>
      <c r="F121" s="676">
        <f t="shared" si="0"/>
        <v>-2.5089076780485415</v>
      </c>
      <c r="G121" s="649" t="str">
        <f t="shared" si="1"/>
        <v/>
      </c>
      <c r="H121" s="677">
        <v>17.083208556149739</v>
      </c>
      <c r="I121" s="649">
        <f t="shared" si="2"/>
        <v>4.4642941176470566E-2</v>
      </c>
    </row>
    <row r="122" spans="1:9">
      <c r="A122" s="33"/>
      <c r="B122" s="674">
        <v>33591</v>
      </c>
      <c r="C122" s="675">
        <v>0.128</v>
      </c>
      <c r="D122" s="661">
        <v>8.1357058823529435E-2</v>
      </c>
      <c r="E122" s="661" t="s">
        <v>1191</v>
      </c>
      <c r="F122" s="676">
        <f t="shared" si="0"/>
        <v>-2.5089076780485415</v>
      </c>
      <c r="G122" s="649" t="str">
        <f t="shared" si="1"/>
        <v/>
      </c>
      <c r="H122" s="677">
        <v>17.083208556149739</v>
      </c>
      <c r="I122" s="649">
        <f t="shared" si="2"/>
        <v>4.6642941176470568E-2</v>
      </c>
    </row>
    <row r="123" spans="1:9">
      <c r="A123" s="33"/>
      <c r="B123" s="674">
        <v>33602</v>
      </c>
      <c r="C123" s="675">
        <v>0.121</v>
      </c>
      <c r="D123" s="661">
        <v>8.1097967914438504E-2</v>
      </c>
      <c r="E123" s="661" t="s">
        <v>1191</v>
      </c>
      <c r="F123" s="676">
        <f t="shared" si="0"/>
        <v>-2.5120973747167556</v>
      </c>
      <c r="G123" s="649" t="str">
        <f t="shared" si="1"/>
        <v/>
      </c>
      <c r="H123" s="677">
        <v>17.055561497326206</v>
      </c>
      <c r="I123" s="649">
        <f t="shared" si="2"/>
        <v>3.9902032085561492E-2</v>
      </c>
    </row>
    <row r="124" spans="1:9">
      <c r="A124" s="33"/>
      <c r="B124" s="674">
        <v>33625</v>
      </c>
      <c r="C124" s="675">
        <v>0.12839999999999999</v>
      </c>
      <c r="D124" s="661">
        <v>8.0512941176470579E-2</v>
      </c>
      <c r="E124" s="661" t="s">
        <v>1191</v>
      </c>
      <c r="F124" s="676">
        <f t="shared" ref="F124:F187" si="3">LN(D124)</f>
        <v>-2.5193373475219603</v>
      </c>
      <c r="G124" s="649" t="str">
        <f t="shared" ref="G124:G187" si="4">IF(E124="","",E124-D124)</f>
        <v/>
      </c>
      <c r="H124" s="677">
        <v>17.127967914438511</v>
      </c>
      <c r="I124" s="649">
        <f t="shared" ref="I124:I187" si="5">C124-D124</f>
        <v>4.7887058823529408E-2</v>
      </c>
    </row>
    <row r="125" spans="1:9">
      <c r="A125" s="33"/>
      <c r="B125" s="674">
        <v>33634</v>
      </c>
      <c r="C125" s="675">
        <v>0.12</v>
      </c>
      <c r="D125" s="661">
        <v>8.0315294117647054E-2</v>
      </c>
      <c r="E125" s="661" t="s">
        <v>1191</v>
      </c>
      <c r="F125" s="676">
        <f t="shared" si="3"/>
        <v>-2.5217952139278514</v>
      </c>
      <c r="G125" s="649" t="str">
        <f t="shared" si="4"/>
        <v/>
      </c>
      <c r="H125" s="677">
        <v>17.101925133689843</v>
      </c>
      <c r="I125" s="649">
        <f t="shared" si="5"/>
        <v>3.9684705882352941E-2</v>
      </c>
    </row>
    <row r="126" spans="1:9">
      <c r="A126" s="33"/>
      <c r="B126" s="674">
        <v>33654</v>
      </c>
      <c r="C126" s="675">
        <v>0.13</v>
      </c>
      <c r="D126" s="661">
        <v>7.9981390374331579E-2</v>
      </c>
      <c r="E126" s="661" t="s">
        <v>1191</v>
      </c>
      <c r="F126" s="676">
        <f t="shared" si="3"/>
        <v>-2.5259612916894141</v>
      </c>
      <c r="G126" s="649" t="str">
        <f t="shared" si="4"/>
        <v/>
      </c>
      <c r="H126" s="677">
        <v>17.15973262032086</v>
      </c>
      <c r="I126" s="649">
        <f t="shared" si="5"/>
        <v>5.0018609625668425E-2</v>
      </c>
    </row>
    <row r="127" spans="1:9">
      <c r="A127" s="33"/>
      <c r="B127" s="674">
        <v>33661</v>
      </c>
      <c r="C127" s="675">
        <v>0.11749999999999999</v>
      </c>
      <c r="D127" s="661">
        <v>7.984647058823531E-2</v>
      </c>
      <c r="E127" s="661" t="s">
        <v>1191</v>
      </c>
      <c r="F127" s="676">
        <f t="shared" si="3"/>
        <v>-2.5276496058210269</v>
      </c>
      <c r="G127" s="649" t="str">
        <f t="shared" si="4"/>
        <v/>
      </c>
      <c r="H127" s="677">
        <v>17.176363636363643</v>
      </c>
      <c r="I127" s="649">
        <f t="shared" si="5"/>
        <v>3.7653529411764683E-2</v>
      </c>
    </row>
    <row r="128" spans="1:9">
      <c r="A128" s="33"/>
      <c r="B128" s="674">
        <v>33681</v>
      </c>
      <c r="C128" s="675">
        <v>0.125</v>
      </c>
      <c r="D128" s="661">
        <v>7.9440106951871661E-2</v>
      </c>
      <c r="E128" s="661" t="s">
        <v>1191</v>
      </c>
      <c r="F128" s="676">
        <f t="shared" si="3"/>
        <v>-2.5327519129234717</v>
      </c>
      <c r="G128" s="649" t="str">
        <f t="shared" si="4"/>
        <v/>
      </c>
      <c r="H128" s="677">
        <v>17.287540106951869</v>
      </c>
      <c r="I128" s="649">
        <f t="shared" si="5"/>
        <v>4.5559893048128339E-2</v>
      </c>
    </row>
    <row r="129" spans="1:9">
      <c r="A129" s="33"/>
      <c r="B129" s="674">
        <v>33739</v>
      </c>
      <c r="C129" s="675">
        <v>0.1275</v>
      </c>
      <c r="D129" s="661">
        <v>7.8637700534759353E-2</v>
      </c>
      <c r="E129" s="661" t="s">
        <v>1191</v>
      </c>
      <c r="F129" s="676">
        <f t="shared" si="3"/>
        <v>-2.542904043973083</v>
      </c>
      <c r="G129" s="649" t="str">
        <f t="shared" si="4"/>
        <v/>
      </c>
      <c r="H129" s="677">
        <v>17.142566844919784</v>
      </c>
      <c r="I129" s="649">
        <f t="shared" si="5"/>
        <v>4.8862299465240649E-2</v>
      </c>
    </row>
    <row r="130" spans="1:9">
      <c r="A130" s="33"/>
      <c r="B130" s="674">
        <v>33779</v>
      </c>
      <c r="C130" s="675">
        <v>0.122</v>
      </c>
      <c r="D130" s="661">
        <v>7.8484010695187165E-2</v>
      </c>
      <c r="E130" s="661" t="s">
        <v>1191</v>
      </c>
      <c r="F130" s="676">
        <f t="shared" si="3"/>
        <v>-2.5448603603520934</v>
      </c>
      <c r="G130" s="649" t="str">
        <f t="shared" si="4"/>
        <v/>
      </c>
      <c r="H130" s="677">
        <v>16.939786096256686</v>
      </c>
      <c r="I130" s="649">
        <f t="shared" si="5"/>
        <v>4.3515989304812833E-2</v>
      </c>
    </row>
    <row r="131" spans="1:9">
      <c r="A131" s="33"/>
      <c r="B131" s="674">
        <v>33784</v>
      </c>
      <c r="C131" s="675">
        <v>0.11</v>
      </c>
      <c r="D131" s="661">
        <v>7.8479893048128344E-2</v>
      </c>
      <c r="E131" s="661" t="s">
        <v>1191</v>
      </c>
      <c r="F131" s="676">
        <f t="shared" si="3"/>
        <v>-2.544912826517391</v>
      </c>
      <c r="G131" s="649" t="str">
        <f t="shared" si="4"/>
        <v/>
      </c>
      <c r="H131" s="677">
        <v>16.917379679144386</v>
      </c>
      <c r="I131" s="649">
        <f t="shared" si="5"/>
        <v>3.1520106951871657E-2</v>
      </c>
    </row>
    <row r="132" spans="1:9">
      <c r="A132" s="33"/>
      <c r="B132" s="674">
        <v>33799</v>
      </c>
      <c r="C132" s="675">
        <v>0.12</v>
      </c>
      <c r="D132" s="661">
        <v>7.8299251336898412E-2</v>
      </c>
      <c r="E132" s="661" t="s">
        <v>1191</v>
      </c>
      <c r="F132" s="676">
        <f t="shared" si="3"/>
        <v>-2.5472172375010982</v>
      </c>
      <c r="G132" s="649" t="str">
        <f t="shared" si="4"/>
        <v/>
      </c>
      <c r="H132" s="677">
        <v>16.766737967914441</v>
      </c>
      <c r="I132" s="649">
        <f t="shared" si="5"/>
        <v>4.1700748663101583E-2</v>
      </c>
    </row>
    <row r="133" spans="1:9">
      <c r="A133" s="33"/>
      <c r="B133" s="674">
        <v>33807</v>
      </c>
      <c r="C133" s="675">
        <v>0.11199999999999999</v>
      </c>
      <c r="D133" s="661">
        <v>7.8194117647058831E-2</v>
      </c>
      <c r="E133" s="661" t="s">
        <v>1191</v>
      </c>
      <c r="F133" s="676">
        <f t="shared" si="3"/>
        <v>-2.5485608561647997</v>
      </c>
      <c r="G133" s="649" t="str">
        <f t="shared" si="4"/>
        <v/>
      </c>
      <c r="H133" s="677">
        <v>16.654117647058822</v>
      </c>
      <c r="I133" s="649">
        <f t="shared" si="5"/>
        <v>3.3805882352941158E-2</v>
      </c>
    </row>
    <row r="134" spans="1:9">
      <c r="A134" s="33"/>
      <c r="B134" s="674">
        <v>33826</v>
      </c>
      <c r="C134" s="675">
        <v>0.121</v>
      </c>
      <c r="D134" s="661">
        <v>7.7889144385026712E-2</v>
      </c>
      <c r="E134" s="661" t="s">
        <v>1191</v>
      </c>
      <c r="F134" s="676">
        <f t="shared" si="3"/>
        <v>-2.5524686890248947</v>
      </c>
      <c r="G134" s="649" t="str">
        <f t="shared" si="4"/>
        <v/>
      </c>
      <c r="H134" s="677">
        <v>16.519090909090909</v>
      </c>
      <c r="I134" s="649">
        <f t="shared" si="5"/>
        <v>4.3110855614973284E-2</v>
      </c>
    </row>
    <row r="135" spans="1:9">
      <c r="A135" s="33"/>
      <c r="B135" s="674">
        <v>33842</v>
      </c>
      <c r="C135" s="675">
        <v>0.12429999999999999</v>
      </c>
      <c r="D135" s="661">
        <v>7.7527058823529379E-2</v>
      </c>
      <c r="E135" s="661" t="s">
        <v>1191</v>
      </c>
      <c r="F135" s="676">
        <f t="shared" si="3"/>
        <v>-2.5571282574500986</v>
      </c>
      <c r="G135" s="649" t="str">
        <f t="shared" si="4"/>
        <v/>
      </c>
      <c r="H135" s="677">
        <v>16.242780748663098</v>
      </c>
      <c r="I135" s="649">
        <f t="shared" si="5"/>
        <v>4.6772941176470614E-2</v>
      </c>
    </row>
    <row r="136" spans="1:9">
      <c r="A136" s="33"/>
      <c r="B136" s="674">
        <v>33877</v>
      </c>
      <c r="C136" s="675">
        <v>0.11599999999999999</v>
      </c>
      <c r="D136" s="661">
        <v>7.7213368983957212E-2</v>
      </c>
      <c r="E136" s="661" t="s">
        <v>1191</v>
      </c>
      <c r="F136" s="676">
        <f t="shared" si="3"/>
        <v>-2.561182663576862</v>
      </c>
      <c r="G136" s="649" t="str">
        <f t="shared" si="4"/>
        <v/>
      </c>
      <c r="H136" s="677">
        <v>15.633422459893051</v>
      </c>
      <c r="I136" s="649">
        <f t="shared" si="5"/>
        <v>3.878663101604278E-2</v>
      </c>
    </row>
    <row r="137" spans="1:9">
      <c r="A137" s="33"/>
      <c r="B137" s="674">
        <v>33883</v>
      </c>
      <c r="C137" s="675">
        <v>0.1225</v>
      </c>
      <c r="D137" s="661">
        <v>7.71770053475936E-2</v>
      </c>
      <c r="E137" s="661" t="s">
        <v>1191</v>
      </c>
      <c r="F137" s="676">
        <f t="shared" si="3"/>
        <v>-2.561653724511761</v>
      </c>
      <c r="G137" s="649" t="str">
        <f t="shared" si="4"/>
        <v/>
      </c>
      <c r="H137" s="677">
        <v>15.626470588235296</v>
      </c>
      <c r="I137" s="649">
        <f t="shared" si="5"/>
        <v>4.5322994652406398E-2</v>
      </c>
    </row>
    <row r="138" spans="1:9">
      <c r="A138" s="33"/>
      <c r="B138" s="674">
        <v>33890</v>
      </c>
      <c r="C138" s="675">
        <v>0.1275</v>
      </c>
      <c r="D138" s="661">
        <v>7.714609625668449E-2</v>
      </c>
      <c r="E138" s="661" t="s">
        <v>1191</v>
      </c>
      <c r="F138" s="676">
        <f t="shared" si="3"/>
        <v>-2.5620543008480463</v>
      </c>
      <c r="G138" s="649" t="str">
        <f t="shared" si="4"/>
        <v/>
      </c>
      <c r="H138" s="677">
        <v>15.689625668449198</v>
      </c>
      <c r="I138" s="649">
        <f t="shared" si="5"/>
        <v>5.0353903743315512E-2</v>
      </c>
    </row>
    <row r="139" spans="1:9">
      <c r="A139" s="33"/>
      <c r="B139" s="674">
        <v>33900</v>
      </c>
      <c r="C139" s="675">
        <v>0.11650000000000001</v>
      </c>
      <c r="D139" s="661">
        <v>7.7075989304812839E-2</v>
      </c>
      <c r="E139" s="661" t="s">
        <v>1191</v>
      </c>
      <c r="F139" s="676">
        <f t="shared" si="3"/>
        <v>-2.5629634696800658</v>
      </c>
      <c r="G139" s="649" t="str">
        <f t="shared" si="4"/>
        <v/>
      </c>
      <c r="H139" s="677">
        <v>15.689037433155075</v>
      </c>
      <c r="I139" s="649">
        <f t="shared" si="5"/>
        <v>3.9424010695187167E-2</v>
      </c>
    </row>
    <row r="140" spans="1:9">
      <c r="A140" s="33"/>
      <c r="B140" s="674">
        <v>33905</v>
      </c>
      <c r="C140" s="675">
        <v>0.1225</v>
      </c>
      <c r="D140" s="661">
        <v>7.705716577540106E-2</v>
      </c>
      <c r="E140" s="661" t="s">
        <v>1191</v>
      </c>
      <c r="F140" s="676">
        <f t="shared" si="3"/>
        <v>-2.5632077199128673</v>
      </c>
      <c r="G140" s="649" t="str">
        <f t="shared" si="4"/>
        <v/>
      </c>
      <c r="H140" s="677">
        <v>15.664545454545447</v>
      </c>
      <c r="I140" s="649">
        <f t="shared" si="5"/>
        <v>4.5442834224598938E-2</v>
      </c>
    </row>
    <row r="141" spans="1:9">
      <c r="A141" s="33"/>
      <c r="B141" s="674">
        <v>33906</v>
      </c>
      <c r="C141" s="675">
        <v>0.1275</v>
      </c>
      <c r="D141" s="661">
        <v>7.7047540106951862E-2</v>
      </c>
      <c r="E141" s="661" t="s">
        <v>1191</v>
      </c>
      <c r="F141" s="676">
        <f t="shared" si="3"/>
        <v>-2.5633326436574939</v>
      </c>
      <c r="G141" s="649" t="str">
        <f t="shared" si="4"/>
        <v/>
      </c>
      <c r="H141" s="677">
        <v>15.651229946524056</v>
      </c>
      <c r="I141" s="649">
        <f t="shared" si="5"/>
        <v>5.045245989304814E-2</v>
      </c>
    </row>
    <row r="142" spans="1:9">
      <c r="A142" s="33"/>
      <c r="B142" s="674">
        <v>33907</v>
      </c>
      <c r="C142" s="675">
        <v>0.114</v>
      </c>
      <c r="D142" s="661">
        <v>7.7038930481283407E-2</v>
      </c>
      <c r="E142" s="661" t="s">
        <v>1191</v>
      </c>
      <c r="F142" s="676">
        <f t="shared" si="3"/>
        <v>-2.563444394230332</v>
      </c>
      <c r="G142" s="649" t="str">
        <f t="shared" si="4"/>
        <v/>
      </c>
      <c r="H142" s="677">
        <v>15.640160427807482</v>
      </c>
      <c r="I142" s="649">
        <f t="shared" si="5"/>
        <v>3.6961069518716597E-2</v>
      </c>
    </row>
    <row r="143" spans="1:9">
      <c r="A143" s="33"/>
      <c r="B143" s="674">
        <v>33917</v>
      </c>
      <c r="C143" s="675">
        <v>0.106</v>
      </c>
      <c r="D143" s="661">
        <v>7.6974545454545448E-2</v>
      </c>
      <c r="E143" s="661" t="s">
        <v>1191</v>
      </c>
      <c r="F143" s="676">
        <f t="shared" si="3"/>
        <v>-2.5642804902939713</v>
      </c>
      <c r="G143" s="649" t="str">
        <f t="shared" si="4"/>
        <v/>
      </c>
      <c r="H143" s="677">
        <v>15.566363636363636</v>
      </c>
      <c r="I143" s="649">
        <f t="shared" si="5"/>
        <v>2.9025454545454549E-2</v>
      </c>
    </row>
    <row r="144" spans="1:9">
      <c r="A144" s="33"/>
      <c r="B144" s="674">
        <v>33933</v>
      </c>
      <c r="C144" s="675">
        <v>0.11</v>
      </c>
      <c r="D144" s="661">
        <v>7.6757486631016059E-2</v>
      </c>
      <c r="E144" s="661" t="s">
        <v>1191</v>
      </c>
      <c r="F144" s="676">
        <f t="shared" si="3"/>
        <v>-2.5671043515911101</v>
      </c>
      <c r="G144" s="649" t="str">
        <f t="shared" si="4"/>
        <v/>
      </c>
      <c r="H144" s="677">
        <v>15.378502673796785</v>
      </c>
      <c r="I144" s="649">
        <f t="shared" si="5"/>
        <v>3.3242513368983942E-2</v>
      </c>
    </row>
    <row r="145" spans="1:9">
      <c r="A145" s="33"/>
      <c r="B145" s="674">
        <v>33933</v>
      </c>
      <c r="C145" s="675">
        <v>0.12</v>
      </c>
      <c r="D145" s="661">
        <v>7.6757486631016059E-2</v>
      </c>
      <c r="E145" s="661" t="s">
        <v>1191</v>
      </c>
      <c r="F145" s="676">
        <f t="shared" si="3"/>
        <v>-2.5671043515911101</v>
      </c>
      <c r="G145" s="649" t="str">
        <f t="shared" si="4"/>
        <v/>
      </c>
      <c r="H145" s="677">
        <v>15.378502673796785</v>
      </c>
      <c r="I145" s="649">
        <f t="shared" si="5"/>
        <v>4.3242513368983937E-2</v>
      </c>
    </row>
    <row r="146" spans="1:9">
      <c r="A146" s="33"/>
      <c r="B146" s="674">
        <v>33941</v>
      </c>
      <c r="C146" s="675">
        <v>0.11849999999999999</v>
      </c>
      <c r="D146" s="661">
        <v>7.6631336898395783E-2</v>
      </c>
      <c r="E146" s="661" t="s">
        <v>1191</v>
      </c>
      <c r="F146" s="676">
        <f t="shared" si="3"/>
        <v>-2.5687491880030335</v>
      </c>
      <c r="G146" s="649" t="str">
        <f t="shared" si="4"/>
        <v/>
      </c>
      <c r="H146" s="677">
        <v>15.210106951871651</v>
      </c>
      <c r="I146" s="649">
        <f t="shared" si="5"/>
        <v>4.1868663101604212E-2</v>
      </c>
    </row>
    <row r="147" spans="1:9">
      <c r="A147" s="33"/>
      <c r="B147" s="674">
        <v>33954</v>
      </c>
      <c r="C147" s="675">
        <v>0.11900000000000001</v>
      </c>
      <c r="D147" s="661">
        <v>7.6363796791443894E-2</v>
      </c>
      <c r="E147" s="661" t="s">
        <v>1191</v>
      </c>
      <c r="F147" s="676">
        <f t="shared" si="3"/>
        <v>-2.5722465591050185</v>
      </c>
      <c r="G147" s="649" t="str">
        <f t="shared" si="4"/>
        <v/>
      </c>
      <c r="H147" s="677">
        <v>14.948021390374327</v>
      </c>
      <c r="I147" s="649">
        <f t="shared" si="5"/>
        <v>4.2636203208556114E-2</v>
      </c>
    </row>
    <row r="148" spans="1:9">
      <c r="A148" s="33"/>
      <c r="B148" s="674">
        <v>33960</v>
      </c>
      <c r="C148" s="675">
        <v>0.12300000000000001</v>
      </c>
      <c r="D148" s="661">
        <v>7.6248342245989364E-2</v>
      </c>
      <c r="E148" s="661" t="s">
        <v>1191</v>
      </c>
      <c r="F148" s="676">
        <f t="shared" si="3"/>
        <v>-2.5737596047671607</v>
      </c>
      <c r="G148" s="649" t="str">
        <f t="shared" si="4"/>
        <v/>
      </c>
      <c r="H148" s="677">
        <v>14.853796791443846</v>
      </c>
      <c r="I148" s="649">
        <f t="shared" si="5"/>
        <v>4.6751657754010648E-2</v>
      </c>
    </row>
    <row r="149" spans="1:9">
      <c r="A149" s="33"/>
      <c r="B149" s="674">
        <v>33960</v>
      </c>
      <c r="C149" s="675">
        <v>0.124</v>
      </c>
      <c r="D149" s="661">
        <v>7.6248342245989364E-2</v>
      </c>
      <c r="E149" s="661"/>
      <c r="F149" s="676">
        <f t="shared" si="3"/>
        <v>-2.5737596047671607</v>
      </c>
      <c r="G149" s="649" t="str">
        <f t="shared" si="4"/>
        <v/>
      </c>
      <c r="H149" s="677">
        <v>14.853796791443846</v>
      </c>
      <c r="I149" s="649">
        <f t="shared" si="5"/>
        <v>4.7751657754010635E-2</v>
      </c>
    </row>
    <row r="150" spans="1:9">
      <c r="A150" s="33"/>
      <c r="B150" s="674">
        <v>33968</v>
      </c>
      <c r="C150" s="675">
        <v>0.12</v>
      </c>
      <c r="D150" s="661">
        <v>7.6081443850267397E-2</v>
      </c>
      <c r="E150" s="661"/>
      <c r="F150" s="676">
        <f t="shared" si="3"/>
        <v>-2.5759508828721467</v>
      </c>
      <c r="G150" s="649" t="str">
        <f t="shared" si="4"/>
        <v/>
      </c>
      <c r="H150" s="677">
        <v>14.734973262032087</v>
      </c>
      <c r="I150" s="649">
        <f t="shared" si="5"/>
        <v>4.3918556149732599E-2</v>
      </c>
    </row>
    <row r="151" spans="1:9">
      <c r="A151" s="33"/>
      <c r="B151" s="674">
        <v>33969</v>
      </c>
      <c r="C151" s="675">
        <v>0.12</v>
      </c>
      <c r="D151" s="661">
        <v>7.6055240641711236E-2</v>
      </c>
      <c r="E151" s="661"/>
      <c r="F151" s="676">
        <f t="shared" si="3"/>
        <v>-2.5762953521749026</v>
      </c>
      <c r="G151" s="649" t="str">
        <f t="shared" si="4"/>
        <v/>
      </c>
      <c r="H151" s="677">
        <v>14.712780748663102</v>
      </c>
      <c r="I151" s="649">
        <f t="shared" si="5"/>
        <v>4.394475935828876E-2</v>
      </c>
    </row>
    <row r="152" spans="1:9">
      <c r="A152" s="33"/>
      <c r="B152" s="674">
        <v>33981</v>
      </c>
      <c r="C152" s="675">
        <v>0.12</v>
      </c>
      <c r="D152" s="661">
        <v>7.5857647058823557E-2</v>
      </c>
      <c r="E152" s="661"/>
      <c r="F152" s="676">
        <f t="shared" si="3"/>
        <v>-2.5788967600911135</v>
      </c>
      <c r="G152" s="649" t="str">
        <f t="shared" si="4"/>
        <v/>
      </c>
      <c r="H152" s="677">
        <v>14.565133689839577</v>
      </c>
      <c r="I152" s="649">
        <f t="shared" si="5"/>
        <v>4.4142352941176438E-2</v>
      </c>
    </row>
    <row r="153" spans="1:9">
      <c r="A153" s="33"/>
      <c r="B153" s="674">
        <v>33981</v>
      </c>
      <c r="C153" s="675">
        <v>0.12</v>
      </c>
      <c r="D153" s="661">
        <v>7.5857647058823557E-2</v>
      </c>
      <c r="E153" s="661"/>
      <c r="F153" s="676">
        <f t="shared" si="3"/>
        <v>-2.5788967600911135</v>
      </c>
      <c r="G153" s="649" t="str">
        <f t="shared" si="4"/>
        <v/>
      </c>
      <c r="H153" s="677">
        <v>14.565133689839577</v>
      </c>
      <c r="I153" s="649">
        <f t="shared" si="5"/>
        <v>4.4142352941176438E-2</v>
      </c>
    </row>
    <row r="154" spans="1:9">
      <c r="A154" s="33"/>
      <c r="B154" s="674">
        <v>34002</v>
      </c>
      <c r="C154" s="675">
        <v>0.114</v>
      </c>
      <c r="D154" s="661">
        <v>7.5284759358288808E-2</v>
      </c>
      <c r="E154" s="661"/>
      <c r="F154" s="676">
        <f t="shared" si="3"/>
        <v>-2.5864775636220307</v>
      </c>
      <c r="G154" s="649" t="str">
        <f t="shared" si="4"/>
        <v/>
      </c>
      <c r="H154" s="677">
        <v>14.222834224598934</v>
      </c>
      <c r="I154" s="649">
        <f t="shared" si="5"/>
        <v>3.8715240641711196E-2</v>
      </c>
    </row>
    <row r="155" spans="1:9">
      <c r="A155" s="33"/>
      <c r="B155" s="674">
        <v>34022</v>
      </c>
      <c r="C155" s="675">
        <v>0.11599999999999999</v>
      </c>
      <c r="D155" s="661">
        <v>7.4750053475935857E-2</v>
      </c>
      <c r="E155" s="661"/>
      <c r="F155" s="676">
        <f t="shared" si="3"/>
        <v>-2.5936053513144621</v>
      </c>
      <c r="G155" s="649" t="str">
        <f t="shared" si="4"/>
        <v/>
      </c>
      <c r="H155" s="677">
        <v>14.164438502673804</v>
      </c>
      <c r="I155" s="649">
        <f t="shared" si="5"/>
        <v>4.1249946524064135E-2</v>
      </c>
    </row>
    <row r="156" spans="1:9">
      <c r="A156" s="33"/>
      <c r="B156" s="674">
        <v>34082</v>
      </c>
      <c r="C156" s="675">
        <v>0.11749999999999999</v>
      </c>
      <c r="D156" s="661">
        <v>7.2704598930481271E-2</v>
      </c>
      <c r="E156" s="661"/>
      <c r="F156" s="676">
        <f t="shared" si="3"/>
        <v>-2.6213506374271822</v>
      </c>
      <c r="G156" s="649" t="str">
        <f t="shared" si="4"/>
        <v/>
      </c>
      <c r="H156" s="677">
        <v>13.899893048128348</v>
      </c>
      <c r="I156" s="649">
        <f t="shared" si="5"/>
        <v>4.4795401069518723E-2</v>
      </c>
    </row>
    <row r="157" spans="1:9">
      <c r="A157" s="33"/>
      <c r="B157" s="674">
        <v>34092</v>
      </c>
      <c r="C157" s="675">
        <v>0.115</v>
      </c>
      <c r="D157" s="661">
        <v>7.2540320855614959E-2</v>
      </c>
      <c r="E157" s="661"/>
      <c r="F157" s="676">
        <f t="shared" si="3"/>
        <v>-2.6236127219828349</v>
      </c>
      <c r="G157" s="649" t="str">
        <f t="shared" si="4"/>
        <v/>
      </c>
      <c r="H157" s="677">
        <v>13.89497326203209</v>
      </c>
      <c r="I157" s="649">
        <f t="shared" si="5"/>
        <v>4.2459679144385046E-2</v>
      </c>
    </row>
    <row r="158" spans="1:9">
      <c r="A158" s="33"/>
      <c r="B158" s="674">
        <v>34092</v>
      </c>
      <c r="C158" s="675">
        <v>0.11749999999999999</v>
      </c>
      <c r="D158" s="661">
        <v>7.2540320855614959E-2</v>
      </c>
      <c r="E158" s="661"/>
      <c r="F158" s="676">
        <f t="shared" si="3"/>
        <v>-2.6236127219828349</v>
      </c>
      <c r="G158" s="649" t="str">
        <f t="shared" si="4"/>
        <v/>
      </c>
      <c r="H158" s="677">
        <v>13.89497326203209</v>
      </c>
      <c r="I158" s="649">
        <f t="shared" si="5"/>
        <v>4.4959679144385034E-2</v>
      </c>
    </row>
    <row r="159" spans="1:9">
      <c r="A159" s="33"/>
      <c r="B159" s="674">
        <v>34123</v>
      </c>
      <c r="C159" s="675">
        <v>0.12</v>
      </c>
      <c r="D159" s="661">
        <v>7.2006791443850235E-2</v>
      </c>
      <c r="E159" s="661"/>
      <c r="F159" s="676">
        <f t="shared" si="3"/>
        <v>-2.6309948388054312</v>
      </c>
      <c r="G159" s="649" t="str">
        <f t="shared" si="4"/>
        <v/>
      </c>
      <c r="H159" s="677">
        <v>13.821657754010694</v>
      </c>
      <c r="I159" s="649">
        <f t="shared" si="5"/>
        <v>4.7993208556149761E-2</v>
      </c>
    </row>
    <row r="160" spans="1:9">
      <c r="A160" s="33"/>
      <c r="B160" s="674">
        <v>34127</v>
      </c>
      <c r="C160" s="675">
        <v>0.115</v>
      </c>
      <c r="D160" s="661">
        <v>7.1960748663101579E-2</v>
      </c>
      <c r="E160" s="661"/>
      <c r="F160" s="676">
        <f t="shared" si="3"/>
        <v>-2.6316344660753592</v>
      </c>
      <c r="G160" s="649" t="str">
        <f t="shared" si="4"/>
        <v/>
      </c>
      <c r="H160" s="677">
        <v>13.821229946524063</v>
      </c>
      <c r="I160" s="649">
        <f t="shared" si="5"/>
        <v>4.3039251336898426E-2</v>
      </c>
    </row>
    <row r="161" spans="1:9">
      <c r="A161" s="33"/>
      <c r="B161" s="674">
        <v>34142</v>
      </c>
      <c r="C161" s="675">
        <v>0.11749999999999999</v>
      </c>
      <c r="D161" s="661">
        <v>7.1636256684491958E-2</v>
      </c>
      <c r="E161" s="661"/>
      <c r="F161" s="676">
        <f t="shared" si="3"/>
        <v>-2.6361539549067232</v>
      </c>
      <c r="G161" s="649" t="str">
        <f t="shared" si="4"/>
        <v/>
      </c>
      <c r="H161" s="677">
        <v>13.764117647058823</v>
      </c>
      <c r="I161" s="649">
        <f t="shared" si="5"/>
        <v>4.5863743315508035E-2</v>
      </c>
    </row>
    <row r="162" spans="1:9">
      <c r="A162" s="33"/>
      <c r="B162" s="674">
        <v>34171</v>
      </c>
      <c r="C162" s="675">
        <v>0.11779999999999999</v>
      </c>
      <c r="D162" s="661">
        <v>7.0628663101604289E-2</v>
      </c>
      <c r="E162" s="661"/>
      <c r="F162" s="676">
        <f t="shared" si="3"/>
        <v>-2.6503192239352042</v>
      </c>
      <c r="G162" s="649" t="str">
        <f t="shared" si="4"/>
        <v/>
      </c>
      <c r="H162" s="677">
        <v>13.122566844919787</v>
      </c>
      <c r="I162" s="649">
        <f t="shared" si="5"/>
        <v>4.7171336898395699E-2</v>
      </c>
    </row>
    <row r="163" spans="1:9">
      <c r="A163" s="33"/>
      <c r="B163" s="674">
        <v>34171</v>
      </c>
      <c r="C163" s="675">
        <v>0.11900000000000001</v>
      </c>
      <c r="D163" s="661">
        <v>7.0628663101604289E-2</v>
      </c>
      <c r="E163" s="661"/>
      <c r="F163" s="676">
        <f t="shared" si="3"/>
        <v>-2.6503192239352042</v>
      </c>
      <c r="G163" s="649" t="str">
        <f t="shared" si="4"/>
        <v/>
      </c>
      <c r="H163" s="677">
        <v>13.122566844919787</v>
      </c>
      <c r="I163" s="649">
        <f t="shared" si="5"/>
        <v>4.837133689839572E-2</v>
      </c>
    </row>
    <row r="164" spans="1:9">
      <c r="A164" s="33"/>
      <c r="B164" s="674">
        <v>34173</v>
      </c>
      <c r="C164" s="675">
        <v>0.115</v>
      </c>
      <c r="D164" s="661">
        <v>7.0524171122994653E-2</v>
      </c>
      <c r="E164" s="661"/>
      <c r="F164" s="676">
        <f t="shared" si="3"/>
        <v>-2.6517997751160731</v>
      </c>
      <c r="G164" s="649" t="str">
        <f t="shared" si="4"/>
        <v/>
      </c>
      <c r="H164" s="677">
        <v>13.07032085561497</v>
      </c>
      <c r="I164" s="649">
        <f t="shared" si="5"/>
        <v>4.4475828877005352E-2</v>
      </c>
    </row>
    <row r="165" spans="1:9">
      <c r="A165" s="33"/>
      <c r="B165" s="674">
        <v>34179</v>
      </c>
      <c r="C165" s="675">
        <v>0.115</v>
      </c>
      <c r="D165" s="661">
        <v>7.0294759358288758E-2</v>
      </c>
      <c r="E165" s="661"/>
      <c r="F165" s="676">
        <f t="shared" si="3"/>
        <v>-2.6550580297680435</v>
      </c>
      <c r="G165" s="649" t="str">
        <f t="shared" si="4"/>
        <v/>
      </c>
      <c r="H165" s="677">
        <v>12.97122994652406</v>
      </c>
      <c r="I165" s="649">
        <f t="shared" si="5"/>
        <v>4.4705240641711247E-2</v>
      </c>
    </row>
    <row r="166" spans="1:9">
      <c r="A166" s="33"/>
      <c r="B166" s="674">
        <v>34193</v>
      </c>
      <c r="C166" s="675">
        <v>0.1075</v>
      </c>
      <c r="D166" s="661">
        <v>6.9722941176470585E-2</v>
      </c>
      <c r="E166" s="661"/>
      <c r="F166" s="676">
        <f t="shared" si="3"/>
        <v>-2.663225873671184</v>
      </c>
      <c r="G166" s="649" t="str">
        <f t="shared" si="4"/>
        <v/>
      </c>
      <c r="H166" s="677">
        <v>12.800053475935828</v>
      </c>
      <c r="I166" s="649">
        <f t="shared" si="5"/>
        <v>3.7777058823529414E-2</v>
      </c>
    </row>
    <row r="167" spans="1:9">
      <c r="A167" s="33"/>
      <c r="B167" s="674">
        <v>34205</v>
      </c>
      <c r="C167" s="675">
        <v>0.115</v>
      </c>
      <c r="D167" s="661">
        <v>6.916513368983955E-2</v>
      </c>
      <c r="E167" s="661"/>
      <c r="F167" s="676">
        <f t="shared" si="3"/>
        <v>-2.6712583917455004</v>
      </c>
      <c r="G167" s="649" t="str">
        <f t="shared" si="4"/>
        <v/>
      </c>
      <c r="H167" s="677">
        <v>12.711978609625666</v>
      </c>
      <c r="I167" s="649">
        <f t="shared" si="5"/>
        <v>4.5834866310160455E-2</v>
      </c>
    </row>
    <row r="168" spans="1:9">
      <c r="A168" s="33"/>
      <c r="B168" s="674">
        <v>34212</v>
      </c>
      <c r="C168" s="675">
        <v>0.11900000000000001</v>
      </c>
      <c r="D168" s="661">
        <v>6.881069518716576E-2</v>
      </c>
      <c r="E168" s="661"/>
      <c r="F168" s="676">
        <f t="shared" si="3"/>
        <v>-2.6763960928226238</v>
      </c>
      <c r="G168" s="649" t="str">
        <f t="shared" si="4"/>
        <v/>
      </c>
      <c r="H168" s="677">
        <v>12.694652406417106</v>
      </c>
      <c r="I168" s="649">
        <f t="shared" si="5"/>
        <v>5.0189304812834248E-2</v>
      </c>
    </row>
    <row r="169" spans="1:9">
      <c r="A169" s="33"/>
      <c r="B169" s="674">
        <v>34213</v>
      </c>
      <c r="C169" s="675">
        <v>0.1125</v>
      </c>
      <c r="D169" s="661">
        <v>6.8738395721925138E-2</v>
      </c>
      <c r="E169" s="661"/>
      <c r="F169" s="676">
        <f t="shared" si="3"/>
        <v>-2.6774473461812778</v>
      </c>
      <c r="G169" s="649" t="str">
        <f t="shared" si="4"/>
        <v/>
      </c>
      <c r="H169" s="677">
        <v>12.692887700534754</v>
      </c>
      <c r="I169" s="649">
        <f t="shared" si="5"/>
        <v>4.3761604278074864E-2</v>
      </c>
    </row>
    <row r="170" spans="1:9">
      <c r="A170" s="33"/>
      <c r="B170" s="674">
        <v>34213</v>
      </c>
      <c r="C170" s="675">
        <v>0.11470000000000001</v>
      </c>
      <c r="D170" s="661">
        <v>6.8738395721925138E-2</v>
      </c>
      <c r="E170" s="661"/>
      <c r="F170" s="676">
        <f t="shared" si="3"/>
        <v>-2.6774473461812778</v>
      </c>
      <c r="G170" s="649" t="str">
        <f t="shared" si="4"/>
        <v/>
      </c>
      <c r="H170" s="677">
        <v>12.692887700534754</v>
      </c>
      <c r="I170" s="649">
        <f t="shared" si="5"/>
        <v>4.5961604278074872E-2</v>
      </c>
    </row>
    <row r="171" spans="1:9">
      <c r="A171" s="33"/>
      <c r="B171" s="674">
        <v>34239</v>
      </c>
      <c r="C171" s="675">
        <v>0.105</v>
      </c>
      <c r="D171" s="661">
        <v>6.7392941176470586E-2</v>
      </c>
      <c r="E171" s="661">
        <v>7.7278609625668432E-2</v>
      </c>
      <c r="F171" s="676">
        <f t="shared" si="3"/>
        <v>-2.6972149968679062</v>
      </c>
      <c r="G171" s="649">
        <f t="shared" si="4"/>
        <v>9.8856684491978458E-3</v>
      </c>
      <c r="H171" s="677">
        <v>12.777540106951871</v>
      </c>
      <c r="I171" s="649">
        <f t="shared" si="5"/>
        <v>3.760705882352941E-2</v>
      </c>
    </row>
    <row r="172" spans="1:9">
      <c r="A172" s="33"/>
      <c r="B172" s="674">
        <v>34241</v>
      </c>
      <c r="C172" s="675">
        <v>0.11</v>
      </c>
      <c r="D172" s="661">
        <v>6.7233850267379686E-2</v>
      </c>
      <c r="E172" s="661">
        <v>7.7137967914438485E-2</v>
      </c>
      <c r="F172" s="676">
        <f t="shared" si="3"/>
        <v>-2.6995784340625284</v>
      </c>
      <c r="G172" s="649">
        <f t="shared" si="4"/>
        <v>9.9041176470587994E-3</v>
      </c>
      <c r="H172" s="677">
        <v>12.771604278074866</v>
      </c>
      <c r="I172" s="649">
        <f t="shared" si="5"/>
        <v>4.2766149732620315E-2</v>
      </c>
    </row>
    <row r="173" spans="1:9">
      <c r="A173" s="33"/>
      <c r="B173" s="674">
        <v>34242</v>
      </c>
      <c r="C173" s="675">
        <v>0.11599999999999999</v>
      </c>
      <c r="D173" s="661">
        <v>6.7156256684491974E-2</v>
      </c>
      <c r="E173" s="661">
        <v>7.7069518716577509E-2</v>
      </c>
      <c r="F173" s="676">
        <f t="shared" si="3"/>
        <v>-2.7007331856029491</v>
      </c>
      <c r="G173" s="649">
        <f t="shared" si="4"/>
        <v>9.9132620320855347E-3</v>
      </c>
      <c r="H173" s="677">
        <v>12.769679144385023</v>
      </c>
      <c r="I173" s="649">
        <f t="shared" si="5"/>
        <v>4.8843743315508018E-2</v>
      </c>
    </row>
    <row r="174" spans="1:9">
      <c r="A174" s="33"/>
      <c r="B174" s="674">
        <v>34250</v>
      </c>
      <c r="C174" s="675">
        <v>0.115</v>
      </c>
      <c r="D174" s="661">
        <v>6.6717647058823507E-2</v>
      </c>
      <c r="E174" s="661">
        <v>7.6651871657754E-2</v>
      </c>
      <c r="F174" s="676">
        <f t="shared" si="3"/>
        <v>-2.7072857874584257</v>
      </c>
      <c r="G174" s="649">
        <f t="shared" si="4"/>
        <v>9.9342245989304939E-3</v>
      </c>
      <c r="H174" s="677">
        <v>12.746096256684492</v>
      </c>
      <c r="I174" s="649">
        <f t="shared" si="5"/>
        <v>4.8282352941176498E-2</v>
      </c>
    </row>
    <row r="175" spans="1:9">
      <c r="A175" s="33"/>
      <c r="B175" s="674">
        <v>34256</v>
      </c>
      <c r="C175" s="675">
        <v>0.11199999999999999</v>
      </c>
      <c r="D175" s="661">
        <v>6.6498074866310139E-2</v>
      </c>
      <c r="E175" s="661">
        <v>7.6364705882352918E-2</v>
      </c>
      <c r="F175" s="676">
        <f t="shared" si="3"/>
        <v>-2.7105822811181648</v>
      </c>
      <c r="G175" s="649">
        <f t="shared" si="4"/>
        <v>9.8666310160427789E-3</v>
      </c>
      <c r="H175" s="677">
        <v>12.745775401069517</v>
      </c>
      <c r="I175" s="649">
        <f t="shared" si="5"/>
        <v>4.5501925133689849E-2</v>
      </c>
    </row>
    <row r="176" spans="1:9">
      <c r="A176" s="33"/>
      <c r="B176" s="674">
        <v>34257</v>
      </c>
      <c r="C176" s="675">
        <v>0.11749999999999999</v>
      </c>
      <c r="D176" s="661">
        <v>6.6419518716577516E-2</v>
      </c>
      <c r="E176" s="661">
        <v>7.6291978609625652E-2</v>
      </c>
      <c r="F176" s="676">
        <f t="shared" si="3"/>
        <v>-2.7117643091215551</v>
      </c>
      <c r="G176" s="649">
        <f t="shared" si="4"/>
        <v>9.8724598930481355E-3</v>
      </c>
      <c r="H176" s="677">
        <v>12.73893048128342</v>
      </c>
      <c r="I176" s="649">
        <f t="shared" si="5"/>
        <v>5.1080481283422477E-2</v>
      </c>
    </row>
    <row r="177" spans="1:9">
      <c r="A177" s="33"/>
      <c r="B177" s="674">
        <v>34267</v>
      </c>
      <c r="C177" s="675">
        <v>0.11550000000000001</v>
      </c>
      <c r="D177" s="661">
        <v>6.5997165775401059E-2</v>
      </c>
      <c r="E177" s="661">
        <v>7.5908021390374308E-2</v>
      </c>
      <c r="F177" s="676">
        <f t="shared" si="3"/>
        <v>-2.7181434806747333</v>
      </c>
      <c r="G177" s="649">
        <f t="shared" si="4"/>
        <v>9.9108556149732491E-3</v>
      </c>
      <c r="H177" s="677">
        <v>12.73304812834224</v>
      </c>
      <c r="I177" s="649">
        <f t="shared" si="5"/>
        <v>4.9502834224598946E-2</v>
      </c>
    </row>
    <row r="178" spans="1:9">
      <c r="A178" s="33"/>
      <c r="B178" s="674">
        <v>34270</v>
      </c>
      <c r="C178" s="675">
        <v>0.115</v>
      </c>
      <c r="D178" s="661">
        <v>6.5804598930481267E-2</v>
      </c>
      <c r="E178" s="661">
        <v>7.5745989304812814E-2</v>
      </c>
      <c r="F178" s="676">
        <f t="shared" si="3"/>
        <v>-2.7210655505327312</v>
      </c>
      <c r="G178" s="649">
        <f t="shared" si="4"/>
        <v>9.9413903743315463E-3</v>
      </c>
      <c r="H178" s="677">
        <v>12.726203208556145</v>
      </c>
      <c r="I178" s="649">
        <f t="shared" si="5"/>
        <v>4.9195401069518738E-2</v>
      </c>
    </row>
    <row r="179" spans="1:9">
      <c r="A179" s="33"/>
      <c r="B179" s="674">
        <v>34271</v>
      </c>
      <c r="C179" s="675">
        <v>0.10099999999999999</v>
      </c>
      <c r="D179" s="661">
        <v>6.5738877005347585E-2</v>
      </c>
      <c r="E179" s="661">
        <v>7.5690374331550778E-2</v>
      </c>
      <c r="F179" s="676">
        <f t="shared" si="3"/>
        <v>-2.722064793256624</v>
      </c>
      <c r="G179" s="649">
        <f t="shared" si="4"/>
        <v>9.9514973262031931E-3</v>
      </c>
      <c r="H179" s="677">
        <v>12.72267379679144</v>
      </c>
      <c r="I179" s="649">
        <f t="shared" si="5"/>
        <v>3.5261122994652408E-2</v>
      </c>
    </row>
    <row r="180" spans="1:9">
      <c r="A180" s="33"/>
      <c r="B180" s="674">
        <v>34271</v>
      </c>
      <c r="C180" s="675">
        <v>0.10199999999999999</v>
      </c>
      <c r="D180" s="661">
        <v>6.5738877005347585E-2</v>
      </c>
      <c r="E180" s="661">
        <v>7.5690374331550778E-2</v>
      </c>
      <c r="F180" s="676">
        <f t="shared" si="3"/>
        <v>-2.722064793256624</v>
      </c>
      <c r="G180" s="649">
        <f t="shared" si="4"/>
        <v>9.9514973262031931E-3</v>
      </c>
      <c r="H180" s="677">
        <v>12.72267379679144</v>
      </c>
      <c r="I180" s="649">
        <f t="shared" si="5"/>
        <v>3.6261122994652409E-2</v>
      </c>
    </row>
    <row r="181" spans="1:9">
      <c r="A181" s="33"/>
      <c r="B181" s="674">
        <v>34271</v>
      </c>
      <c r="C181" s="675">
        <v>0.1125</v>
      </c>
      <c r="D181" s="661">
        <v>6.5738877005347585E-2</v>
      </c>
      <c r="E181" s="661">
        <v>7.5690374331550778E-2</v>
      </c>
      <c r="F181" s="676">
        <f t="shared" si="3"/>
        <v>-2.722064793256624</v>
      </c>
      <c r="G181" s="649">
        <f t="shared" si="4"/>
        <v>9.9514973262031931E-3</v>
      </c>
      <c r="H181" s="677">
        <v>12.72267379679144</v>
      </c>
      <c r="I181" s="649">
        <f t="shared" si="5"/>
        <v>4.6761122994652418E-2</v>
      </c>
    </row>
    <row r="182" spans="1:9">
      <c r="A182" s="33"/>
      <c r="B182" s="674">
        <v>34275</v>
      </c>
      <c r="C182" s="675">
        <v>0.10800000000000001</v>
      </c>
      <c r="D182" s="661">
        <v>6.5612727272727267E-2</v>
      </c>
      <c r="E182" s="661">
        <v>7.5589304812834199E-2</v>
      </c>
      <c r="F182" s="676">
        <f t="shared" si="3"/>
        <v>-2.7239855885464714</v>
      </c>
      <c r="G182" s="649">
        <f t="shared" si="4"/>
        <v>9.9765775401069318E-3</v>
      </c>
      <c r="H182" s="677">
        <v>12.713743315508014</v>
      </c>
      <c r="I182" s="649">
        <f t="shared" si="5"/>
        <v>4.2387272727272746E-2</v>
      </c>
    </row>
    <row r="183" spans="1:9">
      <c r="A183" s="33"/>
      <c r="B183" s="674">
        <v>34285</v>
      </c>
      <c r="C183" s="675">
        <v>0.11800000000000001</v>
      </c>
      <c r="D183" s="661">
        <v>6.5278930481283429E-2</v>
      </c>
      <c r="E183" s="661">
        <v>7.5284491978609633E-2</v>
      </c>
      <c r="F183" s="676">
        <f t="shared" si="3"/>
        <v>-2.7290859520192683</v>
      </c>
      <c r="G183" s="649">
        <f t="shared" si="4"/>
        <v>1.0005561497326204E-2</v>
      </c>
      <c r="H183" s="677">
        <v>12.711978609625666</v>
      </c>
      <c r="I183" s="649">
        <f t="shared" si="5"/>
        <v>5.2721069518716579E-2</v>
      </c>
    </row>
    <row r="184" spans="1:9">
      <c r="A184" s="33"/>
      <c r="B184" s="674">
        <v>34296</v>
      </c>
      <c r="C184" s="675">
        <v>0.125</v>
      </c>
      <c r="D184" s="661">
        <v>6.5055721925133703E-2</v>
      </c>
      <c r="E184" s="661">
        <v>7.5053475935828881E-2</v>
      </c>
      <c r="F184" s="676">
        <f t="shared" si="3"/>
        <v>-2.7325111159376489</v>
      </c>
      <c r="G184" s="649">
        <f t="shared" si="4"/>
        <v>9.9977540106951784E-3</v>
      </c>
      <c r="H184" s="677">
        <v>12.738663101604278</v>
      </c>
      <c r="I184" s="649">
        <f t="shared" si="5"/>
        <v>5.9944278074866297E-2</v>
      </c>
    </row>
    <row r="185" spans="1:9">
      <c r="A185" s="33"/>
      <c r="B185" s="674">
        <v>34299</v>
      </c>
      <c r="C185" s="675">
        <v>0.11</v>
      </c>
      <c r="D185" s="661">
        <v>6.4985614973262051E-2</v>
      </c>
      <c r="E185" s="661">
        <v>7.4995187165775412E-2</v>
      </c>
      <c r="F185" s="676">
        <f t="shared" si="3"/>
        <v>-2.7335893416824129</v>
      </c>
      <c r="G185" s="649">
        <f t="shared" si="4"/>
        <v>1.0009572192513361E-2</v>
      </c>
      <c r="H185" s="677">
        <v>12.74754010695187</v>
      </c>
      <c r="I185" s="649">
        <f t="shared" si="5"/>
        <v>4.5014385026737949E-2</v>
      </c>
    </row>
    <row r="186" spans="1:9">
      <c r="A186" s="33"/>
      <c r="B186" s="674">
        <v>34304</v>
      </c>
      <c r="C186" s="675">
        <v>0.11449999999999999</v>
      </c>
      <c r="D186" s="661">
        <v>6.4907540106951878E-2</v>
      </c>
      <c r="E186" s="661">
        <v>7.4911764705882358E-2</v>
      </c>
      <c r="F186" s="676">
        <f t="shared" si="3"/>
        <v>-2.7347914816360444</v>
      </c>
      <c r="G186" s="649">
        <f t="shared" si="4"/>
        <v>1.0004224598930481E-2</v>
      </c>
      <c r="H186" s="677">
        <v>12.736684491978609</v>
      </c>
      <c r="I186" s="649">
        <f t="shared" si="5"/>
        <v>4.9592459893048113E-2</v>
      </c>
    </row>
    <row r="187" spans="1:9">
      <c r="A187" s="33"/>
      <c r="B187" s="674">
        <v>34319</v>
      </c>
      <c r="C187" s="675">
        <v>0.106</v>
      </c>
      <c r="D187" s="661">
        <v>6.4546363636363624E-2</v>
      </c>
      <c r="E187" s="661">
        <v>7.4569518716577535E-2</v>
      </c>
      <c r="F187" s="676">
        <f t="shared" si="3"/>
        <v>-2.7403714973372901</v>
      </c>
      <c r="G187" s="649">
        <f t="shared" si="4"/>
        <v>1.0023155080213911E-2</v>
      </c>
      <c r="H187" s="677">
        <v>12.614331550802138</v>
      </c>
      <c r="I187" s="649">
        <f t="shared" si="5"/>
        <v>4.1453636363636373E-2</v>
      </c>
    </row>
    <row r="188" spans="1:9">
      <c r="A188" s="33"/>
      <c r="B188" s="674">
        <v>34319</v>
      </c>
      <c r="C188" s="675">
        <v>0.11199999999999999</v>
      </c>
      <c r="D188" s="661">
        <v>6.4546363636363624E-2</v>
      </c>
      <c r="E188" s="661">
        <v>7.4569518716577535E-2</v>
      </c>
      <c r="F188" s="676">
        <f t="shared" ref="F188:F251" si="6">LN(D188)</f>
        <v>-2.7403714973372901</v>
      </c>
      <c r="G188" s="649">
        <f t="shared" ref="G188:G251" si="7">IF(E188="","",E188-D188)</f>
        <v>1.0023155080213911E-2</v>
      </c>
      <c r="H188" s="677">
        <v>12.614331550802138</v>
      </c>
      <c r="I188" s="649">
        <f t="shared" ref="I188:I251" si="8">C188-D188</f>
        <v>4.7453636363636365E-2</v>
      </c>
    </row>
    <row r="189" spans="1:9">
      <c r="A189" s="33"/>
      <c r="B189" s="674">
        <v>34324</v>
      </c>
      <c r="C189" s="675">
        <v>0.113</v>
      </c>
      <c r="D189" s="661">
        <v>6.4448288770053472E-2</v>
      </c>
      <c r="E189" s="661">
        <v>7.4488770053475956E-2</v>
      </c>
      <c r="F189" s="676">
        <f t="shared" si="6"/>
        <v>-2.7418921012286646</v>
      </c>
      <c r="G189" s="649">
        <f t="shared" si="7"/>
        <v>1.0040481283422484E-2</v>
      </c>
      <c r="H189" s="677">
        <v>12.588556149732616</v>
      </c>
      <c r="I189" s="649">
        <f t="shared" si="8"/>
        <v>4.8551711229946531E-2</v>
      </c>
    </row>
    <row r="190" spans="1:9">
      <c r="A190" s="33"/>
      <c r="B190" s="674">
        <v>34325</v>
      </c>
      <c r="C190" s="675">
        <v>0.11</v>
      </c>
      <c r="D190" s="661">
        <v>6.4408502673796775E-2</v>
      </c>
      <c r="E190" s="661">
        <v>7.4456149732620339E-2</v>
      </c>
      <c r="F190" s="676">
        <f t="shared" si="6"/>
        <v>-2.7425096254906798</v>
      </c>
      <c r="G190" s="649">
        <f t="shared" si="7"/>
        <v>1.0047647058823564E-2</v>
      </c>
      <c r="H190" s="677">
        <v>12.570802139037429</v>
      </c>
      <c r="I190" s="649">
        <f t="shared" si="8"/>
        <v>4.5591497326203226E-2</v>
      </c>
    </row>
    <row r="191" spans="1:9">
      <c r="A191" s="33"/>
      <c r="B191" s="674">
        <v>34326</v>
      </c>
      <c r="C191" s="675">
        <v>0.10099999999999999</v>
      </c>
      <c r="D191" s="661">
        <v>6.4363582887700527E-2</v>
      </c>
      <c r="E191" s="661">
        <v>7.4420855614973275E-2</v>
      </c>
      <c r="F191" s="676">
        <f t="shared" si="6"/>
        <v>-2.7432072889279442</v>
      </c>
      <c r="G191" s="649">
        <f t="shared" si="7"/>
        <v>1.0057272727272748E-2</v>
      </c>
      <c r="H191" s="677">
        <v>12.556096256684487</v>
      </c>
      <c r="I191" s="649">
        <f t="shared" si="8"/>
        <v>3.6636417112299466E-2</v>
      </c>
    </row>
    <row r="192" spans="1:9">
      <c r="A192" s="33"/>
      <c r="B192" s="674">
        <v>34339</v>
      </c>
      <c r="C192" s="675">
        <v>0.115</v>
      </c>
      <c r="D192" s="661">
        <v>6.4101443850267364E-2</v>
      </c>
      <c r="E192" s="661">
        <v>7.4188235294117666E-2</v>
      </c>
      <c r="F192" s="676">
        <f t="shared" si="6"/>
        <v>-2.7472883903440266</v>
      </c>
      <c r="G192" s="649">
        <f t="shared" si="7"/>
        <v>1.0086791443850301E-2</v>
      </c>
      <c r="H192" s="677">
        <v>12.454171122994651</v>
      </c>
      <c r="I192" s="649">
        <f t="shared" si="8"/>
        <v>5.0898556149732641E-2</v>
      </c>
    </row>
    <row r="193" spans="1:9">
      <c r="A193" s="33"/>
      <c r="B193" s="674">
        <v>34344</v>
      </c>
      <c r="C193" s="675">
        <v>0.11</v>
      </c>
      <c r="D193" s="661">
        <v>6.4025882352941169E-2</v>
      </c>
      <c r="E193" s="661">
        <v>7.4112834224598925E-2</v>
      </c>
      <c r="F193" s="676">
        <f t="shared" si="6"/>
        <v>-2.7484678656101567</v>
      </c>
      <c r="G193" s="649">
        <f t="shared" si="7"/>
        <v>1.0086951871657757E-2</v>
      </c>
      <c r="H193" s="677">
        <v>12.446417112299461</v>
      </c>
      <c r="I193" s="649">
        <f t="shared" si="8"/>
        <v>4.5974117647058832E-2</v>
      </c>
    </row>
    <row r="194" spans="1:9">
      <c r="A194" s="33"/>
      <c r="B194" s="674">
        <v>34359</v>
      </c>
      <c r="C194" s="675">
        <v>0.12</v>
      </c>
      <c r="D194" s="661">
        <v>6.3696791443850265E-2</v>
      </c>
      <c r="E194" s="661">
        <v>7.3845454545454534E-2</v>
      </c>
      <c r="F194" s="676">
        <f t="shared" si="6"/>
        <v>-2.7536210874708891</v>
      </c>
      <c r="G194" s="649">
        <f t="shared" si="7"/>
        <v>1.0148663101604269E-2</v>
      </c>
      <c r="H194" s="677">
        <v>12.37</v>
      </c>
      <c r="I194" s="649">
        <f t="shared" si="8"/>
        <v>5.6303208556149731E-2</v>
      </c>
    </row>
    <row r="195" spans="1:9">
      <c r="A195" s="33"/>
      <c r="B195" s="674">
        <v>34367</v>
      </c>
      <c r="C195" s="675">
        <v>0.10400000000000001</v>
      </c>
      <c r="D195" s="661">
        <v>6.3511925133689848E-2</v>
      </c>
      <c r="E195" s="661">
        <v>7.3685561497326205E-2</v>
      </c>
      <c r="F195" s="676">
        <f t="shared" si="6"/>
        <v>-2.7565275933342694</v>
      </c>
      <c r="G195" s="649">
        <f t="shared" si="7"/>
        <v>1.0173636363636357E-2</v>
      </c>
      <c r="H195" s="677">
        <v>12.294759358288768</v>
      </c>
      <c r="I195" s="649">
        <f t="shared" si="8"/>
        <v>4.0488074866310161E-2</v>
      </c>
    </row>
    <row r="196" spans="1:9">
      <c r="A196" s="33"/>
      <c r="B196" s="674">
        <v>34374</v>
      </c>
      <c r="C196" s="675">
        <v>0.107</v>
      </c>
      <c r="D196" s="661">
        <v>6.3352780748663101E-2</v>
      </c>
      <c r="E196" s="661">
        <v>7.3574331550802133E-2</v>
      </c>
      <c r="F196" s="676">
        <f t="shared" si="6"/>
        <v>-2.7590364781718257</v>
      </c>
      <c r="G196" s="649">
        <f t="shared" si="7"/>
        <v>1.0221550802139032E-2</v>
      </c>
      <c r="H196" s="677">
        <v>12.277272727272724</v>
      </c>
      <c r="I196" s="649">
        <f t="shared" si="8"/>
        <v>4.3647219251336897E-2</v>
      </c>
    </row>
    <row r="197" spans="1:9">
      <c r="A197" s="33"/>
      <c r="B197" s="674">
        <v>34430</v>
      </c>
      <c r="C197" s="675">
        <v>0.1124</v>
      </c>
      <c r="D197" s="661">
        <v>6.3452727272727258E-2</v>
      </c>
      <c r="E197" s="661">
        <v>7.3591443850267363E-2</v>
      </c>
      <c r="F197" s="676">
        <f t="shared" si="6"/>
        <v>-2.757460102723778</v>
      </c>
      <c r="G197" s="649">
        <f t="shared" si="7"/>
        <v>1.0138716577540105E-2</v>
      </c>
      <c r="H197" s="677">
        <v>12.795133689839568</v>
      </c>
      <c r="I197" s="649">
        <f t="shared" si="8"/>
        <v>4.8947272727272742E-2</v>
      </c>
    </row>
    <row r="198" spans="1:9">
      <c r="A198" s="33"/>
      <c r="B198" s="674">
        <v>34449</v>
      </c>
      <c r="C198" s="675">
        <v>0.11</v>
      </c>
      <c r="D198" s="661">
        <v>6.3913422459893024E-2</v>
      </c>
      <c r="E198" s="661">
        <v>7.40716577540107E-2</v>
      </c>
      <c r="F198" s="676">
        <f t="shared" si="6"/>
        <v>-2.7502258855115005</v>
      </c>
      <c r="G198" s="649">
        <f t="shared" si="7"/>
        <v>1.0158235294117676E-2</v>
      </c>
      <c r="H198" s="677">
        <v>13.144652406417103</v>
      </c>
      <c r="I198" s="649">
        <f t="shared" si="8"/>
        <v>4.6086577540106977E-2</v>
      </c>
    </row>
    <row r="199" spans="1:9">
      <c r="A199" s="33"/>
      <c r="B199" s="674">
        <v>34501</v>
      </c>
      <c r="C199" s="675">
        <v>0.105</v>
      </c>
      <c r="D199" s="661">
        <v>6.6347112299465258E-2</v>
      </c>
      <c r="E199" s="661">
        <v>7.6209090909090907E-2</v>
      </c>
      <c r="F199" s="676">
        <f t="shared" si="6"/>
        <v>-2.7128550413896955</v>
      </c>
      <c r="G199" s="649">
        <f t="shared" si="7"/>
        <v>9.861978609625649E-3</v>
      </c>
      <c r="H199" s="677">
        <v>13.38304812834224</v>
      </c>
      <c r="I199" s="649">
        <f t="shared" si="8"/>
        <v>3.8652887700534738E-2</v>
      </c>
    </row>
    <row r="200" spans="1:9">
      <c r="A200" s="33"/>
      <c r="B200" s="674">
        <v>34508</v>
      </c>
      <c r="C200" s="675">
        <v>0.106</v>
      </c>
      <c r="D200" s="661">
        <v>6.6737219251336924E-2</v>
      </c>
      <c r="E200" s="661">
        <v>7.6539572192513339E-2</v>
      </c>
      <c r="F200" s="676">
        <f t="shared" si="6"/>
        <v>-2.7069924719249441</v>
      </c>
      <c r="G200" s="649">
        <f t="shared" si="7"/>
        <v>9.8023529411764149E-3</v>
      </c>
      <c r="H200" s="677">
        <v>13.381657754010689</v>
      </c>
      <c r="I200" s="649">
        <f t="shared" si="8"/>
        <v>3.9262780748663073E-2</v>
      </c>
    </row>
    <row r="201" spans="1:9">
      <c r="A201" s="33"/>
      <c r="B201" s="674">
        <v>34534</v>
      </c>
      <c r="C201" s="675">
        <v>0.107</v>
      </c>
      <c r="D201" s="661">
        <v>6.8323850267379707E-2</v>
      </c>
      <c r="E201" s="661">
        <v>7.7860962566844868E-2</v>
      </c>
      <c r="F201" s="676">
        <f t="shared" si="6"/>
        <v>-2.6834963747171297</v>
      </c>
      <c r="G201" s="649">
        <f t="shared" si="7"/>
        <v>9.5371122994651614E-3</v>
      </c>
      <c r="H201" s="677">
        <v>13.53187165775401</v>
      </c>
      <c r="I201" s="649">
        <f t="shared" si="8"/>
        <v>3.8676149732620291E-2</v>
      </c>
    </row>
    <row r="202" spans="1:9">
      <c r="A202" s="33"/>
      <c r="B202" s="674">
        <v>34606</v>
      </c>
      <c r="C202" s="675">
        <v>0.109</v>
      </c>
      <c r="D202" s="661">
        <v>7.2045668449197839E-2</v>
      </c>
      <c r="E202" s="661">
        <v>8.1048663101604218E-2</v>
      </c>
      <c r="F202" s="676">
        <f t="shared" si="6"/>
        <v>-2.6304550770225315</v>
      </c>
      <c r="G202" s="649">
        <f t="shared" si="7"/>
        <v>9.0029946524063792E-3</v>
      </c>
      <c r="H202" s="677">
        <v>13.478342245989305</v>
      </c>
      <c r="I202" s="649">
        <f t="shared" si="8"/>
        <v>3.6954331550802161E-2</v>
      </c>
    </row>
    <row r="203" spans="1:9">
      <c r="A203" s="33"/>
      <c r="B203" s="674">
        <v>34606</v>
      </c>
      <c r="C203" s="675">
        <v>0.11</v>
      </c>
      <c r="D203" s="661">
        <v>7.2045668449197839E-2</v>
      </c>
      <c r="E203" s="661">
        <v>8.1048663101604218E-2</v>
      </c>
      <c r="F203" s="676">
        <f t="shared" si="6"/>
        <v>-2.6304550770225315</v>
      </c>
      <c r="G203" s="649">
        <f t="shared" si="7"/>
        <v>9.0029946524063792E-3</v>
      </c>
      <c r="H203" s="677">
        <v>13.478342245989305</v>
      </c>
      <c r="I203" s="649">
        <f t="shared" si="8"/>
        <v>3.7954331550802162E-2</v>
      </c>
    </row>
    <row r="204" spans="1:9">
      <c r="A204" s="33"/>
      <c r="B204" s="674">
        <v>34614</v>
      </c>
      <c r="C204" s="675">
        <v>0.11869999999999999</v>
      </c>
      <c r="D204" s="661">
        <v>7.2567647058823501E-2</v>
      </c>
      <c r="E204" s="661">
        <v>8.1506417112299404E-2</v>
      </c>
      <c r="F204" s="676">
        <f t="shared" si="6"/>
        <v>-2.6232360892737656</v>
      </c>
      <c r="G204" s="649">
        <f t="shared" si="7"/>
        <v>8.9387700534759029E-3</v>
      </c>
      <c r="H204" s="677">
        <v>13.619251336898399</v>
      </c>
      <c r="I204" s="649">
        <f t="shared" si="8"/>
        <v>4.6132352941176485E-2</v>
      </c>
    </row>
    <row r="205" spans="1:9">
      <c r="A205" s="33"/>
      <c r="B205" s="674">
        <v>34625</v>
      </c>
      <c r="C205" s="675">
        <v>0.115</v>
      </c>
      <c r="D205" s="661">
        <v>7.3159358288770016E-2</v>
      </c>
      <c r="E205" s="661">
        <v>8.2070588235294062E-2</v>
      </c>
      <c r="F205" s="676">
        <f t="shared" si="6"/>
        <v>-2.6151152268378803</v>
      </c>
      <c r="G205" s="649">
        <f t="shared" si="7"/>
        <v>8.9112299465240463E-3</v>
      </c>
      <c r="H205" s="677">
        <v>13.721069518716586</v>
      </c>
      <c r="I205" s="649">
        <f t="shared" si="8"/>
        <v>4.1840641711229989E-2</v>
      </c>
    </row>
    <row r="206" spans="1:9">
      <c r="A206" s="33"/>
      <c r="B206" s="674">
        <v>34625</v>
      </c>
      <c r="C206" s="675">
        <v>0.115</v>
      </c>
      <c r="D206" s="661">
        <v>7.3159358288770016E-2</v>
      </c>
      <c r="E206" s="661">
        <v>8.2070588235294062E-2</v>
      </c>
      <c r="F206" s="676">
        <f t="shared" si="6"/>
        <v>-2.6151152268378803</v>
      </c>
      <c r="G206" s="649">
        <f t="shared" si="7"/>
        <v>8.9112299465240463E-3</v>
      </c>
      <c r="H206" s="677">
        <v>13.721069518716586</v>
      </c>
      <c r="I206" s="649">
        <f t="shared" si="8"/>
        <v>4.1840641711229989E-2</v>
      </c>
    </row>
    <row r="207" spans="1:9">
      <c r="A207" s="33"/>
      <c r="B207" s="674">
        <v>34631</v>
      </c>
      <c r="C207" s="675">
        <v>0.11</v>
      </c>
      <c r="D207" s="661">
        <v>7.352133689839567E-2</v>
      </c>
      <c r="E207" s="661">
        <v>8.2408556149732567E-2</v>
      </c>
      <c r="F207" s="676">
        <f t="shared" si="6"/>
        <v>-2.6101796169542832</v>
      </c>
      <c r="G207" s="649">
        <f>IF(E207="","",E207-D207)</f>
        <v>8.8872192513368975E-3</v>
      </c>
      <c r="H207" s="677">
        <v>13.82139037433156</v>
      </c>
      <c r="I207" s="649">
        <f t="shared" si="8"/>
        <v>3.6478663101604331E-2</v>
      </c>
    </row>
    <row r="208" spans="1:9">
      <c r="A208" s="33"/>
      <c r="B208" s="674">
        <v>34660</v>
      </c>
      <c r="C208" s="675">
        <v>0.12119999999999999</v>
      </c>
      <c r="D208" s="661">
        <v>7.5212513368983894E-2</v>
      </c>
      <c r="E208" s="661">
        <v>8.41181818181818E-2</v>
      </c>
      <c r="F208" s="676">
        <f t="shared" si="6"/>
        <v>-2.5874376606861875</v>
      </c>
      <c r="G208" s="649">
        <f t="shared" si="7"/>
        <v>8.9056684491979066E-3</v>
      </c>
      <c r="H208" s="677">
        <v>14.145775401069525</v>
      </c>
      <c r="I208" s="649">
        <f t="shared" si="8"/>
        <v>4.5987486631016095E-2</v>
      </c>
    </row>
    <row r="209" spans="1:9">
      <c r="A209" s="33"/>
      <c r="B209" s="674">
        <v>34667</v>
      </c>
      <c r="C209" s="675">
        <v>0.113</v>
      </c>
      <c r="D209" s="661">
        <v>7.5506149732620279E-2</v>
      </c>
      <c r="E209" s="661">
        <v>8.4388235294117611E-2</v>
      </c>
      <c r="F209" s="676">
        <f t="shared" si="6"/>
        <v>-2.5835411726321178</v>
      </c>
      <c r="G209" s="649">
        <f t="shared" si="7"/>
        <v>8.8820855614973326E-3</v>
      </c>
      <c r="H209" s="677">
        <v>14.17620320855616</v>
      </c>
      <c r="I209" s="649">
        <f t="shared" si="8"/>
        <v>3.7493850267379725E-2</v>
      </c>
    </row>
    <row r="210" spans="1:9">
      <c r="A210" s="33"/>
      <c r="B210" s="674">
        <v>34669</v>
      </c>
      <c r="C210" s="675">
        <v>0.11</v>
      </c>
      <c r="D210" s="661">
        <v>7.5622994652406378E-2</v>
      </c>
      <c r="E210" s="661">
        <v>8.4512834224598918E-2</v>
      </c>
      <c r="F210" s="676">
        <f t="shared" si="6"/>
        <v>-2.5819948799756869</v>
      </c>
      <c r="G210" s="649">
        <f t="shared" si="7"/>
        <v>8.88983957219254E-3</v>
      </c>
      <c r="H210" s="677">
        <v>14.188930481283432</v>
      </c>
      <c r="I210" s="649">
        <f t="shared" si="8"/>
        <v>3.4377005347593623E-2</v>
      </c>
    </row>
    <row r="211" spans="1:9">
      <c r="A211" s="33"/>
      <c r="B211" s="674">
        <v>34676</v>
      </c>
      <c r="C211" s="675">
        <v>0.115</v>
      </c>
      <c r="D211" s="661">
        <v>7.589470588235292E-2</v>
      </c>
      <c r="E211" s="661">
        <v>8.4785561497326217E-2</v>
      </c>
      <c r="F211" s="676">
        <f t="shared" si="6"/>
        <v>-2.5784083482339288</v>
      </c>
      <c r="G211" s="649">
        <f t="shared" si="7"/>
        <v>8.8908556149732976E-3</v>
      </c>
      <c r="H211" s="677">
        <v>14.212780748663112</v>
      </c>
      <c r="I211" s="649">
        <f t="shared" si="8"/>
        <v>3.9105294117647085E-2</v>
      </c>
    </row>
    <row r="212" spans="1:9">
      <c r="A212" s="33"/>
      <c r="B212" s="674">
        <v>34676</v>
      </c>
      <c r="C212" s="675">
        <v>0.11699999999999999</v>
      </c>
      <c r="D212" s="661">
        <v>7.589470588235292E-2</v>
      </c>
      <c r="E212" s="661">
        <v>8.4785561497326217E-2</v>
      </c>
      <c r="F212" s="676">
        <f t="shared" si="6"/>
        <v>-2.5784083482339288</v>
      </c>
      <c r="G212" s="649">
        <f t="shared" si="7"/>
        <v>8.8908556149732976E-3</v>
      </c>
      <c r="H212" s="677">
        <v>14.212780748663112</v>
      </c>
      <c r="I212" s="649">
        <f t="shared" si="8"/>
        <v>4.1105294117647073E-2</v>
      </c>
    </row>
    <row r="213" spans="1:9">
      <c r="A213" s="33"/>
      <c r="B213" s="674">
        <v>34680</v>
      </c>
      <c r="C213" s="675">
        <v>0.1182</v>
      </c>
      <c r="D213" s="661">
        <v>7.599850267379675E-2</v>
      </c>
      <c r="E213" s="661">
        <v>8.4882352941176464E-2</v>
      </c>
      <c r="F213" s="676">
        <f t="shared" si="6"/>
        <v>-2.5770416405504553</v>
      </c>
      <c r="G213" s="649">
        <f t="shared" si="7"/>
        <v>8.8838502673797143E-3</v>
      </c>
      <c r="H213" s="677">
        <v>14.224598930481294</v>
      </c>
      <c r="I213" s="649">
        <f t="shared" si="8"/>
        <v>4.2201497326203249E-2</v>
      </c>
    </row>
    <row r="214" spans="1:9">
      <c r="A214" s="33"/>
      <c r="B214" s="674">
        <v>34682</v>
      </c>
      <c r="C214" s="675">
        <v>0.115</v>
      </c>
      <c r="D214" s="661">
        <v>7.6090909090909042E-2</v>
      </c>
      <c r="E214" s="661">
        <v>8.4977005347593587E-2</v>
      </c>
      <c r="F214" s="676">
        <f t="shared" si="6"/>
        <v>-2.575826481291033</v>
      </c>
      <c r="G214" s="649">
        <f t="shared" si="7"/>
        <v>8.8860962566845447E-3</v>
      </c>
      <c r="H214" s="677">
        <v>14.232245989304824</v>
      </c>
      <c r="I214" s="649">
        <f t="shared" si="8"/>
        <v>3.8909090909090963E-2</v>
      </c>
    </row>
    <row r="215" spans="1:9">
      <c r="A215" s="33"/>
      <c r="B215" s="674">
        <v>34687</v>
      </c>
      <c r="C215" s="675">
        <v>0.115</v>
      </c>
      <c r="D215" s="661">
        <v>7.6214331550802095E-2</v>
      </c>
      <c r="E215" s="661">
        <v>8.5129411764705884E-2</v>
      </c>
      <c r="F215" s="676">
        <f t="shared" si="6"/>
        <v>-2.5742057558794884</v>
      </c>
      <c r="G215" s="649">
        <f t="shared" si="7"/>
        <v>8.9150802139037894E-3</v>
      </c>
      <c r="H215" s="677">
        <v>14.224973262032096</v>
      </c>
      <c r="I215" s="649">
        <f t="shared" si="8"/>
        <v>3.878566844919791E-2</v>
      </c>
    </row>
    <row r="216" spans="1:9">
      <c r="A216" s="33"/>
      <c r="B216" s="674">
        <v>34808</v>
      </c>
      <c r="C216" s="675">
        <v>0.11</v>
      </c>
      <c r="D216" s="661">
        <v>7.7151176470588251E-2</v>
      </c>
      <c r="E216" s="661">
        <v>8.6188770053475958E-2</v>
      </c>
      <c r="F216" s="676">
        <f t="shared" si="6"/>
        <v>-2.5619884511565281</v>
      </c>
      <c r="G216" s="649">
        <f t="shared" si="7"/>
        <v>9.0375935828877069E-3</v>
      </c>
      <c r="H216" s="677">
        <v>13.257593582887703</v>
      </c>
      <c r="I216" s="649">
        <f t="shared" si="8"/>
        <v>3.284882352941175E-2</v>
      </c>
    </row>
    <row r="217" spans="1:9">
      <c r="A217" s="33"/>
      <c r="B217" s="674">
        <v>34953</v>
      </c>
      <c r="C217" s="675">
        <v>0.113</v>
      </c>
      <c r="D217" s="661">
        <v>7.1591550802139067E-2</v>
      </c>
      <c r="E217" s="661">
        <v>8.1326203208556186E-2</v>
      </c>
      <c r="F217" s="676">
        <f t="shared" si="6"/>
        <v>-2.6367782175354577</v>
      </c>
      <c r="G217" s="649">
        <f t="shared" si="7"/>
        <v>9.7346524064171186E-3</v>
      </c>
      <c r="H217" s="677">
        <v>12.241604278074862</v>
      </c>
      <c r="I217" s="649">
        <f t="shared" si="8"/>
        <v>4.1408449197860936E-2</v>
      </c>
    </row>
    <row r="218" spans="1:9">
      <c r="A218" s="33"/>
      <c r="B218" s="674">
        <v>34957</v>
      </c>
      <c r="C218" s="675">
        <v>0.10400000000000001</v>
      </c>
      <c r="D218" s="661">
        <v>7.1309465240641745E-2</v>
      </c>
      <c r="E218" s="661">
        <v>8.1076470588235292E-2</v>
      </c>
      <c r="F218" s="676">
        <f t="shared" si="6"/>
        <v>-2.6407262080495304</v>
      </c>
      <c r="G218" s="649">
        <f t="shared" si="7"/>
        <v>9.7670053475935464E-3</v>
      </c>
      <c r="H218" s="677">
        <v>12.208342245989302</v>
      </c>
      <c r="I218" s="649">
        <f t="shared" si="8"/>
        <v>3.2690534759358264E-2</v>
      </c>
    </row>
    <row r="219" spans="1:9">
      <c r="A219" s="33"/>
      <c r="B219" s="674">
        <v>34971</v>
      </c>
      <c r="C219" s="675">
        <v>0.115</v>
      </c>
      <c r="D219" s="661">
        <v>7.0600588235294165E-2</v>
      </c>
      <c r="E219" s="661">
        <v>8.0479144385026721E-2</v>
      </c>
      <c r="F219" s="676">
        <f t="shared" si="6"/>
        <v>-2.6507168025729744</v>
      </c>
      <c r="G219" s="649">
        <f t="shared" si="7"/>
        <v>9.8785561497325564E-3</v>
      </c>
      <c r="H219" s="677">
        <v>12.200588235294113</v>
      </c>
      <c r="I219" s="649">
        <f t="shared" si="8"/>
        <v>4.439941176470584E-2</v>
      </c>
    </row>
    <row r="220" spans="1:9">
      <c r="A220" s="33"/>
      <c r="B220" s="674">
        <v>34985</v>
      </c>
      <c r="C220" s="675">
        <v>0.1076</v>
      </c>
      <c r="D220" s="661">
        <v>6.9838877005347577E-2</v>
      </c>
      <c r="E220" s="661">
        <v>7.9813903743315484E-2</v>
      </c>
      <c r="F220" s="676">
        <f t="shared" si="6"/>
        <v>-2.6615644471140367</v>
      </c>
      <c r="G220" s="649">
        <f t="shared" si="7"/>
        <v>9.975026737967907E-3</v>
      </c>
      <c r="H220" s="677">
        <v>12.319679144385024</v>
      </c>
      <c r="I220" s="649">
        <f t="shared" si="8"/>
        <v>3.7761122994652424E-2</v>
      </c>
    </row>
    <row r="221" spans="1:9">
      <c r="A221" s="33"/>
      <c r="B221" s="674">
        <v>35010</v>
      </c>
      <c r="C221" s="675">
        <v>0.125</v>
      </c>
      <c r="D221" s="661">
        <v>6.8613155080213886E-2</v>
      </c>
      <c r="E221" s="661">
        <v>7.8721925133689807E-2</v>
      </c>
      <c r="F221" s="676">
        <f t="shared" si="6"/>
        <v>-2.6792709976171629</v>
      </c>
      <c r="G221" s="649">
        <f t="shared" si="7"/>
        <v>1.0108770053475921E-2</v>
      </c>
      <c r="H221" s="677">
        <v>12.521283422459891</v>
      </c>
      <c r="I221" s="649">
        <f t="shared" si="8"/>
        <v>5.6386844919786114E-2</v>
      </c>
    </row>
    <row r="222" spans="1:9">
      <c r="A222" s="33"/>
      <c r="B222" s="674">
        <v>35011</v>
      </c>
      <c r="C222" s="675">
        <v>0.111</v>
      </c>
      <c r="D222" s="661">
        <v>6.8541711229946498E-2</v>
      </c>
      <c r="E222" s="661">
        <v>7.8658823529411726E-2</v>
      </c>
      <c r="F222" s="676">
        <f t="shared" si="6"/>
        <v>-2.6803127959674686</v>
      </c>
      <c r="G222" s="649">
        <f t="shared" si="7"/>
        <v>1.0117112299465228E-2</v>
      </c>
      <c r="H222" s="677">
        <v>12.525294117647057</v>
      </c>
      <c r="I222" s="649">
        <f t="shared" si="8"/>
        <v>4.2458288770053504E-2</v>
      </c>
    </row>
    <row r="223" spans="1:9">
      <c r="A223" s="33"/>
      <c r="B223" s="674">
        <v>35011</v>
      </c>
      <c r="C223" s="675">
        <v>0.113</v>
      </c>
      <c r="D223" s="661">
        <v>6.8541711229946498E-2</v>
      </c>
      <c r="E223" s="661">
        <v>7.8658823529411726E-2</v>
      </c>
      <c r="F223" s="676">
        <f t="shared" si="6"/>
        <v>-2.6803127959674686</v>
      </c>
      <c r="G223" s="649">
        <f t="shared" si="7"/>
        <v>1.0117112299465228E-2</v>
      </c>
      <c r="H223" s="677">
        <v>12.525294117647057</v>
      </c>
      <c r="I223" s="649">
        <f t="shared" si="8"/>
        <v>4.4458288770053506E-2</v>
      </c>
    </row>
    <row r="224" spans="1:9">
      <c r="A224" s="33"/>
      <c r="B224" s="674">
        <v>35020</v>
      </c>
      <c r="C224" s="675">
        <v>0.109</v>
      </c>
      <c r="D224" s="661">
        <v>6.8078823529411747E-2</v>
      </c>
      <c r="E224" s="661">
        <v>7.8266310160427802E-2</v>
      </c>
      <c r="F224" s="676">
        <f t="shared" si="6"/>
        <v>-2.6870890755741494</v>
      </c>
      <c r="G224" s="649">
        <f t="shared" si="7"/>
        <v>1.0187486631016054E-2</v>
      </c>
      <c r="H224" s="677">
        <v>12.574278074866307</v>
      </c>
      <c r="I224" s="649">
        <f t="shared" si="8"/>
        <v>4.0921176470588252E-2</v>
      </c>
    </row>
    <row r="225" spans="1:9">
      <c r="A225" s="33"/>
      <c r="B225" s="674">
        <v>35023</v>
      </c>
      <c r="C225" s="675">
        <v>0.114</v>
      </c>
      <c r="D225" s="661">
        <v>6.8012459893048105E-2</v>
      </c>
      <c r="E225" s="661">
        <v>7.820962566844919E-2</v>
      </c>
      <c r="F225" s="676">
        <f t="shared" si="6"/>
        <v>-2.6880643568699827</v>
      </c>
      <c r="G225" s="649">
        <f t="shared" si="7"/>
        <v>1.0197165775401085E-2</v>
      </c>
      <c r="H225" s="677">
        <v>12.582459893048123</v>
      </c>
      <c r="I225" s="649">
        <f t="shared" si="8"/>
        <v>4.5987540106951899E-2</v>
      </c>
    </row>
    <row r="226" spans="1:9">
      <c r="A226" s="33"/>
      <c r="B226" s="674">
        <v>35030</v>
      </c>
      <c r="C226" s="675">
        <v>0.13600000000000001</v>
      </c>
      <c r="D226" s="661">
        <v>6.7664224598930456E-2</v>
      </c>
      <c r="E226" s="661">
        <v>7.8053475935828856E-2</v>
      </c>
      <c r="F226" s="676">
        <f t="shared" si="6"/>
        <v>-2.693197678930686</v>
      </c>
      <c r="G226" s="649">
        <f t="shared" si="7"/>
        <v>1.03892513368984E-2</v>
      </c>
      <c r="H226" s="677">
        <v>12.582032085561496</v>
      </c>
      <c r="I226" s="649">
        <f t="shared" si="8"/>
        <v>6.8335775401069554E-2</v>
      </c>
    </row>
    <row r="227" spans="1:9">
      <c r="A227" s="33"/>
      <c r="B227" s="674">
        <v>35047</v>
      </c>
      <c r="C227" s="675">
        <v>0.113</v>
      </c>
      <c r="D227" s="661">
        <v>6.6753529411764684E-2</v>
      </c>
      <c r="E227" s="661">
        <v>7.7277540106951842E-2</v>
      </c>
      <c r="F227" s="676">
        <f t="shared" si="6"/>
        <v>-2.7067481080169991</v>
      </c>
      <c r="G227" s="649">
        <f t="shared" si="7"/>
        <v>1.0524010695187158E-2</v>
      </c>
      <c r="H227" s="677">
        <v>12.514171122994656</v>
      </c>
      <c r="I227" s="649">
        <f t="shared" si="8"/>
        <v>4.6246470588235319E-2</v>
      </c>
    </row>
    <row r="228" spans="1:9">
      <c r="A228" s="33"/>
      <c r="B228" s="674">
        <v>35053</v>
      </c>
      <c r="C228" s="675">
        <v>0.11599999999999999</v>
      </c>
      <c r="D228" s="661">
        <v>6.6482299465240619E-2</v>
      </c>
      <c r="E228" s="661">
        <v>7.7049197860962551E-2</v>
      </c>
      <c r="F228" s="676">
        <f t="shared" si="6"/>
        <v>-2.7108195402057982</v>
      </c>
      <c r="G228" s="649">
        <f t="shared" si="7"/>
        <v>1.0566898395721933E-2</v>
      </c>
      <c r="H228" s="677">
        <v>12.544171122994655</v>
      </c>
      <c r="I228" s="649">
        <f t="shared" si="8"/>
        <v>4.9517700534759373E-2</v>
      </c>
    </row>
    <row r="229" spans="1:9">
      <c r="A229" s="33"/>
      <c r="B229" s="674">
        <v>35095</v>
      </c>
      <c r="C229" s="675">
        <v>0.113</v>
      </c>
      <c r="D229" s="661">
        <v>6.4544919786096236E-2</v>
      </c>
      <c r="E229" s="661">
        <v>7.5563636363636319E-2</v>
      </c>
      <c r="F229" s="676">
        <f t="shared" si="6"/>
        <v>-2.7403938667836103</v>
      </c>
      <c r="G229" s="649">
        <f t="shared" si="7"/>
        <v>1.1018716577540083E-2</v>
      </c>
      <c r="H229" s="677">
        <v>12.652673796791436</v>
      </c>
      <c r="I229" s="649">
        <f t="shared" si="8"/>
        <v>4.8455080213903767E-2</v>
      </c>
    </row>
    <row r="230" spans="1:9">
      <c r="A230" s="33"/>
      <c r="B230" s="674">
        <v>35135</v>
      </c>
      <c r="C230" s="675">
        <v>0.11599999999999999</v>
      </c>
      <c r="D230" s="661">
        <v>6.3988663101604226E-2</v>
      </c>
      <c r="E230" s="661">
        <v>7.5049197860962577E-2</v>
      </c>
      <c r="F230" s="676">
        <f t="shared" si="6"/>
        <v>-2.7490493503508713</v>
      </c>
      <c r="G230" s="649">
        <f t="shared" si="7"/>
        <v>1.1060534759358351E-2</v>
      </c>
      <c r="H230" s="677">
        <v>13.129893048128338</v>
      </c>
      <c r="I230" s="649">
        <f t="shared" si="8"/>
        <v>5.2011336898395766E-2</v>
      </c>
    </row>
    <row r="231" spans="1:9">
      <c r="A231" s="33"/>
      <c r="B231" s="674">
        <v>35158</v>
      </c>
      <c r="C231" s="675">
        <v>0.11130000000000001</v>
      </c>
      <c r="D231" s="661">
        <v>6.4065561497326201E-2</v>
      </c>
      <c r="E231" s="661">
        <v>7.5197326203208528E-2</v>
      </c>
      <c r="F231" s="676">
        <f t="shared" si="6"/>
        <v>-2.7478483215647231</v>
      </c>
      <c r="G231" s="649">
        <f t="shared" si="7"/>
        <v>1.1131764705882327E-2</v>
      </c>
      <c r="H231" s="677">
        <v>13.690267379679144</v>
      </c>
      <c r="I231" s="649">
        <f t="shared" si="8"/>
        <v>4.7234438502673809E-2</v>
      </c>
    </row>
    <row r="232" spans="1:9">
      <c r="A232" s="33"/>
      <c r="B232" s="674">
        <v>35170</v>
      </c>
      <c r="C232" s="675">
        <v>0.105</v>
      </c>
      <c r="D232" s="661">
        <v>6.4054866310160441E-2</v>
      </c>
      <c r="E232" s="661">
        <v>7.5347058823529378E-2</v>
      </c>
      <c r="F232" s="676">
        <f t="shared" si="6"/>
        <v>-2.7480152767860511</v>
      </c>
      <c r="G232" s="649">
        <f t="shared" si="7"/>
        <v>1.1292192513368937E-2</v>
      </c>
      <c r="H232" s="677">
        <v>13.89705882352942</v>
      </c>
      <c r="I232" s="649">
        <f t="shared" si="8"/>
        <v>4.0945133689839555E-2</v>
      </c>
    </row>
    <row r="233" spans="1:9">
      <c r="A233" s="33"/>
      <c r="B233" s="674">
        <v>35172</v>
      </c>
      <c r="C233" s="675">
        <v>0.10769999999999999</v>
      </c>
      <c r="D233" s="661">
        <v>6.4046951871657778E-2</v>
      </c>
      <c r="E233" s="661">
        <v>7.5369518716577502E-2</v>
      </c>
      <c r="F233" s="676">
        <f t="shared" si="6"/>
        <v>-2.7481388415976213</v>
      </c>
      <c r="G233" s="649">
        <f t="shared" si="7"/>
        <v>1.1322566844919724E-2</v>
      </c>
      <c r="H233" s="677">
        <v>13.941818181818192</v>
      </c>
      <c r="I233" s="649">
        <f t="shared" si="8"/>
        <v>4.3653048128342212E-2</v>
      </c>
    </row>
    <row r="234" spans="1:9">
      <c r="A234" s="33"/>
      <c r="B234" s="674">
        <v>35181</v>
      </c>
      <c r="C234" s="675">
        <v>0.106</v>
      </c>
      <c r="D234" s="661">
        <v>6.400732620320855E-2</v>
      </c>
      <c r="E234" s="661">
        <v>7.5384491978609566E-2</v>
      </c>
      <c r="F234" s="676">
        <f t="shared" si="6"/>
        <v>-2.7487577302487423</v>
      </c>
      <c r="G234" s="649">
        <f t="shared" si="7"/>
        <v>1.1377165775401016E-2</v>
      </c>
      <c r="H234" s="677">
        <v>14.018770053475951</v>
      </c>
      <c r="I234" s="649">
        <f t="shared" si="8"/>
        <v>4.1992673796791447E-2</v>
      </c>
    </row>
    <row r="235" spans="1:9">
      <c r="A235" s="33"/>
      <c r="B235" s="674">
        <v>35195</v>
      </c>
      <c r="C235" s="675">
        <v>0.11</v>
      </c>
      <c r="D235" s="661">
        <v>6.4046524064171134E-2</v>
      </c>
      <c r="E235" s="661">
        <v>7.5498930481283352E-2</v>
      </c>
      <c r="F235" s="676">
        <f t="shared" si="6"/>
        <v>-2.7481455212116068</v>
      </c>
      <c r="G235" s="649">
        <f t="shared" si="7"/>
        <v>1.1452406417112218E-2</v>
      </c>
      <c r="H235" s="677">
        <v>14.19946524064172</v>
      </c>
      <c r="I235" s="649">
        <f t="shared" si="8"/>
        <v>4.5953475935828866E-2</v>
      </c>
    </row>
    <row r="236" spans="1:9">
      <c r="A236" s="33"/>
      <c r="B236" s="674">
        <v>35198</v>
      </c>
      <c r="C236" s="675">
        <v>0.1125</v>
      </c>
      <c r="D236" s="661">
        <v>6.4050962566844935E-2</v>
      </c>
      <c r="E236" s="661">
        <v>7.5501604278074813E-2</v>
      </c>
      <c r="F236" s="676">
        <f t="shared" si="6"/>
        <v>-2.7480762223862776</v>
      </c>
      <c r="G236" s="649">
        <f t="shared" si="7"/>
        <v>1.1450641711229878E-2</v>
      </c>
      <c r="H236" s="677">
        <v>14.213957219251347</v>
      </c>
      <c r="I236" s="649">
        <f t="shared" si="8"/>
        <v>4.8449037433155068E-2</v>
      </c>
    </row>
    <row r="237" spans="1:9">
      <c r="A237" s="33"/>
      <c r="B237" s="674">
        <v>35249</v>
      </c>
      <c r="C237" s="675">
        <v>0.1125</v>
      </c>
      <c r="D237" s="661">
        <v>6.4934278074866333E-2</v>
      </c>
      <c r="E237" s="661">
        <v>7.6090374331550775E-2</v>
      </c>
      <c r="F237" s="676">
        <f t="shared" si="6"/>
        <v>-2.7343796271400613</v>
      </c>
      <c r="G237" s="649">
        <f t="shared" si="7"/>
        <v>1.1156096256684442E-2</v>
      </c>
      <c r="H237" s="677">
        <v>14.882994652406417</v>
      </c>
      <c r="I237" s="649">
        <f t="shared" si="8"/>
        <v>4.7565721925133669E-2</v>
      </c>
    </row>
    <row r="238" spans="1:9">
      <c r="A238" s="33"/>
      <c r="B238" s="674">
        <v>35268</v>
      </c>
      <c r="C238" s="675">
        <v>0.1125</v>
      </c>
      <c r="D238" s="661">
        <v>6.5434491978609649E-2</v>
      </c>
      <c r="E238" s="661">
        <v>7.6472192513368967E-2</v>
      </c>
      <c r="F238" s="676">
        <f t="shared" si="6"/>
        <v>-2.7267057592610833</v>
      </c>
      <c r="G238" s="649">
        <f t="shared" si="7"/>
        <v>1.1037700534759318E-2</v>
      </c>
      <c r="H238" s="677">
        <v>15.115133689839578</v>
      </c>
      <c r="I238" s="649">
        <f t="shared" si="8"/>
        <v>4.7065508021390354E-2</v>
      </c>
    </row>
    <row r="239" spans="1:9">
      <c r="A239" s="33"/>
      <c r="B239" s="674">
        <v>35341</v>
      </c>
      <c r="C239" s="675">
        <v>0.1</v>
      </c>
      <c r="D239" s="661">
        <v>6.7707272727272783E-2</v>
      </c>
      <c r="E239" s="661">
        <v>7.8099465240641694E-2</v>
      </c>
      <c r="F239" s="676">
        <f t="shared" si="6"/>
        <v>-2.6925616790245952</v>
      </c>
      <c r="G239" s="649">
        <f t="shared" si="7"/>
        <v>1.0392192513368911E-2</v>
      </c>
      <c r="H239" s="677">
        <v>16.287379679144379</v>
      </c>
      <c r="I239" s="649">
        <f t="shared" si="8"/>
        <v>3.2292727272727223E-2</v>
      </c>
    </row>
    <row r="240" spans="1:9">
      <c r="A240" s="33"/>
      <c r="B240" s="674">
        <v>35367</v>
      </c>
      <c r="C240" s="675">
        <v>0.113</v>
      </c>
      <c r="D240" s="661">
        <v>6.8419090909090916E-2</v>
      </c>
      <c r="E240" s="661">
        <v>7.8590374331550791E-2</v>
      </c>
      <c r="F240" s="676">
        <f t="shared" si="6"/>
        <v>-2.682103386438651</v>
      </c>
      <c r="G240" s="649">
        <f t="shared" si="7"/>
        <v>1.0171283422459876E-2</v>
      </c>
      <c r="H240" s="677">
        <v>16.540106951871653</v>
      </c>
      <c r="I240" s="649">
        <f t="shared" si="8"/>
        <v>4.4580909090909088E-2</v>
      </c>
    </row>
    <row r="241" spans="1:9">
      <c r="A241" s="33"/>
      <c r="B241" s="674">
        <v>35395</v>
      </c>
      <c r="C241" s="675">
        <v>0.113</v>
      </c>
      <c r="D241" s="661">
        <v>6.8597914438502647E-2</v>
      </c>
      <c r="E241" s="661">
        <v>7.8723529411764678E-2</v>
      </c>
      <c r="F241" s="676">
        <f t="shared" si="6"/>
        <v>-2.679493146483539</v>
      </c>
      <c r="G241" s="649">
        <f t="shared" si="7"/>
        <v>1.0125614973262032E-2</v>
      </c>
      <c r="H241" s="677">
        <v>16.616363636363634</v>
      </c>
      <c r="I241" s="649">
        <f t="shared" si="8"/>
        <v>4.4402085561497356E-2</v>
      </c>
    </row>
    <row r="242" spans="1:9">
      <c r="A242" s="33"/>
      <c r="B242" s="674">
        <v>35396</v>
      </c>
      <c r="C242" s="675">
        <v>0.113</v>
      </c>
      <c r="D242" s="661">
        <v>6.8587005347593558E-2</v>
      </c>
      <c r="E242" s="661">
        <v>7.8720320855614964E-2</v>
      </c>
      <c r="F242" s="676">
        <f t="shared" si="6"/>
        <v>-2.6796521886136668</v>
      </c>
      <c r="G242" s="649">
        <f t="shared" si="7"/>
        <v>1.0133315508021407E-2</v>
      </c>
      <c r="H242" s="677">
        <v>16.620962566844916</v>
      </c>
      <c r="I242" s="649">
        <f t="shared" si="8"/>
        <v>4.4412994652406446E-2</v>
      </c>
    </row>
    <row r="243" spans="1:9">
      <c r="A243" s="33"/>
      <c r="B243" s="674">
        <v>35398</v>
      </c>
      <c r="C243" s="675">
        <v>0.11</v>
      </c>
      <c r="D243" s="661">
        <v>6.8557058823529388E-2</v>
      </c>
      <c r="E243" s="661">
        <v>7.8683422459893043E-2</v>
      </c>
      <c r="F243" s="676">
        <f t="shared" si="6"/>
        <v>-2.680088904919562</v>
      </c>
      <c r="G243" s="649">
        <f t="shared" si="7"/>
        <v>1.0126363636363656E-2</v>
      </c>
      <c r="H243" s="677">
        <v>16.624064171122988</v>
      </c>
      <c r="I243" s="649">
        <f t="shared" si="8"/>
        <v>4.1442941176470613E-2</v>
      </c>
    </row>
    <row r="244" spans="1:9">
      <c r="A244" s="33"/>
      <c r="B244" s="674">
        <v>35411</v>
      </c>
      <c r="C244" s="675">
        <v>0.11960000000000001</v>
      </c>
      <c r="D244" s="661">
        <v>6.8473208556149717E-2</v>
      </c>
      <c r="E244" s="661">
        <v>7.8646524064171108E-2</v>
      </c>
      <c r="F244" s="676">
        <f t="shared" si="6"/>
        <v>-2.6813127261883745</v>
      </c>
      <c r="G244" s="649">
        <f t="shared" si="7"/>
        <v>1.0173315508021391E-2</v>
      </c>
      <c r="H244" s="677">
        <v>16.64716577540106</v>
      </c>
      <c r="I244" s="649">
        <f t="shared" si="8"/>
        <v>5.1126791443850295E-2</v>
      </c>
    </row>
    <row r="245" spans="1:9">
      <c r="A245" s="33"/>
      <c r="B245" s="674">
        <v>35416</v>
      </c>
      <c r="C245" s="675">
        <v>0.115</v>
      </c>
      <c r="D245" s="661">
        <v>6.846160427807485E-2</v>
      </c>
      <c r="E245" s="661">
        <v>7.8615508021390362E-2</v>
      </c>
      <c r="F245" s="676">
        <f t="shared" si="6"/>
        <v>-2.6814822123528121</v>
      </c>
      <c r="G245" s="649">
        <f t="shared" si="7"/>
        <v>1.0153903743315512E-2</v>
      </c>
      <c r="H245" s="677">
        <v>16.702780748663095</v>
      </c>
      <c r="I245" s="649">
        <f t="shared" si="8"/>
        <v>4.6538395721925155E-2</v>
      </c>
    </row>
    <row r="246" spans="1:9">
      <c r="A246" s="33"/>
      <c r="B246" s="674">
        <v>35452</v>
      </c>
      <c r="C246" s="675">
        <v>0.113</v>
      </c>
      <c r="D246" s="661">
        <v>6.830352941176468E-2</v>
      </c>
      <c r="E246" s="661">
        <v>7.8436898395721918E-2</v>
      </c>
      <c r="F246" s="676">
        <f t="shared" si="6"/>
        <v>-2.6837938386048599</v>
      </c>
      <c r="G246" s="649">
        <f t="shared" si="7"/>
        <v>1.0133368983957239E-2</v>
      </c>
      <c r="H246" s="677">
        <v>17.005133689839571</v>
      </c>
      <c r="I246" s="649">
        <f t="shared" si="8"/>
        <v>4.4696470588235324E-2</v>
      </c>
    </row>
    <row r="247" spans="1:9">
      <c r="A247" s="33"/>
      <c r="B247" s="674">
        <v>35457</v>
      </c>
      <c r="C247" s="675">
        <v>0.1125</v>
      </c>
      <c r="D247" s="661">
        <v>6.8284117647058828E-2</v>
      </c>
      <c r="E247" s="661">
        <v>7.8429411764705886E-2</v>
      </c>
      <c r="F247" s="676">
        <f t="shared" si="6"/>
        <v>-2.6840780775569839</v>
      </c>
      <c r="G247" s="649">
        <f t="shared" si="7"/>
        <v>1.0145294117647058E-2</v>
      </c>
      <c r="H247" s="677">
        <v>17.061871657754011</v>
      </c>
      <c r="I247" s="649">
        <f t="shared" si="8"/>
        <v>4.4215882352941174E-2</v>
      </c>
    </row>
    <row r="248" spans="1:9">
      <c r="A248" s="33"/>
      <c r="B248" s="674">
        <v>35461</v>
      </c>
      <c r="C248" s="675">
        <v>0.1125</v>
      </c>
      <c r="D248" s="661">
        <v>6.8282887700534756E-2</v>
      </c>
      <c r="E248" s="661">
        <v>7.8397860962566845E-2</v>
      </c>
      <c r="F248" s="676">
        <f t="shared" si="6"/>
        <v>-2.6840960899095423</v>
      </c>
      <c r="G248" s="649">
        <f t="shared" si="7"/>
        <v>1.011497326203209E-2</v>
      </c>
      <c r="H248" s="677">
        <v>17.10572192513369</v>
      </c>
      <c r="I248" s="649">
        <f t="shared" si="8"/>
        <v>4.4217112299465247E-2</v>
      </c>
    </row>
    <row r="249" spans="1:9">
      <c r="A249" s="33"/>
      <c r="B249" s="674">
        <v>35474</v>
      </c>
      <c r="C249" s="675">
        <v>0.11</v>
      </c>
      <c r="D249" s="661">
        <v>6.8217058823529408E-2</v>
      </c>
      <c r="E249" s="661">
        <v>7.8202673796791425E-2</v>
      </c>
      <c r="F249" s="676">
        <f t="shared" si="6"/>
        <v>-2.6850606160325938</v>
      </c>
      <c r="G249" s="649">
        <f t="shared" si="7"/>
        <v>9.9856149732620164E-3</v>
      </c>
      <c r="H249" s="677">
        <v>17.302085561497329</v>
      </c>
      <c r="I249" s="649">
        <f t="shared" si="8"/>
        <v>4.1782941176470592E-2</v>
      </c>
    </row>
    <row r="250" spans="1:9">
      <c r="A250" s="33"/>
      <c r="B250" s="674">
        <v>35474</v>
      </c>
      <c r="C250" s="675">
        <v>0.11800000000000001</v>
      </c>
      <c r="D250" s="661">
        <v>6.8217058823529408E-2</v>
      </c>
      <c r="E250" s="661">
        <v>7.8202673796791425E-2</v>
      </c>
      <c r="F250" s="676">
        <f t="shared" si="6"/>
        <v>-2.6850606160325938</v>
      </c>
      <c r="G250" s="649">
        <f t="shared" si="7"/>
        <v>9.9856149732620164E-3</v>
      </c>
      <c r="H250" s="677">
        <v>17.302085561497329</v>
      </c>
      <c r="I250" s="649">
        <f t="shared" si="8"/>
        <v>4.9782941176470599E-2</v>
      </c>
    </row>
    <row r="251" spans="1:9">
      <c r="A251" s="33"/>
      <c r="B251" s="674">
        <v>35481</v>
      </c>
      <c r="C251" s="675">
        <v>0.11800000000000001</v>
      </c>
      <c r="D251" s="661">
        <v>6.8108395721925133E-2</v>
      </c>
      <c r="E251" s="661">
        <v>7.8123529411764689E-2</v>
      </c>
      <c r="F251" s="676">
        <f t="shared" si="6"/>
        <v>-2.6866547882285272</v>
      </c>
      <c r="G251" s="649">
        <f t="shared" si="7"/>
        <v>1.0015133689839556E-2</v>
      </c>
      <c r="H251" s="677">
        <v>17.395294117647062</v>
      </c>
      <c r="I251" s="649">
        <f t="shared" si="8"/>
        <v>4.9891604278074875E-2</v>
      </c>
    </row>
    <row r="252" spans="1:9">
      <c r="A252" s="33"/>
      <c r="B252" s="674">
        <v>35516</v>
      </c>
      <c r="C252" s="675">
        <v>0.1075</v>
      </c>
      <c r="D252" s="661">
        <v>6.7869304812834208E-2</v>
      </c>
      <c r="E252" s="661">
        <v>7.7862566844919809E-2</v>
      </c>
      <c r="F252" s="676">
        <f t="shared" ref="F252:F315" si="9">LN(D252)</f>
        <v>-2.6901714112416606</v>
      </c>
      <c r="G252" s="649">
        <f t="shared" ref="G252:G315" si="10">IF(E252="","",E252-D252)</f>
        <v>9.9932620320856008E-3</v>
      </c>
      <c r="H252" s="677">
        <v>17.903048128342242</v>
      </c>
      <c r="I252" s="649">
        <f t="shared" ref="I252:I315" si="11">C252-D252</f>
        <v>3.963069518716579E-2</v>
      </c>
    </row>
    <row r="253" spans="1:9">
      <c r="A253" s="33"/>
      <c r="B253" s="674">
        <v>35549</v>
      </c>
      <c r="C253" s="675">
        <v>0.11699999999999999</v>
      </c>
      <c r="D253" s="661">
        <v>6.8054117647058807E-2</v>
      </c>
      <c r="E253" s="661">
        <v>7.7883957219251357E-2</v>
      </c>
      <c r="F253" s="676">
        <f t="shared" si="9"/>
        <v>-2.6874520425740642</v>
      </c>
      <c r="G253" s="649">
        <f t="shared" si="10"/>
        <v>9.8298395721925502E-3</v>
      </c>
      <c r="H253" s="677">
        <v>18.11224598930481</v>
      </c>
      <c r="I253" s="649">
        <f t="shared" si="11"/>
        <v>4.8945882352941186E-2</v>
      </c>
    </row>
    <row r="254" spans="1:9">
      <c r="A254" s="33"/>
      <c r="B254" s="674">
        <v>35628</v>
      </c>
      <c r="C254" s="675">
        <v>0.12</v>
      </c>
      <c r="D254" s="661">
        <v>6.7693475935828903E-2</v>
      </c>
      <c r="E254" s="661">
        <v>7.7425668449197835E-2</v>
      </c>
      <c r="F254" s="676">
        <f t="shared" si="9"/>
        <v>-2.6927654709774145</v>
      </c>
      <c r="G254" s="649">
        <f t="shared" si="10"/>
        <v>9.7321925133689313E-3</v>
      </c>
      <c r="H254" s="677">
        <v>19.25160427807484</v>
      </c>
      <c r="I254" s="649">
        <f t="shared" si="11"/>
        <v>5.2306524064171092E-2</v>
      </c>
    </row>
    <row r="255" spans="1:9">
      <c r="A255" s="33"/>
      <c r="B255" s="674">
        <v>35732</v>
      </c>
      <c r="C255" s="675">
        <v>0.1075</v>
      </c>
      <c r="D255" s="661">
        <v>6.7025294117647044E-2</v>
      </c>
      <c r="E255" s="661">
        <v>7.664652406417112E-2</v>
      </c>
      <c r="F255" s="676">
        <f t="shared" si="9"/>
        <v>-2.7026852066914944</v>
      </c>
      <c r="G255" s="649">
        <f t="shared" si="10"/>
        <v>9.6212299465240764E-3</v>
      </c>
      <c r="H255" s="677">
        <v>21.143101604278076</v>
      </c>
      <c r="I255" s="649">
        <f t="shared" si="11"/>
        <v>4.0474705882352954E-2</v>
      </c>
    </row>
    <row r="256" spans="1:9">
      <c r="A256" s="33"/>
      <c r="B256" s="674">
        <v>35734</v>
      </c>
      <c r="C256" s="675">
        <v>0.1125</v>
      </c>
      <c r="D256" s="661">
        <v>6.696540106951869E-2</v>
      </c>
      <c r="E256" s="661">
        <v>7.6603743315508024E-2</v>
      </c>
      <c r="F256" s="676">
        <f t="shared" si="9"/>
        <v>-2.70357919492006</v>
      </c>
      <c r="G256" s="649">
        <f t="shared" si="10"/>
        <v>9.6383422459893342E-3</v>
      </c>
      <c r="H256" s="677">
        <v>21.318502673796797</v>
      </c>
      <c r="I256" s="649">
        <f t="shared" si="11"/>
        <v>4.5534598930481313E-2</v>
      </c>
    </row>
    <row r="257" spans="1:9">
      <c r="A257" s="33"/>
      <c r="B257" s="674">
        <v>35788</v>
      </c>
      <c r="C257" s="675">
        <v>0.1075</v>
      </c>
      <c r="D257" s="661">
        <v>6.5319518716577554E-2</v>
      </c>
      <c r="E257" s="661">
        <v>7.4566310160427821E-2</v>
      </c>
      <c r="F257" s="676">
        <f t="shared" si="9"/>
        <v>-2.7284643789937051</v>
      </c>
      <c r="G257" s="649">
        <f t="shared" si="10"/>
        <v>9.2467914438502663E-3</v>
      </c>
      <c r="H257" s="677">
        <v>23.069090909090903</v>
      </c>
      <c r="I257" s="649">
        <f t="shared" si="11"/>
        <v>4.2180481283422444E-2</v>
      </c>
    </row>
    <row r="258" spans="1:9">
      <c r="A258" s="33"/>
      <c r="B258" s="674">
        <v>35913</v>
      </c>
      <c r="C258" s="675">
        <v>0.109</v>
      </c>
      <c r="D258" s="661">
        <v>6.1051122994652388E-2</v>
      </c>
      <c r="E258" s="661">
        <v>7.2528877005347617E-2</v>
      </c>
      <c r="F258" s="676">
        <f t="shared" si="9"/>
        <v>-2.7960436839238025</v>
      </c>
      <c r="G258" s="649">
        <f t="shared" si="10"/>
        <v>1.1477754010695229E-2</v>
      </c>
      <c r="H258" s="677">
        <v>23.818021390374319</v>
      </c>
      <c r="I258" s="649">
        <f t="shared" si="11"/>
        <v>4.7948877005347612E-2</v>
      </c>
    </row>
    <row r="259" spans="1:9">
      <c r="A259" s="33"/>
      <c r="B259" s="674">
        <v>35915</v>
      </c>
      <c r="C259" s="675">
        <v>0.122</v>
      </c>
      <c r="D259" s="661">
        <v>6.0982513368983943E-2</v>
      </c>
      <c r="E259" s="661">
        <v>7.250909090909094E-2</v>
      </c>
      <c r="F259" s="676">
        <f t="shared" si="9"/>
        <v>-2.7971681219876317</v>
      </c>
      <c r="G259" s="649">
        <f t="shared" si="10"/>
        <v>1.1526577540106997E-2</v>
      </c>
      <c r="H259" s="677">
        <v>23.823850267379665</v>
      </c>
      <c r="I259" s="649">
        <f t="shared" si="11"/>
        <v>6.1017486631016055E-2</v>
      </c>
    </row>
    <row r="260" spans="1:9">
      <c r="A260" s="33"/>
      <c r="B260" s="674">
        <v>35976</v>
      </c>
      <c r="C260" s="675">
        <v>0.11</v>
      </c>
      <c r="D260" s="661">
        <v>5.9409197860962576E-2</v>
      </c>
      <c r="E260" s="661">
        <v>7.1628342245989338E-2</v>
      </c>
      <c r="F260" s="676">
        <f t="shared" si="9"/>
        <v>-2.8233062184568136</v>
      </c>
      <c r="G260" s="649">
        <f t="shared" si="10"/>
        <v>1.2219144385026762E-2</v>
      </c>
      <c r="H260" s="677">
        <v>23.338395721925139</v>
      </c>
      <c r="I260" s="649">
        <f t="shared" si="11"/>
        <v>5.0590802139037425E-2</v>
      </c>
    </row>
    <row r="261" spans="1:9">
      <c r="A261" s="33"/>
      <c r="B261" s="674">
        <v>36033</v>
      </c>
      <c r="C261" s="675">
        <v>0.10929999999999999</v>
      </c>
      <c r="D261" s="661">
        <v>5.8200962566844941E-2</v>
      </c>
      <c r="E261" s="661">
        <v>7.0991443850267399E-2</v>
      </c>
      <c r="F261" s="676">
        <f t="shared" si="9"/>
        <v>-2.8438533854322858</v>
      </c>
      <c r="G261" s="649">
        <f t="shared" si="10"/>
        <v>1.2790481283422458E-2</v>
      </c>
      <c r="H261" s="677">
        <v>22.686363636363645</v>
      </c>
      <c r="I261" s="649">
        <f t="shared" si="11"/>
        <v>5.1099037433155053E-2</v>
      </c>
    </row>
    <row r="262" spans="1:9">
      <c r="A262" s="33"/>
      <c r="B262" s="674">
        <v>36041</v>
      </c>
      <c r="C262" s="675">
        <v>0.114</v>
      </c>
      <c r="D262" s="661">
        <v>5.7980855614973272E-2</v>
      </c>
      <c r="E262" s="661">
        <v>7.0926737967914461E-2</v>
      </c>
      <c r="F262" s="676">
        <f t="shared" si="9"/>
        <v>-2.8476423985265691</v>
      </c>
      <c r="G262" s="649">
        <f t="shared" si="10"/>
        <v>1.2945882352941189E-2</v>
      </c>
      <c r="H262" s="677">
        <v>23.154759358288782</v>
      </c>
      <c r="I262" s="649">
        <f t="shared" si="11"/>
        <v>5.6019144385026733E-2</v>
      </c>
    </row>
    <row r="263" spans="1:9">
      <c r="A263" s="33"/>
      <c r="B263" s="674">
        <v>36053</v>
      </c>
      <c r="C263" s="675">
        <v>0.11900000000000001</v>
      </c>
      <c r="D263" s="661">
        <v>5.7701925133689838E-2</v>
      </c>
      <c r="E263" s="661">
        <v>7.0829411764705891E-2</v>
      </c>
      <c r="F263" s="676">
        <f t="shared" si="9"/>
        <v>-2.8524647414893143</v>
      </c>
      <c r="G263" s="649">
        <f t="shared" si="10"/>
        <v>1.3127486631016053E-2</v>
      </c>
      <c r="H263" s="677">
        <v>23.715668449197864</v>
      </c>
      <c r="I263" s="649">
        <f t="shared" si="11"/>
        <v>6.129807486631017E-2</v>
      </c>
    </row>
    <row r="264" spans="1:9">
      <c r="A264" s="33"/>
      <c r="B264" s="674">
        <v>36075</v>
      </c>
      <c r="C264" s="675">
        <v>0.1106</v>
      </c>
      <c r="D264" s="661">
        <v>5.7043903743315513E-2</v>
      </c>
      <c r="E264" s="661">
        <v>7.064064171122994E-2</v>
      </c>
      <c r="F264" s="676">
        <f t="shared" si="9"/>
        <v>-2.86393406652024</v>
      </c>
      <c r="G264" s="649">
        <f t="shared" si="10"/>
        <v>1.3596737967914427E-2</v>
      </c>
      <c r="H264" s="677">
        <v>24.704973262032066</v>
      </c>
      <c r="I264" s="649">
        <f t="shared" si="11"/>
        <v>5.3556096256684491E-2</v>
      </c>
    </row>
    <row r="265" spans="1:9">
      <c r="A265" s="33"/>
      <c r="B265" s="674">
        <v>36098</v>
      </c>
      <c r="C265" s="675">
        <v>0.114</v>
      </c>
      <c r="D265" s="661">
        <v>5.6306256684491962E-2</v>
      </c>
      <c r="E265" s="661">
        <v>7.0597860962566789E-2</v>
      </c>
      <c r="F265" s="676">
        <f t="shared" si="9"/>
        <v>-2.876949618847835</v>
      </c>
      <c r="G265" s="649">
        <f t="shared" si="10"/>
        <v>1.4291604278074826E-2</v>
      </c>
      <c r="H265" s="677">
        <v>25.813048128342231</v>
      </c>
      <c r="I265" s="649">
        <f t="shared" si="11"/>
        <v>5.7693743315508042E-2</v>
      </c>
    </row>
    <row r="266" spans="1:9">
      <c r="A266" s="33"/>
      <c r="B266" s="674">
        <v>36139</v>
      </c>
      <c r="C266" s="675">
        <v>0.122</v>
      </c>
      <c r="D266" s="661">
        <v>5.5168716577540106E-2</v>
      </c>
      <c r="E266" s="661">
        <v>7.0364171122994604E-2</v>
      </c>
      <c r="F266" s="676">
        <f t="shared" si="9"/>
        <v>-2.8973592150182306</v>
      </c>
      <c r="G266" s="649">
        <f t="shared" si="10"/>
        <v>1.5195454545454498E-2</v>
      </c>
      <c r="H266" s="677">
        <v>26.796256684491976</v>
      </c>
      <c r="I266" s="649">
        <f t="shared" si="11"/>
        <v>6.6831283422459892E-2</v>
      </c>
    </row>
    <row r="267" spans="1:9">
      <c r="A267" s="33"/>
      <c r="B267" s="674">
        <v>36146</v>
      </c>
      <c r="C267" s="675">
        <v>0.121</v>
      </c>
      <c r="D267" s="661">
        <v>5.4915133689839565E-2</v>
      </c>
      <c r="E267" s="661">
        <v>7.0303208556149688E-2</v>
      </c>
      <c r="F267" s="676">
        <f t="shared" si="9"/>
        <v>-2.901966309258047</v>
      </c>
      <c r="G267" s="649">
        <f t="shared" si="10"/>
        <v>1.5388074866310122E-2</v>
      </c>
      <c r="H267" s="677">
        <v>27.069732620320853</v>
      </c>
      <c r="I267" s="649">
        <f t="shared" si="11"/>
        <v>6.6084866310160431E-2</v>
      </c>
    </row>
    <row r="268" spans="1:9">
      <c r="A268" s="33"/>
      <c r="B268" s="674">
        <v>36210</v>
      </c>
      <c r="C268" s="675">
        <v>0.1115</v>
      </c>
      <c r="D268" s="661">
        <v>5.3170855614973291E-2</v>
      </c>
      <c r="E268" s="661">
        <v>6.9925133689839589E-2</v>
      </c>
      <c r="F268" s="676">
        <f t="shared" si="9"/>
        <v>-2.9342448595326744</v>
      </c>
      <c r="G268" s="649">
        <f t="shared" si="10"/>
        <v>1.6754278074866298E-2</v>
      </c>
      <c r="H268" s="677">
        <v>28.356310160427807</v>
      </c>
      <c r="I268" s="649">
        <f t="shared" si="11"/>
        <v>5.8329144385026711E-2</v>
      </c>
    </row>
    <row r="269" spans="1:9">
      <c r="A269" s="33"/>
      <c r="B269" s="674">
        <v>36220</v>
      </c>
      <c r="C269" s="675">
        <v>0.1065</v>
      </c>
      <c r="D269" s="661">
        <v>5.3099465240641713E-2</v>
      </c>
      <c r="E269" s="661">
        <v>6.9955614973262026E-2</v>
      </c>
      <c r="F269" s="676">
        <f t="shared" si="9"/>
        <v>-2.9355884215826626</v>
      </c>
      <c r="G269" s="649">
        <f t="shared" si="10"/>
        <v>1.6856149732620312E-2</v>
      </c>
      <c r="H269" s="677">
        <v>28.528930481283432</v>
      </c>
      <c r="I269" s="649">
        <f t="shared" si="11"/>
        <v>5.3400534759358284E-2</v>
      </c>
    </row>
    <row r="270" spans="1:9">
      <c r="A270" s="33"/>
      <c r="B270" s="674">
        <v>36220</v>
      </c>
      <c r="C270" s="675">
        <v>0.1065</v>
      </c>
      <c r="D270" s="661">
        <v>5.3099465240641713E-2</v>
      </c>
      <c r="E270" s="661">
        <v>6.9955614973262026E-2</v>
      </c>
      <c r="F270" s="676">
        <f t="shared" si="9"/>
        <v>-2.9355884215826626</v>
      </c>
      <c r="G270" s="649">
        <f t="shared" si="10"/>
        <v>1.6856149732620312E-2</v>
      </c>
      <c r="H270" s="677">
        <v>28.528930481283432</v>
      </c>
      <c r="I270" s="649">
        <f t="shared" si="11"/>
        <v>5.3400534759358284E-2</v>
      </c>
    </row>
    <row r="271" spans="1:9">
      <c r="A271" s="33"/>
      <c r="B271" s="674">
        <v>36319</v>
      </c>
      <c r="C271" s="675">
        <v>0.1125</v>
      </c>
      <c r="D271" s="661">
        <v>5.3540427807486662E-2</v>
      </c>
      <c r="E271" s="661">
        <v>7.116684491978606E-2</v>
      </c>
      <c r="F271" s="676">
        <f t="shared" si="9"/>
        <v>-2.9273182504943853</v>
      </c>
      <c r="G271" s="649">
        <f t="shared" si="10"/>
        <v>1.7626417112299397E-2</v>
      </c>
      <c r="H271" s="677">
        <v>28.272513368983955</v>
      </c>
      <c r="I271" s="649">
        <f t="shared" si="11"/>
        <v>5.895957219251334E-2</v>
      </c>
    </row>
    <row r="272" spans="1:9">
      <c r="A272" s="33"/>
      <c r="B272" s="674">
        <v>36476</v>
      </c>
      <c r="C272" s="675">
        <v>0.10249999999999999</v>
      </c>
      <c r="D272" s="661">
        <v>5.9195080213903802E-2</v>
      </c>
      <c r="E272" s="661">
        <v>7.6529946524064155E-2</v>
      </c>
      <c r="F272" s="676">
        <f t="shared" si="9"/>
        <v>-2.8269168450404152</v>
      </c>
      <c r="G272" s="649">
        <f t="shared" si="10"/>
        <v>1.7334866310160353E-2</v>
      </c>
      <c r="H272" s="677">
        <v>24.087326203208555</v>
      </c>
      <c r="I272" s="649">
        <f t="shared" si="11"/>
        <v>4.3304919786096192E-2</v>
      </c>
    </row>
    <row r="273" spans="1:9">
      <c r="A273" s="33"/>
      <c r="B273" s="674">
        <v>36508</v>
      </c>
      <c r="C273" s="675">
        <v>0.105</v>
      </c>
      <c r="D273" s="661">
        <v>5.9942566844919824E-2</v>
      </c>
      <c r="E273" s="661">
        <v>7.7398930481283421E-2</v>
      </c>
      <c r="F273" s="676">
        <f t="shared" si="9"/>
        <v>-2.8143683944382869</v>
      </c>
      <c r="G273" s="649">
        <f t="shared" si="10"/>
        <v>1.7456363636363596E-2</v>
      </c>
      <c r="H273" s="677">
        <v>23.542941176470581</v>
      </c>
      <c r="I273" s="649">
        <f t="shared" si="11"/>
        <v>4.5057433155080172E-2</v>
      </c>
    </row>
    <row r="274" spans="1:9">
      <c r="A274" s="33"/>
      <c r="B274" s="674">
        <v>36553</v>
      </c>
      <c r="C274" s="675">
        <v>0.10710000000000001</v>
      </c>
      <c r="D274" s="661">
        <v>6.1620641711230009E-2</v>
      </c>
      <c r="E274" s="661">
        <v>7.9182887700534763E-2</v>
      </c>
      <c r="F274" s="676">
        <f t="shared" si="9"/>
        <v>-2.7867583718589146</v>
      </c>
      <c r="G274" s="649">
        <f t="shared" si="10"/>
        <v>1.7562245989304753E-2</v>
      </c>
      <c r="H274" s="677">
        <v>23.400213903743293</v>
      </c>
      <c r="I274" s="649">
        <f t="shared" si="11"/>
        <v>4.5479358288770005E-2</v>
      </c>
    </row>
    <row r="275" spans="1:9">
      <c r="A275" s="33"/>
      <c r="B275" s="674">
        <v>36573</v>
      </c>
      <c r="C275" s="675">
        <v>0.106</v>
      </c>
      <c r="D275" s="661">
        <v>6.1971978609625722E-2</v>
      </c>
      <c r="E275" s="661">
        <v>7.9777005347593605E-2</v>
      </c>
      <c r="F275" s="676">
        <f t="shared" si="9"/>
        <v>-2.7810729540100674</v>
      </c>
      <c r="G275" s="649">
        <f t="shared" si="10"/>
        <v>1.7805026737967883E-2</v>
      </c>
      <c r="H275" s="677">
        <v>23.181711229946504</v>
      </c>
      <c r="I275" s="649">
        <f t="shared" si="11"/>
        <v>4.4028021390374275E-2</v>
      </c>
    </row>
    <row r="276" spans="1:9">
      <c r="A276" s="33"/>
      <c r="B276" s="674">
        <v>36671</v>
      </c>
      <c r="C276" s="675">
        <v>0.10800000000000001</v>
      </c>
      <c r="D276" s="661">
        <v>6.1945347593582875E-2</v>
      </c>
      <c r="E276" s="661">
        <v>8.2088235294117642E-2</v>
      </c>
      <c r="F276" s="676">
        <f t="shared" si="9"/>
        <v>-2.7815027731042785</v>
      </c>
      <c r="G276" s="649">
        <f t="shared" si="10"/>
        <v>2.0142887700534767E-2</v>
      </c>
      <c r="H276" s="677">
        <v>23.919839572192505</v>
      </c>
      <c r="I276" s="649">
        <f t="shared" si="11"/>
        <v>4.6054652406417138E-2</v>
      </c>
    </row>
    <row r="277" spans="1:9">
      <c r="A277" s="33"/>
      <c r="B277" s="674">
        <v>36696</v>
      </c>
      <c r="C277" s="675">
        <v>0.1105</v>
      </c>
      <c r="D277" s="661">
        <v>6.1835294117647009E-2</v>
      </c>
      <c r="E277" s="661">
        <v>8.2486096256684502E-2</v>
      </c>
      <c r="F277" s="676">
        <f t="shared" si="9"/>
        <v>-2.7832809753080077</v>
      </c>
      <c r="G277" s="649">
        <f t="shared" si="10"/>
        <v>2.0650802139037493E-2</v>
      </c>
      <c r="H277" s="677">
        <v>23.792459893048118</v>
      </c>
      <c r="I277" s="649">
        <f t="shared" si="11"/>
        <v>4.8664705882352992E-2</v>
      </c>
    </row>
    <row r="278" spans="1:9">
      <c r="A278" s="33"/>
      <c r="B278" s="674">
        <v>36699</v>
      </c>
      <c r="C278" s="675">
        <v>0.1125</v>
      </c>
      <c r="D278" s="661">
        <v>6.1804652406417075E-2</v>
      </c>
      <c r="E278" s="661">
        <v>8.2563101604278072E-2</v>
      </c>
      <c r="F278" s="676">
        <f t="shared" si="9"/>
        <v>-2.7837766356947795</v>
      </c>
      <c r="G278" s="649">
        <f t="shared" si="10"/>
        <v>2.0758449197860997E-2</v>
      </c>
      <c r="H278" s="677">
        <v>23.693315508021378</v>
      </c>
      <c r="I278" s="649">
        <f t="shared" si="11"/>
        <v>5.0695347593582928E-2</v>
      </c>
    </row>
    <row r="279" spans="1:9">
      <c r="A279" s="33"/>
      <c r="B279" s="674">
        <v>36724</v>
      </c>
      <c r="C279" s="675">
        <v>0.1106</v>
      </c>
      <c r="D279" s="661">
        <v>6.1473957219251293E-2</v>
      </c>
      <c r="E279" s="661">
        <v>8.2837433155080201E-2</v>
      </c>
      <c r="F279" s="676">
        <f t="shared" si="9"/>
        <v>-2.7891416537036786</v>
      </c>
      <c r="G279" s="649">
        <f t="shared" si="10"/>
        <v>2.1363475935828907E-2</v>
      </c>
      <c r="H279" s="677">
        <v>23.315187165775384</v>
      </c>
      <c r="I279" s="649">
        <f t="shared" si="11"/>
        <v>4.912604278074871E-2</v>
      </c>
    </row>
    <row r="280" spans="1:9">
      <c r="A280" s="33"/>
      <c r="B280" s="674">
        <v>36727</v>
      </c>
      <c r="C280" s="675">
        <v>0.122</v>
      </c>
      <c r="D280" s="661">
        <v>6.1422406417112267E-2</v>
      </c>
      <c r="E280" s="661">
        <v>8.2857219251336878E-2</v>
      </c>
      <c r="F280" s="676">
        <f t="shared" si="9"/>
        <v>-2.7899805850379704</v>
      </c>
      <c r="G280" s="649">
        <f t="shared" si="10"/>
        <v>2.1434812834224611E-2</v>
      </c>
      <c r="H280" s="677">
        <v>23.255187165775396</v>
      </c>
      <c r="I280" s="649">
        <f t="shared" si="11"/>
        <v>6.057759358288773E-2</v>
      </c>
    </row>
    <row r="281" spans="1:9">
      <c r="A281" s="33"/>
      <c r="B281" s="674">
        <v>36749</v>
      </c>
      <c r="C281" s="675">
        <v>0.11</v>
      </c>
      <c r="D281" s="661">
        <v>6.1121818181818152E-2</v>
      </c>
      <c r="E281" s="661">
        <v>8.3020855614973257E-2</v>
      </c>
      <c r="F281" s="676">
        <f t="shared" si="9"/>
        <v>-2.7948863868271561</v>
      </c>
      <c r="G281" s="649">
        <f t="shared" si="10"/>
        <v>2.1899037433155105E-2</v>
      </c>
      <c r="H281" s="677">
        <v>22.993689839572184</v>
      </c>
      <c r="I281" s="649">
        <f t="shared" si="11"/>
        <v>4.8878181818181848E-2</v>
      </c>
    </row>
    <row r="282" spans="1:9">
      <c r="A282" s="33"/>
      <c r="B282" s="674">
        <v>36796</v>
      </c>
      <c r="C282" s="675">
        <v>0.1125</v>
      </c>
      <c r="D282" s="661">
        <v>6.0046363636363662E-2</v>
      </c>
      <c r="E282" s="661">
        <v>8.3183957219251356E-2</v>
      </c>
      <c r="F282" s="676">
        <f t="shared" si="9"/>
        <v>-2.8126382878873164</v>
      </c>
      <c r="G282" s="649">
        <f t="shared" si="10"/>
        <v>2.3137593582887694E-2</v>
      </c>
      <c r="H282" s="677">
        <v>22.440053475935834</v>
      </c>
      <c r="I282" s="649">
        <f t="shared" si="11"/>
        <v>5.2453636363636341E-2</v>
      </c>
    </row>
    <row r="283" spans="1:9">
      <c r="A283" s="33"/>
      <c r="B283" s="674">
        <v>36798</v>
      </c>
      <c r="C283" s="675">
        <v>0.1116</v>
      </c>
      <c r="D283" s="661">
        <v>5.9966791443850281E-2</v>
      </c>
      <c r="E283" s="661">
        <v>8.317005347593584E-2</v>
      </c>
      <c r="F283" s="676">
        <f t="shared" si="9"/>
        <v>-2.8139643459202106</v>
      </c>
      <c r="G283" s="649">
        <f t="shared" si="10"/>
        <v>2.3203262032085559E-2</v>
      </c>
      <c r="H283" s="677">
        <v>22.380267379679154</v>
      </c>
      <c r="I283" s="649">
        <f t="shared" si="11"/>
        <v>5.1633208556149723E-2</v>
      </c>
    </row>
    <row r="284" spans="1:9">
      <c r="A284" s="33"/>
      <c r="B284" s="674">
        <v>36804</v>
      </c>
      <c r="C284" s="675">
        <v>0.113</v>
      </c>
      <c r="D284" s="661">
        <v>5.980283422459895E-2</v>
      </c>
      <c r="E284" s="661">
        <v>8.3155080213903748E-2</v>
      </c>
      <c r="F284" s="676">
        <f t="shared" si="9"/>
        <v>-2.8167022240884783</v>
      </c>
      <c r="G284" s="649">
        <f t="shared" si="10"/>
        <v>2.3352245989304798E-2</v>
      </c>
      <c r="H284" s="677">
        <v>22.327219251336906</v>
      </c>
      <c r="I284" s="649">
        <f t="shared" si="11"/>
        <v>5.3197165775401054E-2</v>
      </c>
    </row>
    <row r="285" spans="1:9">
      <c r="A285" s="33"/>
      <c r="B285" s="674">
        <v>36858</v>
      </c>
      <c r="C285" s="675">
        <v>0.129</v>
      </c>
      <c r="D285" s="661">
        <v>5.870566844919789E-2</v>
      </c>
      <c r="E285" s="661">
        <v>8.284064171122997E-2</v>
      </c>
      <c r="F285" s="676">
        <f t="shared" si="9"/>
        <v>-2.8352189903844649</v>
      </c>
      <c r="G285" s="649">
        <f t="shared" si="10"/>
        <v>2.4134973262032081E-2</v>
      </c>
      <c r="H285" s="677">
        <v>22.939946524064172</v>
      </c>
      <c r="I285" s="649">
        <f t="shared" si="11"/>
        <v>7.0294331550802114E-2</v>
      </c>
    </row>
    <row r="286" spans="1:9">
      <c r="A286" s="33"/>
      <c r="B286" s="674">
        <v>36860</v>
      </c>
      <c r="C286" s="675">
        <v>0.121</v>
      </c>
      <c r="D286" s="661">
        <v>5.8647005347593623E-2</v>
      </c>
      <c r="E286" s="661">
        <v>8.2806417112299496E-2</v>
      </c>
      <c r="F286" s="676">
        <f t="shared" si="9"/>
        <v>-2.8362187649033181</v>
      </c>
      <c r="G286" s="649">
        <f t="shared" si="10"/>
        <v>2.4159411764705874E-2</v>
      </c>
      <c r="H286" s="677">
        <v>23.000534759358288</v>
      </c>
      <c r="I286" s="649">
        <f t="shared" si="11"/>
        <v>6.2352994652406374E-2</v>
      </c>
    </row>
    <row r="287" spans="1:9">
      <c r="A287" s="33"/>
      <c r="B287" s="674">
        <v>36927</v>
      </c>
      <c r="C287" s="675">
        <v>0.115</v>
      </c>
      <c r="D287" s="661">
        <v>5.7538823529411767E-2</v>
      </c>
      <c r="E287" s="661">
        <v>8.1723529411764737E-2</v>
      </c>
      <c r="F287" s="676">
        <f t="shared" si="9"/>
        <v>-2.8552953672024186</v>
      </c>
      <c r="G287" s="649">
        <f t="shared" si="10"/>
        <v>2.4184705882352969E-2</v>
      </c>
      <c r="H287" s="677">
        <v>22.932834224598913</v>
      </c>
      <c r="I287" s="649">
        <f t="shared" si="11"/>
        <v>5.7461176470588238E-2</v>
      </c>
    </row>
    <row r="288" spans="1:9">
      <c r="A288" s="33"/>
      <c r="B288" s="674">
        <v>36965</v>
      </c>
      <c r="C288" s="675">
        <v>0.1125</v>
      </c>
      <c r="D288" s="661">
        <v>5.6632085561497333E-2</v>
      </c>
      <c r="E288" s="661">
        <v>8.0421925133689842E-2</v>
      </c>
      <c r="F288" s="676">
        <f t="shared" si="9"/>
        <v>-2.8711795716783395</v>
      </c>
      <c r="G288" s="649">
        <f t="shared" si="10"/>
        <v>2.3789839572192509E-2</v>
      </c>
      <c r="H288" s="677">
        <v>23.12106951871656</v>
      </c>
      <c r="I288" s="649">
        <f t="shared" si="11"/>
        <v>5.5867914438502669E-2</v>
      </c>
    </row>
    <row r="289" spans="1:9">
      <c r="A289" s="33"/>
      <c r="B289" s="674">
        <v>37019</v>
      </c>
      <c r="C289" s="675">
        <v>0.1075</v>
      </c>
      <c r="D289" s="661">
        <v>5.6132406417112278E-2</v>
      </c>
      <c r="E289" s="661">
        <v>7.956470588235294E-2</v>
      </c>
      <c r="F289" s="676">
        <f t="shared" si="9"/>
        <v>-2.8800419787376401</v>
      </c>
      <c r="G289" s="649">
        <f t="shared" si="10"/>
        <v>2.3432299465240662E-2</v>
      </c>
      <c r="H289" s="677">
        <v>24.694224598930482</v>
      </c>
      <c r="I289" s="649">
        <f t="shared" si="11"/>
        <v>5.136759358288772E-2</v>
      </c>
    </row>
    <row r="290" spans="1:9">
      <c r="A290" s="33"/>
      <c r="B290" s="674">
        <v>37188</v>
      </c>
      <c r="C290" s="675">
        <v>0.10300000000000001</v>
      </c>
      <c r="D290" s="661">
        <v>5.5390641711229927E-2</v>
      </c>
      <c r="E290" s="661">
        <v>7.8627005347593593E-2</v>
      </c>
      <c r="F290" s="676">
        <f t="shared" si="9"/>
        <v>-2.8933446216778225</v>
      </c>
      <c r="G290" s="649">
        <f t="shared" si="10"/>
        <v>2.3236363636363666E-2</v>
      </c>
      <c r="H290" s="677">
        <v>25.705240641711242</v>
      </c>
      <c r="I290" s="649">
        <f t="shared" si="11"/>
        <v>4.7609358288770082E-2</v>
      </c>
    </row>
    <row r="291" spans="1:9">
      <c r="A291" s="33"/>
      <c r="B291" s="674">
        <v>37188</v>
      </c>
      <c r="C291" s="675">
        <v>0.11</v>
      </c>
      <c r="D291" s="661">
        <v>5.5390641711229927E-2</v>
      </c>
      <c r="E291" s="661">
        <v>7.8158155080213926E-2</v>
      </c>
      <c r="F291" s="676">
        <f t="shared" si="9"/>
        <v>-2.8933446216778225</v>
      </c>
      <c r="G291" s="649">
        <f t="shared" si="10"/>
        <v>2.2767513368983999E-2</v>
      </c>
      <c r="H291" s="677">
        <v>25.705240641711242</v>
      </c>
      <c r="I291" s="649">
        <f t="shared" si="11"/>
        <v>5.4609358288770074E-2</v>
      </c>
    </row>
    <row r="292" spans="1:9">
      <c r="A292" s="33"/>
      <c r="B292" s="674">
        <v>37265</v>
      </c>
      <c r="C292" s="675">
        <v>0.1</v>
      </c>
      <c r="D292" s="661">
        <v>5.498112299465243E-2</v>
      </c>
      <c r="E292" s="661">
        <v>7.7689304812834259E-2</v>
      </c>
      <c r="F292" s="676">
        <f t="shared" si="9"/>
        <v>-2.9007653709415866</v>
      </c>
      <c r="G292" s="649">
        <f t="shared" si="10"/>
        <v>2.2708181818181829E-2</v>
      </c>
      <c r="H292" s="677">
        <v>25.452673796791448</v>
      </c>
      <c r="I292" s="649">
        <f t="shared" si="11"/>
        <v>4.5018877005347575E-2</v>
      </c>
    </row>
    <row r="293" spans="1:9">
      <c r="A293" s="33"/>
      <c r="B293" s="674">
        <v>37286</v>
      </c>
      <c r="C293" s="675">
        <v>0.11</v>
      </c>
      <c r="D293" s="661">
        <v>5.4715240641711217E-2</v>
      </c>
      <c r="E293" s="661">
        <v>7.7441711229946558E-2</v>
      </c>
      <c r="F293" s="676">
        <f t="shared" si="9"/>
        <v>-2.9056129860274389</v>
      </c>
      <c r="G293" s="649">
        <f t="shared" si="10"/>
        <v>2.2726470588235341E-2</v>
      </c>
      <c r="H293" s="677">
        <v>25.133155080213903</v>
      </c>
      <c r="I293" s="649">
        <f t="shared" si="11"/>
        <v>5.5284759358288783E-2</v>
      </c>
    </row>
    <row r="294" spans="1:9">
      <c r="A294" s="33"/>
      <c r="B294" s="674">
        <v>37287</v>
      </c>
      <c r="C294" s="675">
        <v>0.11</v>
      </c>
      <c r="D294" s="661">
        <v>5.4693262032085549E-2</v>
      </c>
      <c r="E294" s="661">
        <v>7.741925133689842E-2</v>
      </c>
      <c r="F294" s="676">
        <f t="shared" si="9"/>
        <v>-2.90601475754216</v>
      </c>
      <c r="G294" s="649">
        <f t="shared" si="10"/>
        <v>2.2725989304812871E-2</v>
      </c>
      <c r="H294" s="677">
        <v>25.109679144385023</v>
      </c>
      <c r="I294" s="649">
        <f t="shared" si="11"/>
        <v>5.5306737967914452E-2</v>
      </c>
    </row>
    <row r="295" spans="1:9">
      <c r="A295" s="33"/>
      <c r="B295" s="674">
        <v>37363</v>
      </c>
      <c r="C295" s="675">
        <v>0.115</v>
      </c>
      <c r="D295" s="661">
        <v>5.441401069518715E-2</v>
      </c>
      <c r="E295" s="661">
        <v>7.6640106951871637E-2</v>
      </c>
      <c r="F295" s="676">
        <f t="shared" si="9"/>
        <v>-2.9111336087365491</v>
      </c>
      <c r="G295" s="649">
        <f t="shared" si="10"/>
        <v>2.2226096256684487E-2</v>
      </c>
      <c r="H295" s="677">
        <v>24.723582887700527</v>
      </c>
      <c r="I295" s="649">
        <f t="shared" si="11"/>
        <v>6.0585989304812855E-2</v>
      </c>
    </row>
    <row r="296" spans="1:9">
      <c r="A296" s="33"/>
      <c r="B296" s="674">
        <v>37375</v>
      </c>
      <c r="C296" s="675">
        <v>0.11</v>
      </c>
      <c r="D296" s="661">
        <v>5.445424064171122E-2</v>
      </c>
      <c r="E296" s="661">
        <v>7.6513368983957206E-2</v>
      </c>
      <c r="F296" s="676">
        <f t="shared" si="9"/>
        <v>-2.9103945512452931</v>
      </c>
      <c r="G296" s="649">
        <f t="shared" si="10"/>
        <v>2.2059128342245986E-2</v>
      </c>
      <c r="H296" s="677">
        <v>24.609144385026728</v>
      </c>
      <c r="I296" s="649">
        <f t="shared" si="11"/>
        <v>5.5545759358288781E-2</v>
      </c>
    </row>
    <row r="297" spans="1:9">
      <c r="A297" s="33"/>
      <c r="B297" s="674">
        <v>37418</v>
      </c>
      <c r="C297" s="675">
        <v>0.1177</v>
      </c>
      <c r="D297" s="661">
        <v>5.4752021390374342E-2</v>
      </c>
      <c r="E297" s="661">
        <v>7.6357219251336886E-2</v>
      </c>
      <c r="F297" s="676">
        <f t="shared" si="9"/>
        <v>-2.904940990594933</v>
      </c>
      <c r="G297" s="649">
        <f t="shared" si="10"/>
        <v>2.1605197860962544E-2</v>
      </c>
      <c r="H297" s="677">
        <v>24.377058823529403</v>
      </c>
      <c r="I297" s="649">
        <f t="shared" si="11"/>
        <v>6.2947978609625657E-2</v>
      </c>
    </row>
    <row r="298" spans="1:9">
      <c r="A298" s="33"/>
      <c r="B298" s="674">
        <v>37427</v>
      </c>
      <c r="C298" s="675">
        <v>0.12300000000000001</v>
      </c>
      <c r="D298" s="661">
        <v>5.4750887700534774E-2</v>
      </c>
      <c r="E298" s="661">
        <v>7.6289304812834219E-2</v>
      </c>
      <c r="F298" s="676">
        <f t="shared" si="9"/>
        <v>-2.9049616967085701</v>
      </c>
      <c r="G298" s="649">
        <f t="shared" si="10"/>
        <v>2.1538417112299445E-2</v>
      </c>
      <c r="H298" s="677">
        <v>23.880427807486626</v>
      </c>
      <c r="I298" s="649">
        <f t="shared" si="11"/>
        <v>6.8249112299465231E-2</v>
      </c>
    </row>
    <row r="299" spans="1:9">
      <c r="A299" s="33"/>
      <c r="B299" s="674">
        <v>37496</v>
      </c>
      <c r="C299" s="675">
        <v>0.11</v>
      </c>
      <c r="D299" s="661">
        <v>5.4853593582887661E-2</v>
      </c>
      <c r="E299" s="661">
        <v>7.5292513368984015E-2</v>
      </c>
      <c r="F299" s="676">
        <f t="shared" si="9"/>
        <v>-2.9030875778548229</v>
      </c>
      <c r="G299" s="649">
        <f t="shared" si="10"/>
        <v>2.0438919786096355E-2</v>
      </c>
      <c r="H299" s="677">
        <v>24.546363636363619</v>
      </c>
      <c r="I299" s="649">
        <f t="shared" si="11"/>
        <v>5.514640641711234E-2</v>
      </c>
    </row>
    <row r="300" spans="1:9">
      <c r="A300" s="33"/>
      <c r="B300" s="674">
        <v>37510</v>
      </c>
      <c r="C300" s="675">
        <v>0.11199999999999999</v>
      </c>
      <c r="D300" s="661">
        <v>5.4515224598930462E-2</v>
      </c>
      <c r="E300" s="661">
        <v>7.4980213903743376E-2</v>
      </c>
      <c r="F300" s="676">
        <f t="shared" si="9"/>
        <v>-2.9092752658849164</v>
      </c>
      <c r="G300" s="649">
        <f t="shared" si="10"/>
        <v>2.0464989304812914E-2</v>
      </c>
      <c r="H300" s="677">
        <v>25.110802139037418</v>
      </c>
      <c r="I300" s="649">
        <f t="shared" si="11"/>
        <v>5.7484775401069527E-2</v>
      </c>
    </row>
    <row r="301" spans="1:9">
      <c r="A301" s="33"/>
      <c r="B301" s="674">
        <v>37511</v>
      </c>
      <c r="C301" s="675">
        <v>0.12300000000000001</v>
      </c>
      <c r="D301" s="661">
        <v>5.4479106951871636E-2</v>
      </c>
      <c r="E301" s="661">
        <v>7.4943315508021455E-2</v>
      </c>
      <c r="F301" s="676">
        <f t="shared" si="9"/>
        <v>-2.9099380094949177</v>
      </c>
      <c r="G301" s="649">
        <f t="shared" si="10"/>
        <v>2.0464208556149818E-2</v>
      </c>
      <c r="H301" s="677">
        <v>25.172780748663097</v>
      </c>
      <c r="I301" s="649">
        <f t="shared" si="11"/>
        <v>6.8520893048128376E-2</v>
      </c>
    </row>
    <row r="302" spans="1:9">
      <c r="A302" s="33"/>
      <c r="B302" s="674">
        <v>37557</v>
      </c>
      <c r="C302" s="675">
        <v>0.113</v>
      </c>
      <c r="D302" s="661">
        <v>5.3450486631016092E-2</v>
      </c>
      <c r="E302" s="661">
        <v>7.3997326203208563E-2</v>
      </c>
      <c r="F302" s="676">
        <f t="shared" si="9"/>
        <v>-2.9289995371368853</v>
      </c>
      <c r="G302" s="649">
        <f t="shared" si="10"/>
        <v>2.0546839572192471E-2</v>
      </c>
      <c r="H302" s="677">
        <v>27.592673796791452</v>
      </c>
      <c r="I302" s="649">
        <f t="shared" si="11"/>
        <v>5.9549513368983911E-2</v>
      </c>
    </row>
    <row r="303" spans="1:9">
      <c r="A303" s="33"/>
      <c r="B303" s="674">
        <v>37559</v>
      </c>
      <c r="C303" s="675">
        <v>0.106</v>
      </c>
      <c r="D303" s="661">
        <v>5.3410893048128363E-2</v>
      </c>
      <c r="E303" s="661">
        <v>7.3960427807486642E-2</v>
      </c>
      <c r="F303" s="676">
        <f t="shared" si="9"/>
        <v>-2.9297405641537253</v>
      </c>
      <c r="G303" s="649">
        <f t="shared" si="10"/>
        <v>2.0549534759358279E-2</v>
      </c>
      <c r="H303" s="677">
        <v>27.686310160427819</v>
      </c>
      <c r="I303" s="649">
        <f t="shared" si="11"/>
        <v>5.2589106951871634E-2</v>
      </c>
    </row>
    <row r="304" spans="1:9">
      <c r="A304" s="33"/>
      <c r="B304" s="674">
        <v>37561</v>
      </c>
      <c r="C304" s="675">
        <v>0.126</v>
      </c>
      <c r="D304" s="661">
        <v>5.3363652406417134E-2</v>
      </c>
      <c r="E304" s="661">
        <v>7.3928342245989306E-2</v>
      </c>
      <c r="F304" s="676">
        <f t="shared" si="9"/>
        <v>-2.93062543132113</v>
      </c>
      <c r="G304" s="649">
        <f t="shared" si="10"/>
        <v>2.0564689839572173E-2</v>
      </c>
      <c r="H304" s="677">
        <v>27.733903743315519</v>
      </c>
      <c r="I304" s="649">
        <f t="shared" si="11"/>
        <v>7.2636347593582867E-2</v>
      </c>
    </row>
    <row r="305" spans="1:9">
      <c r="A305" s="33"/>
      <c r="B305" s="674">
        <v>37567</v>
      </c>
      <c r="C305" s="675">
        <v>0.114</v>
      </c>
      <c r="D305" s="661">
        <v>5.328591443850271E-2</v>
      </c>
      <c r="E305" s="661">
        <v>7.3859358288770049E-2</v>
      </c>
      <c r="F305" s="676">
        <f t="shared" si="9"/>
        <v>-2.9320832521821401</v>
      </c>
      <c r="G305" s="649">
        <f t="shared" si="10"/>
        <v>2.0573443850267339E-2</v>
      </c>
      <c r="H305" s="677">
        <v>27.907326203208566</v>
      </c>
      <c r="I305" s="649">
        <f t="shared" si="11"/>
        <v>6.0714085561497294E-2</v>
      </c>
    </row>
    <row r="306" spans="1:9">
      <c r="A306" s="33"/>
      <c r="B306" s="674">
        <v>37568</v>
      </c>
      <c r="C306" s="675">
        <v>0.1075</v>
      </c>
      <c r="D306" s="661">
        <v>5.3252459893048151E-2</v>
      </c>
      <c r="E306" s="661">
        <v>7.3829411764705852E-2</v>
      </c>
      <c r="F306" s="676">
        <f t="shared" si="9"/>
        <v>-2.9327112802849538</v>
      </c>
      <c r="G306" s="649">
        <f t="shared" si="10"/>
        <v>2.05769518716577E-2</v>
      </c>
      <c r="H306" s="677">
        <v>27.953101604278078</v>
      </c>
      <c r="I306" s="649">
        <f t="shared" si="11"/>
        <v>5.4247540106951847E-2</v>
      </c>
    </row>
    <row r="307" spans="1:9">
      <c r="A307" s="33"/>
      <c r="B307" s="674">
        <v>37580</v>
      </c>
      <c r="C307" s="675">
        <v>0.1</v>
      </c>
      <c r="D307" s="661">
        <v>5.3016631016042808E-2</v>
      </c>
      <c r="E307" s="661">
        <v>7.3658288770053454E-2</v>
      </c>
      <c r="F307" s="676">
        <f t="shared" si="9"/>
        <v>-2.9371496218971402</v>
      </c>
      <c r="G307" s="649">
        <f t="shared" si="10"/>
        <v>2.0641657754010646E-2</v>
      </c>
      <c r="H307" s="677">
        <v>28.206684491978606</v>
      </c>
      <c r="I307" s="649">
        <f t="shared" si="11"/>
        <v>4.6983368983957198E-2</v>
      </c>
    </row>
    <row r="308" spans="1:9">
      <c r="A308" s="33"/>
      <c r="B308" s="674">
        <v>37580</v>
      </c>
      <c r="C308" s="675">
        <v>0.105</v>
      </c>
      <c r="D308" s="661">
        <v>5.3016631016042808E-2</v>
      </c>
      <c r="E308" s="661">
        <v>7.3658288770053454E-2</v>
      </c>
      <c r="F308" s="676">
        <f t="shared" si="9"/>
        <v>-2.9371496218971402</v>
      </c>
      <c r="G308" s="649">
        <f t="shared" si="10"/>
        <v>2.0641657754010646E-2</v>
      </c>
      <c r="H308" s="677">
        <v>28.206684491978606</v>
      </c>
      <c r="I308" s="649">
        <f t="shared" si="11"/>
        <v>5.1983368983957189E-2</v>
      </c>
    </row>
    <row r="309" spans="1:9">
      <c r="A309" s="33"/>
      <c r="B309" s="674">
        <v>37594</v>
      </c>
      <c r="C309" s="675">
        <v>0.1075</v>
      </c>
      <c r="D309" s="661">
        <v>5.26638502673797E-2</v>
      </c>
      <c r="E309" s="661">
        <v>7.3458823529411715E-2</v>
      </c>
      <c r="F309" s="676">
        <f t="shared" si="9"/>
        <v>-2.9438260119889974</v>
      </c>
      <c r="G309" s="649">
        <f t="shared" si="10"/>
        <v>2.0794973262032015E-2</v>
      </c>
      <c r="H309" s="677">
        <v>28.492994652406416</v>
      </c>
      <c r="I309" s="649">
        <f t="shared" si="11"/>
        <v>5.4836149732620298E-2</v>
      </c>
    </row>
    <row r="310" spans="1:9">
      <c r="A310" s="33"/>
      <c r="B310" s="674">
        <v>37620</v>
      </c>
      <c r="C310" s="675">
        <v>0.11199999999999999</v>
      </c>
      <c r="D310" s="661">
        <v>5.1852914438502665E-2</v>
      </c>
      <c r="E310" s="661">
        <v>7.2787700534759275E-2</v>
      </c>
      <c r="F310" s="676">
        <f t="shared" si="9"/>
        <v>-2.9593441368505382</v>
      </c>
      <c r="G310" s="649">
        <f t="shared" si="10"/>
        <v>2.0934786096256611E-2</v>
      </c>
      <c r="H310" s="677">
        <v>29.355935828877012</v>
      </c>
      <c r="I310" s="649">
        <f t="shared" si="11"/>
        <v>6.0147085561497324E-2</v>
      </c>
    </row>
    <row r="311" spans="1:9">
      <c r="A311" s="33"/>
      <c r="B311" s="674">
        <v>37627</v>
      </c>
      <c r="C311" s="675">
        <v>0.1125</v>
      </c>
      <c r="D311" s="661">
        <v>5.1643465240641694E-2</v>
      </c>
      <c r="E311" s="661">
        <v>7.2660962566844858E-2</v>
      </c>
      <c r="F311" s="676">
        <f t="shared" si="9"/>
        <v>-2.9633916114471215</v>
      </c>
      <c r="G311" s="649">
        <f t="shared" si="10"/>
        <v>2.1017497326203165E-2</v>
      </c>
      <c r="H311" s="677">
        <v>29.50139037433155</v>
      </c>
      <c r="I311" s="649">
        <f t="shared" si="11"/>
        <v>6.0856534759358309E-2</v>
      </c>
    </row>
    <row r="312" spans="1:9">
      <c r="A312" s="33"/>
      <c r="B312" s="674">
        <v>37680</v>
      </c>
      <c r="C312" s="675">
        <v>0.12300000000000001</v>
      </c>
      <c r="D312" s="661">
        <v>5.0055117647058826E-2</v>
      </c>
      <c r="E312" s="661">
        <v>7.1610160427807476E-2</v>
      </c>
      <c r="F312" s="676">
        <f t="shared" si="9"/>
        <v>-2.9946305277576668</v>
      </c>
      <c r="G312" s="649">
        <f t="shared" si="10"/>
        <v>2.155504278074865E-2</v>
      </c>
      <c r="H312" s="677">
        <v>31.449197860962574</v>
      </c>
      <c r="I312" s="649">
        <f t="shared" si="11"/>
        <v>7.2944882352941193E-2</v>
      </c>
    </row>
    <row r="313" spans="1:9">
      <c r="A313" s="33"/>
      <c r="B313" s="674">
        <v>37687</v>
      </c>
      <c r="C313" s="675">
        <v>9.9600000000000008E-2</v>
      </c>
      <c r="D313" s="661">
        <v>4.9850524064171148E-2</v>
      </c>
      <c r="E313" s="661">
        <v>7.1410695187165751E-2</v>
      </c>
      <c r="F313" s="676">
        <f t="shared" si="9"/>
        <v>-2.9987262698076602</v>
      </c>
      <c r="G313" s="649">
        <f t="shared" si="10"/>
        <v>2.1560171122994604E-2</v>
      </c>
      <c r="H313" s="677">
        <v>31.64812834224599</v>
      </c>
      <c r="I313" s="649">
        <f t="shared" si="11"/>
        <v>4.974947593582886E-2</v>
      </c>
    </row>
    <row r="314" spans="1:9">
      <c r="A314" s="33"/>
      <c r="B314" s="674">
        <v>37692</v>
      </c>
      <c r="C314" s="675">
        <v>0.114</v>
      </c>
      <c r="D314" s="661">
        <v>4.972314438502675E-2</v>
      </c>
      <c r="E314" s="661">
        <v>7.1291978609625661E-2</v>
      </c>
      <c r="F314" s="676">
        <f t="shared" si="9"/>
        <v>-3.0012847724843859</v>
      </c>
      <c r="G314" s="649">
        <f t="shared" si="10"/>
        <v>2.1568834224598911E-2</v>
      </c>
      <c r="H314" s="677">
        <v>31.79149732620321</v>
      </c>
      <c r="I314" s="649">
        <f t="shared" si="11"/>
        <v>6.4276855614973261E-2</v>
      </c>
    </row>
    <row r="315" spans="1:9">
      <c r="A315" s="33"/>
      <c r="B315" s="674">
        <v>37700</v>
      </c>
      <c r="C315" s="675">
        <v>0.12</v>
      </c>
      <c r="D315" s="661">
        <v>4.9517882352941162E-2</v>
      </c>
      <c r="E315" s="661">
        <v>7.1122994652406415E-2</v>
      </c>
      <c r="F315" s="676">
        <f t="shared" si="9"/>
        <v>-3.0054214149906731</v>
      </c>
      <c r="G315" s="649">
        <f t="shared" si="10"/>
        <v>2.1605112299465254E-2</v>
      </c>
      <c r="H315" s="677">
        <v>31.958823529411774</v>
      </c>
      <c r="I315" s="649">
        <f t="shared" si="11"/>
        <v>7.0482117647058834E-2</v>
      </c>
    </row>
    <row r="316" spans="1:9">
      <c r="A316" s="33"/>
      <c r="B316" s="674">
        <v>37714</v>
      </c>
      <c r="C316" s="675">
        <v>0.12</v>
      </c>
      <c r="D316" s="661">
        <v>4.9249074866310145E-2</v>
      </c>
      <c r="E316" s="661">
        <v>7.0790909090909071E-2</v>
      </c>
      <c r="F316" s="676">
        <f t="shared" ref="F316:F379" si="12">LN(D316)</f>
        <v>-3.0108646959808723</v>
      </c>
      <c r="G316" s="649">
        <f t="shared" ref="G316:G379" si="13">IF(E316="","",E316-D316)</f>
        <v>2.1541834224598926E-2</v>
      </c>
      <c r="H316" s="677">
        <v>32.010748663101609</v>
      </c>
      <c r="I316" s="649">
        <f t="shared" ref="I316:I379" si="14">C316-D316</f>
        <v>7.0750925133689857E-2</v>
      </c>
    </row>
    <row r="317" spans="1:9">
      <c r="A317" s="33"/>
      <c r="B317" s="674">
        <v>37743</v>
      </c>
      <c r="C317" s="675">
        <v>0.114</v>
      </c>
      <c r="D317" s="661">
        <v>4.8844171122994676E-2</v>
      </c>
      <c r="E317" s="661">
        <v>7.0051336898395655E-2</v>
      </c>
      <c r="F317" s="676">
        <f t="shared" si="12"/>
        <v>-3.0191202295576125</v>
      </c>
      <c r="G317" s="649">
        <f t="shared" si="13"/>
        <v>2.120716577540098E-2</v>
      </c>
      <c r="H317" s="677">
        <v>30.566363636363629</v>
      </c>
      <c r="I317" s="649">
        <f t="shared" si="14"/>
        <v>6.5155828877005328E-2</v>
      </c>
    </row>
    <row r="318" spans="1:9">
      <c r="A318" s="33"/>
      <c r="B318" s="674">
        <v>37756</v>
      </c>
      <c r="C318" s="675">
        <v>0.1105</v>
      </c>
      <c r="D318" s="661">
        <v>4.8658946524064203E-2</v>
      </c>
      <c r="E318" s="661">
        <v>6.9731016042780661E-2</v>
      </c>
      <c r="F318" s="676">
        <f t="shared" si="12"/>
        <v>-3.0229195915926401</v>
      </c>
      <c r="G318" s="649">
        <f t="shared" si="13"/>
        <v>2.1072069518716458E-2</v>
      </c>
      <c r="H318" s="677">
        <v>29.853208556149731</v>
      </c>
      <c r="I318" s="649">
        <f t="shared" si="14"/>
        <v>6.1841053475935798E-2</v>
      </c>
    </row>
    <row r="319" spans="1:9">
      <c r="A319" s="33"/>
      <c r="B319" s="674">
        <v>37798</v>
      </c>
      <c r="C319" s="675">
        <v>0.11</v>
      </c>
      <c r="D319" s="661">
        <v>4.7977363636363624E-2</v>
      </c>
      <c r="E319" s="661">
        <v>6.8279144385026649E-2</v>
      </c>
      <c r="F319" s="676">
        <f t="shared" si="12"/>
        <v>-3.0370259702173028</v>
      </c>
      <c r="G319" s="649">
        <f t="shared" si="13"/>
        <v>2.0301780748663026E-2</v>
      </c>
      <c r="H319" s="677">
        <v>27.568823529411745</v>
      </c>
      <c r="I319" s="649">
        <f t="shared" si="14"/>
        <v>6.2022636363636377E-2</v>
      </c>
    </row>
    <row r="320" spans="1:9">
      <c r="A320" s="33"/>
      <c r="B320" s="674">
        <v>37803</v>
      </c>
      <c r="C320" s="675">
        <v>0.11</v>
      </c>
      <c r="D320" s="661">
        <v>4.7953336898395718E-2</v>
      </c>
      <c r="E320" s="661">
        <v>6.8170588235294025E-2</v>
      </c>
      <c r="F320" s="676">
        <f t="shared" si="12"/>
        <v>-3.0375268888666271</v>
      </c>
      <c r="G320" s="649">
        <f t="shared" si="13"/>
        <v>2.0217251336898306E-2</v>
      </c>
      <c r="H320" s="677">
        <v>27.28807486631014</v>
      </c>
      <c r="I320" s="649">
        <f t="shared" si="14"/>
        <v>6.2046663101604282E-2</v>
      </c>
    </row>
    <row r="321" spans="1:9">
      <c r="A321" s="33"/>
      <c r="B321" s="674">
        <v>37831</v>
      </c>
      <c r="C321" s="675">
        <v>0.11710000000000001</v>
      </c>
      <c r="D321" s="661">
        <v>4.7807438502673785E-2</v>
      </c>
      <c r="E321" s="661">
        <v>6.7478074866310106E-2</v>
      </c>
      <c r="F321" s="676">
        <f t="shared" si="12"/>
        <v>-3.0405740343810801</v>
      </c>
      <c r="G321" s="649">
        <f t="shared" si="13"/>
        <v>1.9670636363636321E-2</v>
      </c>
      <c r="H321" s="677">
        <v>25.611497326203196</v>
      </c>
      <c r="I321" s="649">
        <f t="shared" si="14"/>
        <v>6.9292561497326224E-2</v>
      </c>
    </row>
    <row r="322" spans="1:9">
      <c r="A322" s="33"/>
      <c r="B322" s="674">
        <v>37855</v>
      </c>
      <c r="C322" s="675">
        <v>0.10199999999999999</v>
      </c>
      <c r="D322" s="661">
        <v>4.8141203208556117E-2</v>
      </c>
      <c r="E322" s="661">
        <v>6.7132620320855596E-2</v>
      </c>
      <c r="F322" s="676">
        <f t="shared" si="12"/>
        <v>-3.0336168529936445</v>
      </c>
      <c r="G322" s="649">
        <f t="shared" si="13"/>
        <v>1.8991417112299479E-2</v>
      </c>
      <c r="H322" s="677">
        <v>24.685080213903735</v>
      </c>
      <c r="I322" s="649">
        <f t="shared" si="14"/>
        <v>5.3858796791443876E-2</v>
      </c>
    </row>
    <row r="323" spans="1:9">
      <c r="A323" s="33"/>
      <c r="B323" s="674">
        <v>37881</v>
      </c>
      <c r="C323" s="675">
        <v>9.9000000000000005E-2</v>
      </c>
      <c r="D323" s="661">
        <v>4.8453497326203174E-2</v>
      </c>
      <c r="E323" s="661">
        <v>6.6756149732620312E-2</v>
      </c>
      <c r="F323" s="676">
        <f t="shared" si="12"/>
        <v>-3.027150759015159</v>
      </c>
      <c r="G323" s="649">
        <f t="shared" si="13"/>
        <v>1.8302652406417139E-2</v>
      </c>
      <c r="H323" s="677">
        <v>23.87582887700535</v>
      </c>
      <c r="I323" s="649">
        <f t="shared" si="14"/>
        <v>5.0546502673796831E-2</v>
      </c>
    </row>
    <row r="324" spans="1:9">
      <c r="A324" s="33"/>
      <c r="B324" s="674">
        <v>37889</v>
      </c>
      <c r="C324" s="675">
        <v>0.10249999999999999</v>
      </c>
      <c r="D324" s="661">
        <v>4.8506139037433137E-2</v>
      </c>
      <c r="E324" s="661">
        <v>6.6579679144385034E-2</v>
      </c>
      <c r="F324" s="676">
        <f t="shared" si="12"/>
        <v>-3.0260649109576252</v>
      </c>
      <c r="G324" s="649">
        <f t="shared" si="13"/>
        <v>1.8073540106951898E-2</v>
      </c>
      <c r="H324" s="677">
        <v>23.614759358288776</v>
      </c>
      <c r="I324" s="649">
        <f t="shared" si="14"/>
        <v>5.3993860962566857E-2</v>
      </c>
    </row>
    <row r="325" spans="1:9">
      <c r="A325" s="33"/>
      <c r="B325" s="674">
        <v>37911</v>
      </c>
      <c r="C325" s="675">
        <v>0.10539999999999999</v>
      </c>
      <c r="D325" s="661">
        <v>4.8654786096256654E-2</v>
      </c>
      <c r="E325" s="661">
        <v>6.6048128342246021E-2</v>
      </c>
      <c r="F325" s="676">
        <f t="shared" si="12"/>
        <v>-3.0230050970541624</v>
      </c>
      <c r="G325" s="649">
        <f t="shared" si="13"/>
        <v>1.7393342245989367E-2</v>
      </c>
      <c r="H325" s="677">
        <v>23.058823529411775</v>
      </c>
      <c r="I325" s="649">
        <f t="shared" si="14"/>
        <v>5.674521390374334E-2</v>
      </c>
    </row>
    <row r="326" spans="1:9">
      <c r="A326" s="33"/>
      <c r="B326" s="674">
        <v>37916</v>
      </c>
      <c r="C326" s="675">
        <v>0.10460000000000001</v>
      </c>
      <c r="D326" s="661">
        <v>4.8709711229946502E-2</v>
      </c>
      <c r="E326" s="661">
        <v>6.5954545454545488E-2</v>
      </c>
      <c r="F326" s="676">
        <f t="shared" si="12"/>
        <v>-3.0218768595338248</v>
      </c>
      <c r="G326" s="649">
        <f t="shared" si="13"/>
        <v>1.7244834224598986E-2</v>
      </c>
      <c r="H326" s="677">
        <v>22.831711229946531</v>
      </c>
      <c r="I326" s="649">
        <f t="shared" si="14"/>
        <v>5.589028877005351E-2</v>
      </c>
    </row>
    <row r="327" spans="1:9">
      <c r="A327" s="33"/>
      <c r="B327" s="674">
        <v>37916</v>
      </c>
      <c r="C327" s="675">
        <v>0.10710000000000001</v>
      </c>
      <c r="D327" s="661">
        <v>4.8709711229946502E-2</v>
      </c>
      <c r="E327" s="661">
        <v>6.5954545454545488E-2</v>
      </c>
      <c r="F327" s="676">
        <f t="shared" si="12"/>
        <v>-3.0218768595338248</v>
      </c>
      <c r="G327" s="649">
        <f t="shared" si="13"/>
        <v>1.7244834224598986E-2</v>
      </c>
      <c r="H327" s="677">
        <v>22.831711229946531</v>
      </c>
      <c r="I327" s="649">
        <f t="shared" si="14"/>
        <v>5.8390288770053513E-2</v>
      </c>
    </row>
    <row r="328" spans="1:9">
      <c r="A328" s="33"/>
      <c r="B328" s="674">
        <v>37924</v>
      </c>
      <c r="C328" s="675">
        <v>0.11</v>
      </c>
      <c r="D328" s="661">
        <v>4.8813614973262011E-2</v>
      </c>
      <c r="E328" s="661">
        <v>6.5756149732620353E-2</v>
      </c>
      <c r="F328" s="676">
        <f t="shared" si="12"/>
        <v>-3.0197460096812723</v>
      </c>
      <c r="G328" s="649">
        <f t="shared" si="13"/>
        <v>1.6942534759358342E-2</v>
      </c>
      <c r="H328" s="677">
        <v>22.36946524064172</v>
      </c>
      <c r="I328" s="649">
        <f t="shared" si="14"/>
        <v>6.118638502673799E-2</v>
      </c>
    </row>
    <row r="329" spans="1:9">
      <c r="A329" s="33"/>
      <c r="B329" s="674">
        <v>37925</v>
      </c>
      <c r="C329" s="675">
        <v>0.10199999999999999</v>
      </c>
      <c r="D329" s="661">
        <v>4.8828989304812817E-2</v>
      </c>
      <c r="E329" s="661">
        <v>6.5728342245989335E-2</v>
      </c>
      <c r="F329" s="676">
        <f t="shared" si="12"/>
        <v>-3.0194310993654008</v>
      </c>
      <c r="G329" s="649">
        <f t="shared" si="13"/>
        <v>1.6899352941176518E-2</v>
      </c>
      <c r="H329" s="677">
        <v>22.278877005347603</v>
      </c>
      <c r="I329" s="649">
        <f t="shared" si="14"/>
        <v>5.3171010695187176E-2</v>
      </c>
    </row>
    <row r="330" spans="1:9">
      <c r="A330" s="33"/>
      <c r="B330" s="674">
        <v>37925</v>
      </c>
      <c r="C330" s="675">
        <v>0.1075</v>
      </c>
      <c r="D330" s="661">
        <v>4.8828989304812817E-2</v>
      </c>
      <c r="E330" s="661">
        <v>6.5728342245989335E-2</v>
      </c>
      <c r="F330" s="676">
        <f t="shared" si="12"/>
        <v>-3.0194310993654008</v>
      </c>
      <c r="G330" s="649">
        <f t="shared" si="13"/>
        <v>1.6899352941176518E-2</v>
      </c>
      <c r="H330" s="677">
        <v>22.278877005347603</v>
      </c>
      <c r="I330" s="649">
        <f t="shared" si="14"/>
        <v>5.8671010695187181E-2</v>
      </c>
    </row>
    <row r="331" spans="1:9">
      <c r="A331" s="33"/>
      <c r="B331" s="674">
        <v>37935</v>
      </c>
      <c r="C331" s="675">
        <v>0.106</v>
      </c>
      <c r="D331" s="661">
        <v>4.894509090909091E-2</v>
      </c>
      <c r="E331" s="661">
        <v>6.5573262032085605E-2</v>
      </c>
      <c r="F331" s="676">
        <f t="shared" si="12"/>
        <v>-3.0170562028980932</v>
      </c>
      <c r="G331" s="649">
        <f t="shared" si="13"/>
        <v>1.6628171122994695E-2</v>
      </c>
      <c r="H331" s="677">
        <v>21.734438502673807</v>
      </c>
      <c r="I331" s="649">
        <f t="shared" si="14"/>
        <v>5.7054909090909087E-2</v>
      </c>
    </row>
    <row r="332" spans="1:9">
      <c r="A332" s="33"/>
      <c r="B332" s="674">
        <v>37964</v>
      </c>
      <c r="C332" s="675">
        <v>0.105</v>
      </c>
      <c r="D332" s="661">
        <v>4.9333240641711219E-2</v>
      </c>
      <c r="E332" s="661">
        <v>6.5068449197861006E-2</v>
      </c>
      <c r="F332" s="676">
        <f t="shared" si="12"/>
        <v>-3.0091571727721287</v>
      </c>
      <c r="G332" s="649">
        <f t="shared" si="13"/>
        <v>1.5735208556149786E-2</v>
      </c>
      <c r="H332" s="677">
        <v>20.216096256684494</v>
      </c>
      <c r="I332" s="649">
        <f t="shared" si="14"/>
        <v>5.5666759358288777E-2</v>
      </c>
    </row>
    <row r="333" spans="1:9">
      <c r="A333" s="33"/>
      <c r="B333" s="674">
        <v>37973</v>
      </c>
      <c r="C333" s="675">
        <v>0.105</v>
      </c>
      <c r="D333" s="661">
        <v>4.9397807486631001E-2</v>
      </c>
      <c r="E333" s="661">
        <v>6.4859893048128378E-2</v>
      </c>
      <c r="F333" s="676">
        <f t="shared" si="12"/>
        <v>-3.0078492386349294</v>
      </c>
      <c r="G333" s="649">
        <f t="shared" si="13"/>
        <v>1.5462085561497377E-2</v>
      </c>
      <c r="H333" s="677">
        <v>19.702406417112304</v>
      </c>
      <c r="I333" s="649">
        <f t="shared" si="14"/>
        <v>5.5602192513368995E-2</v>
      </c>
    </row>
    <row r="334" spans="1:9">
      <c r="A334" s="33"/>
      <c r="B334" s="674">
        <v>37974</v>
      </c>
      <c r="C334" s="675">
        <v>0.12</v>
      </c>
      <c r="D334" s="661">
        <v>4.9400149732620316E-2</v>
      </c>
      <c r="E334" s="661">
        <v>6.481925133689842E-2</v>
      </c>
      <c r="F334" s="676">
        <f t="shared" si="12"/>
        <v>-3.0078018237681512</v>
      </c>
      <c r="G334" s="649">
        <f t="shared" si="13"/>
        <v>1.5419101604278104E-2</v>
      </c>
      <c r="H334" s="677">
        <v>19.639251336898401</v>
      </c>
      <c r="I334" s="649">
        <f t="shared" si="14"/>
        <v>7.059985026737968E-2</v>
      </c>
    </row>
    <row r="335" spans="1:9">
      <c r="A335" s="33"/>
      <c r="B335" s="674">
        <v>37974</v>
      </c>
      <c r="C335" s="675">
        <v>0.12</v>
      </c>
      <c r="D335" s="661">
        <v>4.9400149732620316E-2</v>
      </c>
      <c r="E335" s="661">
        <v>6.481925133689842E-2</v>
      </c>
      <c r="F335" s="676">
        <f t="shared" si="12"/>
        <v>-3.0078018237681512</v>
      </c>
      <c r="G335" s="649">
        <f t="shared" si="13"/>
        <v>1.5419101604278104E-2</v>
      </c>
      <c r="H335" s="677">
        <v>19.639251336898401</v>
      </c>
      <c r="I335" s="649">
        <f t="shared" si="14"/>
        <v>7.059985026737968E-2</v>
      </c>
    </row>
    <row r="336" spans="1:9">
      <c r="A336" s="33"/>
      <c r="B336" s="674">
        <v>37999</v>
      </c>
      <c r="C336" s="675">
        <v>0.10249999999999999</v>
      </c>
      <c r="D336" s="661">
        <v>4.9516748663101601E-2</v>
      </c>
      <c r="E336" s="661">
        <v>6.4430481283422464E-2</v>
      </c>
      <c r="F336" s="676">
        <f t="shared" si="12"/>
        <v>-3.0054443098069203</v>
      </c>
      <c r="G336" s="649">
        <f t="shared" si="13"/>
        <v>1.4913732620320863E-2</v>
      </c>
      <c r="H336" s="677">
        <v>18.869090909090918</v>
      </c>
      <c r="I336" s="649">
        <f t="shared" si="14"/>
        <v>5.2983251336898393E-2</v>
      </c>
    </row>
    <row r="337" spans="1:9">
      <c r="A337" s="33"/>
      <c r="B337" s="674">
        <v>37999</v>
      </c>
      <c r="C337" s="675">
        <v>0.12</v>
      </c>
      <c r="D337" s="661">
        <v>4.9516748663101601E-2</v>
      </c>
      <c r="E337" s="661">
        <v>6.4430481283422464E-2</v>
      </c>
      <c r="F337" s="676">
        <f t="shared" si="12"/>
        <v>-3.0054443098069203</v>
      </c>
      <c r="G337" s="649">
        <f t="shared" si="13"/>
        <v>1.4913732620320863E-2</v>
      </c>
      <c r="H337" s="677">
        <v>18.869090909090918</v>
      </c>
      <c r="I337" s="649">
        <f t="shared" si="14"/>
        <v>7.0483251336898395E-2</v>
      </c>
    </row>
    <row r="338" spans="1:9">
      <c r="A338" s="33"/>
      <c r="B338" s="674">
        <v>38026</v>
      </c>
      <c r="C338" s="675">
        <v>0.1125</v>
      </c>
      <c r="D338" s="661">
        <v>4.9836919786096279E-2</v>
      </c>
      <c r="E338" s="661">
        <v>6.4012834224598913E-2</v>
      </c>
      <c r="F338" s="676">
        <f t="shared" si="12"/>
        <v>-2.9989992084573815</v>
      </c>
      <c r="G338" s="649">
        <f t="shared" si="13"/>
        <v>1.4175914438502635E-2</v>
      </c>
      <c r="H338" s="677">
        <v>18.413903743315515</v>
      </c>
      <c r="I338" s="649">
        <f t="shared" si="14"/>
        <v>6.2663080213903724E-2</v>
      </c>
    </row>
    <row r="339" spans="1:9">
      <c r="A339" s="33"/>
      <c r="B339" s="674">
        <v>38062</v>
      </c>
      <c r="C339" s="675">
        <v>0.109</v>
      </c>
      <c r="D339" s="661">
        <v>5.0502347593582908E-2</v>
      </c>
      <c r="E339" s="661">
        <v>6.3758288770053476E-2</v>
      </c>
      <c r="F339" s="676">
        <f t="shared" si="12"/>
        <v>-2.9857354567796683</v>
      </c>
      <c r="G339" s="649">
        <f t="shared" si="13"/>
        <v>1.3255941176470568E-2</v>
      </c>
      <c r="H339" s="677">
        <v>17.867433155080224</v>
      </c>
      <c r="I339" s="649">
        <f t="shared" si="14"/>
        <v>5.8497652406417092E-2</v>
      </c>
    </row>
    <row r="340" spans="1:9">
      <c r="A340" s="33"/>
      <c r="B340" s="674">
        <v>38062</v>
      </c>
      <c r="C340" s="675">
        <v>0.109</v>
      </c>
      <c r="D340" s="661">
        <v>5.0502347593582908E-2</v>
      </c>
      <c r="E340" s="661">
        <v>6.3758288770053476E-2</v>
      </c>
      <c r="F340" s="676">
        <f t="shared" si="12"/>
        <v>-2.9857354567796683</v>
      </c>
      <c r="G340" s="649">
        <f t="shared" si="13"/>
        <v>1.3255941176470568E-2</v>
      </c>
      <c r="H340" s="677">
        <v>17.867433155080224</v>
      </c>
      <c r="I340" s="649">
        <f t="shared" si="14"/>
        <v>5.8497652406417092E-2</v>
      </c>
    </row>
    <row r="341" spans="1:9">
      <c r="A341" s="33"/>
      <c r="B341" s="674">
        <v>38132</v>
      </c>
      <c r="C341" s="675">
        <v>0.1</v>
      </c>
      <c r="D341" s="661">
        <v>5.0618133689839591E-2</v>
      </c>
      <c r="E341" s="661">
        <v>6.323529411764707E-2</v>
      </c>
      <c r="F341" s="676">
        <f t="shared" si="12"/>
        <v>-2.9834453935721084</v>
      </c>
      <c r="G341" s="649">
        <f t="shared" si="13"/>
        <v>1.2617160427807479E-2</v>
      </c>
      <c r="H341" s="677">
        <v>17.285828877005351</v>
      </c>
      <c r="I341" s="649">
        <f t="shared" si="14"/>
        <v>4.9381866310160415E-2</v>
      </c>
    </row>
    <row r="342" spans="1:9">
      <c r="A342" s="33"/>
      <c r="B342" s="674">
        <v>38140</v>
      </c>
      <c r="C342" s="675">
        <v>0.11220000000000001</v>
      </c>
      <c r="D342" s="661">
        <v>5.0671770053475944E-2</v>
      </c>
      <c r="E342" s="661">
        <v>6.3176470588235306E-2</v>
      </c>
      <c r="F342" s="676">
        <f t="shared" si="12"/>
        <v>-2.9823863271367097</v>
      </c>
      <c r="G342" s="649">
        <f t="shared" si="13"/>
        <v>1.2504700534759362E-2</v>
      </c>
      <c r="H342" s="677">
        <v>17.204812834224601</v>
      </c>
      <c r="I342" s="649">
        <f t="shared" si="14"/>
        <v>6.1528229946524064E-2</v>
      </c>
    </row>
    <row r="343" spans="1:9">
      <c r="A343" s="33"/>
      <c r="B343" s="674">
        <v>38168</v>
      </c>
      <c r="C343" s="675">
        <v>0.105</v>
      </c>
      <c r="D343" s="661">
        <v>5.1032716577540105E-2</v>
      </c>
      <c r="E343" s="661">
        <v>6.3031016042780733E-2</v>
      </c>
      <c r="F343" s="676">
        <f t="shared" si="12"/>
        <v>-2.9752883504115619</v>
      </c>
      <c r="G343" s="649">
        <f t="shared" si="13"/>
        <v>1.1998299465240628E-2</v>
      </c>
      <c r="H343" s="677">
        <v>16.755828877005349</v>
      </c>
      <c r="I343" s="649">
        <f t="shared" si="14"/>
        <v>5.3967283422459891E-2</v>
      </c>
    </row>
    <row r="344" spans="1:9">
      <c r="A344" s="33"/>
      <c r="B344" s="674">
        <v>38176</v>
      </c>
      <c r="C344" s="675">
        <v>0.1</v>
      </c>
      <c r="D344" s="661">
        <v>5.1023614973262042E-2</v>
      </c>
      <c r="E344" s="661">
        <v>6.3023529411764673E-2</v>
      </c>
      <c r="F344" s="676">
        <f t="shared" si="12"/>
        <v>-2.9754667147357323</v>
      </c>
      <c r="G344" s="649">
        <f t="shared" si="13"/>
        <v>1.199991443850263E-2</v>
      </c>
      <c r="H344" s="677">
        <v>16.649625668449197</v>
      </c>
      <c r="I344" s="649">
        <f t="shared" si="14"/>
        <v>4.8976385026737963E-2</v>
      </c>
    </row>
    <row r="345" spans="1:9">
      <c r="A345" s="33"/>
      <c r="B345" s="674">
        <v>38190</v>
      </c>
      <c r="C345" s="675">
        <v>0.10249999999999999</v>
      </c>
      <c r="D345" s="661">
        <v>5.1042524064171126E-2</v>
      </c>
      <c r="E345" s="661">
        <v>6.2896256684491988E-2</v>
      </c>
      <c r="F345" s="676">
        <f t="shared" si="12"/>
        <v>-2.9750961885004159</v>
      </c>
      <c r="G345" s="649">
        <f t="shared" si="13"/>
        <v>1.1853732620320863E-2</v>
      </c>
      <c r="H345" s="677">
        <v>16.508235294117647</v>
      </c>
      <c r="I345" s="649">
        <f t="shared" si="14"/>
        <v>5.1457475935828868E-2</v>
      </c>
    </row>
    <row r="346" spans="1:9">
      <c r="A346" s="33"/>
      <c r="B346" s="674">
        <v>38225</v>
      </c>
      <c r="C346" s="675">
        <v>0.105</v>
      </c>
      <c r="D346" s="661">
        <v>5.1027598930481324E-2</v>
      </c>
      <c r="E346" s="661">
        <v>6.2633155080213915E-2</v>
      </c>
      <c r="F346" s="676">
        <f t="shared" si="12"/>
        <v>-2.9753886371300107</v>
      </c>
      <c r="G346" s="649">
        <f t="shared" si="13"/>
        <v>1.160555614973259E-2</v>
      </c>
      <c r="H346" s="677">
        <v>16.431711229946526</v>
      </c>
      <c r="I346" s="649">
        <f t="shared" si="14"/>
        <v>5.3972401069518672E-2</v>
      </c>
    </row>
    <row r="347" spans="1:9">
      <c r="A347" s="33"/>
      <c r="B347" s="674">
        <v>38225</v>
      </c>
      <c r="C347" s="675">
        <v>0.105</v>
      </c>
      <c r="D347" s="661">
        <v>5.1027598930481324E-2</v>
      </c>
      <c r="E347" s="661">
        <v>6.2633155080213915E-2</v>
      </c>
      <c r="F347" s="676">
        <f t="shared" si="12"/>
        <v>-2.9753886371300107</v>
      </c>
      <c r="G347" s="649">
        <f t="shared" si="13"/>
        <v>1.160555614973259E-2</v>
      </c>
      <c r="H347" s="677">
        <v>16.431711229946526</v>
      </c>
      <c r="I347" s="649">
        <f t="shared" si="14"/>
        <v>5.3972401069518672E-2</v>
      </c>
    </row>
    <row r="348" spans="1:9">
      <c r="A348" s="33"/>
      <c r="B348" s="674">
        <v>38239</v>
      </c>
      <c r="C348" s="675">
        <v>0.10400000000000001</v>
      </c>
      <c r="D348" s="661">
        <v>5.0998705882352967E-2</v>
      </c>
      <c r="E348" s="661">
        <v>6.2502139037433166E-2</v>
      </c>
      <c r="F348" s="676">
        <f t="shared" si="12"/>
        <v>-2.9759550214355825</v>
      </c>
      <c r="G348" s="649">
        <f t="shared" si="13"/>
        <v>1.1503433155080199E-2</v>
      </c>
      <c r="H348" s="677">
        <v>16.320802139037429</v>
      </c>
      <c r="I348" s="649">
        <f t="shared" si="14"/>
        <v>5.3001294117647042E-2</v>
      </c>
    </row>
    <row r="349" spans="1:9">
      <c r="A349" s="33"/>
      <c r="B349" s="674">
        <v>38251</v>
      </c>
      <c r="C349" s="675">
        <v>0.105</v>
      </c>
      <c r="D349" s="661">
        <v>5.0941288770053501E-2</v>
      </c>
      <c r="E349" s="661">
        <v>6.2397860962566838E-2</v>
      </c>
      <c r="F349" s="676">
        <f t="shared" si="12"/>
        <v>-2.9770815099853807</v>
      </c>
      <c r="G349" s="649">
        <f t="shared" si="13"/>
        <v>1.1456572192513337E-2</v>
      </c>
      <c r="H349" s="677">
        <v>16.215133689839565</v>
      </c>
      <c r="I349" s="649">
        <f t="shared" si="14"/>
        <v>5.4058711229946495E-2</v>
      </c>
    </row>
    <row r="350" spans="1:9">
      <c r="A350" s="33"/>
      <c r="B350" s="674">
        <v>38257</v>
      </c>
      <c r="C350" s="675">
        <v>0.10300000000000001</v>
      </c>
      <c r="D350" s="661">
        <v>5.0871310160427841E-2</v>
      </c>
      <c r="E350" s="661">
        <v>6.2323529411764687E-2</v>
      </c>
      <c r="F350" s="676">
        <f t="shared" si="12"/>
        <v>-2.9784561654087867</v>
      </c>
      <c r="G350" s="649">
        <f t="shared" si="13"/>
        <v>1.1452219251336847E-2</v>
      </c>
      <c r="H350" s="677">
        <v>16.165668449197856</v>
      </c>
      <c r="I350" s="649">
        <f t="shared" si="14"/>
        <v>5.2128689839572168E-2</v>
      </c>
    </row>
    <row r="351" spans="1:9">
      <c r="A351" s="33"/>
      <c r="B351" s="674">
        <v>38257</v>
      </c>
      <c r="C351" s="675">
        <v>0.105</v>
      </c>
      <c r="D351" s="661">
        <v>5.0871310160427841E-2</v>
      </c>
      <c r="E351" s="661">
        <v>6.2323529411764687E-2</v>
      </c>
      <c r="F351" s="676">
        <f t="shared" si="12"/>
        <v>-2.9784561654087867</v>
      </c>
      <c r="G351" s="649">
        <f t="shared" si="13"/>
        <v>1.1452219251336847E-2</v>
      </c>
      <c r="H351" s="677">
        <v>16.165668449197856</v>
      </c>
      <c r="I351" s="649">
        <f t="shared" si="14"/>
        <v>5.4128689839572156E-2</v>
      </c>
    </row>
    <row r="352" spans="1:9">
      <c r="A352" s="33"/>
      <c r="B352" s="674">
        <v>38280</v>
      </c>
      <c r="C352" s="675">
        <v>0.10199999999999999</v>
      </c>
      <c r="D352" s="661">
        <v>5.0823278074866307E-2</v>
      </c>
      <c r="E352" s="661">
        <v>6.2135294117647052E-2</v>
      </c>
      <c r="F352" s="676">
        <f t="shared" si="12"/>
        <v>-2.979400799532721</v>
      </c>
      <c r="G352" s="649">
        <f t="shared" si="13"/>
        <v>1.1312016042780745E-2</v>
      </c>
      <c r="H352" s="677">
        <v>15.989732620320851</v>
      </c>
      <c r="I352" s="649">
        <f t="shared" si="14"/>
        <v>5.1176721925133686E-2</v>
      </c>
    </row>
    <row r="353" spans="1:10">
      <c r="A353" s="33"/>
      <c r="B353" s="674">
        <v>38321</v>
      </c>
      <c r="C353" s="675">
        <v>0.106</v>
      </c>
      <c r="D353" s="661">
        <v>5.0813245989304819E-2</v>
      </c>
      <c r="E353" s="661">
        <v>6.1903743315507985E-2</v>
      </c>
      <c r="F353" s="676">
        <f t="shared" si="12"/>
        <v>-2.9795982105655447</v>
      </c>
      <c r="G353" s="649">
        <f t="shared" si="13"/>
        <v>1.1090497326203166E-2</v>
      </c>
      <c r="H353" s="677">
        <v>15.736363636363643</v>
      </c>
      <c r="I353" s="649">
        <f t="shared" si="14"/>
        <v>5.5186754010695178E-2</v>
      </c>
    </row>
    <row r="354" spans="1:10">
      <c r="A354" s="33"/>
      <c r="B354" s="674">
        <v>38329</v>
      </c>
      <c r="C354" s="675">
        <v>9.9000000000000005E-2</v>
      </c>
      <c r="D354" s="661">
        <v>5.089249197860965E-2</v>
      </c>
      <c r="E354" s="661">
        <v>6.1904278074866273E-2</v>
      </c>
      <c r="F354" s="676">
        <f t="shared" si="12"/>
        <v>-2.9780398716374754</v>
      </c>
      <c r="G354" s="649">
        <f t="shared" si="13"/>
        <v>1.1011786096256623E-2</v>
      </c>
      <c r="H354" s="677">
        <v>15.599732620320861</v>
      </c>
      <c r="I354" s="649">
        <f t="shared" si="14"/>
        <v>4.8107508021390355E-2</v>
      </c>
    </row>
    <row r="355" spans="1:10">
      <c r="A355" s="33"/>
      <c r="B355" s="674">
        <v>38342</v>
      </c>
      <c r="C355" s="675">
        <v>0.115</v>
      </c>
      <c r="D355" s="661">
        <v>5.0906197860962572E-2</v>
      </c>
      <c r="E355" s="661">
        <v>6.1880748663101573E-2</v>
      </c>
      <c r="F355" s="676">
        <f t="shared" si="12"/>
        <v>-2.9777705973971615</v>
      </c>
      <c r="G355" s="649">
        <f t="shared" si="13"/>
        <v>1.0974550802139001E-2</v>
      </c>
      <c r="H355" s="677">
        <v>15.244973262032088</v>
      </c>
      <c r="I355" s="649">
        <f t="shared" si="14"/>
        <v>6.4093802139037426E-2</v>
      </c>
    </row>
    <row r="356" spans="1:10">
      <c r="A356" s="33"/>
      <c r="B356" s="674">
        <v>38343</v>
      </c>
      <c r="C356" s="675">
        <v>0.115</v>
      </c>
      <c r="D356" s="661">
        <v>5.0894759358288771E-2</v>
      </c>
      <c r="E356" s="661">
        <v>6.1879144385026702E-2</v>
      </c>
      <c r="F356" s="676">
        <f t="shared" si="12"/>
        <v>-2.9779953202884664</v>
      </c>
      <c r="G356" s="649">
        <f t="shared" si="13"/>
        <v>1.0984385026737931E-2</v>
      </c>
      <c r="H356" s="677">
        <v>15.213529411764709</v>
      </c>
      <c r="I356" s="649">
        <f t="shared" si="14"/>
        <v>6.4105240641711234E-2</v>
      </c>
      <c r="J356" s="649"/>
    </row>
    <row r="357" spans="1:10">
      <c r="A357" s="33"/>
      <c r="B357" s="674">
        <v>38349</v>
      </c>
      <c r="C357" s="675">
        <v>0.10249999999999999</v>
      </c>
      <c r="D357" s="661">
        <v>5.0866106951871659E-2</v>
      </c>
      <c r="E357" s="661">
        <v>6.1872192513368937E-2</v>
      </c>
      <c r="F357" s="676">
        <f t="shared" si="12"/>
        <v>-2.9785584524278286</v>
      </c>
      <c r="G357" s="649">
        <f t="shared" si="13"/>
        <v>1.1006085561497278E-2</v>
      </c>
      <c r="H357" s="677">
        <v>15.137860962566846</v>
      </c>
      <c r="I357" s="649">
        <f t="shared" si="14"/>
        <v>5.1633893048128335E-2</v>
      </c>
      <c r="J357" s="649"/>
    </row>
    <row r="358" spans="1:10">
      <c r="A358" s="33"/>
      <c r="B358" s="674">
        <v>38401</v>
      </c>
      <c r="C358" s="675">
        <v>0.10300000000000001</v>
      </c>
      <c r="D358" s="661">
        <v>4.9480358288770052E-2</v>
      </c>
      <c r="E358" s="661">
        <v>6.0438502673796773E-2</v>
      </c>
      <c r="F358" s="676">
        <f t="shared" si="12"/>
        <v>-3.0061794904014056</v>
      </c>
      <c r="G358" s="649">
        <f t="shared" si="13"/>
        <v>1.0958144385026722E-2</v>
      </c>
      <c r="H358" s="677">
        <v>14.319518716577534</v>
      </c>
      <c r="I358" s="649">
        <f t="shared" si="14"/>
        <v>5.3519641711229957E-2</v>
      </c>
      <c r="J358" s="649"/>
    </row>
    <row r="359" spans="1:10">
      <c r="A359" s="33"/>
      <c r="B359" s="674">
        <v>38440</v>
      </c>
      <c r="C359" s="675">
        <v>0.11</v>
      </c>
      <c r="D359" s="661">
        <v>4.8618967914438524E-2</v>
      </c>
      <c r="E359" s="661">
        <v>5.9524598930481266E-2</v>
      </c>
      <c r="F359" s="676">
        <f t="shared" si="12"/>
        <v>-3.023741537912259</v>
      </c>
      <c r="G359" s="649">
        <f t="shared" si="13"/>
        <v>1.0905631016042742E-2</v>
      </c>
      <c r="H359" s="677">
        <v>13.980374331550799</v>
      </c>
      <c r="I359" s="649">
        <f t="shared" si="14"/>
        <v>6.1381032085561477E-2</v>
      </c>
      <c r="J359" s="649"/>
    </row>
    <row r="360" spans="1:10">
      <c r="A360" s="33"/>
      <c r="B360" s="674">
        <v>38455</v>
      </c>
      <c r="C360" s="675">
        <v>0.106</v>
      </c>
      <c r="D360" s="661">
        <v>4.835826737967916E-2</v>
      </c>
      <c r="E360" s="661">
        <v>5.9192513368983971E-2</v>
      </c>
      <c r="F360" s="676">
        <f t="shared" si="12"/>
        <v>-3.0291180814274257</v>
      </c>
      <c r="G360" s="649">
        <f t="shared" si="13"/>
        <v>1.0834245989304811E-2</v>
      </c>
      <c r="H360" s="677">
        <v>13.861016042780749</v>
      </c>
      <c r="I360" s="649">
        <f t="shared" si="14"/>
        <v>5.7641732620320837E-2</v>
      </c>
      <c r="J360" s="649"/>
    </row>
    <row r="361" spans="1:10">
      <c r="A361" s="33"/>
      <c r="B361" s="674">
        <v>38470</v>
      </c>
      <c r="C361" s="675">
        <v>0.11</v>
      </c>
      <c r="D361" s="661">
        <v>4.8005727272727283E-2</v>
      </c>
      <c r="E361" s="661">
        <v>5.8791978609625692E-2</v>
      </c>
      <c r="F361" s="676">
        <f t="shared" si="12"/>
        <v>-3.0364349570102758</v>
      </c>
      <c r="G361" s="649">
        <f t="shared" si="13"/>
        <v>1.0786251336898409E-2</v>
      </c>
      <c r="H361" s="677">
        <v>13.847058823529409</v>
      </c>
      <c r="I361" s="649">
        <f t="shared" si="14"/>
        <v>6.1994272727272717E-2</v>
      </c>
      <c r="J361" s="649"/>
    </row>
    <row r="362" spans="1:10">
      <c r="A362" s="33"/>
      <c r="B362" s="674">
        <v>38489</v>
      </c>
      <c r="C362" s="675">
        <v>0.1</v>
      </c>
      <c r="D362" s="661">
        <v>4.76597860962567E-2</v>
      </c>
      <c r="E362" s="661">
        <v>5.837860962566848E-2</v>
      </c>
      <c r="F362" s="676">
        <f t="shared" si="12"/>
        <v>-3.0436672954404398</v>
      </c>
      <c r="G362" s="649">
        <f t="shared" si="13"/>
        <v>1.0718823529411781E-2</v>
      </c>
      <c r="H362" s="677">
        <v>13.651871657754016</v>
      </c>
      <c r="I362" s="649">
        <f t="shared" si="14"/>
        <v>5.2340213903743306E-2</v>
      </c>
      <c r="J362" s="649"/>
    </row>
    <row r="363" spans="1:10">
      <c r="A363" s="33"/>
      <c r="B363" s="674">
        <v>38511</v>
      </c>
      <c r="C363" s="675">
        <v>0.1018</v>
      </c>
      <c r="D363" s="661">
        <v>4.7132582887700558E-2</v>
      </c>
      <c r="E363" s="661">
        <v>5.7833155080213951E-2</v>
      </c>
      <c r="F363" s="676">
        <f t="shared" si="12"/>
        <v>-3.0547907360747697</v>
      </c>
      <c r="G363" s="649">
        <f t="shared" si="13"/>
        <v>1.0700572192513393E-2</v>
      </c>
      <c r="H363" s="677">
        <v>13.481657754010707</v>
      </c>
      <c r="I363" s="649">
        <f t="shared" si="14"/>
        <v>5.4667417112299443E-2</v>
      </c>
      <c r="J363" s="649"/>
    </row>
    <row r="364" spans="1:10">
      <c r="A364" s="33"/>
      <c r="B364" s="674">
        <v>38513</v>
      </c>
      <c r="C364" s="675">
        <v>0.109</v>
      </c>
      <c r="D364" s="661">
        <v>4.7076144385026754E-2</v>
      </c>
      <c r="E364" s="661">
        <v>5.776256684491983E-2</v>
      </c>
      <c r="F364" s="676">
        <f t="shared" si="12"/>
        <v>-3.0559888949090839</v>
      </c>
      <c r="G364" s="649">
        <f t="shared" si="13"/>
        <v>1.0686422459893076E-2</v>
      </c>
      <c r="H364" s="677">
        <v>13.467272727272736</v>
      </c>
      <c r="I364" s="649">
        <f t="shared" si="14"/>
        <v>6.1923855614973246E-2</v>
      </c>
      <c r="J364" s="649"/>
    </row>
    <row r="365" spans="1:10">
      <c r="A365" s="33"/>
      <c r="B365" s="674">
        <v>38539</v>
      </c>
      <c r="C365" s="675">
        <v>0.105</v>
      </c>
      <c r="D365" s="661">
        <v>4.6529721925133667E-2</v>
      </c>
      <c r="E365" s="661">
        <v>5.7298930481283462E-2</v>
      </c>
      <c r="F365" s="676">
        <f t="shared" si="12"/>
        <v>-3.0676639893924453</v>
      </c>
      <c r="G365" s="649">
        <f t="shared" si="13"/>
        <v>1.0769208556149795E-2</v>
      </c>
      <c r="H365" s="677">
        <v>13.25786096256685</v>
      </c>
      <c r="I365" s="649">
        <f t="shared" si="14"/>
        <v>5.8470278074866329E-2</v>
      </c>
      <c r="J365" s="649"/>
    </row>
    <row r="366" spans="1:10">
      <c r="A366" s="33"/>
      <c r="B366" s="674">
        <v>38552</v>
      </c>
      <c r="C366" s="675">
        <v>0.115</v>
      </c>
      <c r="D366" s="661">
        <v>4.633637967914437E-2</v>
      </c>
      <c r="E366" s="661">
        <v>5.7084491978609653E-2</v>
      </c>
      <c r="F366" s="676">
        <f t="shared" si="12"/>
        <v>-3.0718278882101493</v>
      </c>
      <c r="G366" s="649">
        <f t="shared" si="13"/>
        <v>1.0748112299465283E-2</v>
      </c>
      <c r="H366" s="677">
        <v>13.059893048128346</v>
      </c>
      <c r="I366" s="649">
        <f t="shared" si="14"/>
        <v>6.8663620320855628E-2</v>
      </c>
      <c r="J366" s="649"/>
    </row>
    <row r="367" spans="1:10">
      <c r="A367" s="33"/>
      <c r="B367" s="674">
        <v>38575</v>
      </c>
      <c r="C367" s="675">
        <v>0.10400000000000001</v>
      </c>
      <c r="D367" s="661">
        <v>4.5994839572192518E-2</v>
      </c>
      <c r="E367" s="661">
        <v>5.6691443850267371E-2</v>
      </c>
      <c r="F367" s="676">
        <f t="shared" si="12"/>
        <v>-3.0792260719992557</v>
      </c>
      <c r="G367" s="649">
        <f t="shared" si="13"/>
        <v>1.0696604278074853E-2</v>
      </c>
      <c r="H367" s="677">
        <v>12.771122994652409</v>
      </c>
      <c r="I367" s="649">
        <f t="shared" si="14"/>
        <v>5.8005160427807491E-2</v>
      </c>
      <c r="J367" s="649"/>
    </row>
    <row r="368" spans="1:10">
      <c r="A368" s="33"/>
      <c r="B368" s="674">
        <v>38614</v>
      </c>
      <c r="C368" s="675">
        <v>9.4499999999999987E-2</v>
      </c>
      <c r="D368" s="661">
        <v>4.5328224598930524E-2</v>
      </c>
      <c r="E368" s="661">
        <v>5.6030481283422418E-2</v>
      </c>
      <c r="F368" s="676">
        <f t="shared" si="12"/>
        <v>-3.093825380935141</v>
      </c>
      <c r="G368" s="649">
        <f t="shared" si="13"/>
        <v>1.0702256684491894E-2</v>
      </c>
      <c r="H368" s="677">
        <v>12.786684491978601</v>
      </c>
      <c r="I368" s="649">
        <f t="shared" si="14"/>
        <v>4.9171775401069463E-2</v>
      </c>
      <c r="J368" s="649"/>
    </row>
    <row r="369" spans="1:10">
      <c r="A369" s="33"/>
      <c r="B369" s="674">
        <v>38625</v>
      </c>
      <c r="C369" s="675">
        <v>0.1051</v>
      </c>
      <c r="D369" s="661">
        <v>4.5181609625668494E-2</v>
      </c>
      <c r="E369" s="661">
        <v>5.58647058823529E-2</v>
      </c>
      <c r="F369" s="676">
        <f t="shared" si="12"/>
        <v>-3.0970651416254107</v>
      </c>
      <c r="G369" s="649">
        <f t="shared" si="13"/>
        <v>1.0683096256684406E-2</v>
      </c>
      <c r="H369" s="677">
        <v>12.802513368983949</v>
      </c>
      <c r="I369" s="649">
        <f t="shared" si="14"/>
        <v>5.9918390374331505E-2</v>
      </c>
      <c r="J369" s="649"/>
    </row>
    <row r="370" spans="1:10">
      <c r="A370" s="33"/>
      <c r="B370" s="674">
        <v>38629</v>
      </c>
      <c r="C370" s="675">
        <v>9.9000000000000005E-2</v>
      </c>
      <c r="D370" s="661">
        <v>4.5171155080213951E-2</v>
      </c>
      <c r="E370" s="661">
        <v>5.5843315508021345E-2</v>
      </c>
      <c r="F370" s="676">
        <f t="shared" si="12"/>
        <v>-3.0972965577981251</v>
      </c>
      <c r="G370" s="649">
        <f t="shared" si="13"/>
        <v>1.0672160427807394E-2</v>
      </c>
      <c r="H370" s="677">
        <v>12.791764705882342</v>
      </c>
      <c r="I370" s="649">
        <f t="shared" si="14"/>
        <v>5.3828844919786054E-2</v>
      </c>
      <c r="J370" s="649"/>
    </row>
    <row r="371" spans="1:10">
      <c r="A371" s="33"/>
      <c r="B371" s="674">
        <v>38629</v>
      </c>
      <c r="C371" s="675">
        <v>0.1075</v>
      </c>
      <c r="D371" s="661">
        <v>4.5171155080213951E-2</v>
      </c>
      <c r="E371" s="661">
        <v>5.5843315508021345E-2</v>
      </c>
      <c r="F371" s="676">
        <f t="shared" si="12"/>
        <v>-3.0972965577981251</v>
      </c>
      <c r="G371" s="649">
        <f t="shared" si="13"/>
        <v>1.0672160427807394E-2</v>
      </c>
      <c r="H371" s="677">
        <v>12.791764705882342</v>
      </c>
      <c r="I371" s="649">
        <f t="shared" si="14"/>
        <v>6.2328844919786047E-2</v>
      </c>
      <c r="J371" s="649"/>
    </row>
    <row r="372" spans="1:10">
      <c r="A372" s="33"/>
      <c r="B372" s="674">
        <v>38639</v>
      </c>
      <c r="C372" s="675">
        <v>0.10400000000000001</v>
      </c>
      <c r="D372" s="661">
        <v>4.5152566844919827E-2</v>
      </c>
      <c r="E372" s="661">
        <v>5.580855614973259E-2</v>
      </c>
      <c r="F372" s="676">
        <f t="shared" si="12"/>
        <v>-3.0977081492418868</v>
      </c>
      <c r="G372" s="649">
        <f t="shared" si="13"/>
        <v>1.0655989304812763E-2</v>
      </c>
      <c r="H372" s="677">
        <v>12.895775401069509</v>
      </c>
      <c r="I372" s="649">
        <f t="shared" si="14"/>
        <v>5.8847433155080182E-2</v>
      </c>
      <c r="J372" s="649"/>
    </row>
    <row r="373" spans="1:10">
      <c r="A373" s="33"/>
      <c r="B373" s="674">
        <v>38656</v>
      </c>
      <c r="C373" s="675">
        <v>0.10249999999999999</v>
      </c>
      <c r="D373" s="661">
        <v>4.5264331550802152E-2</v>
      </c>
      <c r="E373" s="661">
        <v>5.5902673796791424E-2</v>
      </c>
      <c r="F373" s="676">
        <f t="shared" si="12"/>
        <v>-3.0952359396264453</v>
      </c>
      <c r="G373" s="649">
        <f t="shared" si="13"/>
        <v>1.0638342245989273E-2</v>
      </c>
      <c r="H373" s="677">
        <v>13.00310160427807</v>
      </c>
      <c r="I373" s="649">
        <f t="shared" si="14"/>
        <v>5.7235668449197842E-2</v>
      </c>
      <c r="J373" s="649"/>
    </row>
    <row r="374" spans="1:10">
      <c r="A374" s="33"/>
      <c r="B374" s="674">
        <v>38658</v>
      </c>
      <c r="C374" s="675">
        <v>9.6999999999999989E-2</v>
      </c>
      <c r="D374" s="661">
        <v>4.5297941176470596E-2</v>
      </c>
      <c r="E374" s="661">
        <v>5.5945989304812815E-2</v>
      </c>
      <c r="F374" s="676">
        <f t="shared" si="12"/>
        <v>-3.0944936961690028</v>
      </c>
      <c r="G374" s="649">
        <f t="shared" si="13"/>
        <v>1.0648048128342219E-2</v>
      </c>
      <c r="H374" s="677">
        <v>13.031925133689834</v>
      </c>
      <c r="I374" s="649">
        <f t="shared" si="14"/>
        <v>5.1702058823529393E-2</v>
      </c>
      <c r="J374" s="649"/>
    </row>
    <row r="375" spans="1:10">
      <c r="A375" s="33"/>
      <c r="B375" s="674">
        <v>38686</v>
      </c>
      <c r="C375" s="675">
        <v>0.1</v>
      </c>
      <c r="D375" s="661">
        <v>4.534712834224601E-2</v>
      </c>
      <c r="E375" s="661">
        <v>5.617005347593583E-2</v>
      </c>
      <c r="F375" s="676">
        <f t="shared" si="12"/>
        <v>-3.0934084265373651</v>
      </c>
      <c r="G375" s="649">
        <f t="shared" si="13"/>
        <v>1.082292513368982E-2</v>
      </c>
      <c r="H375" s="677">
        <v>13.037540106951868</v>
      </c>
      <c r="I375" s="649">
        <f t="shared" si="14"/>
        <v>5.4652871657753996E-2</v>
      </c>
      <c r="J375" s="649"/>
    </row>
    <row r="376" spans="1:10">
      <c r="A376" s="33"/>
      <c r="B376" s="674">
        <v>38695</v>
      </c>
      <c r="C376" s="675">
        <v>9.6999999999999989E-2</v>
      </c>
      <c r="D376" s="661">
        <v>4.5303737967914433E-2</v>
      </c>
      <c r="E376" s="661">
        <v>5.6177540106951876E-2</v>
      </c>
      <c r="F376" s="676">
        <f t="shared" si="12"/>
        <v>-3.0943657340493935</v>
      </c>
      <c r="G376" s="649">
        <f t="shared" si="13"/>
        <v>1.0873802139037443E-2</v>
      </c>
      <c r="H376" s="677">
        <v>12.994919786096254</v>
      </c>
      <c r="I376" s="649">
        <f t="shared" si="14"/>
        <v>5.1696262032085556E-2</v>
      </c>
      <c r="J376" s="649"/>
    </row>
    <row r="377" spans="1:10">
      <c r="A377" s="33"/>
      <c r="B377" s="674">
        <v>38698</v>
      </c>
      <c r="C377" s="675">
        <v>0.11</v>
      </c>
      <c r="D377" s="661">
        <v>4.5298459893048128E-2</v>
      </c>
      <c r="E377" s="661">
        <v>5.6180213903743323E-2</v>
      </c>
      <c r="F377" s="676">
        <f t="shared" si="12"/>
        <v>-3.0944822450170495</v>
      </c>
      <c r="G377" s="649">
        <f t="shared" si="13"/>
        <v>1.0881754010695195E-2</v>
      </c>
      <c r="H377" s="677">
        <v>12.985187165775397</v>
      </c>
      <c r="I377" s="649">
        <f t="shared" si="14"/>
        <v>6.4701540106951866E-2</v>
      </c>
      <c r="J377" s="649"/>
    </row>
    <row r="378" spans="1:10">
      <c r="A378" s="33"/>
      <c r="B378" s="674">
        <v>38706</v>
      </c>
      <c r="C378" s="675">
        <v>0.1013</v>
      </c>
      <c r="D378" s="661">
        <v>4.5252775401069534E-2</v>
      </c>
      <c r="E378" s="661">
        <v>5.6152941176470621E-2</v>
      </c>
      <c r="F378" s="676">
        <f t="shared" si="12"/>
        <v>-3.0954912758868396</v>
      </c>
      <c r="G378" s="649">
        <f t="shared" si="13"/>
        <v>1.0900165775401087E-2</v>
      </c>
      <c r="H378" s="677">
        <v>12.895989304812829</v>
      </c>
      <c r="I378" s="649">
        <f t="shared" si="14"/>
        <v>5.6047224598930467E-2</v>
      </c>
      <c r="J378" s="649"/>
    </row>
    <row r="379" spans="1:10">
      <c r="A379" s="33"/>
      <c r="B379" s="674">
        <v>38707</v>
      </c>
      <c r="C379" s="675">
        <v>0.10400000000000001</v>
      </c>
      <c r="D379" s="661">
        <v>4.5249582887700555E-2</v>
      </c>
      <c r="E379" s="661">
        <v>5.6151871657754045E-2</v>
      </c>
      <c r="F379" s="676">
        <f t="shared" si="12"/>
        <v>-3.0955618268300564</v>
      </c>
      <c r="G379" s="649">
        <f t="shared" si="13"/>
        <v>1.0902288770053489E-2</v>
      </c>
      <c r="H379" s="677">
        <v>12.876310160427803</v>
      </c>
      <c r="I379" s="649">
        <f t="shared" si="14"/>
        <v>5.8750417112299454E-2</v>
      </c>
      <c r="J379" s="649"/>
    </row>
    <row r="380" spans="1:10">
      <c r="A380" s="33"/>
      <c r="B380" s="674">
        <v>38707</v>
      </c>
      <c r="C380" s="675">
        <v>0.11</v>
      </c>
      <c r="D380" s="661">
        <v>4.5249582887700555E-2</v>
      </c>
      <c r="E380" s="661">
        <v>5.6151871657754045E-2</v>
      </c>
      <c r="F380" s="676">
        <f t="shared" ref="F380:F443" si="15">LN(D380)</f>
        <v>-3.0955618268300564</v>
      </c>
      <c r="G380" s="649">
        <f t="shared" ref="G380:G443" si="16">IF(E380="","",E380-D380)</f>
        <v>1.0902288770053489E-2</v>
      </c>
      <c r="H380" s="677">
        <v>12.876310160427803</v>
      </c>
      <c r="I380" s="649">
        <f t="shared" ref="I380:I443" si="17">C380-D380</f>
        <v>6.4750417112299452E-2</v>
      </c>
      <c r="J380" s="649"/>
    </row>
    <row r="381" spans="1:10">
      <c r="A381" s="33"/>
      <c r="B381" s="674">
        <v>38708</v>
      </c>
      <c r="C381" s="675">
        <v>0.10199999999999999</v>
      </c>
      <c r="D381" s="661">
        <v>4.5241802139037453E-2</v>
      </c>
      <c r="E381" s="661">
        <v>5.6149732620320886E-2</v>
      </c>
      <c r="F381" s="676">
        <f t="shared" si="15"/>
        <v>-3.0957337934472098</v>
      </c>
      <c r="G381" s="649">
        <f t="shared" si="16"/>
        <v>1.0907930481283433E-2</v>
      </c>
      <c r="H381" s="677">
        <v>12.858395721925131</v>
      </c>
      <c r="I381" s="649">
        <f t="shared" si="17"/>
        <v>5.6758197860962541E-2</v>
      </c>
      <c r="J381" s="649"/>
    </row>
    <row r="382" spans="1:10">
      <c r="A382" s="33"/>
      <c r="B382" s="674">
        <v>38708</v>
      </c>
      <c r="C382" s="675">
        <v>0.11</v>
      </c>
      <c r="D382" s="661">
        <v>4.5241802139037453E-2</v>
      </c>
      <c r="E382" s="661">
        <v>5.6149732620320886E-2</v>
      </c>
      <c r="F382" s="676">
        <f t="shared" si="15"/>
        <v>-3.0957337934472098</v>
      </c>
      <c r="G382" s="649">
        <f t="shared" si="16"/>
        <v>1.0907930481283433E-2</v>
      </c>
      <c r="H382" s="677">
        <v>12.858395721925131</v>
      </c>
      <c r="I382" s="649">
        <f t="shared" si="17"/>
        <v>6.4758197860962541E-2</v>
      </c>
      <c r="J382" s="649"/>
    </row>
    <row r="383" spans="1:10">
      <c r="A383" s="33"/>
      <c r="B383" s="674">
        <v>38714</v>
      </c>
      <c r="C383" s="675">
        <v>0.1</v>
      </c>
      <c r="D383" s="661">
        <v>4.5203491978609636E-2</v>
      </c>
      <c r="E383" s="661">
        <v>5.6141176470588264E-2</v>
      </c>
      <c r="F383" s="676">
        <f t="shared" si="15"/>
        <v>-3.0965809389641255</v>
      </c>
      <c r="G383" s="649">
        <f t="shared" si="16"/>
        <v>1.0937684491978628E-2</v>
      </c>
      <c r="H383" s="677">
        <v>12.810106951871655</v>
      </c>
      <c r="I383" s="649">
        <f t="shared" si="17"/>
        <v>5.4796508021390369E-2</v>
      </c>
      <c r="J383" s="649"/>
    </row>
    <row r="384" spans="1:10">
      <c r="A384" s="33"/>
      <c r="B384" s="674">
        <v>38722</v>
      </c>
      <c r="C384" s="675">
        <v>0.11</v>
      </c>
      <c r="D384" s="661">
        <v>4.5163347593582891E-2</v>
      </c>
      <c r="E384" s="661">
        <v>5.6128342245989324E-2</v>
      </c>
      <c r="F384" s="676">
        <f t="shared" si="15"/>
        <v>-3.0974694150435718</v>
      </c>
      <c r="G384" s="649">
        <f t="shared" si="16"/>
        <v>1.0964994652406433E-2</v>
      </c>
      <c r="H384" s="677">
        <v>12.776631016042778</v>
      </c>
      <c r="I384" s="649">
        <f t="shared" si="17"/>
        <v>6.4836652406417117E-2</v>
      </c>
      <c r="J384" s="649"/>
    </row>
    <row r="385" spans="1:10">
      <c r="A385" s="33"/>
      <c r="B385" s="674">
        <v>38742</v>
      </c>
      <c r="C385" s="675">
        <v>0.11199999999999999</v>
      </c>
      <c r="D385" s="661">
        <v>4.5166935828877021E-2</v>
      </c>
      <c r="E385" s="661">
        <v>5.6215508021390401E-2</v>
      </c>
      <c r="F385" s="676">
        <f t="shared" si="15"/>
        <v>-3.0973899680373176</v>
      </c>
      <c r="G385" s="649">
        <f t="shared" si="16"/>
        <v>1.104857219251338E-2</v>
      </c>
      <c r="H385" s="677">
        <v>12.567005347593579</v>
      </c>
      <c r="I385" s="649">
        <f t="shared" si="17"/>
        <v>6.6833064171122974E-2</v>
      </c>
      <c r="J385" s="649"/>
    </row>
    <row r="386" spans="1:10">
      <c r="A386" s="33"/>
      <c r="B386" s="674">
        <v>38742</v>
      </c>
      <c r="C386" s="675">
        <v>0.11199999999999999</v>
      </c>
      <c r="D386" s="661">
        <v>4.5166935828877021E-2</v>
      </c>
      <c r="E386" s="661">
        <v>5.6215508021390401E-2</v>
      </c>
      <c r="F386" s="676">
        <f t="shared" si="15"/>
        <v>-3.0973899680373176</v>
      </c>
      <c r="G386" s="649">
        <f t="shared" si="16"/>
        <v>1.104857219251338E-2</v>
      </c>
      <c r="H386" s="677">
        <v>12.567005347593579</v>
      </c>
      <c r="I386" s="649">
        <f t="shared" si="17"/>
        <v>6.6833064171122974E-2</v>
      </c>
      <c r="J386" s="649"/>
    </row>
    <row r="387" spans="1:10">
      <c r="A387" s="33"/>
      <c r="B387" s="674">
        <v>38751</v>
      </c>
      <c r="C387" s="675">
        <v>0.105</v>
      </c>
      <c r="D387" s="661">
        <v>4.5225139037433151E-2</v>
      </c>
      <c r="E387" s="661">
        <v>5.6311229946524086E-2</v>
      </c>
      <c r="F387" s="676">
        <f t="shared" si="15"/>
        <v>-3.0961021733565124</v>
      </c>
      <c r="G387" s="649">
        <f t="shared" si="16"/>
        <v>1.1086090909090934E-2</v>
      </c>
      <c r="H387" s="677">
        <v>12.501176470588232</v>
      </c>
      <c r="I387" s="649">
        <f t="shared" si="17"/>
        <v>5.9774860962566845E-2</v>
      </c>
      <c r="J387" s="649"/>
    </row>
    <row r="388" spans="1:10">
      <c r="A388" s="33"/>
      <c r="B388" s="674">
        <v>38763</v>
      </c>
      <c r="C388" s="675">
        <v>9.5000000000000001E-2</v>
      </c>
      <c r="D388" s="661">
        <v>4.5306550802139058E-2</v>
      </c>
      <c r="E388" s="661">
        <v>5.6433155080213911E-2</v>
      </c>
      <c r="F388" s="676">
        <f t="shared" si="15"/>
        <v>-3.0943036476293253</v>
      </c>
      <c r="G388" s="649">
        <f t="shared" si="16"/>
        <v>1.1126604278074853E-2</v>
      </c>
      <c r="H388" s="677">
        <v>12.417540106951868</v>
      </c>
      <c r="I388" s="649">
        <f t="shared" si="17"/>
        <v>4.9693449197860944E-2</v>
      </c>
      <c r="J388" s="649"/>
    </row>
    <row r="389" spans="1:10">
      <c r="A389" s="33"/>
      <c r="B389" s="674">
        <v>38833</v>
      </c>
      <c r="C389" s="675">
        <v>0.106</v>
      </c>
      <c r="D389" s="661">
        <v>4.6509229946524067E-2</v>
      </c>
      <c r="E389" s="661">
        <v>5.798663101604281E-2</v>
      </c>
      <c r="F389" s="676">
        <f t="shared" si="15"/>
        <v>-3.0681044926124135</v>
      </c>
      <c r="G389" s="649">
        <f t="shared" si="16"/>
        <v>1.1477401069518743E-2</v>
      </c>
      <c r="H389" s="677">
        <v>12.450213903743318</v>
      </c>
      <c r="I389" s="649">
        <f t="shared" si="17"/>
        <v>5.949077005347593E-2</v>
      </c>
      <c r="J389" s="649"/>
    </row>
    <row r="390" spans="1:10">
      <c r="A390" s="33"/>
      <c r="B390" s="674">
        <v>38922</v>
      </c>
      <c r="C390" s="675">
        <v>9.6000000000000002E-2</v>
      </c>
      <c r="D390" s="661">
        <v>4.8652770053475923E-2</v>
      </c>
      <c r="E390" s="661">
        <v>6.0688770053475942E-2</v>
      </c>
      <c r="F390" s="676">
        <f t="shared" si="15"/>
        <v>-3.0230465335645587</v>
      </c>
      <c r="G390" s="649">
        <f t="shared" si="16"/>
        <v>1.2036000000000019E-2</v>
      </c>
      <c r="H390" s="677">
        <v>13.160641711229943</v>
      </c>
      <c r="I390" s="649">
        <f t="shared" si="17"/>
        <v>4.7347229946524079E-2</v>
      </c>
      <c r="J390" s="649"/>
    </row>
    <row r="391" spans="1:10">
      <c r="A391" s="33"/>
      <c r="B391" s="674">
        <v>38922</v>
      </c>
      <c r="C391" s="675">
        <v>0.1</v>
      </c>
      <c r="D391" s="661">
        <v>4.8652770053475923E-2</v>
      </c>
      <c r="E391" s="661">
        <v>6.0688770053475942E-2</v>
      </c>
      <c r="F391" s="676">
        <f t="shared" si="15"/>
        <v>-3.0230465335645587</v>
      </c>
      <c r="G391" s="649">
        <f t="shared" si="16"/>
        <v>1.2036000000000019E-2</v>
      </c>
      <c r="H391" s="677">
        <v>13.160641711229943</v>
      </c>
      <c r="I391" s="649">
        <f t="shared" si="17"/>
        <v>5.1347229946524083E-2</v>
      </c>
      <c r="J391" s="649"/>
    </row>
    <row r="392" spans="1:10">
      <c r="A392" s="33"/>
      <c r="B392" s="674">
        <v>38980</v>
      </c>
      <c r="C392" s="675">
        <v>0.11</v>
      </c>
      <c r="D392" s="661">
        <v>4.9311181818181789E-2</v>
      </c>
      <c r="E392" s="661">
        <v>6.1349732620320889E-2</v>
      </c>
      <c r="F392" s="676">
        <f t="shared" si="15"/>
        <v>-3.0096044119235588</v>
      </c>
      <c r="G392" s="649">
        <f t="shared" si="16"/>
        <v>1.20385508021391E-2</v>
      </c>
      <c r="H392" s="677">
        <v>13.383048128342237</v>
      </c>
      <c r="I392" s="649">
        <f t="shared" si="17"/>
        <v>6.0688818181818212E-2</v>
      </c>
      <c r="J392" s="649"/>
    </row>
    <row r="393" spans="1:10">
      <c r="A393" s="33"/>
      <c r="B393" s="674">
        <v>38986</v>
      </c>
      <c r="C393" s="675">
        <v>0.1075</v>
      </c>
      <c r="D393" s="661">
        <v>4.9349652406417074E-2</v>
      </c>
      <c r="E393" s="661">
        <v>6.1388770053475948E-2</v>
      </c>
      <c r="F393" s="676">
        <f t="shared" si="15"/>
        <v>-3.0088245565637823</v>
      </c>
      <c r="G393" s="649">
        <f t="shared" si="16"/>
        <v>1.2039117647058874E-2</v>
      </c>
      <c r="H393" s="677">
        <v>13.409839572192508</v>
      </c>
      <c r="I393" s="649">
        <f t="shared" si="17"/>
        <v>5.8150347593582924E-2</v>
      </c>
      <c r="J393" s="649"/>
    </row>
    <row r="394" spans="1:10">
      <c r="A394" s="33"/>
      <c r="B394" s="674">
        <v>39010</v>
      </c>
      <c r="C394" s="675">
        <v>9.8000000000000004E-2</v>
      </c>
      <c r="D394" s="661">
        <v>4.9579390374331546E-2</v>
      </c>
      <c r="E394" s="661">
        <v>6.1625668449197875E-2</v>
      </c>
      <c r="F394" s="676">
        <f t="shared" si="15"/>
        <v>-3.0041800482487595</v>
      </c>
      <c r="G394" s="649">
        <f t="shared" si="16"/>
        <v>1.2046278074866329E-2</v>
      </c>
      <c r="H394" s="677">
        <v>13.373315508021392</v>
      </c>
      <c r="I394" s="649">
        <f t="shared" si="17"/>
        <v>4.8420609625668458E-2</v>
      </c>
      <c r="J394" s="649"/>
    </row>
    <row r="395" spans="1:10">
      <c r="A395" s="33"/>
      <c r="B395" s="674">
        <v>39023</v>
      </c>
      <c r="C395" s="675">
        <v>9.7100000000000006E-2</v>
      </c>
      <c r="D395" s="661">
        <v>4.9669764705882392E-2</v>
      </c>
      <c r="E395" s="661">
        <v>6.1675401069518722E-2</v>
      </c>
      <c r="F395" s="676">
        <f t="shared" si="15"/>
        <v>-3.0023588870216242</v>
      </c>
      <c r="G395" s="649">
        <f t="shared" si="16"/>
        <v>1.2005636363636329E-2</v>
      </c>
      <c r="H395" s="677">
        <v>13.288823529411765</v>
      </c>
      <c r="I395" s="649">
        <f t="shared" si="17"/>
        <v>4.7430235294117613E-2</v>
      </c>
      <c r="J395" s="649"/>
    </row>
    <row r="396" spans="1:10">
      <c r="A396" s="33"/>
      <c r="B396" s="674">
        <v>39030</v>
      </c>
      <c r="C396" s="675">
        <v>0.1</v>
      </c>
      <c r="D396" s="661">
        <v>4.9729935828877039E-2</v>
      </c>
      <c r="E396" s="661">
        <v>6.1689839572192519E-2</v>
      </c>
      <c r="F396" s="676">
        <f t="shared" si="15"/>
        <v>-3.0011481966468909</v>
      </c>
      <c r="G396" s="649">
        <f t="shared" si="16"/>
        <v>1.195990374331548E-2</v>
      </c>
      <c r="H396" s="677">
        <v>13.239358288770056</v>
      </c>
      <c r="I396" s="649">
        <f t="shared" si="17"/>
        <v>5.0270064171122966E-2</v>
      </c>
      <c r="J396" s="649"/>
    </row>
    <row r="397" spans="1:10">
      <c r="A397" s="33"/>
      <c r="B397" s="674">
        <v>39042</v>
      </c>
      <c r="C397" s="675">
        <v>0.11</v>
      </c>
      <c r="D397" s="661">
        <v>4.9790465240641728E-2</v>
      </c>
      <c r="E397" s="661">
        <v>6.1683422459893049E-2</v>
      </c>
      <c r="F397" s="676">
        <f t="shared" si="15"/>
        <v>-2.9999317743138234</v>
      </c>
      <c r="G397" s="649">
        <f t="shared" si="16"/>
        <v>1.1892957219251321E-2</v>
      </c>
      <c r="H397" s="677">
        <v>13.172673796791448</v>
      </c>
      <c r="I397" s="649">
        <f t="shared" si="17"/>
        <v>6.0209534759358273E-2</v>
      </c>
      <c r="J397" s="649"/>
    </row>
    <row r="398" spans="1:10">
      <c r="A398" s="33"/>
      <c r="B398" s="674">
        <v>39056</v>
      </c>
      <c r="C398" s="675">
        <v>0.10199999999999999</v>
      </c>
      <c r="D398" s="661">
        <v>4.9721914438502698E-2</v>
      </c>
      <c r="E398" s="661">
        <v>6.1595721925133698E-2</v>
      </c>
      <c r="F398" s="676">
        <f t="shared" si="15"/>
        <v>-3.0013095086862376</v>
      </c>
      <c r="G398" s="649">
        <f t="shared" si="16"/>
        <v>1.1873807486630999E-2</v>
      </c>
      <c r="H398" s="677">
        <v>13.123903743315509</v>
      </c>
      <c r="I398" s="649">
        <f t="shared" si="17"/>
        <v>5.2278085561497295E-2</v>
      </c>
      <c r="J398" s="649"/>
    </row>
    <row r="399" spans="1:10">
      <c r="A399" s="33"/>
      <c r="B399" s="674">
        <v>39087</v>
      </c>
      <c r="C399" s="675">
        <v>0.10400000000000001</v>
      </c>
      <c r="D399" s="661">
        <v>4.9477090909090922E-2</v>
      </c>
      <c r="E399" s="661">
        <v>6.1363101604278054E-2</v>
      </c>
      <c r="F399" s="676">
        <f t="shared" si="15"/>
        <v>-3.0062455264544123</v>
      </c>
      <c r="G399" s="649">
        <f t="shared" si="16"/>
        <v>1.1886010695187132E-2</v>
      </c>
      <c r="H399" s="677">
        <v>13.079946524064173</v>
      </c>
      <c r="I399" s="649">
        <f t="shared" si="17"/>
        <v>5.4522909090909087E-2</v>
      </c>
      <c r="J399" s="649"/>
    </row>
    <row r="400" spans="1:10">
      <c r="A400" s="33"/>
      <c r="B400" s="674">
        <v>39091</v>
      </c>
      <c r="C400" s="675">
        <v>0.11</v>
      </c>
      <c r="D400" s="661">
        <v>4.9436459893048131E-2</v>
      </c>
      <c r="E400" s="661">
        <v>6.131978609625665E-2</v>
      </c>
      <c r="F400" s="676">
        <f t="shared" si="15"/>
        <v>-3.0070670725014117</v>
      </c>
      <c r="G400" s="649">
        <f t="shared" si="16"/>
        <v>1.1883326203208519E-2</v>
      </c>
      <c r="H400" s="677">
        <v>13.073101604278078</v>
      </c>
      <c r="I400" s="649">
        <f t="shared" si="17"/>
        <v>6.056354010695187E-2</v>
      </c>
      <c r="J400" s="649"/>
    </row>
    <row r="401" spans="1:10">
      <c r="A401" s="33"/>
      <c r="B401" s="674">
        <v>39093</v>
      </c>
      <c r="C401" s="675">
        <v>0.109</v>
      </c>
      <c r="D401" s="661">
        <v>4.9403310160427816E-2</v>
      </c>
      <c r="E401" s="661">
        <v>6.1275935828876964E-2</v>
      </c>
      <c r="F401" s="676">
        <f t="shared" si="15"/>
        <v>-3.0077378497370391</v>
      </c>
      <c r="G401" s="649">
        <f t="shared" si="16"/>
        <v>1.1872625668449148E-2</v>
      </c>
      <c r="H401" s="677">
        <v>13.058128342245995</v>
      </c>
      <c r="I401" s="649">
        <f t="shared" si="17"/>
        <v>5.9596689839572184E-2</v>
      </c>
      <c r="J401" s="649"/>
    </row>
    <row r="402" spans="1:10">
      <c r="A402" s="33"/>
      <c r="B402" s="674">
        <v>39101</v>
      </c>
      <c r="C402" s="675">
        <v>0.10800000000000001</v>
      </c>
      <c r="D402" s="661">
        <v>4.9293711229946531E-2</v>
      </c>
      <c r="E402" s="661">
        <v>6.1179144385026689E-2</v>
      </c>
      <c r="F402" s="676">
        <f t="shared" si="15"/>
        <v>-3.0099587673288131</v>
      </c>
      <c r="G402" s="649">
        <f t="shared" si="16"/>
        <v>1.1885433155080158E-2</v>
      </c>
      <c r="H402" s="677">
        <v>13.027112299465248</v>
      </c>
      <c r="I402" s="649">
        <f t="shared" si="17"/>
        <v>5.8706288770053482E-2</v>
      </c>
      <c r="J402" s="649"/>
    </row>
    <row r="403" spans="1:10">
      <c r="A403" s="33"/>
      <c r="B403" s="674">
        <v>39108</v>
      </c>
      <c r="C403" s="675">
        <v>0.1</v>
      </c>
      <c r="D403" s="661">
        <v>4.9219106951871643E-2</v>
      </c>
      <c r="E403" s="661">
        <v>6.1087165775401006E-2</v>
      </c>
      <c r="F403" s="676">
        <f t="shared" si="15"/>
        <v>-3.011473378192941</v>
      </c>
      <c r="G403" s="649">
        <f t="shared" si="16"/>
        <v>1.1868058823529364E-2</v>
      </c>
      <c r="H403" s="677">
        <v>12.998556149732627</v>
      </c>
      <c r="I403" s="649">
        <f t="shared" si="17"/>
        <v>5.0780893048128363E-2</v>
      </c>
      <c r="J403" s="649"/>
    </row>
    <row r="404" spans="1:10">
      <c r="A404" s="33"/>
      <c r="B404" s="674">
        <v>39121</v>
      </c>
      <c r="C404" s="675">
        <v>0.10400000000000001</v>
      </c>
      <c r="D404" s="661">
        <v>4.9077962566844928E-2</v>
      </c>
      <c r="E404" s="661">
        <v>6.0882352941176415E-2</v>
      </c>
      <c r="F404" s="676">
        <f t="shared" si="15"/>
        <v>-3.0143451724940657</v>
      </c>
      <c r="G404" s="649">
        <f t="shared" si="16"/>
        <v>1.1804390374331487E-2</v>
      </c>
      <c r="H404" s="677">
        <v>12.92860962566845</v>
      </c>
      <c r="I404" s="649">
        <f t="shared" si="17"/>
        <v>5.4922037433155081E-2</v>
      </c>
      <c r="J404" s="649"/>
    </row>
    <row r="405" spans="1:10">
      <c r="A405" s="33"/>
      <c r="B405" s="674">
        <v>39155</v>
      </c>
      <c r="C405" s="675">
        <v>0.10099999999999999</v>
      </c>
      <c r="D405" s="661">
        <v>4.8560171122994662E-2</v>
      </c>
      <c r="E405" s="661">
        <v>6.0228342245989254E-2</v>
      </c>
      <c r="F405" s="676">
        <f t="shared" si="15"/>
        <v>-3.0249516082874606</v>
      </c>
      <c r="G405" s="649">
        <f t="shared" si="16"/>
        <v>1.1668171122994592E-2</v>
      </c>
      <c r="H405" s="677">
        <v>12.498449197860959</v>
      </c>
      <c r="I405" s="649">
        <f t="shared" si="17"/>
        <v>5.243982887700533E-2</v>
      </c>
      <c r="J405" s="649"/>
    </row>
    <row r="406" spans="1:10">
      <c r="A406" s="33"/>
      <c r="B406" s="674">
        <v>39161</v>
      </c>
      <c r="C406" s="675">
        <v>0.10249999999999999</v>
      </c>
      <c r="D406" s="661">
        <v>4.8446112299465244E-2</v>
      </c>
      <c r="E406" s="661">
        <v>6.0102673796791399E-2</v>
      </c>
      <c r="F406" s="676">
        <f t="shared" si="15"/>
        <v>-3.0273031853619883</v>
      </c>
      <c r="G406" s="649">
        <f t="shared" si="16"/>
        <v>1.1656561497326155E-2</v>
      </c>
      <c r="H406" s="677">
        <v>12.463208556149731</v>
      </c>
      <c r="I406" s="649">
        <f t="shared" si="17"/>
        <v>5.405388770053475E-2</v>
      </c>
      <c r="J406" s="649"/>
    </row>
    <row r="407" spans="1:10">
      <c r="A407" s="33"/>
      <c r="B407" s="674">
        <v>39162</v>
      </c>
      <c r="C407" s="675">
        <v>0.11349999999999999</v>
      </c>
      <c r="D407" s="661">
        <v>4.8420486631016044E-2</v>
      </c>
      <c r="E407" s="661">
        <v>6.0068983957219199E-2</v>
      </c>
      <c r="F407" s="676">
        <f t="shared" si="15"/>
        <v>-3.0278322773158699</v>
      </c>
      <c r="G407" s="649">
        <f t="shared" si="16"/>
        <v>1.1648497326203155E-2</v>
      </c>
      <c r="H407" s="677">
        <v>12.445401069518713</v>
      </c>
      <c r="I407" s="649">
        <f t="shared" si="17"/>
        <v>6.5079513368983946E-2</v>
      </c>
      <c r="J407" s="649"/>
    </row>
    <row r="408" spans="1:10">
      <c r="A408" s="33"/>
      <c r="B408" s="674">
        <v>39163</v>
      </c>
      <c r="C408" s="675">
        <v>0.105</v>
      </c>
      <c r="D408" s="661">
        <v>4.8397754010695182E-2</v>
      </c>
      <c r="E408" s="661">
        <v>6.0037967914438467E-2</v>
      </c>
      <c r="F408" s="676">
        <f t="shared" si="15"/>
        <v>-3.0283018710739871</v>
      </c>
      <c r="G408" s="649">
        <f t="shared" si="16"/>
        <v>1.1640213903743285E-2</v>
      </c>
      <c r="H408" s="677">
        <v>12.429625668449193</v>
      </c>
      <c r="I408" s="649">
        <f t="shared" si="17"/>
        <v>5.6602245989304814E-2</v>
      </c>
      <c r="J408" s="649"/>
    </row>
    <row r="409" spans="1:10">
      <c r="A409" s="33"/>
      <c r="B409" s="674">
        <v>39170</v>
      </c>
      <c r="C409" s="675">
        <v>0.1</v>
      </c>
      <c r="D409" s="661">
        <v>4.829593048128341E-2</v>
      </c>
      <c r="E409" s="661">
        <v>5.9881818181818147E-2</v>
      </c>
      <c r="F409" s="676">
        <f t="shared" si="15"/>
        <v>-3.0304079769191579</v>
      </c>
      <c r="G409" s="649">
        <f t="shared" si="16"/>
        <v>1.1585887700534737E-2</v>
      </c>
      <c r="H409" s="677">
        <v>12.392085561497323</v>
      </c>
      <c r="I409" s="649">
        <f t="shared" si="17"/>
        <v>5.1704069518716596E-2</v>
      </c>
      <c r="J409" s="649"/>
    </row>
    <row r="410" spans="1:10">
      <c r="A410" s="33"/>
      <c r="B410" s="674">
        <v>39246</v>
      </c>
      <c r="C410" s="675">
        <v>0.1075</v>
      </c>
      <c r="D410" s="661">
        <v>4.8148540106951861E-2</v>
      </c>
      <c r="E410" s="661">
        <v>5.9264705882352976E-2</v>
      </c>
      <c r="F410" s="676">
        <f t="shared" si="15"/>
        <v>-3.0334644608871271</v>
      </c>
      <c r="G410" s="649">
        <f t="shared" si="16"/>
        <v>1.1116165775401116E-2</v>
      </c>
      <c r="H410" s="677">
        <v>12.233155080213914</v>
      </c>
      <c r="I410" s="649">
        <f t="shared" si="17"/>
        <v>5.9351459893048138E-2</v>
      </c>
      <c r="J410" s="649"/>
    </row>
    <row r="411" spans="1:10">
      <c r="A411" s="33"/>
      <c r="B411" s="674">
        <v>39262</v>
      </c>
      <c r="C411" s="675">
        <v>9.5299999999999996E-2</v>
      </c>
      <c r="D411" s="661">
        <v>4.8432823529411757E-2</v>
      </c>
      <c r="E411" s="661">
        <v>5.952245989304817E-2</v>
      </c>
      <c r="F411" s="676">
        <f t="shared" si="15"/>
        <v>-3.0275775230190471</v>
      </c>
      <c r="G411" s="649">
        <f t="shared" si="16"/>
        <v>1.1089636363636413E-2</v>
      </c>
      <c r="H411" s="677">
        <v>12.442192513368996</v>
      </c>
      <c r="I411" s="649">
        <f t="shared" si="17"/>
        <v>4.6867176470588238E-2</v>
      </c>
      <c r="J411" s="649"/>
    </row>
    <row r="412" spans="1:10">
      <c r="A412" s="33"/>
      <c r="B412" s="674">
        <v>39262</v>
      </c>
      <c r="C412" s="675">
        <v>0.10099999999999999</v>
      </c>
      <c r="D412" s="661">
        <v>4.8432823529411757E-2</v>
      </c>
      <c r="E412" s="661">
        <v>5.952245989304817E-2</v>
      </c>
      <c r="F412" s="676">
        <f t="shared" si="15"/>
        <v>-3.0275775230190471</v>
      </c>
      <c r="G412" s="649">
        <f t="shared" si="16"/>
        <v>1.1089636363636413E-2</v>
      </c>
      <c r="H412" s="677">
        <v>12.442192513368996</v>
      </c>
      <c r="I412" s="649">
        <f t="shared" si="17"/>
        <v>5.2567176470588235E-2</v>
      </c>
      <c r="J412" s="649"/>
    </row>
    <row r="413" spans="1:10">
      <c r="A413" s="33"/>
      <c r="B413" s="674">
        <v>39266</v>
      </c>
      <c r="C413" s="675">
        <v>0.10249999999999999</v>
      </c>
      <c r="D413" s="661">
        <v>4.8453652406417115E-2</v>
      </c>
      <c r="E413" s="661">
        <v>5.9561497326203243E-2</v>
      </c>
      <c r="F413" s="676">
        <f t="shared" si="15"/>
        <v>-3.0271475584213041</v>
      </c>
      <c r="G413" s="649">
        <f t="shared" si="16"/>
        <v>1.1107844919786128E-2</v>
      </c>
      <c r="H413" s="677">
        <v>12.471657754010709</v>
      </c>
      <c r="I413" s="649">
        <f t="shared" si="17"/>
        <v>5.4046347593582879E-2</v>
      </c>
      <c r="J413" s="649"/>
    </row>
    <row r="414" spans="1:10">
      <c r="A414" s="33"/>
      <c r="B414" s="674">
        <v>39276</v>
      </c>
      <c r="C414" s="675">
        <v>9.5000000000000001E-2</v>
      </c>
      <c r="D414" s="661">
        <v>4.8576737967914445E-2</v>
      </c>
      <c r="E414" s="661">
        <v>5.9678609625668497E-2</v>
      </c>
      <c r="F414" s="676">
        <f t="shared" si="15"/>
        <v>-3.0246105052971459</v>
      </c>
      <c r="G414" s="649">
        <f t="shared" si="16"/>
        <v>1.1101871657754052E-2</v>
      </c>
      <c r="H414" s="677">
        <v>12.626470588235303</v>
      </c>
      <c r="I414" s="649">
        <f t="shared" si="17"/>
        <v>4.6423262032085556E-2</v>
      </c>
      <c r="J414" s="649"/>
    </row>
    <row r="415" spans="1:10">
      <c r="A415" s="33"/>
      <c r="B415" s="674">
        <v>39287</v>
      </c>
      <c r="C415" s="675">
        <v>0.10400000000000001</v>
      </c>
      <c r="D415" s="661">
        <v>4.8700069518716589E-2</v>
      </c>
      <c r="E415" s="661">
        <v>5.9745454545454595E-2</v>
      </c>
      <c r="F415" s="676">
        <f t="shared" si="15"/>
        <v>-3.0220748214055648</v>
      </c>
      <c r="G415" s="649">
        <f t="shared" si="16"/>
        <v>1.1045385026738005E-2</v>
      </c>
      <c r="H415" s="677">
        <v>12.82561497326204</v>
      </c>
      <c r="I415" s="649">
        <f t="shared" si="17"/>
        <v>5.529993048128342E-2</v>
      </c>
      <c r="J415" s="649"/>
    </row>
    <row r="416" spans="1:10">
      <c r="A416" s="33"/>
      <c r="B416" s="674">
        <v>39295</v>
      </c>
      <c r="C416" s="675">
        <v>0.10150000000000001</v>
      </c>
      <c r="D416" s="661">
        <v>4.876901604278075E-2</v>
      </c>
      <c r="E416" s="661">
        <v>5.984278074866313E-2</v>
      </c>
      <c r="F416" s="676">
        <f t="shared" si="15"/>
        <v>-3.0206600849244221</v>
      </c>
      <c r="G416" s="649">
        <f t="shared" si="16"/>
        <v>1.107376470588238E-2</v>
      </c>
      <c r="H416" s="677">
        <v>13.17839572192514</v>
      </c>
      <c r="I416" s="649">
        <f t="shared" si="17"/>
        <v>5.2730983957219257E-2</v>
      </c>
      <c r="J416" s="649"/>
    </row>
    <row r="417" spans="1:10">
      <c r="A417" s="33"/>
      <c r="B417" s="674">
        <v>39323</v>
      </c>
      <c r="C417" s="675">
        <v>0.105</v>
      </c>
      <c r="D417" s="661">
        <v>4.9109887700534774E-2</v>
      </c>
      <c r="E417" s="661">
        <v>6.0327807486631045E-2</v>
      </c>
      <c r="F417" s="676">
        <f t="shared" si="15"/>
        <v>-3.0136948856260282</v>
      </c>
      <c r="G417" s="649">
        <f t="shared" si="16"/>
        <v>1.1217919786096271E-2</v>
      </c>
      <c r="H417" s="677">
        <v>14.714385026737967</v>
      </c>
      <c r="I417" s="649">
        <f t="shared" si="17"/>
        <v>5.5890112299465222E-2</v>
      </c>
      <c r="J417" s="649"/>
    </row>
    <row r="418" spans="1:10">
      <c r="A418" s="33"/>
      <c r="B418" s="674">
        <v>39335</v>
      </c>
      <c r="C418" s="675">
        <v>9.7100000000000006E-2</v>
      </c>
      <c r="D418" s="661">
        <v>4.9143491978609628E-2</v>
      </c>
      <c r="E418" s="661">
        <v>6.047326203208557E-2</v>
      </c>
      <c r="F418" s="676">
        <f t="shared" si="15"/>
        <v>-3.013010852578109</v>
      </c>
      <c r="G418" s="649">
        <f t="shared" si="16"/>
        <v>1.1329770053475942E-2</v>
      </c>
      <c r="H418" s="677">
        <v>15.207754010695188</v>
      </c>
      <c r="I418" s="649">
        <f t="shared" si="17"/>
        <v>4.7956508021390377E-2</v>
      </c>
      <c r="J418" s="649"/>
    </row>
    <row r="419" spans="1:10">
      <c r="A419" s="33"/>
      <c r="B419" s="674">
        <v>39344</v>
      </c>
      <c r="C419" s="675">
        <v>0.1</v>
      </c>
      <c r="D419" s="661">
        <v>4.9123684491978618E-2</v>
      </c>
      <c r="E419" s="661">
        <v>6.0590374331550796E-2</v>
      </c>
      <c r="F419" s="676">
        <f t="shared" si="15"/>
        <v>-3.0134139879405093</v>
      </c>
      <c r="G419" s="649">
        <f t="shared" si="16"/>
        <v>1.1466689839572178E-2</v>
      </c>
      <c r="H419" s="677">
        <v>15.712085561497332</v>
      </c>
      <c r="I419" s="649">
        <f t="shared" si="17"/>
        <v>5.0876315508021387E-2</v>
      </c>
      <c r="J419" s="649"/>
    </row>
    <row r="420" spans="1:10">
      <c r="A420" s="33"/>
      <c r="B420" s="674">
        <v>39350</v>
      </c>
      <c r="C420" s="675">
        <v>9.6999999999999989E-2</v>
      </c>
      <c r="D420" s="661">
        <v>4.9157887700534746E-2</v>
      </c>
      <c r="E420" s="661">
        <v>6.0671657754010691E-2</v>
      </c>
      <c r="F420" s="676">
        <f t="shared" si="15"/>
        <v>-3.0127179630566188</v>
      </c>
      <c r="G420" s="649">
        <f t="shared" si="16"/>
        <v>1.1513770053475945E-2</v>
      </c>
      <c r="H420" s="677">
        <v>15.893957219251343</v>
      </c>
      <c r="I420" s="649">
        <f t="shared" si="17"/>
        <v>4.7842112299465243E-2</v>
      </c>
      <c r="J420" s="649"/>
    </row>
    <row r="421" spans="1:10">
      <c r="A421" s="33"/>
      <c r="B421" s="674">
        <v>39363</v>
      </c>
      <c r="C421" s="675">
        <v>0.1048</v>
      </c>
      <c r="D421" s="661">
        <v>4.9161342245989295E-2</v>
      </c>
      <c r="E421" s="661">
        <v>6.0789572192513373E-2</v>
      </c>
      <c r="F421" s="676">
        <f t="shared" si="15"/>
        <v>-3.0126476910364279</v>
      </c>
      <c r="G421" s="649">
        <f t="shared" si="16"/>
        <v>1.1628229946524078E-2</v>
      </c>
      <c r="H421" s="677">
        <v>16.195080213903744</v>
      </c>
      <c r="I421" s="649">
        <f t="shared" si="17"/>
        <v>5.5638657754010709E-2</v>
      </c>
      <c r="J421" s="649"/>
    </row>
    <row r="422" spans="1:10">
      <c r="A422" s="33"/>
      <c r="B422" s="674">
        <v>39374</v>
      </c>
      <c r="C422" s="675">
        <v>0.105</v>
      </c>
      <c r="D422" s="661">
        <v>4.9120983957219228E-2</v>
      </c>
      <c r="E422" s="661">
        <v>6.0907486631016056E-2</v>
      </c>
      <c r="F422" s="676">
        <f t="shared" si="15"/>
        <v>-3.0134689636415359</v>
      </c>
      <c r="G422" s="649">
        <f t="shared" si="16"/>
        <v>1.1786502673796828E-2</v>
      </c>
      <c r="H422" s="677">
        <v>16.591176470588231</v>
      </c>
      <c r="I422" s="649">
        <f t="shared" si="17"/>
        <v>5.5879016042780769E-2</v>
      </c>
      <c r="J422" s="649"/>
    </row>
    <row r="423" spans="1:10">
      <c r="A423" s="33"/>
      <c r="B423" s="674">
        <v>39380</v>
      </c>
      <c r="C423" s="675">
        <v>9.6500000000000002E-2</v>
      </c>
      <c r="D423" s="661">
        <v>4.9071855614973237E-2</v>
      </c>
      <c r="E423" s="661">
        <v>6.0891978609625676E-2</v>
      </c>
      <c r="F423" s="676">
        <f t="shared" si="15"/>
        <v>-3.0144696139243754</v>
      </c>
      <c r="G423" s="649">
        <f t="shared" si="16"/>
        <v>1.1820122994652439E-2</v>
      </c>
      <c r="H423" s="677">
        <v>16.801122994652403</v>
      </c>
      <c r="I423" s="649">
        <f t="shared" si="17"/>
        <v>4.7428144385026766E-2</v>
      </c>
      <c r="J423" s="649"/>
    </row>
    <row r="424" spans="1:10">
      <c r="A424" s="33"/>
      <c r="B424" s="674">
        <v>39401</v>
      </c>
      <c r="C424" s="675">
        <v>0.1</v>
      </c>
      <c r="D424" s="661">
        <v>4.8938026737967891E-2</v>
      </c>
      <c r="E424" s="661">
        <v>6.0929946524064152E-2</v>
      </c>
      <c r="F424" s="676">
        <f t="shared" si="15"/>
        <v>-3.0172005418056616</v>
      </c>
      <c r="G424" s="649">
        <f t="shared" si="16"/>
        <v>1.1991919786096261E-2</v>
      </c>
      <c r="H424" s="677">
        <v>17.89502673796791</v>
      </c>
      <c r="I424" s="649">
        <f t="shared" si="17"/>
        <v>5.1061973262032115E-2</v>
      </c>
      <c r="J424" s="649"/>
    </row>
    <row r="425" spans="1:10">
      <c r="A425" s="33"/>
      <c r="B425" s="674">
        <v>39406</v>
      </c>
      <c r="C425" s="675">
        <v>9.9000000000000005E-2</v>
      </c>
      <c r="D425" s="661">
        <v>4.8912021390374316E-2</v>
      </c>
      <c r="E425" s="661">
        <v>6.0944919786096244E-2</v>
      </c>
      <c r="F425" s="676">
        <f t="shared" si="15"/>
        <v>-3.017732076510105</v>
      </c>
      <c r="G425" s="649">
        <f t="shared" si="16"/>
        <v>1.2032898395721928E-2</v>
      </c>
      <c r="H425" s="677">
        <v>18.132834224598927</v>
      </c>
      <c r="I425" s="649">
        <f t="shared" si="17"/>
        <v>5.0087978609625688E-2</v>
      </c>
      <c r="J425" s="649"/>
    </row>
    <row r="426" spans="1:10">
      <c r="A426" s="33"/>
      <c r="B426" s="674">
        <v>39413</v>
      </c>
      <c r="C426" s="675">
        <v>0.1</v>
      </c>
      <c r="D426" s="661">
        <v>4.8842395721925114E-2</v>
      </c>
      <c r="E426" s="661">
        <v>6.0972727272727262E-2</v>
      </c>
      <c r="F426" s="676">
        <f t="shared" si="15"/>
        <v>-3.0191565784871961</v>
      </c>
      <c r="G426" s="649">
        <f t="shared" si="16"/>
        <v>1.2130331550802148E-2</v>
      </c>
      <c r="H426" s="677">
        <v>18.343957219251326</v>
      </c>
      <c r="I426" s="649">
        <f t="shared" si="17"/>
        <v>5.1157604278074892E-2</v>
      </c>
      <c r="J426" s="649"/>
    </row>
    <row r="427" spans="1:10">
      <c r="A427" s="33"/>
      <c r="B427" s="674">
        <v>39415</v>
      </c>
      <c r="C427" s="675">
        <v>0.109</v>
      </c>
      <c r="D427" s="661">
        <v>4.8810871657753989E-2</v>
      </c>
      <c r="E427" s="661">
        <v>6.0991978609625637E-2</v>
      </c>
      <c r="F427" s="676">
        <f t="shared" si="15"/>
        <v>-3.0198022110627782</v>
      </c>
      <c r="G427" s="649">
        <f t="shared" si="16"/>
        <v>1.2181106951871648E-2</v>
      </c>
      <c r="H427" s="677">
        <v>18.410748663101593</v>
      </c>
      <c r="I427" s="649">
        <f t="shared" si="17"/>
        <v>6.0189128342246011E-2</v>
      </c>
      <c r="J427" s="649"/>
    </row>
    <row r="428" spans="1:10">
      <c r="A428" s="33"/>
      <c r="B428" s="674">
        <v>39430</v>
      </c>
      <c r="C428" s="675">
        <v>0.10800000000000001</v>
      </c>
      <c r="D428" s="661">
        <v>4.8661342245989288E-2</v>
      </c>
      <c r="E428" s="661">
        <v>6.1175401069518714E-2</v>
      </c>
      <c r="F428" s="676">
        <f t="shared" si="15"/>
        <v>-3.0228703578315024</v>
      </c>
      <c r="G428" s="649">
        <f t="shared" si="16"/>
        <v>1.2514058823529427E-2</v>
      </c>
      <c r="H428" s="677">
        <v>18.843689839572193</v>
      </c>
      <c r="I428" s="649">
        <f t="shared" si="17"/>
        <v>5.9338657754010725E-2</v>
      </c>
      <c r="J428" s="649"/>
    </row>
    <row r="429" spans="1:10">
      <c r="A429" s="33"/>
      <c r="B429" s="674">
        <v>39434</v>
      </c>
      <c r="C429" s="675">
        <v>0.10400000000000001</v>
      </c>
      <c r="D429" s="661">
        <v>4.863074331550802E-2</v>
      </c>
      <c r="E429" s="661">
        <v>6.1213368983957225E-2</v>
      </c>
      <c r="F429" s="676">
        <f t="shared" si="15"/>
        <v>-3.0234993695607417</v>
      </c>
      <c r="G429" s="649">
        <f t="shared" si="16"/>
        <v>1.2582625668449206E-2</v>
      </c>
      <c r="H429" s="677">
        <v>18.957486631016039</v>
      </c>
      <c r="I429" s="649">
        <f t="shared" si="17"/>
        <v>5.536925668449199E-2</v>
      </c>
      <c r="J429" s="649"/>
    </row>
    <row r="430" spans="1:10">
      <c r="A430" s="33"/>
      <c r="B430" s="674">
        <v>39435</v>
      </c>
      <c r="C430" s="675">
        <v>9.8000000000000004E-2</v>
      </c>
      <c r="D430" s="661">
        <v>4.8609946524064168E-2</v>
      </c>
      <c r="E430" s="661">
        <v>6.1223529411764704E-2</v>
      </c>
      <c r="F430" s="676">
        <f t="shared" si="15"/>
        <v>-3.0239271080269177</v>
      </c>
      <c r="G430" s="649">
        <f t="shared" si="16"/>
        <v>1.2613582887700536E-2</v>
      </c>
      <c r="H430" s="677">
        <v>19.003048128342243</v>
      </c>
      <c r="I430" s="649">
        <f t="shared" si="17"/>
        <v>4.9390053475935836E-2</v>
      </c>
      <c r="J430" s="649"/>
    </row>
    <row r="431" spans="1:10">
      <c r="A431" s="33"/>
      <c r="B431" s="674">
        <v>39435</v>
      </c>
      <c r="C431" s="675">
        <v>9.8000000000000004E-2</v>
      </c>
      <c r="D431" s="661">
        <v>4.8609946524064168E-2</v>
      </c>
      <c r="E431" s="661">
        <v>6.1223529411764704E-2</v>
      </c>
      <c r="F431" s="676">
        <f t="shared" si="15"/>
        <v>-3.0239271080269177</v>
      </c>
      <c r="G431" s="649">
        <f t="shared" si="16"/>
        <v>1.2613582887700536E-2</v>
      </c>
      <c r="H431" s="677">
        <v>19.003048128342243</v>
      </c>
      <c r="I431" s="649">
        <f t="shared" si="17"/>
        <v>4.9390053475935836E-2</v>
      </c>
      <c r="J431" s="649"/>
    </row>
    <row r="432" spans="1:10">
      <c r="A432" s="33"/>
      <c r="B432" s="674">
        <v>39435</v>
      </c>
      <c r="C432" s="675">
        <v>0.10199999999999999</v>
      </c>
      <c r="D432" s="661">
        <v>4.8609946524064168E-2</v>
      </c>
      <c r="E432" s="661">
        <v>6.1223529411764704E-2</v>
      </c>
      <c r="F432" s="676">
        <f t="shared" si="15"/>
        <v>-3.0239271080269177</v>
      </c>
      <c r="G432" s="649">
        <f t="shared" si="16"/>
        <v>1.2613582887700536E-2</v>
      </c>
      <c r="H432" s="677">
        <v>19.003048128342243</v>
      </c>
      <c r="I432" s="649">
        <f t="shared" si="17"/>
        <v>5.3390053475935825E-2</v>
      </c>
      <c r="J432" s="649"/>
    </row>
    <row r="433" spans="1:10">
      <c r="A433" s="33"/>
      <c r="B433" s="674">
        <v>39437</v>
      </c>
      <c r="C433" s="675">
        <v>9.0999999999999998E-2</v>
      </c>
      <c r="D433" s="661">
        <v>4.8576294117647051E-2</v>
      </c>
      <c r="E433" s="661">
        <v>6.124545454545454E-2</v>
      </c>
      <c r="F433" s="676">
        <f t="shared" si="15"/>
        <v>-3.0246196424338438</v>
      </c>
      <c r="G433" s="649">
        <f t="shared" si="16"/>
        <v>1.266916042780749E-2</v>
      </c>
      <c r="H433" s="677">
        <v>19.059679144385026</v>
      </c>
      <c r="I433" s="649">
        <f t="shared" si="17"/>
        <v>4.2423705882352947E-2</v>
      </c>
      <c r="J433" s="649"/>
    </row>
    <row r="434" spans="1:10">
      <c r="A434" s="33"/>
      <c r="B434" s="674">
        <v>39455</v>
      </c>
      <c r="C434" s="675">
        <v>0.1075</v>
      </c>
      <c r="D434" s="661">
        <v>4.8312294117647051E-2</v>
      </c>
      <c r="E434" s="661">
        <v>6.1301604278074864E-2</v>
      </c>
      <c r="F434" s="676">
        <f t="shared" si="15"/>
        <v>-3.0300692141153065</v>
      </c>
      <c r="G434" s="649">
        <f t="shared" si="16"/>
        <v>1.2989310160427814E-2</v>
      </c>
      <c r="H434" s="677">
        <v>19.505240641711229</v>
      </c>
      <c r="I434" s="649">
        <f t="shared" si="17"/>
        <v>5.9187705882352948E-2</v>
      </c>
      <c r="J434" s="649"/>
    </row>
    <row r="435" spans="1:10">
      <c r="A435" s="33"/>
      <c r="B435" s="674">
        <v>39464</v>
      </c>
      <c r="C435" s="675">
        <v>0.1075</v>
      </c>
      <c r="D435" s="661">
        <v>4.812744385026739E-2</v>
      </c>
      <c r="E435" s="661">
        <v>6.1314973262032071E-2</v>
      </c>
      <c r="F435" s="676">
        <f t="shared" si="15"/>
        <v>-3.0339027063592581</v>
      </c>
      <c r="G435" s="649">
        <f t="shared" si="16"/>
        <v>1.3187529411764681E-2</v>
      </c>
      <c r="H435" s="677">
        <v>19.954117647058826</v>
      </c>
      <c r="I435" s="649">
        <f t="shared" si="17"/>
        <v>5.9372556149732608E-2</v>
      </c>
      <c r="J435" s="649"/>
    </row>
    <row r="436" spans="1:10">
      <c r="A436" s="33"/>
      <c r="B436" s="674">
        <v>39464</v>
      </c>
      <c r="C436" s="675">
        <v>0.1075</v>
      </c>
      <c r="D436" s="661">
        <v>4.812744385026739E-2</v>
      </c>
      <c r="E436" s="661">
        <v>6.1314973262032071E-2</v>
      </c>
      <c r="F436" s="676">
        <f t="shared" si="15"/>
        <v>-3.0339027063592581</v>
      </c>
      <c r="G436" s="649">
        <f t="shared" si="16"/>
        <v>1.3187529411764681E-2</v>
      </c>
      <c r="H436" s="677">
        <v>19.954117647058826</v>
      </c>
      <c r="I436" s="649">
        <f t="shared" si="17"/>
        <v>5.9372556149732608E-2</v>
      </c>
      <c r="J436" s="649"/>
    </row>
    <row r="437" spans="1:10">
      <c r="A437" s="33"/>
      <c r="B437" s="674">
        <v>39483</v>
      </c>
      <c r="C437" s="675">
        <v>9.9900000000000003E-2</v>
      </c>
      <c r="D437" s="661">
        <v>4.7755042780748685E-2</v>
      </c>
      <c r="E437" s="661">
        <v>6.1394117647058828E-2</v>
      </c>
      <c r="F437" s="676">
        <f t="shared" si="15"/>
        <v>-3.0416706096577326</v>
      </c>
      <c r="G437" s="649">
        <f t="shared" si="16"/>
        <v>1.3639074866310143E-2</v>
      </c>
      <c r="H437" s="677">
        <v>20.882566844919786</v>
      </c>
      <c r="I437" s="649">
        <f t="shared" si="17"/>
        <v>5.2144957219251317E-2</v>
      </c>
      <c r="J437" s="649"/>
    </row>
    <row r="438" spans="1:10">
      <c r="A438" s="33"/>
      <c r="B438" s="674">
        <v>39483</v>
      </c>
      <c r="C438" s="675">
        <v>0.10189999999999999</v>
      </c>
      <c r="D438" s="661">
        <v>4.7755042780748685E-2</v>
      </c>
      <c r="E438" s="661">
        <v>6.1394117647058828E-2</v>
      </c>
      <c r="F438" s="676">
        <f t="shared" si="15"/>
        <v>-3.0416706096577326</v>
      </c>
      <c r="G438" s="649">
        <f t="shared" si="16"/>
        <v>1.3639074866310143E-2</v>
      </c>
      <c r="H438" s="677">
        <v>20.882566844919786</v>
      </c>
      <c r="I438" s="649">
        <f t="shared" si="17"/>
        <v>5.4144957219251305E-2</v>
      </c>
      <c r="J438" s="649"/>
    </row>
    <row r="439" spans="1:10">
      <c r="A439" s="33"/>
      <c r="B439" s="674">
        <v>39491</v>
      </c>
      <c r="C439" s="675">
        <v>0.10199999999999999</v>
      </c>
      <c r="D439" s="661">
        <v>4.758215508021392E-2</v>
      </c>
      <c r="E439" s="661">
        <v>6.1467914438502663E-2</v>
      </c>
      <c r="F439" s="676">
        <f t="shared" si="15"/>
        <v>-3.0452974813076308</v>
      </c>
      <c r="G439" s="649">
        <f t="shared" si="16"/>
        <v>1.3885759358288743E-2</v>
      </c>
      <c r="H439" s="677">
        <v>21.320641711229943</v>
      </c>
      <c r="I439" s="649">
        <f t="shared" si="17"/>
        <v>5.4417844919786074E-2</v>
      </c>
      <c r="J439" s="649"/>
    </row>
    <row r="440" spans="1:10">
      <c r="A440" s="33"/>
      <c r="B440" s="674">
        <v>39538</v>
      </c>
      <c r="C440" s="675">
        <v>0.1</v>
      </c>
      <c r="D440" s="661">
        <v>4.6300080213903735E-2</v>
      </c>
      <c r="E440" s="661">
        <v>6.1497326203208545E-2</v>
      </c>
      <c r="F440" s="676">
        <f t="shared" si="15"/>
        <v>-3.0726115854097271</v>
      </c>
      <c r="G440" s="649">
        <f t="shared" si="16"/>
        <v>1.519724598930481E-2</v>
      </c>
      <c r="H440" s="677">
        <v>23.25112299465242</v>
      </c>
      <c r="I440" s="649">
        <f t="shared" si="17"/>
        <v>5.369991978609627E-2</v>
      </c>
      <c r="J440" s="649"/>
    </row>
    <row r="441" spans="1:10">
      <c r="A441" s="33"/>
      <c r="B441" s="674">
        <v>39596</v>
      </c>
      <c r="C441" s="675">
        <v>0.105</v>
      </c>
      <c r="D441" s="661">
        <v>4.5317465240641688E-2</v>
      </c>
      <c r="E441" s="661">
        <v>6.15657754010695E-2</v>
      </c>
      <c r="F441" s="676">
        <f t="shared" si="15"/>
        <v>-3.0940627746459377</v>
      </c>
      <c r="G441" s="649">
        <f t="shared" si="16"/>
        <v>1.6248310160427812E-2</v>
      </c>
      <c r="H441" s="677">
        <v>22.97454545454546</v>
      </c>
      <c r="I441" s="649">
        <f t="shared" si="17"/>
        <v>5.9682534759358308E-2</v>
      </c>
      <c r="J441" s="649"/>
    </row>
    <row r="442" spans="1:10">
      <c r="A442" s="33"/>
      <c r="B442" s="674">
        <v>39623</v>
      </c>
      <c r="C442" s="675">
        <v>0.1</v>
      </c>
      <c r="D442" s="661">
        <v>4.5222604278074834E-2</v>
      </c>
      <c r="E442" s="661">
        <v>6.1785026737967909E-2</v>
      </c>
      <c r="F442" s="676">
        <f t="shared" si="15"/>
        <v>-3.096158222501932</v>
      </c>
      <c r="G442" s="649">
        <f t="shared" si="16"/>
        <v>1.6562422459893075E-2</v>
      </c>
      <c r="H442" s="677">
        <v>22.828074866310157</v>
      </c>
      <c r="I442" s="649">
        <f t="shared" si="17"/>
        <v>5.4777395721925172E-2</v>
      </c>
      <c r="J442" s="649"/>
    </row>
    <row r="443" spans="1:10">
      <c r="A443" s="33"/>
      <c r="B443" s="674">
        <v>39626</v>
      </c>
      <c r="C443" s="675">
        <v>0.1</v>
      </c>
      <c r="D443" s="661">
        <v>4.5178251336898366E-2</v>
      </c>
      <c r="E443" s="661">
        <v>6.1803208556149729E-2</v>
      </c>
      <c r="F443" s="676">
        <f t="shared" si="15"/>
        <v>-3.097139473053899</v>
      </c>
      <c r="G443" s="649">
        <f t="shared" si="16"/>
        <v>1.6624957219251363E-2</v>
      </c>
      <c r="H443" s="677">
        <v>22.911871657754009</v>
      </c>
      <c r="I443" s="649">
        <f t="shared" si="17"/>
        <v>5.482174866310164E-2</v>
      </c>
      <c r="J443" s="649"/>
    </row>
    <row r="444" spans="1:10">
      <c r="A444" s="33"/>
      <c r="B444" s="674">
        <v>39660</v>
      </c>
      <c r="C444" s="675">
        <v>0.107</v>
      </c>
      <c r="D444" s="661">
        <v>4.4982417112299437E-2</v>
      </c>
      <c r="E444" s="661">
        <v>6.2143315508021421E-2</v>
      </c>
      <c r="F444" s="676">
        <f t="shared" ref="F444:F507" si="18">LN(D444)</f>
        <v>-3.1014835964047918</v>
      </c>
      <c r="G444" s="649">
        <f t="shared" ref="G444:G507" si="19">IF(E444="","",E444-D444)</f>
        <v>1.7160898395721984E-2</v>
      </c>
      <c r="H444" s="677">
        <v>23.521443850267381</v>
      </c>
      <c r="I444" s="649">
        <f t="shared" ref="I444:I507" si="20">C444-D444</f>
        <v>6.2017582887700561E-2</v>
      </c>
      <c r="J444" s="649"/>
    </row>
    <row r="445" spans="1:10">
      <c r="A445" s="33"/>
      <c r="B445" s="674">
        <v>39660</v>
      </c>
      <c r="C445" s="675">
        <v>0.1082</v>
      </c>
      <c r="D445" s="661">
        <v>4.4982417112299437E-2</v>
      </c>
      <c r="E445" s="661">
        <v>6.2143315508021421E-2</v>
      </c>
      <c r="F445" s="676">
        <f t="shared" si="18"/>
        <v>-3.1014835964047918</v>
      </c>
      <c r="G445" s="649">
        <f t="shared" si="19"/>
        <v>1.7160898395721984E-2</v>
      </c>
      <c r="H445" s="677">
        <v>23.521443850267381</v>
      </c>
      <c r="I445" s="649">
        <f t="shared" si="20"/>
        <v>6.3217582887700574E-2</v>
      </c>
      <c r="J445" s="649"/>
    </row>
    <row r="446" spans="1:10">
      <c r="A446" s="33"/>
      <c r="B446" s="674">
        <v>39687</v>
      </c>
      <c r="C446" s="675">
        <v>0.10249999999999999</v>
      </c>
      <c r="D446" s="661">
        <v>4.504281818181817E-2</v>
      </c>
      <c r="E446" s="661">
        <v>6.2563636363636377E-2</v>
      </c>
      <c r="F446" s="676">
        <f t="shared" si="18"/>
        <v>-3.1001417264638875</v>
      </c>
      <c r="G446" s="649">
        <f t="shared" si="19"/>
        <v>1.7520818181818207E-2</v>
      </c>
      <c r="H446" s="677">
        <v>23.004759358288776</v>
      </c>
      <c r="I446" s="649">
        <f t="shared" si="20"/>
        <v>5.7457181818181824E-2</v>
      </c>
      <c r="J446" s="649"/>
    </row>
    <row r="447" spans="1:10">
      <c r="A447" s="33"/>
      <c r="B447" s="674">
        <v>39693</v>
      </c>
      <c r="C447" s="675">
        <v>0.10249999999999999</v>
      </c>
      <c r="D447" s="661">
        <v>4.5005406417112294E-2</v>
      </c>
      <c r="E447" s="661">
        <v>6.261550802139039E-2</v>
      </c>
      <c r="F447" s="676">
        <f t="shared" si="18"/>
        <v>-3.1009726538258664</v>
      </c>
      <c r="G447" s="649">
        <f t="shared" si="19"/>
        <v>1.7610101604278096E-2</v>
      </c>
      <c r="H447" s="677">
        <v>22.960909090909098</v>
      </c>
      <c r="I447" s="649">
        <f t="shared" si="20"/>
        <v>5.74945935828877E-2</v>
      </c>
      <c r="J447" s="649"/>
    </row>
    <row r="448" spans="1:10">
      <c r="A448" s="33"/>
      <c r="B448" s="674">
        <v>39710</v>
      </c>
      <c r="C448" s="675">
        <v>0.107</v>
      </c>
      <c r="D448" s="661">
        <v>4.4788877005347581E-2</v>
      </c>
      <c r="E448" s="661">
        <v>6.2712299465240678E-2</v>
      </c>
      <c r="F448" s="676">
        <f t="shared" si="18"/>
        <v>-3.1057954515186945</v>
      </c>
      <c r="G448" s="649">
        <f t="shared" si="19"/>
        <v>1.7923422459893097E-2</v>
      </c>
      <c r="H448" s="677">
        <v>23.333796791443863</v>
      </c>
      <c r="I448" s="649">
        <f t="shared" si="20"/>
        <v>6.2211122994652417E-2</v>
      </c>
      <c r="J448" s="649"/>
    </row>
    <row r="449" spans="1:10">
      <c r="A449" s="33"/>
      <c r="B449" s="674">
        <v>39715</v>
      </c>
      <c r="C449" s="675">
        <v>0.10679999999999999</v>
      </c>
      <c r="D449" s="661">
        <v>4.4796122994652396E-2</v>
      </c>
      <c r="E449" s="661">
        <v>6.2797326203208576E-2</v>
      </c>
      <c r="F449" s="676">
        <f t="shared" si="18"/>
        <v>-3.1056336836039629</v>
      </c>
      <c r="G449" s="649">
        <f t="shared" si="19"/>
        <v>1.800120320855618E-2</v>
      </c>
      <c r="H449" s="677">
        <v>23.586417112299479</v>
      </c>
      <c r="I449" s="649">
        <f t="shared" si="20"/>
        <v>6.2003877005347596E-2</v>
      </c>
      <c r="J449" s="649"/>
    </row>
    <row r="450" spans="1:10">
      <c r="A450" s="33"/>
      <c r="B450" s="674">
        <v>39715</v>
      </c>
      <c r="C450" s="675">
        <v>0.10679999999999999</v>
      </c>
      <c r="D450" s="661">
        <v>4.4796122994652396E-2</v>
      </c>
      <c r="E450" s="661">
        <v>6.2797326203208576E-2</v>
      </c>
      <c r="F450" s="676">
        <f t="shared" si="18"/>
        <v>-3.1056336836039629</v>
      </c>
      <c r="G450" s="649">
        <f t="shared" si="19"/>
        <v>1.800120320855618E-2</v>
      </c>
      <c r="H450" s="677">
        <v>23.586417112299479</v>
      </c>
      <c r="I450" s="649">
        <f t="shared" si="20"/>
        <v>6.2003877005347596E-2</v>
      </c>
      <c r="J450" s="649"/>
    </row>
    <row r="451" spans="1:10">
      <c r="A451" s="33"/>
      <c r="B451" s="674">
        <v>39715</v>
      </c>
      <c r="C451" s="675">
        <v>0.10679999999999999</v>
      </c>
      <c r="D451" s="661">
        <v>4.4796122994652396E-2</v>
      </c>
      <c r="E451" s="661">
        <v>6.2797326203208576E-2</v>
      </c>
      <c r="F451" s="676">
        <f t="shared" si="18"/>
        <v>-3.1056336836039629</v>
      </c>
      <c r="G451" s="649">
        <f t="shared" si="19"/>
        <v>1.800120320855618E-2</v>
      </c>
      <c r="H451" s="677">
        <v>23.586417112299479</v>
      </c>
      <c r="I451" s="649">
        <f t="shared" si="20"/>
        <v>6.2003877005347596E-2</v>
      </c>
      <c r="J451" s="649"/>
    </row>
    <row r="452" spans="1:10">
      <c r="A452" s="33"/>
      <c r="B452" s="674">
        <v>39721</v>
      </c>
      <c r="C452" s="675">
        <v>0.10199999999999999</v>
      </c>
      <c r="D452" s="661">
        <v>4.4781545454545463E-2</v>
      </c>
      <c r="E452" s="661">
        <v>6.2983957219251346E-2</v>
      </c>
      <c r="F452" s="676">
        <f t="shared" si="18"/>
        <v>-3.1059591562465978</v>
      </c>
      <c r="G452" s="649">
        <f t="shared" si="19"/>
        <v>1.8202411764705884E-2</v>
      </c>
      <c r="H452" s="677">
        <v>23.932780748663113</v>
      </c>
      <c r="I452" s="649">
        <f t="shared" si="20"/>
        <v>5.7218454545454531E-2</v>
      </c>
      <c r="J452" s="649"/>
    </row>
    <row r="453" spans="1:10">
      <c r="A453" s="33"/>
      <c r="B453" s="674">
        <v>39724</v>
      </c>
      <c r="C453" s="675">
        <v>0.10300000000000001</v>
      </c>
      <c r="D453" s="661">
        <v>4.4753754010695181E-2</v>
      </c>
      <c r="E453" s="661">
        <v>6.3138502673796809E-2</v>
      </c>
      <c r="F453" s="676">
        <f t="shared" si="18"/>
        <v>-3.1065799492725619</v>
      </c>
      <c r="G453" s="649">
        <f t="shared" si="19"/>
        <v>1.8384748663101629E-2</v>
      </c>
      <c r="H453" s="677">
        <v>24.237860962566852</v>
      </c>
      <c r="I453" s="649">
        <f t="shared" si="20"/>
        <v>5.8246245989304828E-2</v>
      </c>
      <c r="J453" s="649"/>
    </row>
    <row r="454" spans="1:10">
      <c r="A454" s="33"/>
      <c r="B454" s="674">
        <v>39729</v>
      </c>
      <c r="C454" s="675">
        <v>0.10150000000000001</v>
      </c>
      <c r="D454" s="661">
        <v>4.4712754010695188E-2</v>
      </c>
      <c r="E454" s="661">
        <v>6.3285561497326212E-2</v>
      </c>
      <c r="F454" s="676">
        <f t="shared" si="18"/>
        <v>-3.1074964934358897</v>
      </c>
      <c r="G454" s="649">
        <f t="shared" si="19"/>
        <v>1.8572807486631024E-2</v>
      </c>
      <c r="H454" s="677">
        <v>24.72989304812835</v>
      </c>
      <c r="I454" s="649">
        <f t="shared" si="20"/>
        <v>5.6787245989304819E-2</v>
      </c>
      <c r="J454" s="649"/>
    </row>
    <row r="455" spans="1:10">
      <c r="A455" s="33"/>
      <c r="B455" s="674">
        <v>39741</v>
      </c>
      <c r="C455" s="675">
        <v>0.10060000000000001</v>
      </c>
      <c r="D455" s="661">
        <v>4.4668475935828886E-2</v>
      </c>
      <c r="E455" s="661">
        <v>6.3913903743315514E-2</v>
      </c>
      <c r="F455" s="676">
        <f t="shared" si="18"/>
        <v>-3.1084872624936626</v>
      </c>
      <c r="G455" s="649">
        <f t="shared" si="19"/>
        <v>1.9245427807486629E-2</v>
      </c>
      <c r="H455" s="677">
        <v>26.281122994652417</v>
      </c>
      <c r="I455" s="649">
        <f t="shared" si="20"/>
        <v>5.5931524064171123E-2</v>
      </c>
      <c r="J455" s="649"/>
    </row>
    <row r="456" spans="1:10">
      <c r="A456" s="33"/>
      <c r="B456" s="674">
        <v>39745</v>
      </c>
      <c r="C456" s="675">
        <v>0.106</v>
      </c>
      <c r="D456" s="661">
        <v>4.4616197860962568E-2</v>
      </c>
      <c r="E456" s="661">
        <v>6.4291443850267388E-2</v>
      </c>
      <c r="F456" s="676">
        <f t="shared" si="18"/>
        <v>-3.1096583051512088</v>
      </c>
      <c r="G456" s="649">
        <f t="shared" si="19"/>
        <v>1.967524598930482E-2</v>
      </c>
      <c r="H456" s="677">
        <v>27.125454545454552</v>
      </c>
      <c r="I456" s="649">
        <f t="shared" si="20"/>
        <v>6.1383802139037429E-2</v>
      </c>
      <c r="J456" s="649"/>
    </row>
    <row r="457" spans="1:10">
      <c r="A457" s="33"/>
      <c r="B457" s="674">
        <v>39745</v>
      </c>
      <c r="C457" s="675">
        <v>0.106</v>
      </c>
      <c r="D457" s="661">
        <v>4.4616197860962568E-2</v>
      </c>
      <c r="E457" s="661">
        <v>6.4291443850267388E-2</v>
      </c>
      <c r="F457" s="676">
        <f t="shared" si="18"/>
        <v>-3.1096583051512088</v>
      </c>
      <c r="G457" s="649">
        <f t="shared" si="19"/>
        <v>1.967524598930482E-2</v>
      </c>
      <c r="H457" s="677">
        <v>27.125454545454552</v>
      </c>
      <c r="I457" s="649">
        <f t="shared" si="20"/>
        <v>6.1383802139037429E-2</v>
      </c>
      <c r="J457" s="649"/>
    </row>
    <row r="458" spans="1:10">
      <c r="A458" s="33"/>
      <c r="B458" s="674">
        <v>39773</v>
      </c>
      <c r="C458" s="675">
        <v>0.105</v>
      </c>
      <c r="D458" s="661">
        <v>4.4184614973262003E-2</v>
      </c>
      <c r="E458" s="661">
        <v>6.5870588235294153E-2</v>
      </c>
      <c r="F458" s="676">
        <f t="shared" si="18"/>
        <v>-3.1193786280195375</v>
      </c>
      <c r="G458" s="649">
        <f t="shared" si="19"/>
        <v>2.168597326203215E-2</v>
      </c>
      <c r="H458" s="677">
        <v>31.325133689839568</v>
      </c>
      <c r="I458" s="649">
        <f t="shared" si="20"/>
        <v>6.0815385026737993E-2</v>
      </c>
      <c r="J458" s="649"/>
    </row>
    <row r="459" spans="1:10">
      <c r="A459" s="33"/>
      <c r="B459" s="674">
        <v>39773</v>
      </c>
      <c r="C459" s="675">
        <v>0.105</v>
      </c>
      <c r="D459" s="661">
        <v>4.4184614973262003E-2</v>
      </c>
      <c r="E459" s="661">
        <v>6.5870588235294153E-2</v>
      </c>
      <c r="F459" s="676">
        <f t="shared" si="18"/>
        <v>-3.1193786280195375</v>
      </c>
      <c r="G459" s="649">
        <f t="shared" si="19"/>
        <v>2.168597326203215E-2</v>
      </c>
      <c r="H459" s="677">
        <v>31.325133689839568</v>
      </c>
      <c r="I459" s="649">
        <f t="shared" si="20"/>
        <v>6.0815385026737993E-2</v>
      </c>
      <c r="J459" s="649"/>
    </row>
    <row r="460" spans="1:10">
      <c r="A460" s="33"/>
      <c r="B460" s="674">
        <v>39773</v>
      </c>
      <c r="C460" s="675">
        <v>0.105</v>
      </c>
      <c r="D460" s="661">
        <v>4.4184614973262003E-2</v>
      </c>
      <c r="E460" s="661">
        <v>6.5870588235294153E-2</v>
      </c>
      <c r="F460" s="676">
        <f t="shared" si="18"/>
        <v>-3.1193786280195375</v>
      </c>
      <c r="G460" s="649">
        <f t="shared" si="19"/>
        <v>2.168597326203215E-2</v>
      </c>
      <c r="H460" s="677">
        <v>31.325133689839568</v>
      </c>
      <c r="I460" s="649">
        <f t="shared" si="20"/>
        <v>6.0815385026737993E-2</v>
      </c>
      <c r="J460" s="649"/>
    </row>
    <row r="461" spans="1:10">
      <c r="A461" s="33"/>
      <c r="B461" s="674">
        <v>39776</v>
      </c>
      <c r="C461" s="675">
        <v>0.105</v>
      </c>
      <c r="D461" s="661">
        <v>4.4142903743315483E-2</v>
      </c>
      <c r="E461" s="661">
        <v>6.593208556149735E-2</v>
      </c>
      <c r="F461" s="676">
        <f t="shared" si="18"/>
        <v>-3.1203230954664485</v>
      </c>
      <c r="G461" s="649">
        <f t="shared" si="19"/>
        <v>2.1789181818181867E-2</v>
      </c>
      <c r="H461" s="677">
        <v>31.529197860962562</v>
      </c>
      <c r="I461" s="649">
        <f t="shared" si="20"/>
        <v>6.0857096256684513E-2</v>
      </c>
      <c r="J461" s="649"/>
    </row>
    <row r="462" spans="1:10">
      <c r="A462" s="33"/>
      <c r="B462" s="674">
        <v>39785</v>
      </c>
      <c r="C462" s="675">
        <v>0.10390000000000001</v>
      </c>
      <c r="D462" s="661">
        <v>4.3749021390374294E-2</v>
      </c>
      <c r="E462" s="661">
        <v>6.6216577540106958E-2</v>
      </c>
      <c r="F462" s="676">
        <f t="shared" si="18"/>
        <v>-3.1292860346487021</v>
      </c>
      <c r="G462" s="649">
        <f t="shared" si="19"/>
        <v>2.2467556149732663E-2</v>
      </c>
      <c r="H462" s="677">
        <v>32.612032085561488</v>
      </c>
      <c r="I462" s="649">
        <f t="shared" si="20"/>
        <v>6.0150978609625712E-2</v>
      </c>
      <c r="J462" s="649"/>
    </row>
    <row r="463" spans="1:10">
      <c r="A463" s="33"/>
      <c r="B463" s="674">
        <v>39806</v>
      </c>
      <c r="C463" s="675">
        <v>0.1</v>
      </c>
      <c r="D463" s="661">
        <v>4.2581176470588199E-2</v>
      </c>
      <c r="E463" s="661">
        <v>6.6483422459893068E-2</v>
      </c>
      <c r="F463" s="676">
        <f t="shared" si="18"/>
        <v>-3.1563429902463538</v>
      </c>
      <c r="G463" s="649">
        <f t="shared" si="19"/>
        <v>2.390224598930487E-2</v>
      </c>
      <c r="H463" s="677">
        <v>34.686149732620329</v>
      </c>
      <c r="I463" s="649">
        <f t="shared" si="20"/>
        <v>5.7418823529411807E-2</v>
      </c>
      <c r="J463" s="649"/>
    </row>
    <row r="464" spans="1:10">
      <c r="A464" s="33"/>
      <c r="B464" s="674">
        <v>39808</v>
      </c>
      <c r="C464" s="675">
        <v>0.10099999999999999</v>
      </c>
      <c r="D464" s="661">
        <v>4.2396005347593552E-2</v>
      </c>
      <c r="E464" s="661">
        <v>6.6481818181818225E-2</v>
      </c>
      <c r="F464" s="676">
        <f t="shared" si="18"/>
        <v>-3.1607011346827476</v>
      </c>
      <c r="G464" s="649">
        <f t="shared" si="19"/>
        <v>2.4085812834224674E-2</v>
      </c>
      <c r="H464" s="677">
        <v>34.792834224598941</v>
      </c>
      <c r="I464" s="649">
        <f t="shared" si="20"/>
        <v>5.8603994652406441E-2</v>
      </c>
      <c r="J464" s="649"/>
    </row>
    <row r="465" spans="1:10">
      <c r="A465" s="33"/>
      <c r="B465" s="674">
        <v>39811</v>
      </c>
      <c r="C465" s="675">
        <v>0.10199999999999999</v>
      </c>
      <c r="D465" s="661">
        <v>4.2304219251336858E-2</v>
      </c>
      <c r="E465" s="661">
        <v>6.6476470588235331E-2</v>
      </c>
      <c r="F465" s="676">
        <f t="shared" si="18"/>
        <v>-3.1628684520097075</v>
      </c>
      <c r="G465" s="649">
        <f t="shared" si="19"/>
        <v>2.4172251336898473E-2</v>
      </c>
      <c r="H465" s="677">
        <v>34.903475935828887</v>
      </c>
      <c r="I465" s="649">
        <f t="shared" si="20"/>
        <v>5.9695780748663135E-2</v>
      </c>
      <c r="J465" s="649"/>
    </row>
    <row r="466" spans="1:10">
      <c r="A466" s="33"/>
      <c r="B466" s="674">
        <v>39826</v>
      </c>
      <c r="C466" s="675">
        <v>0.1045</v>
      </c>
      <c r="D466" s="661">
        <v>4.1378689839572158E-2</v>
      </c>
      <c r="E466" s="661">
        <v>6.6524598930481293E-2</v>
      </c>
      <c r="F466" s="676">
        <f t="shared" si="18"/>
        <v>-3.1849892688486263</v>
      </c>
      <c r="G466" s="649">
        <f t="shared" si="19"/>
        <v>2.5145909090909135E-2</v>
      </c>
      <c r="H466" s="677">
        <v>35.937486631016029</v>
      </c>
      <c r="I466" s="649">
        <f t="shared" si="20"/>
        <v>6.3121310160427838E-2</v>
      </c>
      <c r="J466" s="649"/>
    </row>
    <row r="467" spans="1:10">
      <c r="A467" s="33"/>
      <c r="B467" s="674">
        <v>39846</v>
      </c>
      <c r="C467" s="675">
        <v>0.10050000000000001</v>
      </c>
      <c r="D467" s="661">
        <v>4.0363866310160409E-2</v>
      </c>
      <c r="E467" s="661">
        <v>6.657807486631015E-2</v>
      </c>
      <c r="F467" s="676">
        <f t="shared" si="18"/>
        <v>-3.2098202924911665</v>
      </c>
      <c r="G467" s="649">
        <f t="shared" si="19"/>
        <v>2.621420855614974E-2</v>
      </c>
      <c r="H467" s="677">
        <v>37.799625668449181</v>
      </c>
      <c r="I467" s="649">
        <f t="shared" si="20"/>
        <v>6.0136133689839597E-2</v>
      </c>
      <c r="J467" s="649"/>
    </row>
    <row r="468" spans="1:10">
      <c r="A468" s="33"/>
      <c r="B468" s="674">
        <v>39881</v>
      </c>
      <c r="C468" s="675">
        <v>0.10300000000000001</v>
      </c>
      <c r="D468" s="661">
        <v>3.8927919786096277E-2</v>
      </c>
      <c r="E468" s="661">
        <v>6.6600000000000006E-2</v>
      </c>
      <c r="F468" s="676">
        <f t="shared" si="18"/>
        <v>-3.2460435535139864</v>
      </c>
      <c r="G468" s="649">
        <f t="shared" si="19"/>
        <v>2.767208021390373E-2</v>
      </c>
      <c r="H468" s="677">
        <v>41.334812834224586</v>
      </c>
      <c r="I468" s="649">
        <f t="shared" si="20"/>
        <v>6.4072080213903732E-2</v>
      </c>
      <c r="J468" s="649"/>
    </row>
    <row r="469" spans="1:10">
      <c r="A469" s="33"/>
      <c r="B469" s="674">
        <v>39897</v>
      </c>
      <c r="C469" s="675">
        <v>0.1017</v>
      </c>
      <c r="D469" s="661">
        <v>3.8350005347593606E-2</v>
      </c>
      <c r="E469" s="661">
        <v>6.6632085561497315E-2</v>
      </c>
      <c r="F469" s="676">
        <f t="shared" si="18"/>
        <v>-3.2610006117270665</v>
      </c>
      <c r="G469" s="649">
        <f t="shared" si="19"/>
        <v>2.8282080213903708E-2</v>
      </c>
      <c r="H469" s="677">
        <v>42.653155080213892</v>
      </c>
      <c r="I469" s="649">
        <f t="shared" si="20"/>
        <v>6.3349994652406399E-2</v>
      </c>
      <c r="J469" s="649"/>
    </row>
    <row r="470" spans="1:10">
      <c r="A470" s="33"/>
      <c r="B470" s="674">
        <v>39905</v>
      </c>
      <c r="C470" s="675">
        <v>0.1075</v>
      </c>
      <c r="D470" s="661">
        <v>3.8070278074866341E-2</v>
      </c>
      <c r="E470" s="661">
        <v>6.6660962566844909E-2</v>
      </c>
      <c r="F470" s="676">
        <f t="shared" si="18"/>
        <v>-3.2683214043100643</v>
      </c>
      <c r="G470" s="649">
        <f t="shared" si="19"/>
        <v>2.8590684491978567E-2</v>
      </c>
      <c r="H470" s="677">
        <v>43.230053475935819</v>
      </c>
      <c r="I470" s="649">
        <f t="shared" si="20"/>
        <v>6.9429721925133664E-2</v>
      </c>
      <c r="J470" s="649"/>
    </row>
    <row r="471" spans="1:10">
      <c r="A471" s="33"/>
      <c r="B471" s="674">
        <v>39938</v>
      </c>
      <c r="C471" s="675">
        <v>0.1075</v>
      </c>
      <c r="D471" s="661">
        <v>3.7107684491978626E-2</v>
      </c>
      <c r="E471" s="661">
        <v>6.6774866310160413E-2</v>
      </c>
      <c r="F471" s="676">
        <f t="shared" si="18"/>
        <v>-3.2939312016531868</v>
      </c>
      <c r="G471" s="649">
        <f t="shared" si="19"/>
        <v>2.9667181818181787E-2</v>
      </c>
      <c r="H471" s="677">
        <v>44.812085561497319</v>
      </c>
      <c r="I471" s="649">
        <f t="shared" si="20"/>
        <v>7.0392315508021372E-2</v>
      </c>
      <c r="J471" s="649"/>
    </row>
    <row r="472" spans="1:10">
      <c r="A472" s="33"/>
      <c r="B472" s="674">
        <v>39948</v>
      </c>
      <c r="C472" s="675">
        <v>0.10199999999999999</v>
      </c>
      <c r="D472" s="661">
        <v>3.6990663101604281E-2</v>
      </c>
      <c r="E472" s="661">
        <v>6.6785561497326174E-2</v>
      </c>
      <c r="F472" s="676">
        <f t="shared" si="18"/>
        <v>-3.297089746788469</v>
      </c>
      <c r="G472" s="649">
        <f t="shared" si="19"/>
        <v>2.9794898395721893E-2</v>
      </c>
      <c r="H472" s="677">
        <v>45.321176470588227</v>
      </c>
      <c r="I472" s="649">
        <f t="shared" si="20"/>
        <v>6.500933689839572E-2</v>
      </c>
      <c r="J472" s="649"/>
    </row>
    <row r="473" spans="1:10">
      <c r="A473" s="33"/>
      <c r="B473" s="674">
        <v>39962</v>
      </c>
      <c r="C473" s="675">
        <v>9.5399999999999985E-2</v>
      </c>
      <c r="D473" s="661">
        <v>3.7015165775401079E-2</v>
      </c>
      <c r="E473" s="661">
        <v>6.6873262032085518E-2</v>
      </c>
      <c r="F473" s="676">
        <f t="shared" si="18"/>
        <v>-3.2964275644965078</v>
      </c>
      <c r="G473" s="649">
        <f t="shared" si="19"/>
        <v>2.9858096256684438E-2</v>
      </c>
      <c r="H473" s="677">
        <v>45.823796791443833</v>
      </c>
      <c r="I473" s="649">
        <f t="shared" si="20"/>
        <v>5.8384834224598905E-2</v>
      </c>
      <c r="J473" s="649"/>
    </row>
    <row r="474" spans="1:10">
      <c r="A474" s="33"/>
      <c r="B474" s="674">
        <v>39967</v>
      </c>
      <c r="C474" s="675">
        <v>0.10099999999999999</v>
      </c>
      <c r="D474" s="661">
        <v>3.7063443850267386E-2</v>
      </c>
      <c r="E474" s="661">
        <v>6.6885026737967868E-2</v>
      </c>
      <c r="F474" s="676">
        <f t="shared" si="18"/>
        <v>-3.2951241360994215</v>
      </c>
      <c r="G474" s="649">
        <f t="shared" si="19"/>
        <v>2.9821582887700482E-2</v>
      </c>
      <c r="H474" s="677">
        <v>45.948074866310151</v>
      </c>
      <c r="I474" s="649">
        <f t="shared" si="20"/>
        <v>6.3936556149732607E-2</v>
      </c>
      <c r="J474" s="649"/>
    </row>
    <row r="475" spans="1:10">
      <c r="A475" s="33"/>
      <c r="B475" s="674">
        <v>39986</v>
      </c>
      <c r="C475" s="675">
        <v>0.1</v>
      </c>
      <c r="D475" s="661">
        <v>3.7285395721925144E-2</v>
      </c>
      <c r="E475" s="661">
        <v>6.6848663101604242E-2</v>
      </c>
      <c r="F475" s="676">
        <f t="shared" si="18"/>
        <v>-3.2891535646076697</v>
      </c>
      <c r="G475" s="649">
        <f t="shared" si="19"/>
        <v>2.9563267379679098E-2</v>
      </c>
      <c r="H475" s="677">
        <v>45.991283422459887</v>
      </c>
      <c r="I475" s="649">
        <f t="shared" si="20"/>
        <v>6.2714604278074862E-2</v>
      </c>
      <c r="J475" s="649"/>
    </row>
    <row r="476" spans="1:10">
      <c r="A476" s="33"/>
      <c r="B476" s="674">
        <v>39993</v>
      </c>
      <c r="C476" s="675">
        <v>0.10210000000000001</v>
      </c>
      <c r="D476" s="661">
        <v>3.7365689839572197E-2</v>
      </c>
      <c r="E476" s="661">
        <v>6.6614438502673776E-2</v>
      </c>
      <c r="F476" s="676">
        <f t="shared" si="18"/>
        <v>-3.2870023795845134</v>
      </c>
      <c r="G476" s="649">
        <f t="shared" si="19"/>
        <v>2.9248748663101579E-2</v>
      </c>
      <c r="H476" s="677">
        <v>45.715401069518713</v>
      </c>
      <c r="I476" s="649">
        <f t="shared" si="20"/>
        <v>6.4734310160427813E-2</v>
      </c>
      <c r="J476" s="649"/>
    </row>
    <row r="477" spans="1:10">
      <c r="A477" s="33"/>
      <c r="B477" s="674">
        <v>39994</v>
      </c>
      <c r="C477" s="675">
        <v>9.3100000000000002E-2</v>
      </c>
      <c r="D477" s="661">
        <v>3.7376016042780756E-2</v>
      </c>
      <c r="E477" s="661">
        <v>6.6568449197860938E-2</v>
      </c>
      <c r="F477" s="676">
        <f t="shared" si="18"/>
        <v>-3.2867260625496706</v>
      </c>
      <c r="G477" s="649">
        <f t="shared" si="19"/>
        <v>2.9192433155080182E-2</v>
      </c>
      <c r="H477" s="677">
        <v>45.643422459893046</v>
      </c>
      <c r="I477" s="649">
        <f t="shared" si="20"/>
        <v>5.5723983957219246E-2</v>
      </c>
      <c r="J477" s="649"/>
    </row>
    <row r="478" spans="1:10">
      <c r="A478" s="33"/>
      <c r="B478" s="674">
        <v>40011</v>
      </c>
      <c r="C478" s="675">
        <v>9.2600000000000002E-2</v>
      </c>
      <c r="D478" s="661">
        <v>3.7488486631016046E-2</v>
      </c>
      <c r="E478" s="661">
        <v>6.5789304812834196E-2</v>
      </c>
      <c r="F478" s="676">
        <f t="shared" si="18"/>
        <v>-3.2837214163199411</v>
      </c>
      <c r="G478" s="649">
        <f t="shared" si="19"/>
        <v>2.8300818181818149E-2</v>
      </c>
      <c r="H478" s="677">
        <v>43.644812834224602</v>
      </c>
      <c r="I478" s="649">
        <f t="shared" si="20"/>
        <v>5.5111513368983955E-2</v>
      </c>
      <c r="J478" s="649"/>
    </row>
    <row r="479" spans="1:10">
      <c r="A479" s="33"/>
      <c r="B479" s="674">
        <v>40011</v>
      </c>
      <c r="C479" s="675">
        <v>0.105</v>
      </c>
      <c r="D479" s="661">
        <v>3.7488486631016046E-2</v>
      </c>
      <c r="E479" s="661">
        <v>6.5789304812834196E-2</v>
      </c>
      <c r="F479" s="676">
        <f t="shared" si="18"/>
        <v>-3.2837214163199411</v>
      </c>
      <c r="G479" s="649">
        <f t="shared" si="19"/>
        <v>2.8300818181818149E-2</v>
      </c>
      <c r="H479" s="677">
        <v>43.644812834224602</v>
      </c>
      <c r="I479" s="649">
        <f t="shared" si="20"/>
        <v>6.751151336898395E-2</v>
      </c>
      <c r="J479" s="649"/>
    </row>
    <row r="480" spans="1:10">
      <c r="A480" s="33"/>
      <c r="B480" s="674">
        <v>40102</v>
      </c>
      <c r="C480" s="675">
        <v>0.10400000000000001</v>
      </c>
      <c r="D480" s="661">
        <v>4.0894909090909093E-2</v>
      </c>
      <c r="E480" s="661">
        <v>6.1117112299465259E-2</v>
      </c>
      <c r="F480" s="676">
        <f t="shared" si="18"/>
        <v>-3.1967496957855883</v>
      </c>
      <c r="G480" s="649">
        <f t="shared" si="19"/>
        <v>2.0222203208556166E-2</v>
      </c>
      <c r="H480" s="677">
        <v>32.970909090909089</v>
      </c>
      <c r="I480" s="649">
        <f t="shared" si="20"/>
        <v>6.3105090909090916E-2</v>
      </c>
      <c r="J480" s="649"/>
    </row>
    <row r="481" spans="1:10">
      <c r="A481" s="33"/>
      <c r="B481" s="674">
        <v>40112</v>
      </c>
      <c r="C481" s="675">
        <v>0.10099999999999999</v>
      </c>
      <c r="D481" s="661">
        <v>4.1096866310160428E-2</v>
      </c>
      <c r="E481" s="661">
        <v>6.0843315508021405E-2</v>
      </c>
      <c r="F481" s="676">
        <f t="shared" si="18"/>
        <v>-3.1918234058816637</v>
      </c>
      <c r="G481" s="649">
        <f t="shared" si="19"/>
        <v>1.9746449197860977E-2</v>
      </c>
      <c r="H481" s="677">
        <v>32.260160427807492</v>
      </c>
      <c r="I481" s="649">
        <f t="shared" si="20"/>
        <v>5.9903133689839565E-2</v>
      </c>
      <c r="J481" s="649"/>
    </row>
    <row r="482" spans="1:10">
      <c r="A482" s="33"/>
      <c r="B482" s="674">
        <v>40114</v>
      </c>
      <c r="C482" s="675">
        <v>0.10150000000000001</v>
      </c>
      <c r="D482" s="661">
        <v>4.1160679144385037E-2</v>
      </c>
      <c r="E482" s="661">
        <v>6.0742245989304826E-2</v>
      </c>
      <c r="F482" s="676">
        <f t="shared" si="18"/>
        <v>-3.190271868045877</v>
      </c>
      <c r="G482" s="649">
        <f t="shared" si="19"/>
        <v>1.9581566844919789E-2</v>
      </c>
      <c r="H482" s="677">
        <v>32.058983957219255</v>
      </c>
      <c r="I482" s="649">
        <f t="shared" si="20"/>
        <v>6.033932085561497E-2</v>
      </c>
      <c r="J482" s="649"/>
    </row>
    <row r="483" spans="1:10">
      <c r="A483" s="33"/>
      <c r="B483" s="674">
        <v>40114</v>
      </c>
      <c r="C483" s="675">
        <v>0.10150000000000001</v>
      </c>
      <c r="D483" s="661">
        <v>4.1160679144385037E-2</v>
      </c>
      <c r="E483" s="661">
        <v>6.0742245989304826E-2</v>
      </c>
      <c r="F483" s="676">
        <f t="shared" si="18"/>
        <v>-3.190271868045877</v>
      </c>
      <c r="G483" s="649">
        <f t="shared" si="19"/>
        <v>1.9581566844919789E-2</v>
      </c>
      <c r="H483" s="677">
        <v>32.058983957219255</v>
      </c>
      <c r="I483" s="649">
        <f t="shared" si="20"/>
        <v>6.033932085561497E-2</v>
      </c>
      <c r="J483" s="649"/>
    </row>
    <row r="484" spans="1:10">
      <c r="A484" s="33"/>
      <c r="B484" s="674">
        <v>40116</v>
      </c>
      <c r="C484" s="675">
        <v>9.9499999999999991E-2</v>
      </c>
      <c r="D484" s="661">
        <v>4.1247780748663115E-2</v>
      </c>
      <c r="E484" s="661">
        <v>6.0653475935828885E-2</v>
      </c>
      <c r="F484" s="676">
        <f t="shared" si="18"/>
        <v>-3.1881579676811302</v>
      </c>
      <c r="G484" s="649">
        <f t="shared" si="19"/>
        <v>1.940569518716577E-2</v>
      </c>
      <c r="H484" s="677">
        <v>31.890748663101608</v>
      </c>
      <c r="I484" s="649">
        <f t="shared" si="20"/>
        <v>5.8252219251336876E-2</v>
      </c>
      <c r="J484" s="649"/>
    </row>
    <row r="485" spans="1:10">
      <c r="A485" s="33"/>
      <c r="B485" s="674">
        <v>40137</v>
      </c>
      <c r="C485" s="675">
        <v>9.4499999999999987E-2</v>
      </c>
      <c r="D485" s="661">
        <v>4.1845470588235303E-2</v>
      </c>
      <c r="E485" s="661">
        <v>6.01855614973262E-2</v>
      </c>
      <c r="F485" s="676">
        <f t="shared" si="18"/>
        <v>-3.1737717175757032</v>
      </c>
      <c r="G485" s="649">
        <f t="shared" si="19"/>
        <v>1.8340090909090896E-2</v>
      </c>
      <c r="H485" s="677">
        <v>30.164812834224584</v>
      </c>
      <c r="I485" s="649">
        <f t="shared" si="20"/>
        <v>5.2654529411764683E-2</v>
      </c>
      <c r="J485" s="649"/>
    </row>
    <row r="486" spans="1:10">
      <c r="A486" s="33"/>
      <c r="B486" s="674">
        <v>40161</v>
      </c>
      <c r="C486" s="675">
        <v>0.105</v>
      </c>
      <c r="D486" s="661">
        <v>4.2428010695187181E-2</v>
      </c>
      <c r="E486" s="661">
        <v>5.9613368983957186E-2</v>
      </c>
      <c r="F486" s="676">
        <f t="shared" si="18"/>
        <v>-3.1599465052604314</v>
      </c>
      <c r="G486" s="649">
        <f t="shared" si="19"/>
        <v>1.7185358288770006E-2</v>
      </c>
      <c r="H486" s="677">
        <v>28.267219251336893</v>
      </c>
      <c r="I486" s="649">
        <f t="shared" si="20"/>
        <v>6.2571989304812808E-2</v>
      </c>
      <c r="J486" s="649"/>
    </row>
    <row r="487" spans="1:10">
      <c r="A487" s="33"/>
      <c r="B487" s="674">
        <v>40163</v>
      </c>
      <c r="C487" s="675">
        <v>0.1075</v>
      </c>
      <c r="D487" s="661">
        <v>4.2526128342246006E-2</v>
      </c>
      <c r="E487" s="661">
        <v>5.9555614973261999E-2</v>
      </c>
      <c r="F487" s="676">
        <f t="shared" si="18"/>
        <v>-3.1576366074309168</v>
      </c>
      <c r="G487" s="649">
        <f t="shared" si="19"/>
        <v>1.7029486631015993E-2</v>
      </c>
      <c r="H487" s="677">
        <v>28.01540106951872</v>
      </c>
      <c r="I487" s="649">
        <f t="shared" si="20"/>
        <v>6.4973871657753993E-2</v>
      </c>
      <c r="J487" s="649"/>
    </row>
    <row r="488" spans="1:10">
      <c r="A488" s="33"/>
      <c r="B488" s="674">
        <v>40164</v>
      </c>
      <c r="C488" s="675">
        <v>0.10300000000000001</v>
      </c>
      <c r="D488" s="661">
        <v>4.2573320855614993E-2</v>
      </c>
      <c r="E488" s="661">
        <v>5.951550802139035E-2</v>
      </c>
      <c r="F488" s="676">
        <f t="shared" si="18"/>
        <v>-3.1565274928913611</v>
      </c>
      <c r="G488" s="649">
        <f t="shared" si="19"/>
        <v>1.6942187165775356E-2</v>
      </c>
      <c r="H488" s="677">
        <v>27.906203208556146</v>
      </c>
      <c r="I488" s="649">
        <f t="shared" si="20"/>
        <v>6.0426679144385015E-2</v>
      </c>
      <c r="J488" s="649"/>
    </row>
    <row r="489" spans="1:10">
      <c r="A489" s="33"/>
      <c r="B489" s="674">
        <v>40165</v>
      </c>
      <c r="C489" s="675">
        <v>0.10400000000000001</v>
      </c>
      <c r="D489" s="661">
        <v>4.2624443850267403E-2</v>
      </c>
      <c r="E489" s="661">
        <v>5.9473262032085528E-2</v>
      </c>
      <c r="F489" s="676">
        <f t="shared" si="18"/>
        <v>-3.1553273909646338</v>
      </c>
      <c r="G489" s="649">
        <f t="shared" si="19"/>
        <v>1.6848818181818125E-2</v>
      </c>
      <c r="H489" s="677">
        <v>27.796203208556154</v>
      </c>
      <c r="I489" s="649">
        <f t="shared" si="20"/>
        <v>6.1375556149732606E-2</v>
      </c>
      <c r="J489" s="649"/>
    </row>
    <row r="490" spans="1:10">
      <c r="A490" s="33"/>
      <c r="B490" s="674">
        <v>40165</v>
      </c>
      <c r="C490" s="675">
        <v>0.10400000000000001</v>
      </c>
      <c r="D490" s="661">
        <v>4.2624443850267403E-2</v>
      </c>
      <c r="E490" s="661">
        <v>5.9473262032085528E-2</v>
      </c>
      <c r="F490" s="676">
        <f t="shared" si="18"/>
        <v>-3.1553273909646338</v>
      </c>
      <c r="G490" s="649">
        <f t="shared" si="19"/>
        <v>1.6848818181818125E-2</v>
      </c>
      <c r="H490" s="677">
        <v>27.796203208556154</v>
      </c>
      <c r="I490" s="649">
        <f t="shared" si="20"/>
        <v>6.1375556149732606E-2</v>
      </c>
      <c r="J490" s="649"/>
    </row>
    <row r="491" spans="1:10">
      <c r="A491" s="33"/>
      <c r="B491" s="674">
        <v>40165</v>
      </c>
      <c r="C491" s="675">
        <v>0.105</v>
      </c>
      <c r="D491" s="661">
        <v>4.2624443850267403E-2</v>
      </c>
      <c r="E491" s="661">
        <v>5.9473262032085528E-2</v>
      </c>
      <c r="F491" s="676">
        <f t="shared" si="18"/>
        <v>-3.1553273909646338</v>
      </c>
      <c r="G491" s="649">
        <f t="shared" si="19"/>
        <v>1.6848818181818125E-2</v>
      </c>
      <c r="H491" s="677">
        <v>27.796203208556154</v>
      </c>
      <c r="I491" s="649">
        <f t="shared" si="20"/>
        <v>6.2375556149732593E-2</v>
      </c>
      <c r="J491" s="649"/>
    </row>
    <row r="492" spans="1:10">
      <c r="A492" s="33"/>
      <c r="B492" s="674">
        <v>40169</v>
      </c>
      <c r="C492" s="675">
        <v>0.10199999999999999</v>
      </c>
      <c r="D492" s="661">
        <v>4.2725080213903761E-2</v>
      </c>
      <c r="E492" s="661">
        <v>5.9404278074866285E-2</v>
      </c>
      <c r="F492" s="676">
        <f t="shared" si="18"/>
        <v>-3.152969172535697</v>
      </c>
      <c r="G492" s="649">
        <f t="shared" si="19"/>
        <v>1.6679197860962523E-2</v>
      </c>
      <c r="H492" s="677">
        <v>27.574973262032081</v>
      </c>
      <c r="I492" s="649">
        <f t="shared" si="20"/>
        <v>5.9274919786096232E-2</v>
      </c>
      <c r="J492" s="649"/>
    </row>
    <row r="493" spans="1:10">
      <c r="A493" s="33"/>
      <c r="B493" s="674">
        <v>40169</v>
      </c>
      <c r="C493" s="675">
        <v>0.10400000000000001</v>
      </c>
      <c r="D493" s="661">
        <v>4.2725080213903761E-2</v>
      </c>
      <c r="E493" s="661">
        <v>5.9404278074866285E-2</v>
      </c>
      <c r="F493" s="676">
        <f t="shared" si="18"/>
        <v>-3.152969172535697</v>
      </c>
      <c r="G493" s="649">
        <f t="shared" si="19"/>
        <v>1.6679197860962523E-2</v>
      </c>
      <c r="H493" s="677">
        <v>27.574973262032081</v>
      </c>
      <c r="I493" s="649">
        <f t="shared" si="20"/>
        <v>6.1274919786096248E-2</v>
      </c>
      <c r="J493" s="649"/>
    </row>
    <row r="494" spans="1:10">
      <c r="A494" s="33"/>
      <c r="B494" s="674">
        <v>40175</v>
      </c>
      <c r="C494" s="675">
        <v>0.1085</v>
      </c>
      <c r="D494" s="661">
        <v>4.2928513368983963E-2</v>
      </c>
      <c r="E494" s="661">
        <v>5.9314973262032063E-2</v>
      </c>
      <c r="F494" s="676">
        <f t="shared" si="18"/>
        <v>-3.1482190265326944</v>
      </c>
      <c r="G494" s="649">
        <f t="shared" si="19"/>
        <v>1.63864598930481E-2</v>
      </c>
      <c r="H494" s="677">
        <v>27.185401069518711</v>
      </c>
      <c r="I494" s="649">
        <f t="shared" si="20"/>
        <v>6.5571486631016029E-2</v>
      </c>
      <c r="J494" s="649"/>
    </row>
    <row r="495" spans="1:10">
      <c r="A495" s="33"/>
      <c r="B495" s="674">
        <v>40176</v>
      </c>
      <c r="C495" s="675">
        <v>0.1038</v>
      </c>
      <c r="D495" s="661">
        <v>4.2975951871657751E-2</v>
      </c>
      <c r="E495" s="661">
        <v>5.9287165775401052E-2</v>
      </c>
      <c r="F495" s="676">
        <f t="shared" si="18"/>
        <v>-3.1471145785307644</v>
      </c>
      <c r="G495" s="649">
        <f t="shared" si="19"/>
        <v>1.63112139037433E-2</v>
      </c>
      <c r="H495" s="677">
        <v>27.067593582887699</v>
      </c>
      <c r="I495" s="649">
        <f t="shared" si="20"/>
        <v>6.0824048128342252E-2</v>
      </c>
      <c r="J495" s="649"/>
    </row>
    <row r="496" spans="1:10">
      <c r="A496" s="33"/>
      <c r="B496" s="674">
        <v>40189</v>
      </c>
      <c r="C496" s="675">
        <v>0.1024</v>
      </c>
      <c r="D496" s="661">
        <v>4.3424438502673801E-2</v>
      </c>
      <c r="E496" s="661">
        <v>5.9015508021390356E-2</v>
      </c>
      <c r="F496" s="676">
        <f t="shared" si="18"/>
        <v>-3.1367328972166586</v>
      </c>
      <c r="G496" s="649">
        <f t="shared" si="19"/>
        <v>1.5591069518716555E-2</v>
      </c>
      <c r="H496" s="677">
        <v>26.248770053475933</v>
      </c>
      <c r="I496" s="649">
        <f t="shared" si="20"/>
        <v>5.8975561497326204E-2</v>
      </c>
      <c r="J496" s="649"/>
    </row>
    <row r="497" spans="1:10">
      <c r="A497" s="33"/>
      <c r="B497" s="674">
        <v>40199</v>
      </c>
      <c r="C497" s="675">
        <v>0.1023</v>
      </c>
      <c r="D497" s="661">
        <v>4.3682491978609635E-2</v>
      </c>
      <c r="E497" s="661">
        <v>5.8740641711229932E-2</v>
      </c>
      <c r="F497" s="676">
        <f t="shared" si="18"/>
        <v>-3.130807898380477</v>
      </c>
      <c r="G497" s="649">
        <f t="shared" si="19"/>
        <v>1.5058149732620298E-2</v>
      </c>
      <c r="H497" s="677">
        <v>25.564545454545456</v>
      </c>
      <c r="I497" s="649">
        <f t="shared" si="20"/>
        <v>5.8617508021390367E-2</v>
      </c>
      <c r="J497" s="649"/>
    </row>
    <row r="498" spans="1:10">
      <c r="A498" s="33"/>
      <c r="B498" s="674">
        <v>40199</v>
      </c>
      <c r="C498" s="675">
        <v>0.1033</v>
      </c>
      <c r="D498" s="661">
        <v>4.3682491978609635E-2</v>
      </c>
      <c r="E498" s="661">
        <v>5.8740641711229932E-2</v>
      </c>
      <c r="F498" s="676">
        <f t="shared" si="18"/>
        <v>-3.130807898380477</v>
      </c>
      <c r="G498" s="649">
        <f t="shared" si="19"/>
        <v>1.5058149732620298E-2</v>
      </c>
      <c r="H498" s="677">
        <v>25.564545454545456</v>
      </c>
      <c r="I498" s="649">
        <f t="shared" si="20"/>
        <v>5.9617508021390368E-2</v>
      </c>
      <c r="J498" s="649"/>
    </row>
    <row r="499" spans="1:10">
      <c r="A499" s="33"/>
      <c r="B499" s="674">
        <v>40204</v>
      </c>
      <c r="C499" s="675">
        <v>0.10400000000000001</v>
      </c>
      <c r="D499" s="661">
        <v>4.3733973262032114E-2</v>
      </c>
      <c r="E499" s="661">
        <v>5.8620320855614964E-2</v>
      </c>
      <c r="F499" s="676">
        <f t="shared" si="18"/>
        <v>-3.1296300587313342</v>
      </c>
      <c r="G499" s="649">
        <f t="shared" si="19"/>
        <v>1.4886347593582851E-2</v>
      </c>
      <c r="H499" s="677">
        <v>25.376951871657759</v>
      </c>
      <c r="I499" s="649">
        <f t="shared" si="20"/>
        <v>6.0266026737967895E-2</v>
      </c>
      <c r="J499" s="649"/>
    </row>
    <row r="500" spans="1:10">
      <c r="A500" s="33"/>
      <c r="B500" s="674">
        <v>40219</v>
      </c>
      <c r="C500" s="675">
        <v>0.1</v>
      </c>
      <c r="D500" s="661">
        <v>4.3944609625668464E-2</v>
      </c>
      <c r="E500" s="661">
        <v>5.8183422459893018E-2</v>
      </c>
      <c r="F500" s="676">
        <f t="shared" si="18"/>
        <v>-3.1248253102529433</v>
      </c>
      <c r="G500" s="649">
        <f t="shared" si="19"/>
        <v>1.4238812834224554E-2</v>
      </c>
      <c r="H500" s="677">
        <v>24.841871657754012</v>
      </c>
      <c r="I500" s="649">
        <f t="shared" si="20"/>
        <v>5.6055390374331542E-2</v>
      </c>
      <c r="J500" s="649"/>
    </row>
    <row r="501" spans="1:10">
      <c r="A501" s="33"/>
      <c r="B501" s="674">
        <v>40232</v>
      </c>
      <c r="C501" s="675">
        <v>0.105</v>
      </c>
      <c r="D501" s="661">
        <v>4.4022705882352929E-2</v>
      </c>
      <c r="E501" s="661">
        <v>5.7985561497326192E-2</v>
      </c>
      <c r="F501" s="676">
        <f t="shared" si="18"/>
        <v>-3.1230497353874136</v>
      </c>
      <c r="G501" s="649">
        <f t="shared" si="19"/>
        <v>1.3962855614973263E-2</v>
      </c>
      <c r="H501" s="677">
        <v>24.437967914438506</v>
      </c>
      <c r="I501" s="649">
        <f t="shared" si="20"/>
        <v>6.0977294117647067E-2</v>
      </c>
      <c r="J501" s="649"/>
    </row>
    <row r="502" spans="1:10">
      <c r="A502" s="33"/>
      <c r="B502" s="674">
        <v>40246</v>
      </c>
      <c r="C502" s="675">
        <v>9.6000000000000002E-2</v>
      </c>
      <c r="D502" s="661">
        <v>4.4023588235294106E-2</v>
      </c>
      <c r="E502" s="661">
        <v>5.7652941176470573E-2</v>
      </c>
      <c r="F502" s="676">
        <f t="shared" si="18"/>
        <v>-3.1230296924554528</v>
      </c>
      <c r="G502" s="649">
        <f t="shared" si="19"/>
        <v>1.3629352941176467E-2</v>
      </c>
      <c r="H502" s="677">
        <v>23.856631016042783</v>
      </c>
      <c r="I502" s="649">
        <f t="shared" si="20"/>
        <v>5.1976411764705896E-2</v>
      </c>
      <c r="J502" s="649"/>
    </row>
    <row r="503" spans="1:10">
      <c r="A503" s="33"/>
      <c r="B503" s="674">
        <v>40261</v>
      </c>
      <c r="C503" s="675">
        <v>0.1013</v>
      </c>
      <c r="D503" s="661">
        <v>4.4184262032085558E-2</v>
      </c>
      <c r="E503" s="661">
        <v>5.7427807486631004E-2</v>
      </c>
      <c r="F503" s="676">
        <f t="shared" si="18"/>
        <v>-3.1193866159263304</v>
      </c>
      <c r="G503" s="649">
        <f t="shared" si="19"/>
        <v>1.3243545454545445E-2</v>
      </c>
      <c r="H503" s="677">
        <v>23.133101604278078</v>
      </c>
      <c r="I503" s="649">
        <f t="shared" si="20"/>
        <v>5.7115737967914443E-2</v>
      </c>
      <c r="J503" s="649"/>
    </row>
    <row r="504" spans="1:10">
      <c r="A504" s="33"/>
      <c r="B504" s="674">
        <v>40268</v>
      </c>
      <c r="C504" s="675">
        <v>0.107</v>
      </c>
      <c r="D504" s="661">
        <v>4.4317759358288779E-2</v>
      </c>
      <c r="E504" s="661">
        <v>5.7417112299465244E-2</v>
      </c>
      <c r="F504" s="676">
        <f t="shared" si="18"/>
        <v>-3.1163697938163955</v>
      </c>
      <c r="G504" s="649">
        <f t="shared" si="19"/>
        <v>1.3099352941176465E-2</v>
      </c>
      <c r="H504" s="677">
        <v>22.901443850267377</v>
      </c>
      <c r="I504" s="649">
        <f t="shared" si="20"/>
        <v>6.2682240641711212E-2</v>
      </c>
      <c r="J504" s="649"/>
    </row>
    <row r="505" spans="1:10">
      <c r="A505" s="33"/>
      <c r="B505" s="674">
        <v>40269</v>
      </c>
      <c r="C505" s="675">
        <v>9.5000000000000001E-2</v>
      </c>
      <c r="D505" s="661">
        <v>4.4336673796791459E-2</v>
      </c>
      <c r="E505" s="661">
        <v>5.741176470588235E-2</v>
      </c>
      <c r="F505" s="676">
        <f t="shared" si="18"/>
        <v>-3.1159430934672638</v>
      </c>
      <c r="G505" s="649">
        <f t="shared" si="19"/>
        <v>1.307509090909089E-2</v>
      </c>
      <c r="H505" s="677">
        <v>22.839786096256674</v>
      </c>
      <c r="I505" s="649">
        <f t="shared" si="20"/>
        <v>5.0663326203208542E-2</v>
      </c>
      <c r="J505" s="649"/>
    </row>
    <row r="506" spans="1:10">
      <c r="A506" s="33"/>
      <c r="B506" s="674">
        <v>40270</v>
      </c>
      <c r="C506" s="675">
        <v>0.10099999999999999</v>
      </c>
      <c r="D506" s="661">
        <v>4.4353647058823546E-2</v>
      </c>
      <c r="E506" s="661">
        <v>5.7412299465240638E-2</v>
      </c>
      <c r="F506" s="676">
        <f t="shared" si="18"/>
        <v>-3.1155603400376775</v>
      </c>
      <c r="G506" s="649">
        <f t="shared" si="19"/>
        <v>1.3058652406417091E-2</v>
      </c>
      <c r="H506" s="677">
        <v>22.839786096256674</v>
      </c>
      <c r="I506" s="649">
        <f t="shared" si="20"/>
        <v>5.6646352941176446E-2</v>
      </c>
      <c r="J506" s="649"/>
    </row>
    <row r="507" spans="1:10">
      <c r="A507" s="33"/>
      <c r="B507" s="674">
        <v>40276</v>
      </c>
      <c r="C507" s="675">
        <v>0.10349999999999999</v>
      </c>
      <c r="D507" s="661">
        <v>4.4421834224598951E-2</v>
      </c>
      <c r="E507" s="661">
        <v>5.7417112299465244E-2</v>
      </c>
      <c r="F507" s="676">
        <f t="shared" si="18"/>
        <v>-3.1140241686038816</v>
      </c>
      <c r="G507" s="649">
        <f t="shared" si="19"/>
        <v>1.2995278074866293E-2</v>
      </c>
      <c r="H507" s="677">
        <v>22.547807486631015</v>
      </c>
      <c r="I507" s="649">
        <f t="shared" si="20"/>
        <v>5.9078165775401044E-2</v>
      </c>
      <c r="J507" s="649"/>
    </row>
    <row r="508" spans="1:10">
      <c r="A508" s="33"/>
      <c r="B508" s="674">
        <v>40297</v>
      </c>
      <c r="C508" s="675">
        <v>9.1899999999999996E-2</v>
      </c>
      <c r="D508" s="661">
        <v>4.4556577540106966E-2</v>
      </c>
      <c r="E508" s="661">
        <v>5.7242245989304823E-2</v>
      </c>
      <c r="F508" s="676">
        <f t="shared" ref="F508:F571" si="21">LN(D508)</f>
        <v>-3.1109954919657095</v>
      </c>
      <c r="G508" s="649">
        <f t="shared" ref="G508:G571" si="22">IF(E508="","",E508-D508)</f>
        <v>1.2685668449197857E-2</v>
      </c>
      <c r="H508" s="677">
        <v>21.951978609625666</v>
      </c>
      <c r="I508" s="649">
        <f t="shared" ref="I508:I571" si="23">C508-D508</f>
        <v>4.7343422459893029E-2</v>
      </c>
      <c r="J508" s="649"/>
    </row>
    <row r="509" spans="1:10">
      <c r="A509" s="33"/>
      <c r="B509" s="674">
        <v>40297</v>
      </c>
      <c r="C509" s="675">
        <v>9.4E-2</v>
      </c>
      <c r="D509" s="661">
        <v>4.4556577540106966E-2</v>
      </c>
      <c r="E509" s="661">
        <v>5.7242245989304823E-2</v>
      </c>
      <c r="F509" s="676">
        <f t="shared" si="21"/>
        <v>-3.1109954919657095</v>
      </c>
      <c r="G509" s="649">
        <f t="shared" si="22"/>
        <v>1.2685668449197857E-2</v>
      </c>
      <c r="H509" s="677">
        <v>21.951978609625666</v>
      </c>
      <c r="I509" s="649">
        <f t="shared" si="23"/>
        <v>4.9443422459893034E-2</v>
      </c>
      <c r="J509" s="649"/>
    </row>
    <row r="510" spans="1:10">
      <c r="A510" s="33"/>
      <c r="B510" s="674">
        <v>40297</v>
      </c>
      <c r="C510" s="675">
        <v>9.4E-2</v>
      </c>
      <c r="D510" s="661">
        <v>4.4556577540106966E-2</v>
      </c>
      <c r="E510" s="661">
        <v>5.7242245989304823E-2</v>
      </c>
      <c r="F510" s="676">
        <f t="shared" si="21"/>
        <v>-3.1109954919657095</v>
      </c>
      <c r="G510" s="649">
        <f t="shared" si="22"/>
        <v>1.2685668449197857E-2</v>
      </c>
      <c r="H510" s="677">
        <v>21.951978609625666</v>
      </c>
      <c r="I510" s="649">
        <f t="shared" si="23"/>
        <v>4.9443422459893034E-2</v>
      </c>
      <c r="J510" s="649"/>
    </row>
    <row r="511" spans="1:10">
      <c r="A511" s="33"/>
      <c r="B511" s="674">
        <v>40315</v>
      </c>
      <c r="C511" s="675">
        <v>0.10550000000000001</v>
      </c>
      <c r="D511" s="661">
        <v>4.4603096256684488E-2</v>
      </c>
      <c r="E511" s="661">
        <v>5.7091978609625678E-2</v>
      </c>
      <c r="F511" s="676">
        <f t="shared" si="21"/>
        <v>-3.109951999570153</v>
      </c>
      <c r="G511" s="649">
        <f t="shared" si="22"/>
        <v>1.248888235294119E-2</v>
      </c>
      <c r="H511" s="677">
        <v>22.117326203208552</v>
      </c>
      <c r="I511" s="649">
        <f t="shared" si="23"/>
        <v>6.0896903743315522E-2</v>
      </c>
      <c r="J511" s="649"/>
    </row>
    <row r="512" spans="1:10">
      <c r="A512" s="33"/>
      <c r="B512" s="674">
        <v>40322</v>
      </c>
      <c r="C512" s="675">
        <v>0.10050000000000001</v>
      </c>
      <c r="D512" s="661">
        <v>4.4597326203208547E-2</v>
      </c>
      <c r="E512" s="661">
        <v>5.701604278074867E-2</v>
      </c>
      <c r="F512" s="676">
        <f t="shared" si="21"/>
        <v>-3.1100813723539331</v>
      </c>
      <c r="G512" s="649">
        <f t="shared" si="22"/>
        <v>1.2418716577540123E-2</v>
      </c>
      <c r="H512" s="677">
        <v>22.473796791443849</v>
      </c>
      <c r="I512" s="649">
        <f t="shared" si="23"/>
        <v>5.5902673796791459E-2</v>
      </c>
      <c r="J512" s="649"/>
    </row>
    <row r="513" spans="1:10">
      <c r="A513" s="33"/>
      <c r="B513" s="674">
        <v>40332</v>
      </c>
      <c r="C513" s="675">
        <v>0.11</v>
      </c>
      <c r="D513" s="661">
        <v>4.4567909090909102E-2</v>
      </c>
      <c r="E513" s="661">
        <v>5.7017647058823527E-2</v>
      </c>
      <c r="F513" s="676">
        <f t="shared" si="21"/>
        <v>-3.1107412060496489</v>
      </c>
      <c r="G513" s="649">
        <f t="shared" si="22"/>
        <v>1.2449737967914425E-2</v>
      </c>
      <c r="H513" s="677">
        <v>22.693048128342248</v>
      </c>
      <c r="I513" s="649">
        <f t="shared" si="23"/>
        <v>6.5432090909090898E-2</v>
      </c>
      <c r="J513" s="649"/>
    </row>
    <row r="514" spans="1:10">
      <c r="A514" s="33"/>
      <c r="B514" s="674">
        <v>40345</v>
      </c>
      <c r="C514" s="675">
        <v>0.1</v>
      </c>
      <c r="D514" s="661">
        <v>4.4558893048128337E-2</v>
      </c>
      <c r="E514" s="661">
        <v>5.6981818181818182E-2</v>
      </c>
      <c r="F514" s="676">
        <f t="shared" si="21"/>
        <v>-3.1109435255000304</v>
      </c>
      <c r="G514" s="649">
        <f t="shared" si="22"/>
        <v>1.2422925133689845E-2</v>
      </c>
      <c r="H514" s="677">
        <v>23.022941176470589</v>
      </c>
      <c r="I514" s="649">
        <f t="shared" si="23"/>
        <v>5.5441106951871669E-2</v>
      </c>
      <c r="J514" s="649"/>
    </row>
    <row r="515" spans="1:10">
      <c r="A515" s="33"/>
      <c r="B515" s="674">
        <v>40347</v>
      </c>
      <c r="C515" s="675">
        <v>0.10300000000000001</v>
      </c>
      <c r="D515" s="661">
        <v>4.4569475935828863E-2</v>
      </c>
      <c r="E515" s="661">
        <v>5.6971657754010696E-2</v>
      </c>
      <c r="F515" s="676">
        <f t="shared" si="21"/>
        <v>-3.1107060503196609</v>
      </c>
      <c r="G515" s="649">
        <f t="shared" si="22"/>
        <v>1.2402181818181833E-2</v>
      </c>
      <c r="H515" s="677">
        <v>23.02839572192514</v>
      </c>
      <c r="I515" s="649">
        <f t="shared" si="23"/>
        <v>5.8430524064171145E-2</v>
      </c>
      <c r="J515" s="649"/>
    </row>
    <row r="516" spans="1:10">
      <c r="A516" s="33"/>
      <c r="B516" s="674">
        <v>40399</v>
      </c>
      <c r="C516" s="675">
        <v>0.1255</v>
      </c>
      <c r="D516" s="661">
        <v>4.410867914438503E-2</v>
      </c>
      <c r="E516" s="661">
        <v>5.6450802139037443E-2</v>
      </c>
      <c r="F516" s="676">
        <f t="shared" si="21"/>
        <v>-3.1210987098979706</v>
      </c>
      <c r="G516" s="649">
        <f t="shared" si="22"/>
        <v>1.2342122994652413E-2</v>
      </c>
      <c r="H516" s="677">
        <v>23.23716577540106</v>
      </c>
      <c r="I516" s="649">
        <f t="shared" si="23"/>
        <v>8.1391320855614971E-2</v>
      </c>
      <c r="J516" s="649"/>
    </row>
    <row r="517" spans="1:10">
      <c r="A517" s="33"/>
      <c r="B517" s="674">
        <v>40407</v>
      </c>
      <c r="C517" s="675">
        <v>0.10099999999999999</v>
      </c>
      <c r="D517" s="661">
        <v>4.3986379679144386E-2</v>
      </c>
      <c r="E517" s="661">
        <v>5.6270588235294121E-2</v>
      </c>
      <c r="F517" s="676">
        <f t="shared" si="21"/>
        <v>-3.1238752457319356</v>
      </c>
      <c r="G517" s="649">
        <f t="shared" si="22"/>
        <v>1.2284208556149735E-2</v>
      </c>
      <c r="H517" s="677">
        <v>23.298021390374309</v>
      </c>
      <c r="I517" s="649">
        <f t="shared" si="23"/>
        <v>5.7013620320855607E-2</v>
      </c>
      <c r="J517" s="649"/>
    </row>
    <row r="518" spans="1:10">
      <c r="A518" s="33"/>
      <c r="B518" s="674">
        <v>40437</v>
      </c>
      <c r="C518" s="675">
        <v>9.6000000000000002E-2</v>
      </c>
      <c r="D518" s="661">
        <v>4.3083016042780753E-2</v>
      </c>
      <c r="E518" s="661">
        <v>5.543155080213906E-2</v>
      </c>
      <c r="F518" s="676">
        <f t="shared" si="21"/>
        <v>-3.1446264188664497</v>
      </c>
      <c r="G518" s="649">
        <f t="shared" si="22"/>
        <v>1.2348534759358307E-2</v>
      </c>
      <c r="H518" s="677">
        <v>23.542085561497313</v>
      </c>
      <c r="I518" s="649">
        <f t="shared" si="23"/>
        <v>5.2916983957219249E-2</v>
      </c>
      <c r="J518" s="649"/>
    </row>
    <row r="519" spans="1:10">
      <c r="A519" s="33"/>
      <c r="B519" s="674">
        <v>40437</v>
      </c>
      <c r="C519" s="675">
        <v>0.1</v>
      </c>
      <c r="D519" s="661">
        <v>4.3083016042780753E-2</v>
      </c>
      <c r="E519" s="661">
        <v>5.543155080213906E-2</v>
      </c>
      <c r="F519" s="676">
        <f t="shared" si="21"/>
        <v>-3.1446264188664497</v>
      </c>
      <c r="G519" s="649">
        <f t="shared" si="22"/>
        <v>1.2348534759358307E-2</v>
      </c>
      <c r="H519" s="677">
        <v>23.542085561497313</v>
      </c>
      <c r="I519" s="649">
        <f t="shared" si="23"/>
        <v>5.6916983957219253E-2</v>
      </c>
      <c r="J519" s="649"/>
    </row>
    <row r="520" spans="1:10">
      <c r="A520" s="33"/>
      <c r="B520" s="674">
        <v>40437</v>
      </c>
      <c r="C520" s="675">
        <v>0.1</v>
      </c>
      <c r="D520" s="661">
        <v>4.3083016042780753E-2</v>
      </c>
      <c r="E520" s="661">
        <v>5.543155080213906E-2</v>
      </c>
      <c r="F520" s="676">
        <f t="shared" si="21"/>
        <v>-3.1446264188664497</v>
      </c>
      <c r="G520" s="649">
        <f t="shared" si="22"/>
        <v>1.2348534759358307E-2</v>
      </c>
      <c r="H520" s="677">
        <v>23.542085561497313</v>
      </c>
      <c r="I520" s="649">
        <f t="shared" si="23"/>
        <v>5.6916983957219253E-2</v>
      </c>
      <c r="J520" s="649"/>
    </row>
    <row r="521" spans="1:10">
      <c r="A521" s="33"/>
      <c r="B521" s="674">
        <v>40437</v>
      </c>
      <c r="C521" s="675">
        <v>0.10300000000000001</v>
      </c>
      <c r="D521" s="661">
        <v>4.3083016042780753E-2</v>
      </c>
      <c r="E521" s="661">
        <v>5.543155080213906E-2</v>
      </c>
      <c r="F521" s="676">
        <f t="shared" si="21"/>
        <v>-3.1446264188664497</v>
      </c>
      <c r="G521" s="649">
        <f t="shared" si="22"/>
        <v>1.2348534759358307E-2</v>
      </c>
      <c r="H521" s="677">
        <v>23.542085561497313</v>
      </c>
      <c r="I521" s="649">
        <f t="shared" si="23"/>
        <v>5.9916983957219255E-2</v>
      </c>
      <c r="J521" s="649"/>
    </row>
    <row r="522" spans="1:10">
      <c r="A522" s="33"/>
      <c r="B522" s="674">
        <v>40472</v>
      </c>
      <c r="C522" s="675">
        <v>0.10400000000000001</v>
      </c>
      <c r="D522" s="661">
        <v>4.2005342245989299E-2</v>
      </c>
      <c r="E522" s="661">
        <v>5.443048128342249E-2</v>
      </c>
      <c r="F522" s="676">
        <f t="shared" si="21"/>
        <v>-3.1699584724544581</v>
      </c>
      <c r="G522" s="649">
        <f t="shared" si="22"/>
        <v>1.242513903743319E-2</v>
      </c>
      <c r="H522" s="677">
        <v>23.697379679144387</v>
      </c>
      <c r="I522" s="649">
        <f t="shared" si="23"/>
        <v>6.199465775401071E-2</v>
      </c>
      <c r="J522" s="649"/>
    </row>
    <row r="523" spans="1:10">
      <c r="A523" s="33"/>
      <c r="B523" s="674">
        <v>40484</v>
      </c>
      <c r="C523" s="675">
        <v>9.7500000000000003E-2</v>
      </c>
      <c r="D523" s="661">
        <v>4.1744181818181812E-2</v>
      </c>
      <c r="E523" s="661">
        <v>5.4183957219251358E-2</v>
      </c>
      <c r="F523" s="676">
        <f t="shared" si="21"/>
        <v>-3.1761951950447918</v>
      </c>
      <c r="G523" s="649">
        <f t="shared" si="22"/>
        <v>1.2439775401069546E-2</v>
      </c>
      <c r="H523" s="677">
        <v>23.567379679144388</v>
      </c>
      <c r="I523" s="649">
        <f t="shared" si="23"/>
        <v>5.5755818181818191E-2</v>
      </c>
      <c r="J523" s="649"/>
    </row>
    <row r="524" spans="1:10">
      <c r="A524" s="33"/>
      <c r="B524" s="674">
        <v>40484</v>
      </c>
      <c r="C524" s="675">
        <v>9.7500000000000003E-2</v>
      </c>
      <c r="D524" s="661">
        <v>4.1744181818181812E-2</v>
      </c>
      <c r="E524" s="661">
        <v>5.4183957219251358E-2</v>
      </c>
      <c r="F524" s="676">
        <f t="shared" si="21"/>
        <v>-3.1761951950447918</v>
      </c>
      <c r="G524" s="649">
        <f t="shared" si="22"/>
        <v>1.2439775401069546E-2</v>
      </c>
      <c r="H524" s="677">
        <v>23.567379679144388</v>
      </c>
      <c r="I524" s="649">
        <f t="shared" si="23"/>
        <v>5.5755818181818191E-2</v>
      </c>
      <c r="J524" s="649"/>
    </row>
    <row r="525" spans="1:10">
      <c r="A525" s="33"/>
      <c r="B525" s="674">
        <v>40485</v>
      </c>
      <c r="C525" s="675">
        <v>0.1075</v>
      </c>
      <c r="D525" s="661">
        <v>4.1711588235294104E-2</v>
      </c>
      <c r="E525" s="661">
        <v>5.4155614973262052E-2</v>
      </c>
      <c r="F525" s="676">
        <f t="shared" si="21"/>
        <v>-3.1769762934523427</v>
      </c>
      <c r="G525" s="649">
        <f t="shared" si="22"/>
        <v>1.2444026737967948E-2</v>
      </c>
      <c r="H525" s="677">
        <v>23.53021390374332</v>
      </c>
      <c r="I525" s="649">
        <f t="shared" si="23"/>
        <v>6.5788411764705901E-2</v>
      </c>
      <c r="J525" s="649"/>
    </row>
    <row r="526" spans="1:10">
      <c r="A526" s="33"/>
      <c r="B526" s="674">
        <v>40501</v>
      </c>
      <c r="C526" s="675">
        <v>0.10199999999999999</v>
      </c>
      <c r="D526" s="661">
        <v>4.1455411764705886E-2</v>
      </c>
      <c r="E526" s="661">
        <v>5.3827272727272751E-2</v>
      </c>
      <c r="F526" s="676">
        <f t="shared" si="21"/>
        <v>-3.1831368446516608</v>
      </c>
      <c r="G526" s="649">
        <f t="shared" si="22"/>
        <v>1.2371860962566865E-2</v>
      </c>
      <c r="H526" s="677">
        <v>23.363422459893059</v>
      </c>
      <c r="I526" s="649">
        <f t="shared" si="23"/>
        <v>6.0544588235294107E-2</v>
      </c>
      <c r="J526" s="649"/>
    </row>
    <row r="527" spans="1:10">
      <c r="A527" s="33"/>
      <c r="B527" s="674">
        <v>40513</v>
      </c>
      <c r="C527" s="675">
        <v>0.1</v>
      </c>
      <c r="D527" s="661">
        <v>4.1267176470588224E-2</v>
      </c>
      <c r="E527" s="661">
        <v>5.3662566844919816E-2</v>
      </c>
      <c r="F527" s="676">
        <f t="shared" si="21"/>
        <v>-3.1876878535845843</v>
      </c>
      <c r="G527" s="649">
        <f t="shared" si="22"/>
        <v>1.2395390374331593E-2</v>
      </c>
      <c r="H527" s="677">
        <v>23.452352941176493</v>
      </c>
      <c r="I527" s="649">
        <f t="shared" si="23"/>
        <v>5.8732823529411782E-2</v>
      </c>
      <c r="J527" s="649"/>
    </row>
    <row r="528" spans="1:10">
      <c r="A528" s="33"/>
      <c r="B528" s="674">
        <v>40518</v>
      </c>
      <c r="C528" s="675">
        <v>9.5600000000000004E-2</v>
      </c>
      <c r="D528" s="661">
        <v>4.121714438502673E-2</v>
      </c>
      <c r="E528" s="661">
        <v>5.3593582887700567E-2</v>
      </c>
      <c r="F528" s="676">
        <f t="shared" si="21"/>
        <v>-3.188900983332843</v>
      </c>
      <c r="G528" s="649">
        <f t="shared" si="22"/>
        <v>1.2376438502673837E-2</v>
      </c>
      <c r="H528" s="677">
        <v>23.457005347593604</v>
      </c>
      <c r="I528" s="649">
        <f t="shared" si="23"/>
        <v>5.4382855614973274E-2</v>
      </c>
      <c r="J528" s="649"/>
    </row>
    <row r="529" spans="1:10">
      <c r="A529" s="33"/>
      <c r="B529" s="674">
        <v>40518</v>
      </c>
      <c r="C529" s="675">
        <v>0.1009</v>
      </c>
      <c r="D529" s="661">
        <v>4.121714438502673E-2</v>
      </c>
      <c r="E529" s="661">
        <v>5.3593582887700567E-2</v>
      </c>
      <c r="F529" s="676">
        <f t="shared" si="21"/>
        <v>-3.188900983332843</v>
      </c>
      <c r="G529" s="649">
        <f t="shared" si="22"/>
        <v>1.2376438502673837E-2</v>
      </c>
      <c r="H529" s="677">
        <v>23.457005347593604</v>
      </c>
      <c r="I529" s="649">
        <f t="shared" si="23"/>
        <v>5.9682855614973274E-2</v>
      </c>
      <c r="J529" s="649"/>
    </row>
    <row r="530" spans="1:10">
      <c r="A530" s="33"/>
      <c r="B530" s="674">
        <v>40521</v>
      </c>
      <c r="C530" s="675">
        <v>0.10249999999999999</v>
      </c>
      <c r="D530" s="661">
        <v>4.1188737967914432E-2</v>
      </c>
      <c r="E530" s="661">
        <v>5.3556149732620344E-2</v>
      </c>
      <c r="F530" s="676">
        <f t="shared" si="21"/>
        <v>-3.1895904102869963</v>
      </c>
      <c r="G530" s="649">
        <f t="shared" si="22"/>
        <v>1.2367411764705911E-2</v>
      </c>
      <c r="H530" s="677">
        <v>23.455454545454561</v>
      </c>
      <c r="I530" s="649">
        <f t="shared" si="23"/>
        <v>6.1311262032085562E-2</v>
      </c>
      <c r="J530" s="649"/>
    </row>
    <row r="531" spans="1:10">
      <c r="A531" s="33"/>
      <c r="B531" s="674">
        <v>40526</v>
      </c>
      <c r="C531" s="675">
        <v>0.1033</v>
      </c>
      <c r="D531" s="661">
        <v>4.1142219251336896E-2</v>
      </c>
      <c r="E531" s="661">
        <v>5.3531016042780766E-2</v>
      </c>
      <c r="F531" s="676">
        <f t="shared" si="21"/>
        <v>-3.1907204523294812</v>
      </c>
      <c r="G531" s="649">
        <f t="shared" si="22"/>
        <v>1.2388796791443869E-2</v>
      </c>
      <c r="H531" s="677">
        <v>23.467593582887719</v>
      </c>
      <c r="I531" s="649">
        <f t="shared" si="23"/>
        <v>6.2157780748663106E-2</v>
      </c>
      <c r="J531" s="649"/>
    </row>
    <row r="532" spans="1:10">
      <c r="A532" s="33"/>
      <c r="B532" s="674">
        <v>40529</v>
      </c>
      <c r="C532" s="675">
        <v>0.10099999999999999</v>
      </c>
      <c r="D532" s="661">
        <v>4.1106866310160431E-2</v>
      </c>
      <c r="E532" s="661">
        <v>5.3506951871657778E-2</v>
      </c>
      <c r="F532" s="676">
        <f t="shared" si="21"/>
        <v>-3.1915801079259487</v>
      </c>
      <c r="G532" s="649">
        <f t="shared" si="22"/>
        <v>1.2400085561497347E-2</v>
      </c>
      <c r="H532" s="677">
        <v>23.471176470588251</v>
      </c>
      <c r="I532" s="649">
        <f t="shared" si="23"/>
        <v>5.9893133689839562E-2</v>
      </c>
      <c r="J532" s="649"/>
    </row>
    <row r="533" spans="1:10">
      <c r="A533" s="33"/>
      <c r="B533" s="674">
        <v>40532</v>
      </c>
      <c r="C533" s="675">
        <v>0.10099999999999999</v>
      </c>
      <c r="D533" s="661">
        <v>4.1091556149732623E-2</v>
      </c>
      <c r="E533" s="661">
        <v>5.3486631016042806E-2</v>
      </c>
      <c r="F533" s="676">
        <f t="shared" si="21"/>
        <v>-3.1919526250654919</v>
      </c>
      <c r="G533" s="649">
        <f t="shared" si="22"/>
        <v>1.2395074866310182E-2</v>
      </c>
      <c r="H533" s="677">
        <v>23.46053475935831</v>
      </c>
      <c r="I533" s="649">
        <f t="shared" si="23"/>
        <v>5.9908443850267369E-2</v>
      </c>
      <c r="J533" s="649"/>
    </row>
    <row r="534" spans="1:10">
      <c r="A534" s="33"/>
      <c r="B534" s="674">
        <v>40535</v>
      </c>
      <c r="C534" s="675">
        <v>9.9199999999999997E-2</v>
      </c>
      <c r="D534" s="661">
        <v>4.1030411764705885E-2</v>
      </c>
      <c r="E534" s="661">
        <v>5.3426737967914459E-2</v>
      </c>
      <c r="F534" s="676">
        <f t="shared" si="21"/>
        <v>-3.1934417368799868</v>
      </c>
      <c r="G534" s="649">
        <f t="shared" si="22"/>
        <v>1.2396326203208574E-2</v>
      </c>
      <c r="H534" s="677">
        <v>23.43871657754012</v>
      </c>
      <c r="I534" s="649">
        <f t="shared" si="23"/>
        <v>5.8169588235294112E-2</v>
      </c>
      <c r="J534" s="649"/>
    </row>
    <row r="535" spans="1:10">
      <c r="A535" s="33"/>
      <c r="B535" s="674">
        <v>40549</v>
      </c>
      <c r="C535" s="675">
        <v>0.10349999999999999</v>
      </c>
      <c r="D535" s="661">
        <v>4.0889465240641715E-2</v>
      </c>
      <c r="E535" s="661">
        <v>5.3243315508021402E-2</v>
      </c>
      <c r="F535" s="676">
        <f t="shared" si="21"/>
        <v>-3.1968828226895947</v>
      </c>
      <c r="G535" s="649">
        <f t="shared" si="22"/>
        <v>1.2353850267379687E-2</v>
      </c>
      <c r="H535" s="677">
        <v>23.480534759358303</v>
      </c>
      <c r="I535" s="649">
        <f t="shared" si="23"/>
        <v>6.261053475935828E-2</v>
      </c>
      <c r="J535" s="649"/>
    </row>
    <row r="536" spans="1:10">
      <c r="A536" s="33"/>
      <c r="B536" s="674">
        <v>40555</v>
      </c>
      <c r="C536" s="675">
        <v>0.10300000000000001</v>
      </c>
      <c r="D536" s="661">
        <v>4.0856727272727274E-2</v>
      </c>
      <c r="E536" s="661">
        <v>5.3183422459893055E-2</v>
      </c>
      <c r="F536" s="676">
        <f t="shared" si="21"/>
        <v>-3.1976837889158647</v>
      </c>
      <c r="G536" s="649">
        <f t="shared" si="22"/>
        <v>1.2326695187165781E-2</v>
      </c>
      <c r="H536" s="677">
        <v>23.483903743315519</v>
      </c>
      <c r="I536" s="649">
        <f t="shared" si="23"/>
        <v>6.2143272727272734E-2</v>
      </c>
      <c r="J536" s="649"/>
    </row>
    <row r="537" spans="1:10">
      <c r="A537" s="33"/>
      <c r="B537" s="674">
        <v>40556</v>
      </c>
      <c r="C537" s="675">
        <v>0.10300000000000001</v>
      </c>
      <c r="D537" s="661">
        <v>4.0852561497326211E-2</v>
      </c>
      <c r="E537" s="661">
        <v>5.3168983957219265E-2</v>
      </c>
      <c r="F537" s="676">
        <f t="shared" si="21"/>
        <v>-3.1977857546890927</v>
      </c>
      <c r="G537" s="649">
        <f t="shared" si="22"/>
        <v>1.2316422459893055E-2</v>
      </c>
      <c r="H537" s="677">
        <v>23.487433155080225</v>
      </c>
      <c r="I537" s="649">
        <f t="shared" si="23"/>
        <v>6.2147438502673798E-2</v>
      </c>
      <c r="J537" s="649"/>
    </row>
    <row r="538" spans="1:10">
      <c r="A538" s="33"/>
      <c r="B538" s="674">
        <v>40612</v>
      </c>
      <c r="C538" s="675">
        <v>0.10099999999999999</v>
      </c>
      <c r="D538" s="661">
        <v>4.1610000000000008E-2</v>
      </c>
      <c r="E538" s="661">
        <v>5.333743315508023E-2</v>
      </c>
      <c r="F538" s="676">
        <f t="shared" si="21"/>
        <v>-3.179414755987287</v>
      </c>
      <c r="G538" s="649">
        <f t="shared" si="22"/>
        <v>1.1727433155080222E-2</v>
      </c>
      <c r="H538" s="677">
        <v>21.206042780748657</v>
      </c>
      <c r="I538" s="649">
        <f t="shared" si="23"/>
        <v>5.9389999999999984E-2</v>
      </c>
      <c r="J538" s="649"/>
    </row>
    <row r="539" spans="1:10">
      <c r="A539" s="33"/>
      <c r="B539" s="674">
        <v>40633</v>
      </c>
      <c r="C539" s="675">
        <v>9.4499999999999987E-2</v>
      </c>
      <c r="D539" s="661">
        <v>4.1996502673796794E-2</v>
      </c>
      <c r="E539" s="661">
        <v>5.3460427807486645E-2</v>
      </c>
      <c r="F539" s="676">
        <f t="shared" si="21"/>
        <v>-3.1701689338373851</v>
      </c>
      <c r="G539" s="649">
        <f t="shared" si="22"/>
        <v>1.1463925133689851E-2</v>
      </c>
      <c r="H539" s="677">
        <v>20.599037433155072</v>
      </c>
      <c r="I539" s="649">
        <f t="shared" si="23"/>
        <v>5.2503497326203193E-2</v>
      </c>
      <c r="J539" s="649"/>
    </row>
    <row r="540" spans="1:10">
      <c r="A540" s="33"/>
      <c r="B540" s="674">
        <v>40651</v>
      </c>
      <c r="C540" s="675">
        <v>0.10050000000000001</v>
      </c>
      <c r="D540" s="661">
        <v>4.2347475935828882E-2</v>
      </c>
      <c r="E540" s="661">
        <v>5.3672727272727282E-2</v>
      </c>
      <c r="F540" s="676">
        <f t="shared" si="21"/>
        <v>-3.1618464597587215</v>
      </c>
      <c r="G540" s="649">
        <f t="shared" si="22"/>
        <v>1.13252513368984E-2</v>
      </c>
      <c r="H540" s="677">
        <v>20.06540106951871</v>
      </c>
      <c r="I540" s="649">
        <f t="shared" si="23"/>
        <v>5.8152524064171124E-2</v>
      </c>
      <c r="J540" s="649"/>
    </row>
    <row r="541" spans="1:10">
      <c r="A541" s="33"/>
      <c r="B541" s="674">
        <v>40689</v>
      </c>
      <c r="C541" s="675">
        <v>0.105</v>
      </c>
      <c r="D541" s="661">
        <v>4.3171417112299444E-2</v>
      </c>
      <c r="E541" s="661">
        <v>5.4090909090909092E-2</v>
      </c>
      <c r="F541" s="676">
        <f t="shared" si="21"/>
        <v>-3.1425766436320162</v>
      </c>
      <c r="G541" s="649">
        <f t="shared" si="22"/>
        <v>1.0919491978609648E-2</v>
      </c>
      <c r="H541" s="677">
        <v>18.919839572192512</v>
      </c>
      <c r="I541" s="649">
        <f t="shared" si="23"/>
        <v>6.1828582887700552E-2</v>
      </c>
      <c r="J541" s="649"/>
    </row>
    <row r="542" spans="1:10">
      <c r="A542" s="33"/>
      <c r="B542" s="674">
        <v>40715</v>
      </c>
      <c r="C542" s="675">
        <v>0.1</v>
      </c>
      <c r="D542" s="661">
        <v>4.3584791443850253E-2</v>
      </c>
      <c r="E542" s="661">
        <v>5.4302673796791434E-2</v>
      </c>
      <c r="F542" s="676">
        <f t="shared" si="21"/>
        <v>-3.1330470095742067</v>
      </c>
      <c r="G542" s="649">
        <f t="shared" si="22"/>
        <v>1.0717882352941181E-2</v>
      </c>
      <c r="H542" s="677">
        <v>18.573582887700528</v>
      </c>
      <c r="I542" s="649">
        <f t="shared" si="23"/>
        <v>5.6415208556149753E-2</v>
      </c>
      <c r="J542" s="649"/>
    </row>
    <row r="543" spans="1:10">
      <c r="A543" s="33"/>
      <c r="B543" s="674">
        <v>40723</v>
      </c>
      <c r="C543" s="675">
        <v>8.8300000000000003E-2</v>
      </c>
      <c r="D543" s="661">
        <v>4.3757219251336861E-2</v>
      </c>
      <c r="E543" s="661">
        <v>5.4412834224598923E-2</v>
      </c>
      <c r="F543" s="676">
        <f t="shared" si="21"/>
        <v>-3.1290986683322788</v>
      </c>
      <c r="G543" s="649">
        <f t="shared" si="22"/>
        <v>1.0655614973262062E-2</v>
      </c>
      <c r="H543" s="677">
        <v>18.464545454545448</v>
      </c>
      <c r="I543" s="649">
        <f t="shared" si="23"/>
        <v>4.4542780748663142E-2</v>
      </c>
      <c r="J543" s="649"/>
    </row>
    <row r="544" spans="1:10">
      <c r="A544" s="33"/>
      <c r="B544" s="674">
        <v>40756</v>
      </c>
      <c r="C544" s="675">
        <v>9.1999999999999998E-2</v>
      </c>
      <c r="D544" s="661">
        <v>4.4082128342245973E-2</v>
      </c>
      <c r="E544" s="661">
        <v>5.4589839572192538E-2</v>
      </c>
      <c r="F544" s="676">
        <f t="shared" si="21"/>
        <v>-3.1217008316768249</v>
      </c>
      <c r="G544" s="649">
        <f t="shared" si="22"/>
        <v>1.0507711229946565E-2</v>
      </c>
      <c r="H544" s="677">
        <v>18.336149732620317</v>
      </c>
      <c r="I544" s="649">
        <f t="shared" si="23"/>
        <v>4.7917871657754026E-2</v>
      </c>
      <c r="J544" s="649"/>
    </row>
    <row r="545" spans="1:10">
      <c r="A545" s="33"/>
      <c r="B545" s="674">
        <v>40787</v>
      </c>
      <c r="C545" s="675">
        <v>0.10099999999999999</v>
      </c>
      <c r="D545" s="661">
        <v>4.3254032085561507E-2</v>
      </c>
      <c r="E545" s="661">
        <v>5.3702139037433178E-2</v>
      </c>
      <c r="F545" s="676">
        <f t="shared" si="21"/>
        <v>-3.1406648225378269</v>
      </c>
      <c r="G545" s="649">
        <f t="shared" si="22"/>
        <v>1.044810695187167E-2</v>
      </c>
      <c r="H545" s="677">
        <v>20.252941176470589</v>
      </c>
      <c r="I545" s="649">
        <f t="shared" si="23"/>
        <v>5.7745967914438485E-2</v>
      </c>
      <c r="J545" s="649"/>
    </row>
    <row r="546" spans="1:10">
      <c r="A546" s="33"/>
      <c r="B546" s="674">
        <v>40861</v>
      </c>
      <c r="C546" s="675">
        <v>9.6000000000000002E-2</v>
      </c>
      <c r="D546" s="661">
        <v>3.9298128342246004E-2</v>
      </c>
      <c r="E546" s="661">
        <v>5.0677005347593611E-2</v>
      </c>
      <c r="F546" s="676">
        <f t="shared" si="21"/>
        <v>-3.2365783861202586</v>
      </c>
      <c r="G546" s="649">
        <f t="shared" si="22"/>
        <v>1.1378877005347607E-2</v>
      </c>
      <c r="H546" s="677">
        <v>24.912727272727267</v>
      </c>
      <c r="I546" s="649">
        <f t="shared" si="23"/>
        <v>5.6701871657753998E-2</v>
      </c>
      <c r="J546" s="649"/>
    </row>
    <row r="547" spans="1:10">
      <c r="A547" s="33"/>
      <c r="B547" s="674">
        <v>40890</v>
      </c>
      <c r="C547" s="675">
        <v>9.5000000000000001E-2</v>
      </c>
      <c r="D547" s="661">
        <v>3.759755080213905E-2</v>
      </c>
      <c r="E547" s="661">
        <v>4.9293048128342266E-2</v>
      </c>
      <c r="F547" s="676">
        <f t="shared" si="21"/>
        <v>-3.2808163689488583</v>
      </c>
      <c r="G547" s="649">
        <f t="shared" si="22"/>
        <v>1.1695497326203216E-2</v>
      </c>
      <c r="H547" s="677">
        <v>25.858288770053484</v>
      </c>
      <c r="I547" s="649">
        <f t="shared" si="23"/>
        <v>5.7402449197860951E-2</v>
      </c>
      <c r="J547" s="649"/>
    </row>
    <row r="548" spans="1:10">
      <c r="A548" s="33"/>
      <c r="B548" s="674">
        <v>40897</v>
      </c>
      <c r="C548" s="675">
        <v>0.1</v>
      </c>
      <c r="D548" s="661">
        <v>3.716172727272727E-2</v>
      </c>
      <c r="E548" s="661">
        <v>4.8954010695187192E-2</v>
      </c>
      <c r="F548" s="676">
        <f t="shared" si="21"/>
        <v>-3.2924758840735033</v>
      </c>
      <c r="G548" s="649">
        <f t="shared" si="22"/>
        <v>1.1792283422459922E-2</v>
      </c>
      <c r="H548" s="677">
        <v>26.006310160427816</v>
      </c>
      <c r="I548" s="649">
        <f t="shared" si="23"/>
        <v>6.2838272727272743E-2</v>
      </c>
      <c r="J548" s="649"/>
    </row>
    <row r="549" spans="1:10">
      <c r="A549" s="33"/>
      <c r="B549" s="674">
        <v>40899</v>
      </c>
      <c r="C549" s="675">
        <v>0.10400000000000001</v>
      </c>
      <c r="D549" s="661">
        <v>3.7001379679144387E-2</v>
      </c>
      <c r="E549" s="661">
        <v>4.8824598930481293E-2</v>
      </c>
      <c r="F549" s="676">
        <f t="shared" si="21"/>
        <v>-3.2968000784075921</v>
      </c>
      <c r="G549" s="649">
        <f t="shared" si="22"/>
        <v>1.1823219251336906E-2</v>
      </c>
      <c r="H549" s="677">
        <v>26.032994652406423</v>
      </c>
      <c r="I549" s="649">
        <f t="shared" si="23"/>
        <v>6.6998620320855629E-2</v>
      </c>
      <c r="J549" s="649"/>
    </row>
    <row r="550" spans="1:10">
      <c r="A550" s="33"/>
      <c r="B550" s="674">
        <v>40918</v>
      </c>
      <c r="C550" s="675">
        <v>9.06E-2</v>
      </c>
      <c r="D550" s="661">
        <v>3.5929614973262025E-2</v>
      </c>
      <c r="E550" s="661">
        <v>4.8079679144385025E-2</v>
      </c>
      <c r="F550" s="676">
        <f t="shared" si="21"/>
        <v>-3.3261933939380057</v>
      </c>
      <c r="G550" s="649">
        <f t="shared" si="22"/>
        <v>1.2150064171123E-2</v>
      </c>
      <c r="H550" s="677">
        <v>26.306737967914444</v>
      </c>
      <c r="I550" s="649">
        <f t="shared" si="23"/>
        <v>5.4670385026737975E-2</v>
      </c>
      <c r="J550" s="649"/>
    </row>
    <row r="551" spans="1:10">
      <c r="A551" s="33"/>
      <c r="B551" s="674">
        <v>40918</v>
      </c>
      <c r="C551" s="675">
        <v>9.4499999999999987E-2</v>
      </c>
      <c r="D551" s="661">
        <v>3.5929614973262025E-2</v>
      </c>
      <c r="E551" s="661">
        <v>4.8079679144385025E-2</v>
      </c>
      <c r="F551" s="676">
        <f t="shared" si="21"/>
        <v>-3.3261933939380057</v>
      </c>
      <c r="G551" s="649">
        <f t="shared" si="22"/>
        <v>1.2150064171123E-2</v>
      </c>
      <c r="H551" s="677">
        <v>26.306737967914444</v>
      </c>
      <c r="I551" s="649">
        <f t="shared" si="23"/>
        <v>5.8570385026737962E-2</v>
      </c>
      <c r="J551" s="649"/>
    </row>
    <row r="552" spans="1:10">
      <c r="A552" s="33"/>
      <c r="B552" s="674">
        <v>40918</v>
      </c>
      <c r="C552" s="675">
        <v>9.4499999999999987E-2</v>
      </c>
      <c r="D552" s="661">
        <v>3.5929614973262025E-2</v>
      </c>
      <c r="E552" s="661">
        <v>4.8079679144385025E-2</v>
      </c>
      <c r="F552" s="676">
        <f t="shared" si="21"/>
        <v>-3.3261933939380057</v>
      </c>
      <c r="G552" s="649">
        <f t="shared" si="22"/>
        <v>1.2150064171123E-2</v>
      </c>
      <c r="H552" s="677">
        <v>26.306737967914444</v>
      </c>
      <c r="I552" s="649">
        <f t="shared" si="23"/>
        <v>5.8570385026737962E-2</v>
      </c>
      <c r="J552" s="649"/>
    </row>
    <row r="553" spans="1:10">
      <c r="A553" s="33"/>
      <c r="B553" s="674">
        <v>40931</v>
      </c>
      <c r="C553" s="675">
        <v>0.10199999999999999</v>
      </c>
      <c r="D553" s="661">
        <v>3.5259272727272729E-2</v>
      </c>
      <c r="E553" s="661">
        <v>4.7551336898395719E-2</v>
      </c>
      <c r="F553" s="676">
        <f t="shared" si="21"/>
        <v>-3.3450267282242034</v>
      </c>
      <c r="G553" s="649">
        <f t="shared" si="22"/>
        <v>1.2292064171122989E-2</v>
      </c>
      <c r="H553" s="677">
        <v>26.503582887700546</v>
      </c>
      <c r="I553" s="649">
        <f t="shared" si="23"/>
        <v>6.6740727272727257E-2</v>
      </c>
      <c r="J553" s="649"/>
    </row>
    <row r="554" spans="1:10">
      <c r="A554" s="33"/>
      <c r="B554" s="674">
        <v>40939</v>
      </c>
      <c r="C554" s="675">
        <v>0.1</v>
      </c>
      <c r="D554" s="661">
        <v>3.4857085561497324E-2</v>
      </c>
      <c r="E554" s="661">
        <v>4.7191443850267391E-2</v>
      </c>
      <c r="F554" s="676">
        <f t="shared" si="21"/>
        <v>-3.3564988464731353</v>
      </c>
      <c r="G554" s="649">
        <f t="shared" si="22"/>
        <v>1.2334358288770067E-2</v>
      </c>
      <c r="H554" s="677">
        <v>26.60342245989305</v>
      </c>
      <c r="I554" s="649">
        <f t="shared" si="23"/>
        <v>6.5142914438502675E-2</v>
      </c>
      <c r="J554" s="649"/>
    </row>
    <row r="555" spans="1:10">
      <c r="A555" s="33"/>
      <c r="B555" s="674">
        <v>41023</v>
      </c>
      <c r="C555" s="675">
        <v>9.5000000000000001E-2</v>
      </c>
      <c r="D555" s="661">
        <v>3.1563855614973255E-2</v>
      </c>
      <c r="E555" s="661">
        <v>4.4454545454545455E-2</v>
      </c>
      <c r="F555" s="676">
        <f t="shared" si="21"/>
        <v>-3.4557426226915204</v>
      </c>
      <c r="G555" s="649">
        <f t="shared" si="22"/>
        <v>1.28906898395722E-2</v>
      </c>
      <c r="H555" s="677">
        <v>26.345240641711225</v>
      </c>
      <c r="I555" s="649">
        <f t="shared" si="23"/>
        <v>6.3436144385026746E-2</v>
      </c>
      <c r="J555" s="649"/>
    </row>
    <row r="556" spans="1:10">
      <c r="A556" s="33"/>
      <c r="B556" s="674">
        <v>41023</v>
      </c>
      <c r="C556" s="675">
        <v>9.7500000000000003E-2</v>
      </c>
      <c r="D556" s="661">
        <v>3.1563855614973255E-2</v>
      </c>
      <c r="E556" s="661">
        <v>4.4454545454545455E-2</v>
      </c>
      <c r="F556" s="676">
        <f t="shared" si="21"/>
        <v>-3.4557426226915204</v>
      </c>
      <c r="G556" s="649">
        <f t="shared" si="22"/>
        <v>1.28906898395722E-2</v>
      </c>
      <c r="H556" s="677">
        <v>26.345240641711225</v>
      </c>
      <c r="I556" s="649">
        <f t="shared" si="23"/>
        <v>6.5936144385026749E-2</v>
      </c>
      <c r="J556" s="649"/>
    </row>
    <row r="557" spans="1:10">
      <c r="A557" s="33"/>
      <c r="B557" s="674">
        <v>41036</v>
      </c>
      <c r="C557" s="675">
        <v>9.8000000000000004E-2</v>
      </c>
      <c r="D557" s="661">
        <v>3.1312978609625661E-2</v>
      </c>
      <c r="E557" s="661">
        <v>4.4166844919786098E-2</v>
      </c>
      <c r="F557" s="676">
        <f t="shared" si="21"/>
        <v>-3.4637226153157221</v>
      </c>
      <c r="G557" s="649">
        <f t="shared" si="22"/>
        <v>1.2853866310160438E-2</v>
      </c>
      <c r="H557" s="677">
        <v>25.747005347593579</v>
      </c>
      <c r="I557" s="649">
        <f t="shared" si="23"/>
        <v>6.6687021390374343E-2</v>
      </c>
      <c r="J557" s="649"/>
    </row>
    <row r="558" spans="1:10">
      <c r="A558" s="33"/>
      <c r="B558" s="674">
        <v>41051</v>
      </c>
      <c r="C558" s="675">
        <v>9.6000000000000002E-2</v>
      </c>
      <c r="D558" s="661">
        <v>3.0966021390374326E-2</v>
      </c>
      <c r="E558" s="661">
        <v>4.3912834224598907E-2</v>
      </c>
      <c r="F558" s="676">
        <f t="shared" si="21"/>
        <v>-3.4748647598180371</v>
      </c>
      <c r="G558" s="649">
        <f t="shared" si="22"/>
        <v>1.294681283422458E-2</v>
      </c>
      <c r="H558" s="677">
        <v>24.800802139037437</v>
      </c>
      <c r="I558" s="649">
        <f t="shared" si="23"/>
        <v>6.5033978609625676E-2</v>
      </c>
      <c r="J558" s="649"/>
    </row>
    <row r="559" spans="1:10">
      <c r="A559" s="33"/>
      <c r="B559" s="674">
        <v>41053</v>
      </c>
      <c r="C559" s="675">
        <v>9.6999999999999989E-2</v>
      </c>
      <c r="D559" s="661">
        <v>3.0918882352941175E-2</v>
      </c>
      <c r="E559" s="661">
        <v>4.3851871657753984E-2</v>
      </c>
      <c r="F559" s="676">
        <f t="shared" si="21"/>
        <v>-3.4763882023282062</v>
      </c>
      <c r="G559" s="649">
        <f t="shared" si="22"/>
        <v>1.2932989304812809E-2</v>
      </c>
      <c r="H559" s="677">
        <v>24.632459893048132</v>
      </c>
      <c r="I559" s="649">
        <f t="shared" si="23"/>
        <v>6.6081117647058818E-2</v>
      </c>
      <c r="J559" s="649"/>
    </row>
    <row r="560" spans="1:10">
      <c r="A560" s="33"/>
      <c r="B560" s="674">
        <v>41067</v>
      </c>
      <c r="C560" s="675">
        <v>0.10300000000000001</v>
      </c>
      <c r="D560" s="661">
        <v>3.0610267379679135E-2</v>
      </c>
      <c r="E560" s="661">
        <v>4.3597860962566834E-2</v>
      </c>
      <c r="F560" s="676">
        <f t="shared" si="21"/>
        <v>-3.4864197910195447</v>
      </c>
      <c r="G560" s="649">
        <f t="shared" si="22"/>
        <v>1.2987593582887699E-2</v>
      </c>
      <c r="H560" s="677">
        <v>24.132887700534774</v>
      </c>
      <c r="I560" s="649">
        <f t="shared" si="23"/>
        <v>7.2389732620320876E-2</v>
      </c>
      <c r="J560" s="649"/>
    </row>
    <row r="561" spans="1:10">
      <c r="A561" s="33"/>
      <c r="B561" s="674">
        <v>41075</v>
      </c>
      <c r="C561" s="675">
        <v>0.10400000000000001</v>
      </c>
      <c r="D561" s="661">
        <v>3.0531780748663088E-2</v>
      </c>
      <c r="E561" s="661">
        <v>4.3464171122994638E-2</v>
      </c>
      <c r="F561" s="676">
        <f t="shared" si="21"/>
        <v>-3.4889871461059205</v>
      </c>
      <c r="G561" s="649">
        <f t="shared" si="22"/>
        <v>1.293239037433155E-2</v>
      </c>
      <c r="H561" s="677">
        <v>23.748716577540119</v>
      </c>
      <c r="I561" s="649">
        <f t="shared" si="23"/>
        <v>7.3468219251336925E-2</v>
      </c>
      <c r="J561" s="649"/>
    </row>
    <row r="562" spans="1:10">
      <c r="A562" s="33"/>
      <c r="B562" s="674">
        <v>41078</v>
      </c>
      <c r="C562" s="675">
        <v>9.6000000000000002E-2</v>
      </c>
      <c r="D562" s="661">
        <v>3.0510759358288755E-2</v>
      </c>
      <c r="E562" s="661">
        <v>4.3442245989304802E-2</v>
      </c>
      <c r="F562" s="676">
        <f t="shared" si="21"/>
        <v>-3.4896758917304798</v>
      </c>
      <c r="G562" s="649">
        <f t="shared" si="22"/>
        <v>1.2931486631016047E-2</v>
      </c>
      <c r="H562" s="677">
        <v>23.670962566844935</v>
      </c>
      <c r="I562" s="649">
        <f t="shared" si="23"/>
        <v>6.5489240641711244E-2</v>
      </c>
      <c r="J562" s="649"/>
    </row>
    <row r="563" spans="1:10">
      <c r="A563" s="33"/>
      <c r="B563" s="674">
        <v>41092</v>
      </c>
      <c r="C563" s="675">
        <v>9.7500000000000003E-2</v>
      </c>
      <c r="D563" s="661">
        <v>3.0371021390374314E-2</v>
      </c>
      <c r="E563" s="661">
        <v>4.3267914438502642E-2</v>
      </c>
      <c r="F563" s="676">
        <f t="shared" si="21"/>
        <v>-3.4942663689333955</v>
      </c>
      <c r="G563" s="649">
        <f t="shared" si="22"/>
        <v>1.2896893048128327E-2</v>
      </c>
      <c r="H563" s="677">
        <v>22.500641711229957</v>
      </c>
      <c r="I563" s="649">
        <f t="shared" si="23"/>
        <v>6.7128978609625689E-2</v>
      </c>
      <c r="J563" s="649"/>
    </row>
    <row r="564" spans="1:10">
      <c r="A564" s="33"/>
      <c r="B564" s="674">
        <v>41206</v>
      </c>
      <c r="C564" s="675">
        <v>0.10300000000000001</v>
      </c>
      <c r="D564" s="661">
        <v>2.9224208556149753E-2</v>
      </c>
      <c r="E564" s="661">
        <v>4.1603208556149747E-2</v>
      </c>
      <c r="F564" s="676">
        <f t="shared" si="21"/>
        <v>-3.5327578530463151</v>
      </c>
      <c r="G564" s="649">
        <f t="shared" si="22"/>
        <v>1.2378999999999994E-2</v>
      </c>
      <c r="H564" s="677">
        <v>17.717593582887687</v>
      </c>
      <c r="I564" s="649">
        <f t="shared" si="23"/>
        <v>7.3775791443850255E-2</v>
      </c>
      <c r="J564" s="649"/>
    </row>
    <row r="565" spans="1:10">
      <c r="A565" s="33"/>
      <c r="B565" s="674">
        <v>41208</v>
      </c>
      <c r="C565" s="675">
        <v>9.5000000000000001E-2</v>
      </c>
      <c r="D565" s="661">
        <v>2.920211764705884E-2</v>
      </c>
      <c r="E565" s="661">
        <v>4.1566310160427819E-2</v>
      </c>
      <c r="F565" s="676">
        <f t="shared" si="21"/>
        <v>-3.5335140501779563</v>
      </c>
      <c r="G565" s="649">
        <f t="shared" si="22"/>
        <v>1.2364192513368979E-2</v>
      </c>
      <c r="H565" s="677">
        <v>17.706577540106945</v>
      </c>
      <c r="I565" s="649">
        <f t="shared" si="23"/>
        <v>6.5797882352941164E-2</v>
      </c>
      <c r="J565" s="649"/>
    </row>
    <row r="566" spans="1:10">
      <c r="A566" s="33"/>
      <c r="B566" s="674">
        <v>41213</v>
      </c>
      <c r="C566" s="675">
        <v>9.3000000000000013E-2</v>
      </c>
      <c r="D566" s="661">
        <v>2.9158385026737978E-2</v>
      </c>
      <c r="E566" s="661">
        <v>4.1509625668449207E-2</v>
      </c>
      <c r="F566" s="676">
        <f t="shared" si="21"/>
        <v>-3.5350127565462355</v>
      </c>
      <c r="G566" s="649">
        <f t="shared" si="22"/>
        <v>1.2351240641711229E-2</v>
      </c>
      <c r="H566" s="677">
        <v>17.709893048128333</v>
      </c>
      <c r="I566" s="649">
        <f t="shared" si="23"/>
        <v>6.3841614973262031E-2</v>
      </c>
      <c r="J566" s="649"/>
    </row>
    <row r="567" spans="1:10">
      <c r="A567" s="33"/>
      <c r="B567" s="674">
        <v>41213</v>
      </c>
      <c r="C567" s="675">
        <v>9.9000000000000005E-2</v>
      </c>
      <c r="D567" s="661">
        <v>2.9158385026737978E-2</v>
      </c>
      <c r="E567" s="661">
        <v>4.1509625668449207E-2</v>
      </c>
      <c r="F567" s="676">
        <f t="shared" si="21"/>
        <v>-3.5350127565462355</v>
      </c>
      <c r="G567" s="649">
        <f t="shared" si="22"/>
        <v>1.2351240641711229E-2</v>
      </c>
      <c r="H567" s="677">
        <v>17.709893048128333</v>
      </c>
      <c r="I567" s="649">
        <f t="shared" si="23"/>
        <v>6.9841614973262023E-2</v>
      </c>
      <c r="J567" s="649"/>
    </row>
    <row r="568" spans="1:10">
      <c r="A568" s="33"/>
      <c r="B568" s="674">
        <v>41213</v>
      </c>
      <c r="C568" s="675">
        <v>0.1</v>
      </c>
      <c r="D568" s="661">
        <v>2.9158385026737978E-2</v>
      </c>
      <c r="E568" s="661">
        <v>4.1509625668449207E-2</v>
      </c>
      <c r="F568" s="676">
        <f t="shared" si="21"/>
        <v>-3.5350127565462355</v>
      </c>
      <c r="G568" s="649">
        <f t="shared" si="22"/>
        <v>1.2351240641711229E-2</v>
      </c>
      <c r="H568" s="677">
        <v>17.709893048128333</v>
      </c>
      <c r="I568" s="649">
        <f t="shared" si="23"/>
        <v>7.0841614973262024E-2</v>
      </c>
      <c r="J568" s="649"/>
    </row>
    <row r="569" spans="1:10">
      <c r="A569" s="33"/>
      <c r="B569" s="674">
        <v>41214</v>
      </c>
      <c r="C569" s="675">
        <v>9.4499999999999987E-2</v>
      </c>
      <c r="D569" s="661">
        <v>2.9148422459893058E-2</v>
      </c>
      <c r="E569" s="661">
        <v>4.1482887700534765E-2</v>
      </c>
      <c r="F569" s="676">
        <f t="shared" si="21"/>
        <v>-3.5353544856640284</v>
      </c>
      <c r="G569" s="649">
        <f t="shared" si="22"/>
        <v>1.2334465240641707E-2</v>
      </c>
      <c r="H569" s="677">
        <v>17.707700534759351</v>
      </c>
      <c r="I569" s="649">
        <f t="shared" si="23"/>
        <v>6.5351577540106925E-2</v>
      </c>
      <c r="J569" s="649"/>
    </row>
    <row r="570" spans="1:10">
      <c r="A570" s="33"/>
      <c r="B570" s="674">
        <v>41221</v>
      </c>
      <c r="C570" s="675">
        <v>0.10099999999999999</v>
      </c>
      <c r="D570" s="661">
        <v>2.9070834224598958E-2</v>
      </c>
      <c r="E570" s="661">
        <v>4.1331550802139051E-2</v>
      </c>
      <c r="F570" s="676">
        <f t="shared" si="21"/>
        <v>-3.5380198677264789</v>
      </c>
      <c r="G570" s="649">
        <f t="shared" si="22"/>
        <v>1.2260716577540094E-2</v>
      </c>
      <c r="H570" s="677">
        <v>17.697914438502661</v>
      </c>
      <c r="I570" s="649">
        <f t="shared" si="23"/>
        <v>7.1929165775401038E-2</v>
      </c>
      <c r="J570" s="649"/>
    </row>
    <row r="571" spans="1:10">
      <c r="A571" s="33"/>
      <c r="B571" s="674">
        <v>41222</v>
      </c>
      <c r="C571" s="675">
        <v>0.10300000000000001</v>
      </c>
      <c r="D571" s="661">
        <v>2.9049080213903768E-2</v>
      </c>
      <c r="E571" s="661">
        <v>4.1301604278074881E-2</v>
      </c>
      <c r="F571" s="676">
        <f t="shared" si="21"/>
        <v>-3.5387684583574615</v>
      </c>
      <c r="G571" s="649">
        <f t="shared" si="22"/>
        <v>1.2252524064171114E-2</v>
      </c>
      <c r="H571" s="677">
        <v>17.695614973262018</v>
      </c>
      <c r="I571" s="649">
        <f t="shared" si="23"/>
        <v>7.3950919786096247E-2</v>
      </c>
      <c r="J571" s="649"/>
    </row>
    <row r="572" spans="1:10">
      <c r="A572" s="33"/>
      <c r="B572" s="674">
        <v>41239</v>
      </c>
      <c r="C572" s="675">
        <v>0.1</v>
      </c>
      <c r="D572" s="661">
        <v>2.8850935828877034E-2</v>
      </c>
      <c r="E572" s="661">
        <v>4.1046524064171148E-2</v>
      </c>
      <c r="F572" s="676">
        <f t="shared" ref="F572:F635" si="24">LN(D572)</f>
        <v>-3.545612848811416</v>
      </c>
      <c r="G572" s="649">
        <f t="shared" ref="G572:G635" si="25">IF(E572="","",E572-D572)</f>
        <v>1.2195588235294114E-2</v>
      </c>
      <c r="H572" s="677">
        <v>17.575828877005343</v>
      </c>
      <c r="I572" s="649">
        <f t="shared" ref="I572:I635" si="26">C572-D572</f>
        <v>7.1149064171122975E-2</v>
      </c>
      <c r="J572" s="649"/>
    </row>
    <row r="573" spans="1:10">
      <c r="A573" s="33"/>
      <c r="B573" s="674">
        <v>41241</v>
      </c>
      <c r="C573" s="675">
        <v>0.10400000000000001</v>
      </c>
      <c r="D573" s="661">
        <v>2.8809951871657788E-2</v>
      </c>
      <c r="E573" s="661">
        <v>4.0996791443850288E-2</v>
      </c>
      <c r="F573" s="676">
        <f t="shared" si="24"/>
        <v>-3.5470344004300389</v>
      </c>
      <c r="G573" s="649">
        <f t="shared" si="25"/>
        <v>1.21868395721925E-2</v>
      </c>
      <c r="H573" s="677">
        <v>17.553048128342237</v>
      </c>
      <c r="I573" s="649">
        <f t="shared" si="26"/>
        <v>7.5190048128342221E-2</v>
      </c>
      <c r="J573" s="649"/>
    </row>
    <row r="574" spans="1:10">
      <c r="A574" s="33"/>
      <c r="B574" s="674">
        <v>41241</v>
      </c>
      <c r="C574" s="675">
        <v>0.105</v>
      </c>
      <c r="D574" s="661">
        <v>2.8809951871657788E-2</v>
      </c>
      <c r="E574" s="661">
        <v>4.0996791443850288E-2</v>
      </c>
      <c r="F574" s="676">
        <f t="shared" si="24"/>
        <v>-3.5470344004300389</v>
      </c>
      <c r="G574" s="649">
        <f t="shared" si="25"/>
        <v>1.21868395721925E-2</v>
      </c>
      <c r="H574" s="677">
        <v>17.553048128342237</v>
      </c>
      <c r="I574" s="649">
        <f t="shared" si="26"/>
        <v>7.6190048128342208E-2</v>
      </c>
      <c r="J574" s="649"/>
    </row>
    <row r="575" spans="1:10">
      <c r="A575" s="33"/>
      <c r="B575" s="674">
        <v>41247</v>
      </c>
      <c r="C575" s="675">
        <v>0.1</v>
      </c>
      <c r="D575" s="661">
        <v>2.8686534759358315E-2</v>
      </c>
      <c r="E575" s="661">
        <v>4.090641711229949E-2</v>
      </c>
      <c r="F575" s="676">
        <f t="shared" si="24"/>
        <v>-3.5513274384600448</v>
      </c>
      <c r="G575" s="649">
        <f t="shared" si="25"/>
        <v>1.2219882352941174E-2</v>
      </c>
      <c r="H575" s="677">
        <v>17.496417112299454</v>
      </c>
      <c r="I575" s="649">
        <f t="shared" si="26"/>
        <v>7.1313465240641694E-2</v>
      </c>
      <c r="J575" s="649"/>
    </row>
    <row r="576" spans="1:10">
      <c r="A576" s="33"/>
      <c r="B576" s="674">
        <v>41247</v>
      </c>
      <c r="C576" s="675">
        <v>0.105</v>
      </c>
      <c r="D576" s="661">
        <v>2.8686534759358315E-2</v>
      </c>
      <c r="E576" s="661">
        <v>4.090641711229949E-2</v>
      </c>
      <c r="F576" s="676">
        <f t="shared" si="24"/>
        <v>-3.5513274384600448</v>
      </c>
      <c r="G576" s="649">
        <f t="shared" si="25"/>
        <v>1.2219882352941174E-2</v>
      </c>
      <c r="H576" s="677">
        <v>17.496417112299454</v>
      </c>
      <c r="I576" s="649">
        <f t="shared" si="26"/>
        <v>7.6313465240641684E-2</v>
      </c>
      <c r="J576" s="649"/>
    </row>
    <row r="577" spans="1:10">
      <c r="A577" s="33"/>
      <c r="B577" s="674">
        <v>41263</v>
      </c>
      <c r="C577" s="675">
        <v>9.5000000000000001E-2</v>
      </c>
      <c r="D577" s="661">
        <v>2.8380326203208569E-2</v>
      </c>
      <c r="E577" s="661">
        <v>4.0570588235294129E-2</v>
      </c>
      <c r="F577" s="676">
        <f t="shared" si="24"/>
        <v>-3.5620591131933739</v>
      </c>
      <c r="G577" s="649">
        <f t="shared" si="25"/>
        <v>1.219026203208556E-2</v>
      </c>
      <c r="H577" s="677">
        <v>17.550802139037426</v>
      </c>
      <c r="I577" s="649">
        <f t="shared" si="26"/>
        <v>6.6619673796791429E-2</v>
      </c>
      <c r="J577" s="649"/>
    </row>
    <row r="578" spans="1:10">
      <c r="A578" s="33"/>
      <c r="B578" s="674">
        <v>41263</v>
      </c>
      <c r="C578" s="675">
        <v>0.10099999999999999</v>
      </c>
      <c r="D578" s="661">
        <v>2.8380326203208569E-2</v>
      </c>
      <c r="E578" s="661">
        <v>4.0570588235294129E-2</v>
      </c>
      <c r="F578" s="676">
        <f t="shared" si="24"/>
        <v>-3.5620591131933739</v>
      </c>
      <c r="G578" s="649">
        <f t="shared" si="25"/>
        <v>1.219026203208556E-2</v>
      </c>
      <c r="H578" s="677">
        <v>17.550802139037426</v>
      </c>
      <c r="I578" s="649">
        <f t="shared" si="26"/>
        <v>7.261967379679142E-2</v>
      </c>
      <c r="J578" s="649"/>
    </row>
    <row r="579" spans="1:10">
      <c r="A579" s="33"/>
      <c r="B579" s="674">
        <v>41263</v>
      </c>
      <c r="C579" s="675">
        <v>0.10249999999999999</v>
      </c>
      <c r="D579" s="661">
        <v>2.8380326203208569E-2</v>
      </c>
      <c r="E579" s="661">
        <v>4.0570588235294129E-2</v>
      </c>
      <c r="F579" s="676">
        <f t="shared" si="24"/>
        <v>-3.5620591131933739</v>
      </c>
      <c r="G579" s="649">
        <f t="shared" si="25"/>
        <v>1.219026203208556E-2</v>
      </c>
      <c r="H579" s="677">
        <v>17.550802139037426</v>
      </c>
      <c r="I579" s="649">
        <f t="shared" si="26"/>
        <v>7.4119673796791422E-2</v>
      </c>
      <c r="J579" s="649"/>
    </row>
    <row r="580" spans="1:10">
      <c r="A580" s="33"/>
      <c r="B580" s="674">
        <v>41263</v>
      </c>
      <c r="C580" s="675">
        <v>0.10300000000000001</v>
      </c>
      <c r="D580" s="661">
        <v>2.8380326203208569E-2</v>
      </c>
      <c r="E580" s="661">
        <v>4.0570588235294129E-2</v>
      </c>
      <c r="F580" s="676">
        <f t="shared" si="24"/>
        <v>-3.5620591131933739</v>
      </c>
      <c r="G580" s="649">
        <f t="shared" si="25"/>
        <v>1.219026203208556E-2</v>
      </c>
      <c r="H580" s="677">
        <v>17.550802139037426</v>
      </c>
      <c r="I580" s="649">
        <f t="shared" si="26"/>
        <v>7.4619673796791436E-2</v>
      </c>
      <c r="J580" s="649"/>
    </row>
    <row r="581" spans="1:10">
      <c r="A581" s="33"/>
      <c r="B581" s="674">
        <v>41263</v>
      </c>
      <c r="C581" s="675">
        <v>0.10400000000000001</v>
      </c>
      <c r="D581" s="661">
        <v>2.8380326203208569E-2</v>
      </c>
      <c r="E581" s="661">
        <v>4.0570588235294129E-2</v>
      </c>
      <c r="F581" s="676">
        <f t="shared" si="24"/>
        <v>-3.5620591131933739</v>
      </c>
      <c r="G581" s="649">
        <f t="shared" si="25"/>
        <v>1.219026203208556E-2</v>
      </c>
      <c r="H581" s="677">
        <v>17.550802139037426</v>
      </c>
      <c r="I581" s="649">
        <f t="shared" si="26"/>
        <v>7.5619673796791437E-2</v>
      </c>
      <c r="J581" s="649"/>
    </row>
    <row r="582" spans="1:10">
      <c r="A582" s="33"/>
      <c r="B582" s="674">
        <v>41263</v>
      </c>
      <c r="C582" s="675">
        <v>0.105</v>
      </c>
      <c r="D582" s="661">
        <v>2.8380326203208569E-2</v>
      </c>
      <c r="E582" s="661">
        <v>4.0570588235294129E-2</v>
      </c>
      <c r="F582" s="676">
        <f t="shared" si="24"/>
        <v>-3.5620591131933739</v>
      </c>
      <c r="G582" s="649">
        <f t="shared" si="25"/>
        <v>1.219026203208556E-2</v>
      </c>
      <c r="H582" s="677">
        <v>17.550802139037426</v>
      </c>
      <c r="I582" s="649">
        <f t="shared" si="26"/>
        <v>7.6619673796791424E-2</v>
      </c>
      <c r="J582" s="649"/>
    </row>
    <row r="583" spans="1:10">
      <c r="A583" s="33"/>
      <c r="B583" s="674">
        <v>41269</v>
      </c>
      <c r="C583" s="675">
        <v>9.8000000000000004E-2</v>
      </c>
      <c r="D583" s="661">
        <v>2.8307347593582905E-2</v>
      </c>
      <c r="E583" s="661">
        <v>4.049679144385028E-2</v>
      </c>
      <c r="F583" s="676">
        <f t="shared" si="24"/>
        <v>-3.5646338757494918</v>
      </c>
      <c r="G583" s="649">
        <f t="shared" si="25"/>
        <v>1.2189443850267375E-2</v>
      </c>
      <c r="H583" s="677">
        <v>17.603422459893036</v>
      </c>
      <c r="I583" s="649">
        <f t="shared" si="26"/>
        <v>6.9692652406417102E-2</v>
      </c>
      <c r="J583" s="649"/>
    </row>
    <row r="584" spans="1:10">
      <c r="A584" s="33"/>
      <c r="B584" s="674">
        <v>41327</v>
      </c>
      <c r="C584" s="675">
        <v>9.6000000000000002E-2</v>
      </c>
      <c r="D584" s="661">
        <v>2.860982352941176E-2</v>
      </c>
      <c r="E584" s="661">
        <v>4.0134224598930478E-2</v>
      </c>
      <c r="F584" s="676">
        <f t="shared" si="24"/>
        <v>-3.5540051400827357</v>
      </c>
      <c r="G584" s="649">
        <f t="shared" si="25"/>
        <v>1.1524401069518717E-2</v>
      </c>
      <c r="H584" s="677">
        <v>16.577486631016043</v>
      </c>
      <c r="I584" s="649">
        <f t="shared" si="26"/>
        <v>6.7390176470588245E-2</v>
      </c>
      <c r="J584" s="649"/>
    </row>
    <row r="585" spans="1:10">
      <c r="A585" s="33"/>
      <c r="B585" s="674">
        <v>41347</v>
      </c>
      <c r="C585" s="675">
        <v>9.3000000000000013E-2</v>
      </c>
      <c r="D585" s="661">
        <v>2.893312834224598E-2</v>
      </c>
      <c r="E585" s="661">
        <v>4.018823529411765E-2</v>
      </c>
      <c r="F585" s="676">
        <f t="shared" si="24"/>
        <v>-3.542768030954456</v>
      </c>
      <c r="G585" s="649">
        <f t="shared" si="25"/>
        <v>1.1255106951871669E-2</v>
      </c>
      <c r="H585" s="677">
        <v>15.88267379679144</v>
      </c>
      <c r="I585" s="649">
        <f t="shared" si="26"/>
        <v>6.4066871657754029E-2</v>
      </c>
      <c r="J585" s="649"/>
    </row>
    <row r="586" spans="1:10">
      <c r="A586" s="33"/>
      <c r="B586" s="674">
        <v>41360</v>
      </c>
      <c r="C586" s="675">
        <v>9.8000000000000004E-2</v>
      </c>
      <c r="D586" s="661">
        <v>2.9151304812834223E-2</v>
      </c>
      <c r="E586" s="661">
        <v>4.0240106951871663E-2</v>
      </c>
      <c r="F586" s="676">
        <f t="shared" si="24"/>
        <v>-3.5352556051690982</v>
      </c>
      <c r="G586" s="649">
        <f t="shared" si="25"/>
        <v>1.108880213903744E-2</v>
      </c>
      <c r="H586" s="677">
        <v>15.582780748663097</v>
      </c>
      <c r="I586" s="649">
        <f t="shared" si="26"/>
        <v>6.8848695187165784E-2</v>
      </c>
      <c r="J586" s="649"/>
    </row>
    <row r="587" spans="1:10">
      <c r="A587" s="33"/>
      <c r="B587" s="674">
        <v>41387</v>
      </c>
      <c r="C587" s="675">
        <v>9.8000000000000004E-2</v>
      </c>
      <c r="D587" s="661">
        <v>2.9552860962566846E-2</v>
      </c>
      <c r="E587" s="661">
        <v>4.0272727272727273E-2</v>
      </c>
      <c r="F587" s="676">
        <f t="shared" si="24"/>
        <v>-3.5215747221324021</v>
      </c>
      <c r="G587" s="649">
        <f t="shared" si="25"/>
        <v>1.0719866310160427E-2</v>
      </c>
      <c r="H587" s="677">
        <v>15.250160427807483</v>
      </c>
      <c r="I587" s="649">
        <f t="shared" si="26"/>
        <v>6.8447139037433158E-2</v>
      </c>
      <c r="J587" s="649"/>
    </row>
    <row r="588" spans="1:10">
      <c r="A588" s="33"/>
      <c r="B588" s="674">
        <v>41404</v>
      </c>
      <c r="C588" s="675">
        <v>9.2499999999999999E-2</v>
      </c>
      <c r="D588" s="661">
        <v>2.9628743315508018E-2</v>
      </c>
      <c r="E588" s="661">
        <v>4.0351336898395727E-2</v>
      </c>
      <c r="F588" s="676">
        <f t="shared" si="24"/>
        <v>-3.5190103308675491</v>
      </c>
      <c r="G588" s="649">
        <f t="shared" si="25"/>
        <v>1.0722593582887709E-2</v>
      </c>
      <c r="H588" s="677">
        <v>14.967593582887694</v>
      </c>
      <c r="I588" s="649">
        <f t="shared" si="26"/>
        <v>6.2871256684491977E-2</v>
      </c>
      <c r="J588" s="649"/>
    </row>
    <row r="589" spans="1:10">
      <c r="A589" s="33"/>
      <c r="B589" s="674">
        <v>41438</v>
      </c>
      <c r="C589" s="675">
        <v>9.4E-2</v>
      </c>
      <c r="D589" s="661">
        <v>3.0137759358288777E-2</v>
      </c>
      <c r="E589" s="661">
        <v>4.0734759358288776E-2</v>
      </c>
      <c r="F589" s="676">
        <f t="shared" si="24"/>
        <v>-3.5019764296789857</v>
      </c>
      <c r="G589" s="649">
        <f t="shared" si="25"/>
        <v>1.0596999999999999E-2</v>
      </c>
      <c r="H589" s="677">
        <v>14.866256684491969</v>
      </c>
      <c r="I589" s="649">
        <f t="shared" si="26"/>
        <v>6.3862240641711226E-2</v>
      </c>
      <c r="J589" s="649"/>
    </row>
    <row r="590" spans="1:10">
      <c r="A590" s="33"/>
      <c r="B590" s="674">
        <v>41443</v>
      </c>
      <c r="C590" s="675">
        <v>9.2799999999999994E-2</v>
      </c>
      <c r="D590" s="661">
        <v>3.0221026737967924E-2</v>
      </c>
      <c r="E590" s="661">
        <v>4.0783957219251335E-2</v>
      </c>
      <c r="F590" s="676">
        <f t="shared" si="24"/>
        <v>-3.4992173472690333</v>
      </c>
      <c r="G590" s="649">
        <f t="shared" si="25"/>
        <v>1.0562930481283411E-2</v>
      </c>
      <c r="H590" s="677">
        <v>14.90588235294117</v>
      </c>
      <c r="I590" s="649">
        <f t="shared" si="26"/>
        <v>6.2578973262032073E-2</v>
      </c>
      <c r="J590" s="649"/>
    </row>
    <row r="591" spans="1:10">
      <c r="A591" s="33"/>
      <c r="B591" s="674">
        <v>41443</v>
      </c>
      <c r="C591" s="675">
        <v>9.2799999999999994E-2</v>
      </c>
      <c r="D591" s="661">
        <v>3.0221026737967924E-2</v>
      </c>
      <c r="E591" s="661">
        <v>4.0783957219251335E-2</v>
      </c>
      <c r="F591" s="676">
        <f t="shared" si="24"/>
        <v>-3.4992173472690333</v>
      </c>
      <c r="G591" s="649">
        <f t="shared" si="25"/>
        <v>1.0562930481283411E-2</v>
      </c>
      <c r="H591" s="677">
        <v>14.90588235294117</v>
      </c>
      <c r="I591" s="649">
        <f t="shared" si="26"/>
        <v>6.2578973262032073E-2</v>
      </c>
      <c r="J591" s="649"/>
    </row>
    <row r="592" spans="1:10">
      <c r="A592" s="33"/>
      <c r="B592" s="674">
        <v>41450</v>
      </c>
      <c r="C592" s="675">
        <v>9.8000000000000004E-2</v>
      </c>
      <c r="D592" s="661">
        <v>3.0400775401069533E-2</v>
      </c>
      <c r="E592" s="661">
        <v>4.093422459893048E-2</v>
      </c>
      <c r="F592" s="676">
        <f t="shared" si="24"/>
        <v>-3.4932871642811198</v>
      </c>
      <c r="G592" s="649">
        <f t="shared" si="25"/>
        <v>1.0533449197860947E-2</v>
      </c>
      <c r="H592" s="677">
        <v>15.036096256684484</v>
      </c>
      <c r="I592" s="649">
        <f t="shared" si="26"/>
        <v>6.7599224598930474E-2</v>
      </c>
      <c r="J592" s="649"/>
    </row>
    <row r="593" spans="1:10">
      <c r="A593" s="33"/>
      <c r="B593" s="674">
        <v>41540</v>
      </c>
      <c r="C593" s="675">
        <v>9.6000000000000002E-2</v>
      </c>
      <c r="D593" s="661">
        <v>3.3251941176470588E-2</v>
      </c>
      <c r="E593" s="661">
        <v>4.3665240641711192E-2</v>
      </c>
      <c r="F593" s="676">
        <f t="shared" si="24"/>
        <v>-3.4036421323371568</v>
      </c>
      <c r="G593" s="649">
        <f t="shared" si="25"/>
        <v>1.0413299465240604E-2</v>
      </c>
      <c r="H593" s="677">
        <v>14.334598930481294</v>
      </c>
      <c r="I593" s="649">
        <f t="shared" si="26"/>
        <v>6.2748058823529407E-2</v>
      </c>
      <c r="J593" s="649"/>
    </row>
    <row r="594" spans="1:10">
      <c r="A594" s="33"/>
      <c r="B594" s="674">
        <v>41584</v>
      </c>
      <c r="C594" s="675">
        <v>0.10199999999999999</v>
      </c>
      <c r="D594" s="661">
        <v>3.4223679144385025E-2</v>
      </c>
      <c r="E594" s="661">
        <v>4.4595187165775409E-2</v>
      </c>
      <c r="F594" s="676">
        <f t="shared" si="24"/>
        <v>-3.3748375018501</v>
      </c>
      <c r="G594" s="649">
        <f t="shared" si="25"/>
        <v>1.0371508021390384E-2</v>
      </c>
      <c r="H594" s="677">
        <v>14.459090909090911</v>
      </c>
      <c r="I594" s="649">
        <f t="shared" si="26"/>
        <v>6.7776320855614969E-2</v>
      </c>
      <c r="J594" s="649"/>
    </row>
    <row r="595" spans="1:10">
      <c r="A595" s="33"/>
      <c r="B595" s="674">
        <v>41591</v>
      </c>
      <c r="C595" s="675">
        <v>9.8400000000000001E-2</v>
      </c>
      <c r="D595" s="661">
        <v>3.4399368983957214E-2</v>
      </c>
      <c r="E595" s="661">
        <v>4.4725668449197863E-2</v>
      </c>
      <c r="F595" s="676">
        <f t="shared" si="24"/>
        <v>-3.3697170582606439</v>
      </c>
      <c r="G595" s="649">
        <f t="shared" si="25"/>
        <v>1.0326299465240649E-2</v>
      </c>
      <c r="H595" s="677">
        <v>14.467807486631015</v>
      </c>
      <c r="I595" s="649">
        <f t="shared" si="26"/>
        <v>6.400063101604278E-2</v>
      </c>
      <c r="J595" s="649"/>
    </row>
    <row r="596" spans="1:10">
      <c r="A596" s="33"/>
      <c r="B596" s="674">
        <v>41592</v>
      </c>
      <c r="C596" s="675">
        <v>0.10249999999999999</v>
      </c>
      <c r="D596" s="661">
        <v>3.443724598930481E-2</v>
      </c>
      <c r="E596" s="661">
        <v>4.475721925133691E-2</v>
      </c>
      <c r="F596" s="676">
        <f t="shared" si="24"/>
        <v>-3.3686165680873557</v>
      </c>
      <c r="G596" s="649">
        <f t="shared" si="25"/>
        <v>1.0319973262032101E-2</v>
      </c>
      <c r="H596" s="677">
        <v>14.455454545454543</v>
      </c>
      <c r="I596" s="649">
        <f t="shared" si="26"/>
        <v>6.8062754010695184E-2</v>
      </c>
      <c r="J596" s="649"/>
    </row>
    <row r="597" spans="1:10">
      <c r="A597" s="33"/>
      <c r="B597" s="674">
        <v>41600</v>
      </c>
      <c r="C597" s="675">
        <v>9.5000000000000001E-2</v>
      </c>
      <c r="D597" s="661">
        <v>3.4672417112299458E-2</v>
      </c>
      <c r="E597" s="661">
        <v>4.4956149732620312E-2</v>
      </c>
      <c r="F597" s="676">
        <f t="shared" si="24"/>
        <v>-3.3618108040257404</v>
      </c>
      <c r="G597" s="649">
        <f t="shared" si="25"/>
        <v>1.0283732620320854E-2</v>
      </c>
      <c r="H597" s="677">
        <v>14.356577540106949</v>
      </c>
      <c r="I597" s="649">
        <f t="shared" si="26"/>
        <v>6.0327582887700543E-2</v>
      </c>
      <c r="J597" s="649"/>
    </row>
    <row r="598" spans="1:10">
      <c r="A598" s="33"/>
      <c r="B598" s="674">
        <v>41613</v>
      </c>
      <c r="C598" s="675">
        <v>0.10199999999999999</v>
      </c>
      <c r="D598" s="661">
        <v>3.4975743315508019E-2</v>
      </c>
      <c r="E598" s="661">
        <v>4.5227807486631015E-2</v>
      </c>
      <c r="F598" s="676">
        <f t="shared" si="24"/>
        <v>-3.3531005058899379</v>
      </c>
      <c r="G598" s="649">
        <f t="shared" si="25"/>
        <v>1.0252064171122996E-2</v>
      </c>
      <c r="H598" s="677">
        <v>14.383208556149729</v>
      </c>
      <c r="I598" s="649">
        <f t="shared" si="26"/>
        <v>6.7024256684491967E-2</v>
      </c>
      <c r="J598" s="649"/>
    </row>
    <row r="599" spans="1:10">
      <c r="A599" s="33"/>
      <c r="B599" s="674">
        <v>41621</v>
      </c>
      <c r="C599" s="675">
        <v>9.6000000000000002E-2</v>
      </c>
      <c r="D599" s="661">
        <v>3.5210727272727255E-2</v>
      </c>
      <c r="E599" s="661">
        <v>4.5406951871657754E-2</v>
      </c>
      <c r="F599" s="676">
        <f t="shared" si="24"/>
        <v>-3.3464044907394492</v>
      </c>
      <c r="G599" s="649">
        <f t="shared" si="25"/>
        <v>1.0196224598930499E-2</v>
      </c>
      <c r="H599" s="677">
        <v>14.453048128342241</v>
      </c>
      <c r="I599" s="649">
        <f t="shared" si="26"/>
        <v>6.0789272727272747E-2</v>
      </c>
      <c r="J599" s="649"/>
    </row>
    <row r="600" spans="1:10">
      <c r="A600" s="33"/>
      <c r="B600" s="674">
        <v>41624</v>
      </c>
      <c r="C600" s="675">
        <v>9.7299999999999998E-2</v>
      </c>
      <c r="D600" s="661">
        <v>3.5253053475935811E-2</v>
      </c>
      <c r="E600" s="661">
        <v>4.5441711229946516E-2</v>
      </c>
      <c r="F600" s="676">
        <f t="shared" si="24"/>
        <v>-3.345203130044649</v>
      </c>
      <c r="G600" s="649">
        <f t="shared" si="25"/>
        <v>1.0188657754010705E-2</v>
      </c>
      <c r="H600" s="677">
        <v>14.463957219251331</v>
      </c>
      <c r="I600" s="649">
        <f t="shared" si="26"/>
        <v>6.2046946524064187E-2</v>
      </c>
      <c r="J600" s="649"/>
    </row>
    <row r="601" spans="1:10">
      <c r="A601" s="33"/>
      <c r="B601" s="674">
        <v>41625</v>
      </c>
      <c r="C601" s="675">
        <v>0.1</v>
      </c>
      <c r="D601" s="661">
        <v>3.5293887700534744E-2</v>
      </c>
      <c r="E601" s="661">
        <v>4.5472192513368981E-2</v>
      </c>
      <c r="F601" s="676">
        <f t="shared" si="24"/>
        <v>-3.3440454829949462</v>
      </c>
      <c r="G601" s="649">
        <f t="shared" si="25"/>
        <v>1.0178304812834237E-2</v>
      </c>
      <c r="H601" s="677">
        <v>14.478074866310155</v>
      </c>
      <c r="I601" s="649">
        <f t="shared" si="26"/>
        <v>6.4706112299465268E-2</v>
      </c>
      <c r="J601" s="649"/>
    </row>
    <row r="602" spans="1:10">
      <c r="A602" s="33"/>
      <c r="B602" s="674">
        <v>41626</v>
      </c>
      <c r="C602" s="675">
        <v>9.0800000000000006E-2</v>
      </c>
      <c r="D602" s="661">
        <v>3.5338390374331528E-2</v>
      </c>
      <c r="E602" s="661">
        <v>4.5505347593582893E-2</v>
      </c>
      <c r="F602" s="676">
        <f t="shared" si="24"/>
        <v>-3.3427853599775781</v>
      </c>
      <c r="G602" s="649">
        <f t="shared" si="25"/>
        <v>1.0166957219251364E-2</v>
      </c>
      <c r="H602" s="677">
        <v>14.478395721925127</v>
      </c>
      <c r="I602" s="649">
        <f t="shared" si="26"/>
        <v>5.5461609625668477E-2</v>
      </c>
      <c r="J602" s="649"/>
    </row>
    <row r="603" spans="1:10">
      <c r="A603" s="33"/>
      <c r="B603" s="674">
        <v>41631</v>
      </c>
      <c r="C603" s="675">
        <v>9.7200000000000009E-2</v>
      </c>
      <c r="D603" s="661">
        <v>3.5468973262032057E-2</v>
      </c>
      <c r="E603" s="661">
        <v>4.5597860962566843E-2</v>
      </c>
      <c r="F603" s="676">
        <f t="shared" si="24"/>
        <v>-3.3390969572738141</v>
      </c>
      <c r="G603" s="649">
        <f t="shared" si="25"/>
        <v>1.0128887700534786E-2</v>
      </c>
      <c r="H603" s="677">
        <v>14.491016042780741</v>
      </c>
      <c r="I603" s="649">
        <f t="shared" si="26"/>
        <v>6.1731026737967952E-2</v>
      </c>
      <c r="J603" s="649"/>
    </row>
    <row r="604" spans="1:10">
      <c r="A604" s="33"/>
      <c r="B604" s="674">
        <v>41638</v>
      </c>
      <c r="C604" s="675">
        <v>0.1</v>
      </c>
      <c r="D604" s="661">
        <v>3.5726844919786067E-2</v>
      </c>
      <c r="E604" s="661">
        <v>4.5738502673796796E-2</v>
      </c>
      <c r="F604" s="676">
        <f t="shared" si="24"/>
        <v>-3.33185291423829</v>
      </c>
      <c r="G604" s="649">
        <f t="shared" si="25"/>
        <v>1.0011657754010729E-2</v>
      </c>
      <c r="H604" s="677">
        <v>14.47160427807486</v>
      </c>
      <c r="I604" s="649">
        <f t="shared" si="26"/>
        <v>6.4273155080213945E-2</v>
      </c>
      <c r="J604" s="649"/>
    </row>
    <row r="605" spans="1:10">
      <c r="A605" s="33"/>
      <c r="B605" s="674">
        <v>41660</v>
      </c>
      <c r="C605" s="675">
        <v>9.6500000000000002E-2</v>
      </c>
      <c r="D605" s="661">
        <v>3.6552839572192485E-2</v>
      </c>
      <c r="E605" s="661">
        <v>4.6267914438502679E-2</v>
      </c>
      <c r="F605" s="676">
        <f t="shared" si="24"/>
        <v>-3.3089964057304013</v>
      </c>
      <c r="G605" s="649">
        <f t="shared" si="25"/>
        <v>9.7150748663101943E-3</v>
      </c>
      <c r="H605" s="677">
        <v>14.38283422459893</v>
      </c>
      <c r="I605" s="649">
        <f t="shared" si="26"/>
        <v>5.9947160427807518E-2</v>
      </c>
      <c r="J605" s="649"/>
    </row>
    <row r="606" spans="1:10">
      <c r="A606" s="33"/>
      <c r="B606" s="674">
        <v>41661</v>
      </c>
      <c r="C606" s="675">
        <v>9.1799999999999993E-2</v>
      </c>
      <c r="D606" s="661">
        <v>3.6594721925133661E-2</v>
      </c>
      <c r="E606" s="661">
        <v>4.6302139037433167E-2</v>
      </c>
      <c r="F606" s="676">
        <f t="shared" si="24"/>
        <v>-3.3078512586698361</v>
      </c>
      <c r="G606" s="649">
        <f t="shared" si="25"/>
        <v>9.7074171122995059E-3</v>
      </c>
      <c r="H606" s="677">
        <v>14.378663101604278</v>
      </c>
      <c r="I606" s="649">
        <f t="shared" si="26"/>
        <v>5.5205278074866332E-2</v>
      </c>
      <c r="J606" s="649"/>
    </row>
    <row r="607" spans="1:10">
      <c r="A607" s="33"/>
      <c r="B607" s="674">
        <v>41690</v>
      </c>
      <c r="C607" s="675">
        <v>9.3000000000000013E-2</v>
      </c>
      <c r="D607" s="661">
        <v>3.7144631016042755E-2</v>
      </c>
      <c r="E607" s="661">
        <v>4.6797860962566849E-2</v>
      </c>
      <c r="F607" s="676">
        <f t="shared" si="24"/>
        <v>-3.2929360400380774</v>
      </c>
      <c r="G607" s="649">
        <f t="shared" si="25"/>
        <v>9.6532299465240945E-3</v>
      </c>
      <c r="H607" s="677">
        <v>14.718609625668455</v>
      </c>
      <c r="I607" s="649">
        <f t="shared" si="26"/>
        <v>5.5855368983957258E-2</v>
      </c>
      <c r="J607" s="649"/>
    </row>
    <row r="608" spans="1:10">
      <c r="A608" s="33"/>
      <c r="B608" s="674">
        <v>41691</v>
      </c>
      <c r="C608" s="675">
        <v>9.849999999999999E-2</v>
      </c>
      <c r="D608" s="661">
        <v>3.7168540106951843E-2</v>
      </c>
      <c r="E608" s="661">
        <v>4.6814438502673798E-2</v>
      </c>
      <c r="F608" s="676">
        <f t="shared" si="24"/>
        <v>-3.2922925715553646</v>
      </c>
      <c r="G608" s="649">
        <f t="shared" si="25"/>
        <v>9.6458983957219552E-3</v>
      </c>
      <c r="H608" s="677">
        <v>14.722299465240646</v>
      </c>
      <c r="I608" s="649">
        <f t="shared" si="26"/>
        <v>6.1331459893048147E-2</v>
      </c>
      <c r="J608" s="649"/>
    </row>
    <row r="609" spans="1:10">
      <c r="A609" s="33"/>
      <c r="B609" s="674">
        <v>41698</v>
      </c>
      <c r="C609" s="675">
        <v>9.5500000000000002E-2</v>
      </c>
      <c r="D609" s="661">
        <v>3.725001069518713E-2</v>
      </c>
      <c r="E609" s="661">
        <v>4.6871657754010691E-2</v>
      </c>
      <c r="F609" s="676">
        <f t="shared" si="24"/>
        <v>-3.2901030470374923</v>
      </c>
      <c r="G609" s="649">
        <f t="shared" si="25"/>
        <v>9.6216470588235611E-3</v>
      </c>
      <c r="H609" s="677">
        <v>14.689518716577544</v>
      </c>
      <c r="I609" s="649">
        <f t="shared" si="26"/>
        <v>5.8249989304812871E-2</v>
      </c>
      <c r="J609" s="649"/>
    </row>
    <row r="610" spans="1:10">
      <c r="A610" s="33"/>
      <c r="B610" s="674">
        <v>41714</v>
      </c>
      <c r="C610" s="675">
        <v>9.7200000000000009E-2</v>
      </c>
      <c r="D610" s="661">
        <v>3.7356085561497304E-2</v>
      </c>
      <c r="E610" s="661">
        <v>4.6760695187165767E-2</v>
      </c>
      <c r="F610" s="676">
        <f t="shared" si="24"/>
        <v>-3.2872594473020893</v>
      </c>
      <c r="G610" s="649">
        <f t="shared" si="25"/>
        <v>9.4046096256684628E-3</v>
      </c>
      <c r="H610" s="677">
        <v>14.597647058823529</v>
      </c>
      <c r="I610" s="649">
        <f t="shared" si="26"/>
        <v>5.9843914438502704E-2</v>
      </c>
      <c r="J610" s="649"/>
    </row>
    <row r="611" spans="1:10">
      <c r="A611" s="33"/>
      <c r="B611" s="674">
        <v>41750</v>
      </c>
      <c r="C611" s="675">
        <v>9.5000000000000001E-2</v>
      </c>
      <c r="D611" s="661">
        <v>3.7302614973262052E-2</v>
      </c>
      <c r="E611" s="661">
        <v>4.6649732620320843E-2</v>
      </c>
      <c r="F611" s="676">
        <f t="shared" si="24"/>
        <v>-3.2886918482679439</v>
      </c>
      <c r="G611" s="649">
        <f t="shared" si="25"/>
        <v>9.3471176470587905E-3</v>
      </c>
      <c r="H611" s="677">
        <v>14.461229946524062</v>
      </c>
      <c r="I611" s="649">
        <f t="shared" si="26"/>
        <v>5.7697385026737949E-2</v>
      </c>
      <c r="J611" s="649"/>
    </row>
    <row r="612" spans="1:10">
      <c r="A612" s="33"/>
      <c r="B612" s="674">
        <v>41751</v>
      </c>
      <c r="C612" s="675">
        <v>9.8000000000000004E-2</v>
      </c>
      <c r="D612" s="661">
        <v>3.7292449197860983E-2</v>
      </c>
      <c r="E612" s="661">
        <v>4.6639037433155076E-2</v>
      </c>
      <c r="F612" s="676">
        <f t="shared" si="24"/>
        <v>-3.2889644071986708</v>
      </c>
      <c r="G612" s="649">
        <f t="shared" si="25"/>
        <v>9.3465882352940927E-3</v>
      </c>
      <c r="H612" s="677">
        <v>14.461283422459893</v>
      </c>
      <c r="I612" s="649">
        <f t="shared" si="26"/>
        <v>6.0707550802139021E-2</v>
      </c>
      <c r="J612" s="649"/>
    </row>
    <row r="613" spans="1:10">
      <c r="A613" s="33"/>
      <c r="B613" s="674">
        <v>41767</v>
      </c>
      <c r="C613" s="675">
        <v>9.0999999999999998E-2</v>
      </c>
      <c r="D613" s="661">
        <v>3.7087181818181846E-2</v>
      </c>
      <c r="E613" s="661">
        <v>4.6422459893048107E-2</v>
      </c>
      <c r="F613" s="676">
        <f t="shared" si="24"/>
        <v>-3.2944838726219015</v>
      </c>
      <c r="G613" s="649">
        <f t="shared" si="25"/>
        <v>9.3352780748662614E-3</v>
      </c>
      <c r="H613" s="677">
        <v>14.500320855614973</v>
      </c>
      <c r="I613" s="649">
        <f t="shared" si="26"/>
        <v>5.3912818181818152E-2</v>
      </c>
      <c r="J613" s="649"/>
    </row>
    <row r="614" spans="1:10">
      <c r="A614" s="33"/>
      <c r="B614" s="674">
        <v>41767</v>
      </c>
      <c r="C614" s="675">
        <v>9.5899999999999999E-2</v>
      </c>
      <c r="D614" s="661">
        <v>3.7087181818181846E-2</v>
      </c>
      <c r="E614" s="661">
        <v>4.6422459893048107E-2</v>
      </c>
      <c r="F614" s="676">
        <f t="shared" si="24"/>
        <v>-3.2944838726219015</v>
      </c>
      <c r="G614" s="649">
        <f t="shared" si="25"/>
        <v>9.3352780748662614E-3</v>
      </c>
      <c r="H614" s="677">
        <v>14.500320855614973</v>
      </c>
      <c r="I614" s="649">
        <f t="shared" si="26"/>
        <v>5.8812818181818154E-2</v>
      </c>
      <c r="J614" s="649"/>
    </row>
    <row r="615" spans="1:10">
      <c r="A615" s="33"/>
      <c r="B615" s="674">
        <v>41796</v>
      </c>
      <c r="C615" s="675">
        <v>0.10400000000000001</v>
      </c>
      <c r="D615" s="661">
        <v>3.6622197860962595E-2</v>
      </c>
      <c r="E615" s="661">
        <v>4.5892513368983937E-2</v>
      </c>
      <c r="F615" s="676">
        <f t="shared" si="24"/>
        <v>-3.3071007234875589</v>
      </c>
      <c r="G615" s="649">
        <f t="shared" si="25"/>
        <v>9.2703155080213415E-3</v>
      </c>
      <c r="H615" s="677">
        <v>14.158502673796782</v>
      </c>
      <c r="I615" s="649">
        <f t="shared" si="26"/>
        <v>6.7377802139037407E-2</v>
      </c>
      <c r="J615" s="649"/>
    </row>
    <row r="616" spans="1:10">
      <c r="A616" s="33"/>
      <c r="B616" s="674">
        <v>41802</v>
      </c>
      <c r="C616" s="675">
        <v>0.10099999999999999</v>
      </c>
      <c r="D616" s="661">
        <v>3.6559855614973283E-2</v>
      </c>
      <c r="E616" s="661">
        <v>4.577807486631013E-2</v>
      </c>
      <c r="F616" s="676">
        <f t="shared" si="24"/>
        <v>-3.308804481666205</v>
      </c>
      <c r="G616" s="649">
        <f t="shared" si="25"/>
        <v>9.2182192513368469E-3</v>
      </c>
      <c r="H616" s="677">
        <v>14.102352941176463</v>
      </c>
      <c r="I616" s="649">
        <f t="shared" si="26"/>
        <v>6.444014438502671E-2</v>
      </c>
      <c r="J616" s="649"/>
    </row>
    <row r="617" spans="1:10">
      <c r="A617" s="33"/>
      <c r="B617" s="674">
        <v>41802</v>
      </c>
      <c r="C617" s="675">
        <v>0.10099999999999999</v>
      </c>
      <c r="D617" s="661">
        <v>3.6559855614973283E-2</v>
      </c>
      <c r="E617" s="661">
        <v>4.577807486631013E-2</v>
      </c>
      <c r="F617" s="676">
        <f t="shared" si="24"/>
        <v>-3.308804481666205</v>
      </c>
      <c r="G617" s="649">
        <f t="shared" si="25"/>
        <v>9.2182192513368469E-3</v>
      </c>
      <c r="H617" s="677">
        <v>14.102352941176463</v>
      </c>
      <c r="I617" s="649">
        <f t="shared" si="26"/>
        <v>6.444014438502671E-2</v>
      </c>
      <c r="J617" s="649"/>
    </row>
    <row r="618" spans="1:10">
      <c r="A618" s="33"/>
      <c r="B618" s="674">
        <v>41802</v>
      </c>
      <c r="C618" s="675">
        <v>0.10099999999999999</v>
      </c>
      <c r="D618" s="661">
        <v>3.6559855614973283E-2</v>
      </c>
      <c r="E618" s="661">
        <v>4.577807486631013E-2</v>
      </c>
      <c r="F618" s="676">
        <f t="shared" si="24"/>
        <v>-3.308804481666205</v>
      </c>
      <c r="G618" s="649">
        <f t="shared" si="25"/>
        <v>9.2182192513368469E-3</v>
      </c>
      <c r="H618" s="677">
        <v>14.102352941176463</v>
      </c>
      <c r="I618" s="649">
        <f t="shared" si="26"/>
        <v>6.444014438502671E-2</v>
      </c>
      <c r="J618" s="649"/>
    </row>
    <row r="619" spans="1:10">
      <c r="A619" s="33"/>
      <c r="B619" s="674">
        <v>41827</v>
      </c>
      <c r="C619" s="675">
        <v>9.3000000000000013E-2</v>
      </c>
      <c r="D619" s="661">
        <v>3.6292818181818211E-2</v>
      </c>
      <c r="E619" s="661">
        <v>4.5362032085561478E-2</v>
      </c>
      <c r="F619" s="676">
        <f t="shared" si="24"/>
        <v>-3.3161354035163826</v>
      </c>
      <c r="G619" s="649">
        <f t="shared" si="25"/>
        <v>9.0692139037432673E-3</v>
      </c>
      <c r="H619" s="677">
        <v>13.773422459893045</v>
      </c>
      <c r="I619" s="649">
        <f t="shared" si="26"/>
        <v>5.6707181818181802E-2</v>
      </c>
      <c r="J619" s="649"/>
    </row>
    <row r="620" spans="1:10">
      <c r="A620" s="33"/>
      <c r="B620" s="674">
        <v>41845</v>
      </c>
      <c r="C620" s="675">
        <v>9.3000000000000013E-2</v>
      </c>
      <c r="D620" s="661">
        <v>3.6037090909090935E-2</v>
      </c>
      <c r="E620" s="661">
        <v>4.4987165775401065E-2</v>
      </c>
      <c r="F620" s="676">
        <f t="shared" si="24"/>
        <v>-3.323206567893608</v>
      </c>
      <c r="G620" s="649">
        <f t="shared" si="25"/>
        <v>8.9500748663101301E-3</v>
      </c>
      <c r="H620" s="677">
        <v>13.540695187165769</v>
      </c>
      <c r="I620" s="649">
        <f t="shared" si="26"/>
        <v>5.6962909090909078E-2</v>
      </c>
      <c r="J620" s="649"/>
    </row>
    <row r="621" spans="1:10">
      <c r="A621" s="33"/>
      <c r="B621" s="674">
        <v>41851</v>
      </c>
      <c r="C621" s="675">
        <v>9.9000000000000005E-2</v>
      </c>
      <c r="D621" s="661">
        <v>3.5922240641711255E-2</v>
      </c>
      <c r="E621" s="661">
        <v>4.489411764705882E-2</v>
      </c>
      <c r="F621" s="676">
        <f t="shared" si="24"/>
        <v>-3.326398658826812</v>
      </c>
      <c r="G621" s="649">
        <f t="shared" si="25"/>
        <v>8.9718770053475658E-3</v>
      </c>
      <c r="H621" s="677">
        <v>13.551390374331543</v>
      </c>
      <c r="I621" s="649">
        <f t="shared" si="26"/>
        <v>6.3077759358288743E-2</v>
      </c>
      <c r="J621" s="649"/>
    </row>
    <row r="622" spans="1:10">
      <c r="A622" s="33"/>
      <c r="B622" s="674">
        <v>41886</v>
      </c>
      <c r="C622" s="675">
        <v>9.0999999999999998E-2</v>
      </c>
      <c r="D622" s="661">
        <v>3.5046721925133702E-2</v>
      </c>
      <c r="E622" s="661">
        <v>4.4067914438502678E-2</v>
      </c>
      <c r="F622" s="676">
        <f t="shared" si="24"/>
        <v>-3.3510731955491253</v>
      </c>
      <c r="G622" s="649">
        <f t="shared" si="25"/>
        <v>9.0211925133689766E-3</v>
      </c>
      <c r="H622" s="677">
        <v>13.570320855614968</v>
      </c>
      <c r="I622" s="649">
        <f t="shared" si="26"/>
        <v>5.5953278074866296E-2</v>
      </c>
      <c r="J622" s="649"/>
    </row>
    <row r="623" spans="1:10">
      <c r="A623" s="33"/>
      <c r="B623" s="674">
        <v>41906</v>
      </c>
      <c r="C623" s="675">
        <v>9.35E-2</v>
      </c>
      <c r="D623" s="661">
        <v>3.4585679144385047E-2</v>
      </c>
      <c r="E623" s="661">
        <v>4.3670053475935826E-2</v>
      </c>
      <c r="F623" s="676">
        <f t="shared" si="24"/>
        <v>-3.3643155801588223</v>
      </c>
      <c r="G623" s="649">
        <f t="shared" si="25"/>
        <v>9.0843743315507791E-3</v>
      </c>
      <c r="H623" s="677">
        <v>13.479572192513364</v>
      </c>
      <c r="I623" s="649">
        <f t="shared" si="26"/>
        <v>5.8914320855614953E-2</v>
      </c>
      <c r="J623" s="649"/>
    </row>
    <row r="624" spans="1:10">
      <c r="A624" s="33"/>
      <c r="B624" s="674">
        <v>41912</v>
      </c>
      <c r="C624" s="675">
        <v>9.7500000000000003E-2</v>
      </c>
      <c r="D624" s="661">
        <v>3.444292513368985E-2</v>
      </c>
      <c r="E624" s="661">
        <v>4.3535828877005342E-2</v>
      </c>
      <c r="F624" s="676">
        <f t="shared" si="24"/>
        <v>-3.3684516688339037</v>
      </c>
      <c r="G624" s="649">
        <f t="shared" si="25"/>
        <v>9.0929037433154919E-3</v>
      </c>
      <c r="H624" s="677">
        <v>13.526684491978605</v>
      </c>
      <c r="I624" s="649">
        <f t="shared" si="26"/>
        <v>6.3057074866310153E-2</v>
      </c>
      <c r="J624" s="649"/>
    </row>
    <row r="625" spans="1:10">
      <c r="A625" s="33"/>
      <c r="B625" s="674">
        <v>41941</v>
      </c>
      <c r="C625" s="675">
        <v>0.10800000000000001</v>
      </c>
      <c r="D625" s="661">
        <v>3.3703871657753993E-2</v>
      </c>
      <c r="E625" s="661">
        <v>4.2931016042780747E-2</v>
      </c>
      <c r="F625" s="676">
        <f t="shared" si="24"/>
        <v>-3.3901425622359453</v>
      </c>
      <c r="G625" s="649">
        <f t="shared" si="25"/>
        <v>9.2271443850267532E-3</v>
      </c>
      <c r="H625" s="677">
        <v>13.957326203208556</v>
      </c>
      <c r="I625" s="649">
        <f t="shared" si="26"/>
        <v>7.4296128342246026E-2</v>
      </c>
      <c r="J625" s="649"/>
    </row>
    <row r="626" spans="1:10">
      <c r="A626" s="33"/>
      <c r="B626" s="674">
        <v>41949</v>
      </c>
      <c r="C626" s="675">
        <v>0.10199999999999999</v>
      </c>
      <c r="D626" s="661">
        <v>3.3501925133689825E-2</v>
      </c>
      <c r="E626" s="661">
        <v>4.2797860962566853E-2</v>
      </c>
      <c r="F626" s="676">
        <f t="shared" si="24"/>
        <v>-3.3961523751249545</v>
      </c>
      <c r="G626" s="649">
        <f t="shared" si="25"/>
        <v>9.2959358288770277E-3</v>
      </c>
      <c r="H626" s="677">
        <v>13.87529411764706</v>
      </c>
      <c r="I626" s="649">
        <f t="shared" si="26"/>
        <v>6.8498074866310169E-2</v>
      </c>
      <c r="J626" s="649"/>
    </row>
    <row r="627" spans="1:10">
      <c r="A627" s="33"/>
      <c r="B627" s="674">
        <v>41957</v>
      </c>
      <c r="C627" s="675">
        <v>0.10199999999999999</v>
      </c>
      <c r="D627" s="661">
        <v>3.3305454545454541E-2</v>
      </c>
      <c r="E627" s="661">
        <v>4.2650802139037436E-2</v>
      </c>
      <c r="F627" s="676">
        <f t="shared" si="24"/>
        <v>-3.4020340952457211</v>
      </c>
      <c r="G627" s="649">
        <f t="shared" si="25"/>
        <v>9.345347593582895E-3</v>
      </c>
      <c r="H627" s="677">
        <v>13.836042780748667</v>
      </c>
      <c r="I627" s="649">
        <f t="shared" si="26"/>
        <v>6.8694545454545453E-2</v>
      </c>
      <c r="J627" s="649"/>
    </row>
    <row r="628" spans="1:10">
      <c r="A628" s="33"/>
      <c r="B628" s="674">
        <v>41957</v>
      </c>
      <c r="C628" s="675">
        <v>0.10300000000000001</v>
      </c>
      <c r="D628" s="661">
        <v>3.3305454545454541E-2</v>
      </c>
      <c r="E628" s="661">
        <v>4.2650802139037436E-2</v>
      </c>
      <c r="F628" s="676">
        <f t="shared" si="24"/>
        <v>-3.4020340952457211</v>
      </c>
      <c r="G628" s="649">
        <f t="shared" si="25"/>
        <v>9.345347593582895E-3</v>
      </c>
      <c r="H628" s="677">
        <v>13.836042780748667</v>
      </c>
      <c r="I628" s="649">
        <f t="shared" si="26"/>
        <v>6.9694545454545467E-2</v>
      </c>
      <c r="J628" s="649"/>
    </row>
    <row r="629" spans="1:10">
      <c r="A629" s="33"/>
      <c r="B629" s="674">
        <v>41969</v>
      </c>
      <c r="C629" s="675">
        <v>0.10199999999999999</v>
      </c>
      <c r="D629" s="661">
        <v>3.3039647058823535E-2</v>
      </c>
      <c r="E629" s="661">
        <v>4.2466844919786105E-2</v>
      </c>
      <c r="F629" s="676">
        <f t="shared" si="24"/>
        <v>-3.4100470126254123</v>
      </c>
      <c r="G629" s="649">
        <f t="shared" si="25"/>
        <v>9.4271978609625703E-3</v>
      </c>
      <c r="H629" s="677">
        <v>13.783422459893051</v>
      </c>
      <c r="I629" s="649">
        <f t="shared" si="26"/>
        <v>6.8960352941176459E-2</v>
      </c>
      <c r="J629" s="649"/>
    </row>
    <row r="630" spans="1:10">
      <c r="A630" s="33"/>
      <c r="B630" s="674">
        <v>41976</v>
      </c>
      <c r="C630" s="675">
        <v>0.1</v>
      </c>
      <c r="D630" s="661">
        <v>3.2857978609625679E-2</v>
      </c>
      <c r="E630" s="661">
        <v>4.2363636363636374E-2</v>
      </c>
      <c r="F630" s="676">
        <f t="shared" si="24"/>
        <v>-3.4155606834926138</v>
      </c>
      <c r="G630" s="649">
        <f t="shared" si="25"/>
        <v>9.5056577540106948E-3</v>
      </c>
      <c r="H630" s="677">
        <v>13.764866310160434</v>
      </c>
      <c r="I630" s="649">
        <f t="shared" si="26"/>
        <v>6.7142021390374326E-2</v>
      </c>
      <c r="J630" s="649"/>
    </row>
    <row r="631" spans="1:10">
      <c r="A631" s="33"/>
      <c r="B631" s="674">
        <v>42017</v>
      </c>
      <c r="C631" s="675">
        <v>0.10300000000000001</v>
      </c>
      <c r="D631" s="661">
        <v>3.1602005347593588E-2</v>
      </c>
      <c r="E631" s="661">
        <v>4.1455614973262021E-2</v>
      </c>
      <c r="F631" s="676">
        <f t="shared" si="24"/>
        <v>-3.454534700035909</v>
      </c>
      <c r="G631" s="649">
        <f t="shared" si="25"/>
        <v>9.853609625668433E-3</v>
      </c>
      <c r="H631" s="677">
        <v>14.139197860962572</v>
      </c>
      <c r="I631" s="649">
        <f t="shared" si="26"/>
        <v>7.1397994652406427E-2</v>
      </c>
      <c r="J631" s="649"/>
    </row>
    <row r="632" spans="1:10">
      <c r="A632" s="33"/>
      <c r="B632" s="674">
        <v>42025</v>
      </c>
      <c r="C632" s="675">
        <v>9.0500000000000011E-2</v>
      </c>
      <c r="D632" s="661">
        <v>3.1279128342245999E-2</v>
      </c>
      <c r="E632" s="661">
        <v>4.1232085561497329E-2</v>
      </c>
      <c r="F632" s="676">
        <f t="shared" si="24"/>
        <v>-3.4648042299897828</v>
      </c>
      <c r="G632" s="649">
        <f t="shared" si="25"/>
        <v>9.9529572192513308E-3</v>
      </c>
      <c r="H632" s="677">
        <v>14.337967914438501</v>
      </c>
      <c r="I632" s="649">
        <f t="shared" si="26"/>
        <v>5.9220871657754012E-2</v>
      </c>
      <c r="J632" s="649"/>
    </row>
    <row r="633" spans="1:10">
      <c r="A633" s="33"/>
      <c r="B633" s="674">
        <v>42025</v>
      </c>
      <c r="C633" s="675">
        <v>9.0500000000000011E-2</v>
      </c>
      <c r="D633" s="661">
        <v>3.1279128342245999E-2</v>
      </c>
      <c r="E633" s="661">
        <v>4.1232085561497329E-2</v>
      </c>
      <c r="F633" s="676">
        <f t="shared" si="24"/>
        <v>-3.4648042299897828</v>
      </c>
      <c r="G633" s="649">
        <f t="shared" si="25"/>
        <v>9.9529572192513308E-3</v>
      </c>
      <c r="H633" s="677">
        <v>14.337967914438501</v>
      </c>
      <c r="I633" s="649">
        <f t="shared" si="26"/>
        <v>5.9220871657754012E-2</v>
      </c>
      <c r="J633" s="649"/>
    </row>
    <row r="634" spans="1:10">
      <c r="A634" s="33"/>
      <c r="B634" s="674">
        <v>42103</v>
      </c>
      <c r="C634" s="675">
        <v>9.5000000000000001E-2</v>
      </c>
      <c r="D634" s="661">
        <v>2.8785310160427801E-2</v>
      </c>
      <c r="E634" s="661">
        <v>3.9456149732620308E-2</v>
      </c>
      <c r="F634" s="676">
        <f t="shared" si="24"/>
        <v>-3.5478900858410998</v>
      </c>
      <c r="G634" s="649">
        <f t="shared" si="25"/>
        <v>1.0670839572192507E-2</v>
      </c>
      <c r="H634" s="677">
        <v>15.348556149732609</v>
      </c>
      <c r="I634" s="649">
        <f t="shared" si="26"/>
        <v>6.6214689839572197E-2</v>
      </c>
      <c r="J634" s="649"/>
    </row>
    <row r="635" spans="1:10">
      <c r="A635" s="33"/>
      <c r="B635" s="674">
        <v>42135</v>
      </c>
      <c r="C635" s="675">
        <v>9.8000000000000004E-2</v>
      </c>
      <c r="D635" s="661">
        <v>2.8158358288770068E-2</v>
      </c>
      <c r="E635" s="661">
        <v>3.9098930481283406E-2</v>
      </c>
      <c r="F635" s="676">
        <f t="shared" si="24"/>
        <v>-3.5699110487962438</v>
      </c>
      <c r="G635" s="649">
        <f t="shared" si="25"/>
        <v>1.0940572192513338E-2</v>
      </c>
      <c r="H635" s="677">
        <v>15.290213903743311</v>
      </c>
      <c r="I635" s="649">
        <f t="shared" si="26"/>
        <v>6.9841641711229932E-2</v>
      </c>
      <c r="J635" s="649"/>
    </row>
    <row r="636" spans="1:10">
      <c r="A636" s="33"/>
      <c r="B636" s="674">
        <v>42172</v>
      </c>
      <c r="C636" s="675">
        <v>0.09</v>
      </c>
      <c r="D636" s="661">
        <v>2.7882475935828877E-2</v>
      </c>
      <c r="E636" s="661">
        <v>3.925133689839571E-2</v>
      </c>
      <c r="F636" s="676">
        <f t="shared" ref="F636:F699" si="27">LN(D636)</f>
        <v>-3.5797568901523924</v>
      </c>
      <c r="G636" s="649">
        <f t="shared" ref="G636:G699" si="28">IF(E636="","",E636-D636)</f>
        <v>1.1368860962566833E-2</v>
      </c>
      <c r="H636" s="677">
        <v>15.460534759358291</v>
      </c>
      <c r="I636" s="649">
        <f t="shared" ref="I636:I699" si="29">C636-D636</f>
        <v>6.211752406417112E-2</v>
      </c>
      <c r="J636" s="649"/>
    </row>
    <row r="637" spans="1:10">
      <c r="A637" s="33"/>
      <c r="B637" s="674">
        <v>42237</v>
      </c>
      <c r="C637" s="675">
        <v>9.7500000000000003E-2</v>
      </c>
      <c r="D637" s="661">
        <v>2.7823342245989299E-2</v>
      </c>
      <c r="E637" s="661">
        <v>3.9854545454545462E-2</v>
      </c>
      <c r="F637" s="676">
        <f t="shared" si="27"/>
        <v>-3.5818799614573797</v>
      </c>
      <c r="G637" s="649">
        <f t="shared" si="28"/>
        <v>1.2031203208556163E-2</v>
      </c>
      <c r="H637" s="677">
        <v>15.084866310160439</v>
      </c>
      <c r="I637" s="649">
        <f t="shared" si="29"/>
        <v>6.9676657754010704E-2</v>
      </c>
      <c r="J637" s="649"/>
    </row>
    <row r="638" spans="1:10">
      <c r="A638" s="33"/>
      <c r="B638" s="674">
        <v>42284</v>
      </c>
      <c r="C638" s="675">
        <v>9.5500000000000002E-2</v>
      </c>
      <c r="D638" s="661">
        <v>2.8216085561497323E-2</v>
      </c>
      <c r="E638" s="661">
        <v>4.0635828877005349E-2</v>
      </c>
      <c r="F638" s="676">
        <f t="shared" si="27"/>
        <v>-3.5678630536778306</v>
      </c>
      <c r="G638" s="649">
        <f t="shared" si="28"/>
        <v>1.2419743315508026E-2</v>
      </c>
      <c r="H638" s="677">
        <v>16.576898395721923</v>
      </c>
      <c r="I638" s="649">
        <f t="shared" si="29"/>
        <v>6.7283914438502679E-2</v>
      </c>
      <c r="J638" s="649"/>
    </row>
    <row r="639" spans="1:10">
      <c r="A639" s="33"/>
      <c r="B639" s="674">
        <v>42290</v>
      </c>
      <c r="C639" s="675">
        <v>9.7500000000000003E-2</v>
      </c>
      <c r="D639" s="661">
        <v>2.8323449197860961E-2</v>
      </c>
      <c r="E639" s="661">
        <v>4.0758288770053476E-2</v>
      </c>
      <c r="F639" s="676">
        <f t="shared" si="27"/>
        <v>-3.5640652238630901</v>
      </c>
      <c r="G639" s="649">
        <f t="shared" si="28"/>
        <v>1.2434839572192515E-2</v>
      </c>
      <c r="H639" s="677">
        <v>16.492994652406413</v>
      </c>
      <c r="I639" s="649">
        <f t="shared" si="29"/>
        <v>6.9176550802139039E-2</v>
      </c>
      <c r="J639" s="649"/>
    </row>
    <row r="640" spans="1:10">
      <c r="A640" s="33"/>
      <c r="B640" s="674">
        <v>42292</v>
      </c>
      <c r="C640" s="675">
        <v>0.09</v>
      </c>
      <c r="D640" s="661">
        <v>2.8371561497326201E-2</v>
      </c>
      <c r="E640" s="661">
        <v>4.0836363636363643E-2</v>
      </c>
      <c r="F640" s="676">
        <f t="shared" si="27"/>
        <v>-3.5623679912345168</v>
      </c>
      <c r="G640" s="649">
        <f t="shared" si="28"/>
        <v>1.2464802139037442E-2</v>
      </c>
      <c r="H640" s="677">
        <v>16.456844919786096</v>
      </c>
      <c r="I640" s="649">
        <f t="shared" si="29"/>
        <v>6.1628438502673799E-2</v>
      </c>
      <c r="J640" s="649"/>
    </row>
    <row r="641" spans="1:10">
      <c r="A641" s="33"/>
      <c r="B641" s="674">
        <v>42307</v>
      </c>
      <c r="C641" s="675">
        <v>9.8000000000000004E-2</v>
      </c>
      <c r="D641" s="661">
        <v>2.8655524064171111E-2</v>
      </c>
      <c r="E641" s="661">
        <v>4.1308021390374358E-2</v>
      </c>
      <c r="F641" s="676">
        <f t="shared" si="27"/>
        <v>-3.5524090423942822</v>
      </c>
      <c r="G641" s="649">
        <f t="shared" si="28"/>
        <v>1.2652497326203247E-2</v>
      </c>
      <c r="H641" s="677">
        <v>16.276149732620322</v>
      </c>
      <c r="I641" s="649">
        <f t="shared" si="29"/>
        <v>6.9344475935828889E-2</v>
      </c>
      <c r="J641" s="649"/>
    </row>
    <row r="642" spans="1:10">
      <c r="A642" s="33"/>
      <c r="B642" s="674">
        <v>42327</v>
      </c>
      <c r="C642" s="675">
        <v>0.1</v>
      </c>
      <c r="D642" s="661">
        <v>2.8947967914438502E-2</v>
      </c>
      <c r="E642" s="661">
        <v>4.1791978609625691E-2</v>
      </c>
      <c r="F642" s="676">
        <f t="shared" si="27"/>
        <v>-3.5422552703649934</v>
      </c>
      <c r="G642" s="649">
        <f t="shared" si="28"/>
        <v>1.2844010695187189E-2</v>
      </c>
      <c r="H642" s="677">
        <v>16.334438502673798</v>
      </c>
      <c r="I642" s="649">
        <f t="shared" si="29"/>
        <v>7.1052032085561503E-2</v>
      </c>
      <c r="J642" s="649"/>
    </row>
    <row r="643" spans="1:10">
      <c r="A643" s="33"/>
      <c r="B643" s="674">
        <v>42341</v>
      </c>
      <c r="C643" s="675">
        <v>0.1</v>
      </c>
      <c r="D643" s="661">
        <v>2.9092096256684487E-2</v>
      </c>
      <c r="E643" s="661">
        <v>4.2075935828877031E-2</v>
      </c>
      <c r="F643" s="676">
        <f t="shared" si="27"/>
        <v>-3.5372887479958637</v>
      </c>
      <c r="G643" s="649">
        <f t="shared" si="28"/>
        <v>1.2983839572192544E-2</v>
      </c>
      <c r="H643" s="677">
        <v>16.402780748663094</v>
      </c>
      <c r="I643" s="649">
        <f t="shared" si="29"/>
        <v>7.0907903743315515E-2</v>
      </c>
      <c r="J643" s="649"/>
    </row>
    <row r="644" spans="1:10">
      <c r="A644" s="33"/>
      <c r="B644" s="674">
        <v>42347</v>
      </c>
      <c r="C644" s="675">
        <v>9.6000000000000002E-2</v>
      </c>
      <c r="D644" s="661">
        <v>2.9190486631016047E-2</v>
      </c>
      <c r="E644" s="661">
        <v>4.2193048128342264E-2</v>
      </c>
      <c r="F644" s="676">
        <f t="shared" si="27"/>
        <v>-3.5339124231000212</v>
      </c>
      <c r="G644" s="649">
        <f t="shared" si="28"/>
        <v>1.3002561497326218E-2</v>
      </c>
      <c r="H644" s="677">
        <v>16.423957219251328</v>
      </c>
      <c r="I644" s="649">
        <f t="shared" si="29"/>
        <v>6.6809513368983955E-2</v>
      </c>
      <c r="J644" s="649"/>
    </row>
    <row r="645" spans="1:10">
      <c r="A645" s="33"/>
      <c r="B645" s="674">
        <v>42349</v>
      </c>
      <c r="C645" s="675">
        <v>9.9000000000000005E-2</v>
      </c>
      <c r="D645" s="661">
        <v>2.9236834224598936E-2</v>
      </c>
      <c r="E645" s="661">
        <v>4.2251871657754035E-2</v>
      </c>
      <c r="F645" s="676">
        <f t="shared" si="27"/>
        <v>-3.5323259186146001</v>
      </c>
      <c r="G645" s="649">
        <f t="shared" si="28"/>
        <v>1.3015037433155099E-2</v>
      </c>
      <c r="H645" s="677">
        <v>16.499358288770043</v>
      </c>
      <c r="I645" s="649">
        <f t="shared" si="29"/>
        <v>6.9763165775401065E-2</v>
      </c>
      <c r="J645" s="649"/>
    </row>
    <row r="646" spans="1:10">
      <c r="A646" s="33"/>
      <c r="B646" s="674">
        <v>42356</v>
      </c>
      <c r="C646" s="675">
        <v>9.5000000000000001E-2</v>
      </c>
      <c r="D646" s="661">
        <v>2.9350288770053481E-2</v>
      </c>
      <c r="E646" s="661">
        <v>4.2440106951871691E-2</v>
      </c>
      <c r="F646" s="676">
        <f t="shared" si="27"/>
        <v>-3.5284528939130433</v>
      </c>
      <c r="G646" s="649">
        <f t="shared" si="28"/>
        <v>1.3089818181818209E-2</v>
      </c>
      <c r="H646" s="677">
        <v>16.668449197860951</v>
      </c>
      <c r="I646" s="649">
        <f t="shared" si="29"/>
        <v>6.564971122994652E-2</v>
      </c>
      <c r="J646" s="649"/>
    </row>
    <row r="647" spans="1:10">
      <c r="A647" s="33"/>
      <c r="B647" s="674">
        <v>42375</v>
      </c>
      <c r="C647" s="675">
        <v>9.5000000000000001E-2</v>
      </c>
      <c r="D647" s="661">
        <v>2.9651385026737993E-2</v>
      </c>
      <c r="E647" s="661">
        <v>4.2843315508021423E-2</v>
      </c>
      <c r="F647" s="676">
        <f t="shared" si="27"/>
        <v>-3.5182464420918613</v>
      </c>
      <c r="G647" s="649">
        <f t="shared" si="28"/>
        <v>1.3191930481283431E-2</v>
      </c>
      <c r="H647" s="677">
        <v>16.861550802139032</v>
      </c>
      <c r="I647" s="649">
        <f t="shared" si="29"/>
        <v>6.5348614973262012E-2</v>
      </c>
      <c r="J647" s="649"/>
    </row>
    <row r="648" spans="1:10">
      <c r="A648" s="33"/>
      <c r="B648" s="674">
        <v>42375</v>
      </c>
      <c r="C648" s="675">
        <v>9.5000000000000001E-2</v>
      </c>
      <c r="D648" s="661">
        <v>2.9651385026737993E-2</v>
      </c>
      <c r="E648" s="661">
        <v>4.2843315508021423E-2</v>
      </c>
      <c r="F648" s="676">
        <f t="shared" si="27"/>
        <v>-3.5182464420918613</v>
      </c>
      <c r="G648" s="649">
        <f t="shared" si="28"/>
        <v>1.3191930481283431E-2</v>
      </c>
      <c r="H648" s="677">
        <v>16.861550802139032</v>
      </c>
      <c r="I648" s="649">
        <f t="shared" si="29"/>
        <v>6.5348614973262012E-2</v>
      </c>
      <c r="J648" s="649"/>
    </row>
    <row r="649" spans="1:10">
      <c r="A649" s="33"/>
      <c r="B649" s="674">
        <v>42397</v>
      </c>
      <c r="C649" s="675">
        <v>9.4E-2</v>
      </c>
      <c r="D649" s="661">
        <v>2.9686903743315517E-2</v>
      </c>
      <c r="E649" s="661">
        <v>4.3234224598930518E-2</v>
      </c>
      <c r="F649" s="676">
        <f t="shared" si="27"/>
        <v>-3.5170492818246597</v>
      </c>
      <c r="G649" s="649">
        <f t="shared" si="28"/>
        <v>1.3547320855615001E-2</v>
      </c>
      <c r="H649" s="677">
        <v>17.78491978609625</v>
      </c>
      <c r="I649" s="649">
        <f t="shared" si="29"/>
        <v>6.4313096256684479E-2</v>
      </c>
      <c r="J649" s="649"/>
    </row>
    <row r="650" spans="1:10">
      <c r="A650" s="33"/>
      <c r="B650" s="674">
        <v>42410</v>
      </c>
      <c r="C650" s="675">
        <v>9.6000000000000002E-2</v>
      </c>
      <c r="D650" s="661">
        <v>2.9508133689839591E-2</v>
      </c>
      <c r="E650" s="661">
        <v>4.3245989304812854E-2</v>
      </c>
      <c r="F650" s="676">
        <f t="shared" si="27"/>
        <v>-3.5230893353400208</v>
      </c>
      <c r="G650" s="649">
        <f t="shared" si="28"/>
        <v>1.3737855614973263E-2</v>
      </c>
      <c r="H650" s="677">
        <v>18.230641711229943</v>
      </c>
      <c r="I650" s="649">
        <f t="shared" si="29"/>
        <v>6.6491866310160408E-2</v>
      </c>
      <c r="J650" s="649"/>
    </row>
    <row r="651" spans="1:10">
      <c r="A651" s="33"/>
      <c r="B651" s="674">
        <v>42416</v>
      </c>
      <c r="C651" s="675">
        <v>9.5000000000000001E-2</v>
      </c>
      <c r="D651" s="661">
        <v>2.9444524064171137E-2</v>
      </c>
      <c r="E651" s="661">
        <v>4.3220855614973283E-2</v>
      </c>
      <c r="F651" s="676">
        <f t="shared" si="27"/>
        <v>-3.5252473262696005</v>
      </c>
      <c r="G651" s="649">
        <f t="shared" si="28"/>
        <v>1.3776331550802146E-2</v>
      </c>
      <c r="H651" s="677">
        <v>18.442887700534751</v>
      </c>
      <c r="I651" s="649">
        <f t="shared" si="29"/>
        <v>6.5555475935828861E-2</v>
      </c>
      <c r="J651" s="649"/>
    </row>
    <row r="652" spans="1:10">
      <c r="A652" s="33"/>
      <c r="B652" s="674">
        <v>42429</v>
      </c>
      <c r="C652" s="675">
        <v>9.4E-2</v>
      </c>
      <c r="D652" s="661">
        <v>2.9216652406417121E-2</v>
      </c>
      <c r="E652" s="661">
        <v>4.3180748663101606E-2</v>
      </c>
      <c r="F652" s="676">
        <f t="shared" si="27"/>
        <v>-3.5330164443692449</v>
      </c>
      <c r="G652" s="649">
        <f t="shared" si="28"/>
        <v>1.3964096256684485E-2</v>
      </c>
      <c r="H652" s="677">
        <v>18.791657754010686</v>
      </c>
      <c r="I652" s="649">
        <f t="shared" si="29"/>
        <v>6.4783347593582882E-2</v>
      </c>
      <c r="J652" s="649"/>
    </row>
    <row r="653" spans="1:10">
      <c r="A653" s="33"/>
      <c r="B653" s="674">
        <v>42489</v>
      </c>
      <c r="C653" s="675">
        <v>9.8000000000000004E-2</v>
      </c>
      <c r="D653" s="661">
        <v>2.8283294117647077E-2</v>
      </c>
      <c r="E653" s="661">
        <v>4.245454545454546E-2</v>
      </c>
      <c r="F653" s="676">
        <f t="shared" si="27"/>
        <v>-3.5654839625008345</v>
      </c>
      <c r="G653" s="649">
        <f t="shared" si="28"/>
        <v>1.4171251336898383E-2</v>
      </c>
      <c r="H653" s="677">
        <v>18.970320855614979</v>
      </c>
      <c r="I653" s="649">
        <f t="shared" si="29"/>
        <v>6.9716705882352931E-2</v>
      </c>
      <c r="J653" s="649"/>
    </row>
    <row r="654" spans="1:10">
      <c r="A654" s="33"/>
      <c r="B654" s="674">
        <v>42495</v>
      </c>
      <c r="C654" s="675">
        <v>9.4899999999999998E-2</v>
      </c>
      <c r="D654" s="661">
        <v>2.8243064171123013E-2</v>
      </c>
      <c r="E654" s="661">
        <v>4.2388235294117643E-2</v>
      </c>
      <c r="F654" s="676">
        <f t="shared" si="27"/>
        <v>-3.5669073676001326</v>
      </c>
      <c r="G654" s="649">
        <f t="shared" si="28"/>
        <v>1.414517112299463E-2</v>
      </c>
      <c r="H654" s="677">
        <v>19.021497326203203</v>
      </c>
      <c r="I654" s="649">
        <f t="shared" si="29"/>
        <v>6.6656935828876981E-2</v>
      </c>
      <c r="J654" s="649"/>
    </row>
    <row r="655" spans="1:10">
      <c r="A655" s="33"/>
      <c r="B655" s="674">
        <v>42522</v>
      </c>
      <c r="C655" s="675">
        <v>9.5500000000000002E-2</v>
      </c>
      <c r="D655" s="661">
        <v>2.797083957219252E-2</v>
      </c>
      <c r="E655" s="661">
        <v>4.2072192513368974E-2</v>
      </c>
      <c r="F655" s="676">
        <f t="shared" si="27"/>
        <v>-3.5765927553366597</v>
      </c>
      <c r="G655" s="649">
        <f t="shared" si="28"/>
        <v>1.4101352941176454E-2</v>
      </c>
      <c r="H655" s="677">
        <v>18.29219251336897</v>
      </c>
      <c r="I655" s="649">
        <f t="shared" si="29"/>
        <v>6.7529160427807489E-2</v>
      </c>
      <c r="J655" s="649"/>
    </row>
    <row r="656" spans="1:10">
      <c r="A656" s="33"/>
      <c r="B656" s="674">
        <v>42524</v>
      </c>
      <c r="C656" s="675">
        <v>9.6500000000000002E-2</v>
      </c>
      <c r="D656" s="661">
        <v>2.7914187165775407E-2</v>
      </c>
      <c r="E656" s="661">
        <v>4.2016042780748657E-2</v>
      </c>
      <c r="F656" s="676">
        <f t="shared" si="27"/>
        <v>-3.5786202188319916</v>
      </c>
      <c r="G656" s="649">
        <f t="shared" si="28"/>
        <v>1.4101855614973249E-2</v>
      </c>
      <c r="H656" s="677">
        <v>18.151497326203199</v>
      </c>
      <c r="I656" s="649">
        <f t="shared" si="29"/>
        <v>6.8585812834224602E-2</v>
      </c>
      <c r="J656" s="649"/>
    </row>
    <row r="657" spans="1:10">
      <c r="A657" s="33"/>
      <c r="B657" s="674">
        <v>42536</v>
      </c>
      <c r="C657" s="675">
        <v>0.09</v>
      </c>
      <c r="D657" s="661">
        <v>2.771113903743315E-2</v>
      </c>
      <c r="E657" s="661">
        <v>4.1750267379679157E-2</v>
      </c>
      <c r="F657" s="676">
        <f t="shared" si="27"/>
        <v>-3.5859208153066957</v>
      </c>
      <c r="G657" s="649">
        <f t="shared" si="28"/>
        <v>1.4039128342246007E-2</v>
      </c>
      <c r="H657" s="677">
        <v>17.86850267379678</v>
      </c>
      <c r="I657" s="649">
        <f t="shared" si="29"/>
        <v>6.2288860962566847E-2</v>
      </c>
      <c r="J657" s="649"/>
    </row>
    <row r="658" spans="1:10">
      <c r="A658" s="33"/>
      <c r="B658" s="674">
        <v>42536</v>
      </c>
      <c r="C658" s="675">
        <v>0.09</v>
      </c>
      <c r="D658" s="661">
        <v>2.771113903743315E-2</v>
      </c>
      <c r="E658" s="661">
        <v>4.1750267379679157E-2</v>
      </c>
      <c r="F658" s="676">
        <f t="shared" si="27"/>
        <v>-3.5859208153066957</v>
      </c>
      <c r="G658" s="649">
        <f t="shared" si="28"/>
        <v>1.4039128342246007E-2</v>
      </c>
      <c r="H658" s="677">
        <v>17.86850267379678</v>
      </c>
      <c r="I658" s="649">
        <f t="shared" si="29"/>
        <v>6.2288860962566847E-2</v>
      </c>
      <c r="J658" s="649"/>
    </row>
    <row r="659" spans="1:10">
      <c r="A659" s="33"/>
      <c r="B659" s="674">
        <v>42615</v>
      </c>
      <c r="C659" s="675">
        <v>9.5000000000000001E-2</v>
      </c>
      <c r="D659" s="661">
        <v>2.5641486631016029E-2</v>
      </c>
      <c r="E659" s="661">
        <v>3.9534759358288749E-2</v>
      </c>
      <c r="F659" s="676">
        <f t="shared" si="27"/>
        <v>-3.6635436676816346</v>
      </c>
      <c r="G659" s="649">
        <f t="shared" si="28"/>
        <v>1.3893272727272719E-2</v>
      </c>
      <c r="H659" s="677">
        <v>16.812620320855608</v>
      </c>
      <c r="I659" s="649">
        <f t="shared" si="29"/>
        <v>6.9358513368983965E-2</v>
      </c>
      <c r="J659" s="649"/>
    </row>
    <row r="660" spans="1:10">
      <c r="A660" s="33"/>
      <c r="B660" s="674">
        <v>42636</v>
      </c>
      <c r="C660" s="675">
        <v>9.7500000000000003E-2</v>
      </c>
      <c r="D660" s="661">
        <v>2.5160331550802131E-2</v>
      </c>
      <c r="E660" s="661">
        <v>3.9048128342245976E-2</v>
      </c>
      <c r="F660" s="676">
        <f t="shared" si="27"/>
        <v>-3.6824866695418841</v>
      </c>
      <c r="G660" s="649">
        <f t="shared" si="28"/>
        <v>1.3887796791443845E-2</v>
      </c>
      <c r="H660" s="677">
        <v>16.492887700534752</v>
      </c>
      <c r="I660" s="649">
        <f t="shared" si="29"/>
        <v>7.2339668449197869E-2</v>
      </c>
      <c r="J660" s="649"/>
    </row>
    <row r="661" spans="1:10">
      <c r="A661" s="33"/>
      <c r="B661" s="674">
        <v>42640</v>
      </c>
      <c r="C661" s="675">
        <v>9.5000000000000001E-2</v>
      </c>
      <c r="D661" s="661">
        <v>2.5094165775401061E-2</v>
      </c>
      <c r="E661" s="661">
        <v>3.8960962566844913E-2</v>
      </c>
      <c r="F661" s="676">
        <f t="shared" si="27"/>
        <v>-3.6851198990896323</v>
      </c>
      <c r="G661" s="649">
        <f t="shared" si="28"/>
        <v>1.3866796791443852E-2</v>
      </c>
      <c r="H661" s="677">
        <v>16.462032085561493</v>
      </c>
      <c r="I661" s="649">
        <f t="shared" si="29"/>
        <v>6.9905834224598937E-2</v>
      </c>
      <c r="J661" s="649"/>
    </row>
    <row r="662" spans="1:10">
      <c r="A662" s="33"/>
      <c r="B662" s="674">
        <v>42642</v>
      </c>
      <c r="C662" s="675">
        <v>9.11E-2</v>
      </c>
      <c r="D662" s="661">
        <v>2.5025625668449188E-2</v>
      </c>
      <c r="E662" s="661">
        <v>3.8874866310160419E-2</v>
      </c>
      <c r="F662" s="676">
        <f t="shared" si="27"/>
        <v>-3.6878549523571595</v>
      </c>
      <c r="G662" s="649">
        <f t="shared" si="28"/>
        <v>1.3849240641711232E-2</v>
      </c>
      <c r="H662" s="677">
        <v>16.3951871657754</v>
      </c>
      <c r="I662" s="649">
        <f t="shared" si="29"/>
        <v>6.6074374331550806E-2</v>
      </c>
      <c r="J662" s="649"/>
    </row>
    <row r="663" spans="1:10">
      <c r="A663" s="33"/>
      <c r="B663" s="674">
        <v>42656</v>
      </c>
      <c r="C663" s="675">
        <v>0.10199999999999999</v>
      </c>
      <c r="D663" s="661">
        <v>2.4819272727272728E-2</v>
      </c>
      <c r="E663" s="661">
        <v>3.8596256684491972E-2</v>
      </c>
      <c r="F663" s="676">
        <f t="shared" si="27"/>
        <v>-3.6961348015176303</v>
      </c>
      <c r="G663" s="649">
        <f t="shared" si="28"/>
        <v>1.3776983957219244E-2</v>
      </c>
      <c r="H663" s="677">
        <v>15.861497326203208</v>
      </c>
      <c r="I663" s="649">
        <f t="shared" si="29"/>
        <v>7.7180727272727262E-2</v>
      </c>
      <c r="J663" s="649"/>
    </row>
    <row r="664" spans="1:10">
      <c r="A664" s="33"/>
      <c r="B664" s="674">
        <v>42671</v>
      </c>
      <c r="C664" s="675">
        <v>9.6999999999999989E-2</v>
      </c>
      <c r="D664" s="661">
        <v>2.4736358288770049E-2</v>
      </c>
      <c r="E664" s="661">
        <v>3.8350802139037424E-2</v>
      </c>
      <c r="F664" s="676">
        <f t="shared" si="27"/>
        <v>-3.6994811221748272</v>
      </c>
      <c r="G664" s="649">
        <f t="shared" si="28"/>
        <v>1.3614443850267374E-2</v>
      </c>
      <c r="H664" s="677">
        <v>15.37363636363636</v>
      </c>
      <c r="I664" s="649">
        <f t="shared" si="29"/>
        <v>7.226364171122994E-2</v>
      </c>
      <c r="J664" s="649"/>
    </row>
    <row r="665" spans="1:10">
      <c r="A665" s="33"/>
      <c r="B665" s="674">
        <v>42683</v>
      </c>
      <c r="C665" s="675">
        <v>9.8000000000000004E-2</v>
      </c>
      <c r="D665" s="661">
        <v>2.4741663101604274E-2</v>
      </c>
      <c r="E665" s="661">
        <v>3.8256149732620308E-2</v>
      </c>
      <c r="F665" s="676">
        <f t="shared" si="27"/>
        <v>-3.6992666910918741</v>
      </c>
      <c r="G665" s="649">
        <f t="shared" si="28"/>
        <v>1.3514486631016034E-2</v>
      </c>
      <c r="H665" s="677">
        <v>15.104438502673792</v>
      </c>
      <c r="I665" s="649">
        <f t="shared" si="29"/>
        <v>7.3258336898395726E-2</v>
      </c>
      <c r="J665" s="649"/>
    </row>
    <row r="666" spans="1:10">
      <c r="A666" s="33"/>
      <c r="B666" s="674">
        <v>42692</v>
      </c>
      <c r="C666" s="675">
        <v>0.1</v>
      </c>
      <c r="D666" s="661">
        <v>2.487041711229946E-2</v>
      </c>
      <c r="E666" s="661">
        <v>3.8274331550802121E-2</v>
      </c>
      <c r="F666" s="676">
        <f t="shared" si="27"/>
        <v>-3.6940762496026238</v>
      </c>
      <c r="G666" s="649">
        <f t="shared" si="28"/>
        <v>1.3403914438502661E-2</v>
      </c>
      <c r="H666" s="677">
        <v>14.847807486631016</v>
      </c>
      <c r="I666" s="649">
        <f t="shared" si="29"/>
        <v>7.5129582887700552E-2</v>
      </c>
      <c r="J666" s="649"/>
    </row>
    <row r="667" spans="1:10">
      <c r="A667" s="33"/>
      <c r="B667" s="674">
        <v>42713</v>
      </c>
      <c r="C667" s="675">
        <v>0.10099999999999999</v>
      </c>
      <c r="D667" s="661">
        <v>2.514591443850267E-2</v>
      </c>
      <c r="E667" s="661">
        <v>3.8324598930481277E-2</v>
      </c>
      <c r="F667" s="676">
        <f t="shared" si="27"/>
        <v>-3.6830598434057111</v>
      </c>
      <c r="G667" s="649">
        <f t="shared" si="28"/>
        <v>1.3178684491978607E-2</v>
      </c>
      <c r="H667" s="677">
        <v>14.480641711229946</v>
      </c>
      <c r="I667" s="649">
        <f t="shared" si="29"/>
        <v>7.5854085561497323E-2</v>
      </c>
      <c r="J667" s="649"/>
    </row>
    <row r="668" spans="1:10">
      <c r="A668" s="33"/>
      <c r="B668" s="674">
        <v>42719</v>
      </c>
      <c r="C668" s="675">
        <v>0.09</v>
      </c>
      <c r="D668" s="661">
        <v>2.5254192513368981E-2</v>
      </c>
      <c r="E668" s="661">
        <v>3.8351871657754007E-2</v>
      </c>
      <c r="F668" s="676">
        <f t="shared" si="27"/>
        <v>-3.6787630969104805</v>
      </c>
      <c r="G668" s="649">
        <f t="shared" si="28"/>
        <v>1.3097679144385026E-2</v>
      </c>
      <c r="H668" s="677">
        <v>14.45347593582888</v>
      </c>
      <c r="I668" s="649">
        <f t="shared" si="29"/>
        <v>6.4745807486631016E-2</v>
      </c>
      <c r="J668" s="649"/>
    </row>
    <row r="669" spans="1:10">
      <c r="A669" s="33"/>
      <c r="B669" s="674">
        <v>42719</v>
      </c>
      <c r="C669" s="675">
        <v>0.09</v>
      </c>
      <c r="D669" s="661">
        <v>2.5254192513368981E-2</v>
      </c>
      <c r="E669" s="661">
        <v>3.8351871657754007E-2</v>
      </c>
      <c r="F669" s="676">
        <f t="shared" si="27"/>
        <v>-3.6787630969104805</v>
      </c>
      <c r="G669" s="649">
        <f t="shared" si="28"/>
        <v>1.3097679144385026E-2</v>
      </c>
      <c r="H669" s="677">
        <v>14.45347593582888</v>
      </c>
      <c r="I669" s="649">
        <f t="shared" si="29"/>
        <v>6.4745807486631016E-2</v>
      </c>
      <c r="J669" s="649"/>
    </row>
    <row r="670" spans="1:10">
      <c r="A670" s="33"/>
      <c r="B670" s="674">
        <v>42724</v>
      </c>
      <c r="C670" s="675">
        <v>9.7500000000000003E-2</v>
      </c>
      <c r="D670" s="661">
        <v>2.5338133689839573E-2</v>
      </c>
      <c r="E670" s="661">
        <v>3.8375401069518707E-2</v>
      </c>
      <c r="F670" s="676">
        <f t="shared" si="27"/>
        <v>-3.6754447575576279</v>
      </c>
      <c r="G670" s="649">
        <f t="shared" si="28"/>
        <v>1.3037267379679134E-2</v>
      </c>
      <c r="H670" s="677">
        <v>14.402352941176474</v>
      </c>
      <c r="I670" s="649">
        <f t="shared" si="29"/>
        <v>7.216186631016043E-2</v>
      </c>
      <c r="J670" s="649"/>
    </row>
    <row r="671" spans="1:10">
      <c r="A671" s="33"/>
      <c r="B671" s="674">
        <v>42726</v>
      </c>
      <c r="C671" s="675">
        <v>9.5000000000000001E-2</v>
      </c>
      <c r="D671" s="661">
        <v>2.5396647058823527E-2</v>
      </c>
      <c r="E671" s="661">
        <v>3.8393582887700527E-2</v>
      </c>
      <c r="F671" s="676">
        <f t="shared" si="27"/>
        <v>-3.6731381192292756</v>
      </c>
      <c r="G671" s="649">
        <f t="shared" si="28"/>
        <v>1.2996935828876999E-2</v>
      </c>
      <c r="H671" s="677">
        <v>14.377326203208558</v>
      </c>
      <c r="I671" s="649">
        <f t="shared" si="29"/>
        <v>6.9603352941176477E-2</v>
      </c>
      <c r="J671" s="649"/>
    </row>
    <row r="672" spans="1:10">
      <c r="A672" s="33"/>
      <c r="B672" s="674">
        <v>42759</v>
      </c>
      <c r="C672" s="675">
        <v>0.09</v>
      </c>
      <c r="D672" s="661">
        <v>2.587957219251338E-2</v>
      </c>
      <c r="E672" s="661">
        <v>3.8549197860962552E-2</v>
      </c>
      <c r="F672" s="676">
        <f t="shared" si="27"/>
        <v>-3.6543013399144519</v>
      </c>
      <c r="G672" s="649">
        <f t="shared" si="28"/>
        <v>1.2669625668449171E-2</v>
      </c>
      <c r="H672" s="677">
        <v>14.145935828877009</v>
      </c>
      <c r="I672" s="649">
        <f t="shared" si="29"/>
        <v>6.4120427807486613E-2</v>
      </c>
      <c r="J672" s="649"/>
    </row>
    <row r="673" spans="1:10">
      <c r="A673" s="33"/>
      <c r="B673" s="674">
        <v>42787</v>
      </c>
      <c r="C673" s="675">
        <v>0.10550000000000001</v>
      </c>
      <c r="D673" s="661">
        <v>2.6343144385026745E-2</v>
      </c>
      <c r="E673" s="661">
        <v>3.8805882352941155E-2</v>
      </c>
      <c r="F673" s="676">
        <f t="shared" si="27"/>
        <v>-3.6365472129874896</v>
      </c>
      <c r="G673" s="649">
        <f t="shared" si="28"/>
        <v>1.246273796791441E-2</v>
      </c>
      <c r="H673" s="677">
        <v>13.754759358288771</v>
      </c>
      <c r="I673" s="649">
        <f t="shared" si="29"/>
        <v>7.9156855614973265E-2</v>
      </c>
      <c r="J673" s="649"/>
    </row>
    <row r="674" spans="1:10">
      <c r="A674" s="33"/>
      <c r="B674" s="674">
        <v>42795</v>
      </c>
      <c r="C674" s="675">
        <v>9.2499999999999999E-2</v>
      </c>
      <c r="D674" s="661">
        <v>2.6506994652406409E-2</v>
      </c>
      <c r="E674" s="661">
        <v>3.8874866310160405E-2</v>
      </c>
      <c r="F674" s="676">
        <f t="shared" si="27"/>
        <v>-3.6303466316709967</v>
      </c>
      <c r="G674" s="649">
        <f t="shared" si="28"/>
        <v>1.2367871657753996E-2</v>
      </c>
      <c r="H674" s="677">
        <v>13.701283422459893</v>
      </c>
      <c r="I674" s="649">
        <f t="shared" si="29"/>
        <v>6.5993005347593586E-2</v>
      </c>
      <c r="J674" s="649"/>
    </row>
    <row r="675" spans="1:10">
      <c r="A675" s="33"/>
      <c r="B675" s="674">
        <v>42836</v>
      </c>
      <c r="C675" s="675">
        <v>9.5000000000000001E-2</v>
      </c>
      <c r="D675" s="661">
        <v>2.7681679144385015E-2</v>
      </c>
      <c r="E675" s="661">
        <v>3.963689839572191E-2</v>
      </c>
      <c r="F675" s="676">
        <f t="shared" si="27"/>
        <v>-3.5869844873419048</v>
      </c>
      <c r="G675" s="649">
        <f t="shared" si="28"/>
        <v>1.1955219251336895E-2</v>
      </c>
      <c r="H675" s="677">
        <v>12.969304812834221</v>
      </c>
      <c r="I675" s="649">
        <f t="shared" si="29"/>
        <v>6.7318320855614983E-2</v>
      </c>
      <c r="J675" s="649"/>
    </row>
    <row r="676" spans="1:10">
      <c r="A676" s="33"/>
      <c r="B676" s="674">
        <v>42845</v>
      </c>
      <c r="C676" s="675">
        <v>8.6999999999999994E-2</v>
      </c>
      <c r="D676" s="661">
        <v>2.7916893048128329E-2</v>
      </c>
      <c r="E676" s="661">
        <v>3.9786096256684486E-2</v>
      </c>
      <c r="F676" s="676">
        <f t="shared" si="27"/>
        <v>-3.5785232877912638</v>
      </c>
      <c r="G676" s="649">
        <f t="shared" si="28"/>
        <v>1.1869203208556157E-2</v>
      </c>
      <c r="H676" s="677">
        <v>13.056363636363628</v>
      </c>
      <c r="I676" s="649">
        <f t="shared" si="29"/>
        <v>5.9083106951871661E-2</v>
      </c>
      <c r="J676" s="649"/>
    </row>
    <row r="677" spans="1:10">
      <c r="A677" s="33"/>
      <c r="B677" s="674">
        <v>42853</v>
      </c>
      <c r="C677" s="675">
        <v>9.5000000000000001E-2</v>
      </c>
      <c r="D677" s="661">
        <v>2.813245454545454E-2</v>
      </c>
      <c r="E677" s="661">
        <v>3.9958823529411741E-2</v>
      </c>
      <c r="F677" s="676">
        <f t="shared" si="27"/>
        <v>-3.5708314030721819</v>
      </c>
      <c r="G677" s="649">
        <f t="shared" si="28"/>
        <v>1.1826368983957201E-2</v>
      </c>
      <c r="H677" s="677">
        <v>13.016149732620311</v>
      </c>
      <c r="I677" s="649">
        <f t="shared" si="29"/>
        <v>6.6867545454545457E-2</v>
      </c>
      <c r="J677" s="649"/>
    </row>
    <row r="678" spans="1:10">
      <c r="A678" s="33"/>
      <c r="B678" s="674">
        <v>42878</v>
      </c>
      <c r="C678" s="675">
        <v>9.6000000000000002E-2</v>
      </c>
      <c r="D678" s="661">
        <v>2.8787925133689843E-2</v>
      </c>
      <c r="E678" s="661">
        <v>4.0459893048128352E-2</v>
      </c>
      <c r="F678" s="676">
        <f t="shared" si="27"/>
        <v>-3.5477992459482057</v>
      </c>
      <c r="G678" s="649">
        <f t="shared" si="28"/>
        <v>1.1671967914438509E-2</v>
      </c>
      <c r="H678" s="677">
        <v>12.921871657754009</v>
      </c>
      <c r="I678" s="649">
        <f t="shared" si="29"/>
        <v>6.7212074866310159E-2</v>
      </c>
      <c r="J678" s="649"/>
    </row>
    <row r="679" spans="1:10">
      <c r="A679" s="33"/>
      <c r="B679" s="674">
        <v>42892</v>
      </c>
      <c r="C679" s="675">
        <v>9.6999999999999989E-2</v>
      </c>
      <c r="D679" s="661">
        <v>2.9059748663101612E-2</v>
      </c>
      <c r="E679" s="661">
        <v>4.0683422459893051E-2</v>
      </c>
      <c r="F679" s="676">
        <f t="shared" si="27"/>
        <v>-3.5384012697727356</v>
      </c>
      <c r="G679" s="649">
        <f t="shared" si="28"/>
        <v>1.1623673796791439E-2</v>
      </c>
      <c r="H679" s="677">
        <v>12.785989304812833</v>
      </c>
      <c r="I679" s="649">
        <f t="shared" si="29"/>
        <v>6.7940251336898377E-2</v>
      </c>
      <c r="J679" s="649"/>
    </row>
    <row r="680" spans="1:10">
      <c r="A680" s="33"/>
      <c r="B680" s="674">
        <v>42908</v>
      </c>
      <c r="C680" s="675">
        <v>9.6999999999999989E-2</v>
      </c>
      <c r="D680" s="661">
        <v>2.9348647058823545E-2</v>
      </c>
      <c r="E680" s="661">
        <v>4.0841711229946544E-2</v>
      </c>
      <c r="F680" s="676">
        <f t="shared" si="27"/>
        <v>-3.5285088305738084</v>
      </c>
      <c r="G680" s="649">
        <f t="shared" si="28"/>
        <v>1.1493064171122998E-2</v>
      </c>
      <c r="H680" s="677">
        <v>12.4951871657754</v>
      </c>
      <c r="I680" s="649">
        <f t="shared" si="29"/>
        <v>6.765135294117644E-2</v>
      </c>
      <c r="J680" s="649"/>
    </row>
    <row r="681" spans="1:10">
      <c r="A681" s="33"/>
      <c r="B681" s="674">
        <v>42916</v>
      </c>
      <c r="C681" s="675">
        <v>9.6000000000000002E-2</v>
      </c>
      <c r="D681" s="661">
        <v>2.9445668449197885E-2</v>
      </c>
      <c r="E681" s="661">
        <v>4.0934224598930508E-2</v>
      </c>
      <c r="F681" s="676">
        <f t="shared" si="27"/>
        <v>-3.5252084612233832</v>
      </c>
      <c r="G681" s="649">
        <f t="shared" si="28"/>
        <v>1.1488556149732623E-2</v>
      </c>
      <c r="H681" s="677">
        <v>12.402994652406415</v>
      </c>
      <c r="I681" s="649">
        <f t="shared" si="29"/>
        <v>6.655433155080212E-2</v>
      </c>
      <c r="J681" s="649"/>
    </row>
    <row r="682" spans="1:10">
      <c r="A682" s="33"/>
      <c r="B682" s="674">
        <v>42936</v>
      </c>
      <c r="C682" s="675">
        <v>9.5500000000000002E-2</v>
      </c>
      <c r="D682" s="661">
        <v>2.9708112299465256E-2</v>
      </c>
      <c r="E682" s="661">
        <v>4.1114973262032097E-2</v>
      </c>
      <c r="F682" s="676">
        <f t="shared" si="27"/>
        <v>-3.5163351290736662</v>
      </c>
      <c r="G682" s="649">
        <f t="shared" si="28"/>
        <v>1.140686096256684E-2</v>
      </c>
      <c r="H682" s="677">
        <v>12.118288770053475</v>
      </c>
      <c r="I682" s="649">
        <f t="shared" si="29"/>
        <v>6.5791887700534749E-2</v>
      </c>
      <c r="J682" s="649"/>
    </row>
    <row r="683" spans="1:10">
      <c r="A683" s="33"/>
      <c r="B683" s="674">
        <v>42947</v>
      </c>
      <c r="C683" s="675">
        <v>0.10099999999999999</v>
      </c>
      <c r="D683" s="661">
        <v>2.9784021390374338E-2</v>
      </c>
      <c r="E683" s="661">
        <v>4.1180748663101618E-2</v>
      </c>
      <c r="F683" s="676">
        <f t="shared" si="27"/>
        <v>-3.5137832242285807</v>
      </c>
      <c r="G683" s="649">
        <f t="shared" si="28"/>
        <v>1.1396727272727281E-2</v>
      </c>
      <c r="H683" s="677">
        <v>11.935454545454546</v>
      </c>
      <c r="I683" s="649">
        <f t="shared" si="29"/>
        <v>7.1215978609625655E-2</v>
      </c>
      <c r="J683" s="649"/>
    </row>
    <row r="684" spans="1:10">
      <c r="A684" s="33"/>
      <c r="B684" s="674">
        <v>42991</v>
      </c>
      <c r="C684" s="675">
        <v>9.4E-2</v>
      </c>
      <c r="D684" s="661">
        <v>2.9291957219251329E-2</v>
      </c>
      <c r="E684" s="661">
        <v>4.073636363636364E-2</v>
      </c>
      <c r="F684" s="676">
        <f t="shared" si="27"/>
        <v>-3.5304422982769608</v>
      </c>
      <c r="G684" s="649">
        <f t="shared" si="28"/>
        <v>1.1444406417112311E-2</v>
      </c>
      <c r="H684" s="677">
        <v>11.495187165775404</v>
      </c>
      <c r="I684" s="649">
        <f t="shared" si="29"/>
        <v>6.4708042780748667E-2</v>
      </c>
      <c r="J684" s="649"/>
    </row>
    <row r="685" spans="1:10">
      <c r="A685" s="33"/>
      <c r="B685" s="674">
        <v>42997</v>
      </c>
      <c r="C685" s="675">
        <v>9.6999999999999989E-2</v>
      </c>
      <c r="D685" s="661">
        <v>2.922682887700534E-2</v>
      </c>
      <c r="E685" s="661">
        <v>4.0647058823529404E-2</v>
      </c>
      <c r="F685" s="676">
        <f t="shared" si="27"/>
        <v>-3.5326681943859244</v>
      </c>
      <c r="G685" s="649">
        <f t="shared" si="28"/>
        <v>1.1420229946524064E-2</v>
      </c>
      <c r="H685" s="677">
        <v>11.456631016042783</v>
      </c>
      <c r="I685" s="649">
        <f t="shared" si="29"/>
        <v>6.7773171122994649E-2</v>
      </c>
      <c r="J685" s="649"/>
    </row>
    <row r="686" spans="1:10">
      <c r="A686" s="33"/>
      <c r="B686" s="674">
        <v>43000</v>
      </c>
      <c r="C686" s="675">
        <v>0.1188</v>
      </c>
      <c r="D686" s="661">
        <v>2.9186304812834223E-2</v>
      </c>
      <c r="E686" s="661">
        <v>4.0585026737967905E-2</v>
      </c>
      <c r="F686" s="676">
        <f t="shared" si="27"/>
        <v>-3.5340556929881237</v>
      </c>
      <c r="G686" s="649">
        <f t="shared" si="28"/>
        <v>1.1398721925133682E-2</v>
      </c>
      <c r="H686" s="677">
        <v>11.429358288770054</v>
      </c>
      <c r="I686" s="649">
        <f t="shared" si="29"/>
        <v>8.9613695187165776E-2</v>
      </c>
      <c r="J686" s="649"/>
    </row>
    <row r="687" spans="1:10">
      <c r="A687" s="33"/>
      <c r="B687" s="674">
        <v>43005</v>
      </c>
      <c r="C687" s="675">
        <v>0.10199999999999999</v>
      </c>
      <c r="D687" s="661">
        <v>2.9158855614973257E-2</v>
      </c>
      <c r="E687" s="661">
        <v>4.0524064171122982E-2</v>
      </c>
      <c r="F687" s="676">
        <f t="shared" si="27"/>
        <v>-3.5349966176401377</v>
      </c>
      <c r="G687" s="649">
        <f t="shared" si="28"/>
        <v>1.1365208556149725E-2</v>
      </c>
      <c r="H687" s="677">
        <v>11.386256684491977</v>
      </c>
      <c r="I687" s="649">
        <f t="shared" si="29"/>
        <v>7.2841144385026729E-2</v>
      </c>
      <c r="J687" s="649"/>
    </row>
    <row r="688" spans="1:10">
      <c r="A688" s="33"/>
      <c r="B688" s="674">
        <v>43028</v>
      </c>
      <c r="C688" s="675">
        <v>9.6000000000000002E-2</v>
      </c>
      <c r="D688" s="661">
        <v>2.9012598930481272E-2</v>
      </c>
      <c r="E688" s="661">
        <v>4.0323529411764696E-2</v>
      </c>
      <c r="F688" s="676">
        <f t="shared" si="27"/>
        <v>-3.5400250974612852</v>
      </c>
      <c r="G688" s="649">
        <f t="shared" si="28"/>
        <v>1.1310930481283423E-2</v>
      </c>
      <c r="H688" s="677">
        <v>11.201497326203206</v>
      </c>
      <c r="I688" s="649">
        <f t="shared" si="29"/>
        <v>6.6987401069518726E-2</v>
      </c>
      <c r="J688" s="649"/>
    </row>
    <row r="689" spans="1:10">
      <c r="A689" s="33"/>
      <c r="B689" s="674">
        <v>43034</v>
      </c>
      <c r="C689" s="675">
        <v>0.10199999999999999</v>
      </c>
      <c r="D689" s="661">
        <v>2.8985064171122989E-2</v>
      </c>
      <c r="E689" s="661">
        <v>4.026524064171122E-2</v>
      </c>
      <c r="F689" s="676">
        <f t="shared" si="27"/>
        <v>-3.5409746102504047</v>
      </c>
      <c r="G689" s="649">
        <f t="shared" si="28"/>
        <v>1.1280176470588231E-2</v>
      </c>
      <c r="H689" s="677">
        <v>11.199786096256682</v>
      </c>
      <c r="I689" s="649">
        <f t="shared" si="29"/>
        <v>7.3014935828876998E-2</v>
      </c>
      <c r="J689" s="649"/>
    </row>
    <row r="690" spans="1:10">
      <c r="A690" s="33"/>
      <c r="B690" s="674">
        <v>43038</v>
      </c>
      <c r="C690" s="675">
        <v>0.10050000000000001</v>
      </c>
      <c r="D690" s="661">
        <v>2.897680213903742E-2</v>
      </c>
      <c r="E690" s="661">
        <v>4.0233689839572179E-2</v>
      </c>
      <c r="F690" s="676">
        <f t="shared" si="27"/>
        <v>-3.5412596953474687</v>
      </c>
      <c r="G690" s="649">
        <f t="shared" si="28"/>
        <v>1.1256887700534759E-2</v>
      </c>
      <c r="H690" s="677">
        <v>11.181390374331549</v>
      </c>
      <c r="I690" s="649">
        <f t="shared" si="29"/>
        <v>7.152319786096259E-2</v>
      </c>
      <c r="J690" s="649"/>
    </row>
    <row r="691" spans="1:10">
      <c r="A691" s="33"/>
      <c r="B691" s="674">
        <v>43074</v>
      </c>
      <c r="C691" s="675">
        <v>9.5000000000000001E-2</v>
      </c>
      <c r="D691" s="661">
        <v>2.8588935828876994E-2</v>
      </c>
      <c r="E691" s="661">
        <v>3.9768449197860961E-2</v>
      </c>
      <c r="F691" s="676">
        <f t="shared" si="27"/>
        <v>-3.554735495135803</v>
      </c>
      <c r="G691" s="649">
        <f t="shared" si="28"/>
        <v>1.1179513368983967E-2</v>
      </c>
      <c r="H691" s="677">
        <v>11.057379679144386</v>
      </c>
      <c r="I691" s="649">
        <f t="shared" si="29"/>
        <v>6.641106417112301E-2</v>
      </c>
      <c r="J691" s="649"/>
    </row>
    <row r="692" spans="1:10">
      <c r="A692" s="33"/>
      <c r="B692" s="674">
        <v>43076</v>
      </c>
      <c r="C692" s="675">
        <v>9.8000000000000004E-2</v>
      </c>
      <c r="D692" s="661">
        <v>2.8555748663101593E-2</v>
      </c>
      <c r="E692" s="661">
        <v>3.9711229946524068E-2</v>
      </c>
      <c r="F692" s="676">
        <f t="shared" si="27"/>
        <v>-3.5558970089249349</v>
      </c>
      <c r="G692" s="649">
        <f t="shared" si="28"/>
        <v>1.1155481283422475E-2</v>
      </c>
      <c r="H692" s="677">
        <v>11.044171122994655</v>
      </c>
      <c r="I692" s="649">
        <f t="shared" si="29"/>
        <v>6.944425133689841E-2</v>
      </c>
      <c r="J692" s="649"/>
    </row>
    <row r="693" spans="1:10">
      <c r="A693" s="33"/>
      <c r="B693" s="674">
        <v>43082</v>
      </c>
      <c r="C693" s="675">
        <v>9.2499999999999999E-2</v>
      </c>
      <c r="D693" s="661">
        <v>2.8502422459893036E-2</v>
      </c>
      <c r="E693" s="661">
        <v>3.9604812834224595E-2</v>
      </c>
      <c r="F693" s="676">
        <f t="shared" si="27"/>
        <v>-3.5577661967269698</v>
      </c>
      <c r="G693" s="649">
        <f t="shared" si="28"/>
        <v>1.1102390374331559E-2</v>
      </c>
      <c r="H693" s="677">
        <v>11.009732620320859</v>
      </c>
      <c r="I693" s="649">
        <f t="shared" si="29"/>
        <v>6.3997577540106959E-2</v>
      </c>
      <c r="J693" s="649"/>
    </row>
    <row r="694" spans="1:10">
      <c r="A694" s="33"/>
      <c r="B694" s="674">
        <v>43097</v>
      </c>
      <c r="C694" s="675">
        <v>9.5000000000000001E-2</v>
      </c>
      <c r="D694" s="661">
        <v>2.8382379679144372E-2</v>
      </c>
      <c r="E694" s="661">
        <v>3.9398930481283422E-2</v>
      </c>
      <c r="F694" s="676">
        <f t="shared" si="27"/>
        <v>-3.5619867601966386</v>
      </c>
      <c r="G694" s="649">
        <f t="shared" si="28"/>
        <v>1.101655080213905E-2</v>
      </c>
      <c r="H694" s="677">
        <v>10.884117647058824</v>
      </c>
      <c r="I694" s="649">
        <f t="shared" si="29"/>
        <v>6.6617620320855636E-2</v>
      </c>
      <c r="J694" s="649"/>
    </row>
    <row r="695" spans="1:10">
      <c r="A695" s="33"/>
      <c r="B695" s="674">
        <v>43131</v>
      </c>
      <c r="C695" s="675">
        <v>9.8000000000000004E-2</v>
      </c>
      <c r="D695" s="661">
        <v>2.826713368983956E-2</v>
      </c>
      <c r="E695" s="661">
        <v>3.9080748663101607E-2</v>
      </c>
      <c r="F695" s="676">
        <f t="shared" si="27"/>
        <v>-3.5660555029426662</v>
      </c>
      <c r="G695" s="649">
        <f t="shared" si="28"/>
        <v>1.0813614973262047E-2</v>
      </c>
      <c r="H695" s="677">
        <v>10.693208556149738</v>
      </c>
      <c r="I695" s="649">
        <f t="shared" si="29"/>
        <v>6.9732866310160443E-2</v>
      </c>
      <c r="J695" s="649"/>
    </row>
    <row r="696" spans="1:10">
      <c r="A696" s="33"/>
      <c r="B696" s="674">
        <v>43152</v>
      </c>
      <c r="C696" s="675">
        <v>9.8000000000000004E-2</v>
      </c>
      <c r="D696" s="661">
        <v>2.8444780748663086E-2</v>
      </c>
      <c r="E696" s="661">
        <v>3.9029411764705889E-2</v>
      </c>
      <c r="F696" s="676">
        <f t="shared" si="27"/>
        <v>-3.5597905887135006</v>
      </c>
      <c r="G696" s="649">
        <f t="shared" si="28"/>
        <v>1.0584631016042803E-2</v>
      </c>
      <c r="H696" s="677">
        <v>11.660267379679141</v>
      </c>
      <c r="I696" s="649">
        <f t="shared" si="29"/>
        <v>6.9555219251336925E-2</v>
      </c>
      <c r="J696" s="649"/>
    </row>
    <row r="697" spans="1:10">
      <c r="A697" s="33"/>
      <c r="B697" s="674">
        <v>43152</v>
      </c>
      <c r="C697" s="675">
        <v>9.8000000000000004E-2</v>
      </c>
      <c r="D697" s="661">
        <v>2.8444780748663086E-2</v>
      </c>
      <c r="E697" s="661">
        <v>3.9029411764705889E-2</v>
      </c>
      <c r="F697" s="676">
        <f t="shared" si="27"/>
        <v>-3.5597905887135006</v>
      </c>
      <c r="G697" s="649">
        <f t="shared" si="28"/>
        <v>1.0584631016042803E-2</v>
      </c>
      <c r="H697" s="677">
        <v>11.660267379679141</v>
      </c>
      <c r="I697" s="649">
        <f t="shared" si="29"/>
        <v>6.9555219251336925E-2</v>
      </c>
      <c r="J697" s="649"/>
    </row>
    <row r="698" spans="1:10">
      <c r="A698" s="33"/>
      <c r="B698" s="674">
        <v>43159</v>
      </c>
      <c r="C698" s="675">
        <v>9.5000000000000001E-2</v>
      </c>
      <c r="D698" s="661">
        <v>2.8528930481283403E-2</v>
      </c>
      <c r="E698" s="661">
        <v>3.9043315508021377E-2</v>
      </c>
      <c r="F698" s="676">
        <f t="shared" si="27"/>
        <v>-3.556836601971376</v>
      </c>
      <c r="G698" s="649">
        <f t="shared" si="28"/>
        <v>1.0514385026737974E-2</v>
      </c>
      <c r="H698" s="677">
        <v>11.868663101604279</v>
      </c>
      <c r="I698" s="649">
        <f t="shared" si="29"/>
        <v>6.6471069518716591E-2</v>
      </c>
      <c r="J698" s="649"/>
    </row>
    <row r="699" spans="1:10">
      <c r="A699" s="33"/>
      <c r="B699" s="674">
        <v>43174</v>
      </c>
      <c r="C699" s="675">
        <v>0.09</v>
      </c>
      <c r="D699" s="661">
        <v>2.8741427807486633E-2</v>
      </c>
      <c r="E699" s="661">
        <v>3.9128342245989295E-2</v>
      </c>
      <c r="F699" s="676">
        <f t="shared" si="27"/>
        <v>-3.5494157194161238</v>
      </c>
      <c r="G699" s="649">
        <f t="shared" si="28"/>
        <v>1.0386914438502662E-2</v>
      </c>
      <c r="H699" s="677">
        <v>12.289625668449196</v>
      </c>
      <c r="I699" s="649">
        <f t="shared" si="29"/>
        <v>6.1258572192513364E-2</v>
      </c>
      <c r="J699" s="649"/>
    </row>
    <row r="700" spans="1:10">
      <c r="A700" s="33"/>
      <c r="B700" s="674">
        <v>43185</v>
      </c>
      <c r="C700" s="675">
        <v>0.10189999999999999</v>
      </c>
      <c r="D700" s="661">
        <v>2.8832823529411772E-2</v>
      </c>
      <c r="E700" s="661">
        <v>3.922139037433154E-2</v>
      </c>
      <c r="F700" s="676">
        <f t="shared" ref="F700:F742" si="30">LN(D700)</f>
        <v>-3.5462408349295882</v>
      </c>
      <c r="G700" s="649">
        <f t="shared" ref="G700:G742" si="31">IF(E700="","",E700-D700)</f>
        <v>1.0388566844919768E-2</v>
      </c>
      <c r="H700" s="677">
        <v>12.646203208556143</v>
      </c>
      <c r="I700" s="649">
        <f t="shared" ref="I700:I742" si="32">C700-D700</f>
        <v>7.3067176470588219E-2</v>
      </c>
      <c r="J700" s="649"/>
    </row>
    <row r="701" spans="1:10">
      <c r="A701" s="33"/>
      <c r="B701" s="674">
        <v>43216</v>
      </c>
      <c r="C701" s="675">
        <v>9.5000000000000001E-2</v>
      </c>
      <c r="D701" s="661">
        <v>2.9053192513369009E-2</v>
      </c>
      <c r="E701" s="661">
        <v>3.9427272727272727E-2</v>
      </c>
      <c r="F701" s="676">
        <f t="shared" si="30"/>
        <v>-3.5386269045324874</v>
      </c>
      <c r="G701" s="649">
        <f t="shared" si="31"/>
        <v>1.0374080213903718E-2</v>
      </c>
      <c r="H701" s="677">
        <v>13.66192513368984</v>
      </c>
      <c r="I701" s="649">
        <f t="shared" si="32"/>
        <v>6.5946807486630996E-2</v>
      </c>
      <c r="J701" s="649"/>
    </row>
    <row r="702" spans="1:10">
      <c r="A702" s="33"/>
      <c r="B702" s="674">
        <v>43217</v>
      </c>
      <c r="C702" s="675">
        <v>9.3000000000000013E-2</v>
      </c>
      <c r="D702" s="661">
        <v>2.9069358288770074E-2</v>
      </c>
      <c r="E702" s="661">
        <v>3.9439037433155084E-2</v>
      </c>
      <c r="F702" s="676">
        <f t="shared" si="30"/>
        <v>-3.5380706393447139</v>
      </c>
      <c r="G702" s="649">
        <f t="shared" si="31"/>
        <v>1.0369679144385011E-2</v>
      </c>
      <c r="H702" s="677">
        <v>13.689465240641709</v>
      </c>
      <c r="I702" s="649">
        <f t="shared" si="32"/>
        <v>6.3930641711229946E-2</v>
      </c>
      <c r="J702" s="649"/>
    </row>
    <row r="703" spans="1:10">
      <c r="A703" s="33"/>
      <c r="B703" s="674">
        <v>43222</v>
      </c>
      <c r="C703" s="675">
        <v>9.5000000000000001E-2</v>
      </c>
      <c r="D703" s="661">
        <v>2.9124582887700555E-2</v>
      </c>
      <c r="E703" s="661">
        <v>3.9482887700534763E-2</v>
      </c>
      <c r="F703" s="676">
        <f t="shared" si="30"/>
        <v>-3.5361726886511669</v>
      </c>
      <c r="G703" s="649">
        <f t="shared" si="31"/>
        <v>1.0358304812834208E-2</v>
      </c>
      <c r="H703" s="677">
        <v>13.77812834224599</v>
      </c>
      <c r="I703" s="649">
        <f t="shared" si="32"/>
        <v>6.5875417112299439E-2</v>
      </c>
      <c r="J703" s="649"/>
    </row>
    <row r="704" spans="1:10">
      <c r="A704" s="33"/>
      <c r="B704" s="674">
        <v>43223</v>
      </c>
      <c r="C704" s="675">
        <v>9.6999999999999989E-2</v>
      </c>
      <c r="D704" s="661">
        <v>2.9139155080213929E-2</v>
      </c>
      <c r="E704" s="661">
        <v>3.9500534759358288E-2</v>
      </c>
      <c r="F704" s="676">
        <f t="shared" si="30"/>
        <v>-3.5356724738237131</v>
      </c>
      <c r="G704" s="649">
        <f t="shared" si="31"/>
        <v>1.0361379679144359E-2</v>
      </c>
      <c r="H704" s="677">
        <v>13.809518716577539</v>
      </c>
      <c r="I704" s="649">
        <f t="shared" si="32"/>
        <v>6.7860844919786056E-2</v>
      </c>
      <c r="J704" s="649"/>
    </row>
    <row r="705" spans="1:10">
      <c r="A705" s="33"/>
      <c r="B705" s="674">
        <v>43249</v>
      </c>
      <c r="C705" s="675">
        <v>9.4E-2</v>
      </c>
      <c r="D705" s="661">
        <v>2.9522994652406428E-2</v>
      </c>
      <c r="E705" s="661">
        <v>3.9894117647058823E-2</v>
      </c>
      <c r="F705" s="676">
        <f t="shared" si="30"/>
        <v>-3.5225858395303313</v>
      </c>
      <c r="G705" s="649">
        <f t="shared" si="31"/>
        <v>1.0371122994652395E-2</v>
      </c>
      <c r="H705" s="677">
        <v>13.917647058823526</v>
      </c>
      <c r="I705" s="649">
        <f t="shared" si="32"/>
        <v>6.4477005347593569E-2</v>
      </c>
      <c r="J705" s="649"/>
    </row>
    <row r="706" spans="1:10">
      <c r="A706" s="33"/>
      <c r="B706" s="674">
        <v>43257</v>
      </c>
      <c r="C706" s="675">
        <v>9.8000000000000004E-2</v>
      </c>
      <c r="D706" s="661">
        <v>2.9616946524064179E-2</v>
      </c>
      <c r="E706" s="661">
        <v>4.0030481283422466E-2</v>
      </c>
      <c r="F706" s="676">
        <f t="shared" si="30"/>
        <v>-3.5194085637729868</v>
      </c>
      <c r="G706" s="649">
        <f t="shared" si="31"/>
        <v>1.0413534759358287E-2</v>
      </c>
      <c r="H706" s="677">
        <v>13.98855614973262</v>
      </c>
      <c r="I706" s="649">
        <f t="shared" si="32"/>
        <v>6.8383053475935818E-2</v>
      </c>
      <c r="J706" s="649"/>
    </row>
    <row r="707" spans="1:10">
      <c r="A707" s="33"/>
      <c r="B707" s="674">
        <v>43265</v>
      </c>
      <c r="C707" s="675">
        <v>8.8000000000000009E-2</v>
      </c>
      <c r="D707" s="661">
        <v>2.9710005347593584E-2</v>
      </c>
      <c r="E707" s="661">
        <v>4.017379679144386E-2</v>
      </c>
      <c r="F707" s="676">
        <f t="shared" si="30"/>
        <v>-3.5162714095145846</v>
      </c>
      <c r="G707" s="649">
        <f t="shared" si="31"/>
        <v>1.0463791443850276E-2</v>
      </c>
      <c r="H707" s="677">
        <v>14.039465240641711</v>
      </c>
      <c r="I707" s="649">
        <f t="shared" si="32"/>
        <v>5.8289994652406425E-2</v>
      </c>
      <c r="J707" s="649"/>
    </row>
    <row r="708" spans="1:10">
      <c r="A708" s="33"/>
      <c r="B708" s="674">
        <v>43297</v>
      </c>
      <c r="C708" s="675">
        <v>9.6000000000000002E-2</v>
      </c>
      <c r="D708" s="661">
        <v>2.9844155080213902E-2</v>
      </c>
      <c r="E708" s="661">
        <v>4.0568449197861005E-2</v>
      </c>
      <c r="F708" s="676">
        <f t="shared" si="30"/>
        <v>-3.5117662680248269</v>
      </c>
      <c r="G708" s="649">
        <f t="shared" si="31"/>
        <v>1.0724294117647103E-2</v>
      </c>
      <c r="H708" s="677">
        <v>14.540909090909087</v>
      </c>
      <c r="I708" s="649">
        <f t="shared" si="32"/>
        <v>6.61558449197861E-2</v>
      </c>
      <c r="J708" s="649"/>
    </row>
    <row r="709" spans="1:10">
      <c r="A709" s="33"/>
      <c r="B709" s="674">
        <v>43301</v>
      </c>
      <c r="C709" s="675">
        <v>9.4E-2</v>
      </c>
      <c r="D709" s="661">
        <v>2.9865759358288772E-2</v>
      </c>
      <c r="E709" s="661">
        <v>4.065240641711234E-2</v>
      </c>
      <c r="F709" s="676">
        <f t="shared" si="30"/>
        <v>-3.5110426267595258</v>
      </c>
      <c r="G709" s="649">
        <f t="shared" si="31"/>
        <v>1.0786647058823567E-2</v>
      </c>
      <c r="H709" s="677">
        <v>14.591657754010695</v>
      </c>
      <c r="I709" s="649">
        <f t="shared" si="32"/>
        <v>6.4134240641711221E-2</v>
      </c>
      <c r="J709" s="649"/>
    </row>
    <row r="710" spans="1:10">
      <c r="A710" s="33"/>
      <c r="B710" s="674">
        <v>43336</v>
      </c>
      <c r="C710" s="675">
        <v>9.2799999999999994E-2</v>
      </c>
      <c r="D710" s="661">
        <v>3.0228262032085586E-2</v>
      </c>
      <c r="E710" s="661">
        <v>4.1217647058823567E-2</v>
      </c>
      <c r="F710" s="676">
        <f t="shared" si="30"/>
        <v>-3.4989779633391498</v>
      </c>
      <c r="G710" s="649">
        <f t="shared" si="31"/>
        <v>1.0989385026737981E-2</v>
      </c>
      <c r="H710" s="677">
        <v>14.860534759358291</v>
      </c>
      <c r="I710" s="649">
        <f t="shared" si="32"/>
        <v>6.2571737967914404E-2</v>
      </c>
      <c r="J710" s="649"/>
    </row>
    <row r="711" spans="1:10">
      <c r="A711" s="33"/>
      <c r="B711" s="674">
        <v>43340</v>
      </c>
      <c r="C711" s="675">
        <v>0.1</v>
      </c>
      <c r="D711" s="661">
        <v>3.0254716577540138E-2</v>
      </c>
      <c r="E711" s="661">
        <v>4.1261497326203246E-2</v>
      </c>
      <c r="F711" s="676">
        <f t="shared" si="30"/>
        <v>-3.4981031867408516</v>
      </c>
      <c r="G711" s="649">
        <f t="shared" si="31"/>
        <v>1.1006780748663108E-2</v>
      </c>
      <c r="H711" s="677">
        <v>14.881550802139037</v>
      </c>
      <c r="I711" s="649">
        <f t="shared" si="32"/>
        <v>6.9745283422459864E-2</v>
      </c>
      <c r="J711" s="649"/>
    </row>
    <row r="712" spans="1:10">
      <c r="A712" s="33"/>
      <c r="B712" s="674">
        <v>43356</v>
      </c>
      <c r="C712" s="675">
        <v>0.1</v>
      </c>
      <c r="D712" s="661">
        <v>3.0432524064171129E-2</v>
      </c>
      <c r="E712" s="661">
        <v>4.1545989304812861E-2</v>
      </c>
      <c r="F712" s="676">
        <f t="shared" si="30"/>
        <v>-3.4922433719416213</v>
      </c>
      <c r="G712" s="649">
        <f t="shared" si="31"/>
        <v>1.1113465240641732E-2</v>
      </c>
      <c r="H712" s="677">
        <v>15.051176470588237</v>
      </c>
      <c r="I712" s="649">
        <f t="shared" si="32"/>
        <v>6.9567475935828876E-2</v>
      </c>
      <c r="J712" s="649"/>
    </row>
    <row r="713" spans="1:10">
      <c r="A713" s="33"/>
      <c r="B713" s="674">
        <v>43357</v>
      </c>
      <c r="C713" s="675">
        <v>0.1</v>
      </c>
      <c r="D713" s="661">
        <v>3.0453101604278082E-2</v>
      </c>
      <c r="E713" s="661">
        <v>4.1577005347593607E-2</v>
      </c>
      <c r="F713" s="676">
        <f t="shared" si="30"/>
        <v>-3.4915674310881104</v>
      </c>
      <c r="G713" s="649">
        <f t="shared" si="31"/>
        <v>1.1123903743315525E-2</v>
      </c>
      <c r="H713" s="677">
        <v>15.065347593582889</v>
      </c>
      <c r="I713" s="649">
        <f t="shared" si="32"/>
        <v>6.9546898395721923E-2</v>
      </c>
      <c r="J713" s="649"/>
    </row>
    <row r="714" spans="1:10">
      <c r="A714" s="33"/>
      <c r="B714" s="674">
        <v>43362</v>
      </c>
      <c r="C714" s="675">
        <v>9.849999999999999E-2</v>
      </c>
      <c r="D714" s="661">
        <v>3.0522818181818193E-2</v>
      </c>
      <c r="E714" s="661">
        <v>4.1659893048128373E-2</v>
      </c>
      <c r="F714" s="676">
        <f t="shared" si="30"/>
        <v>-3.4892807379750432</v>
      </c>
      <c r="G714" s="649">
        <f t="shared" si="31"/>
        <v>1.113707486631018E-2</v>
      </c>
      <c r="H714" s="677">
        <v>15.113155080213902</v>
      </c>
      <c r="I714" s="649">
        <f t="shared" si="32"/>
        <v>6.7977181818181798E-2</v>
      </c>
      <c r="J714" s="649"/>
    </row>
    <row r="715" spans="1:10">
      <c r="A715" s="33"/>
      <c r="B715" s="674">
        <v>43363</v>
      </c>
      <c r="C715" s="675">
        <v>9.8000000000000004E-2</v>
      </c>
      <c r="D715" s="661">
        <v>3.0543245989304829E-2</v>
      </c>
      <c r="E715" s="661">
        <v>4.1688235294117672E-2</v>
      </c>
      <c r="F715" s="676">
        <f t="shared" si="30"/>
        <v>-3.4886116983529258</v>
      </c>
      <c r="G715" s="649">
        <f t="shared" si="31"/>
        <v>1.1144989304812843E-2</v>
      </c>
      <c r="H715" s="677">
        <v>15.124812834224599</v>
      </c>
      <c r="I715" s="649">
        <f t="shared" si="32"/>
        <v>6.7456754010695175E-2</v>
      </c>
      <c r="J715" s="649"/>
    </row>
    <row r="716" spans="1:10">
      <c r="A716" s="33"/>
      <c r="B716" s="674">
        <v>43369</v>
      </c>
      <c r="C716" s="675">
        <v>9.4E-2</v>
      </c>
      <c r="D716" s="661">
        <v>3.0630903743315535E-2</v>
      </c>
      <c r="E716" s="661">
        <v>4.1806951871657776E-2</v>
      </c>
      <c r="F716" s="676">
        <f t="shared" si="30"/>
        <v>-3.4857458534040791</v>
      </c>
      <c r="G716" s="649">
        <f t="shared" si="31"/>
        <v>1.1176048128342241E-2</v>
      </c>
      <c r="H716" s="677">
        <v>15.169679144385025</v>
      </c>
      <c r="I716" s="649">
        <f t="shared" si="32"/>
        <v>6.3369096256684465E-2</v>
      </c>
      <c r="J716" s="649"/>
    </row>
    <row r="717" spans="1:10">
      <c r="A717" s="33"/>
      <c r="B717" s="674">
        <v>43369</v>
      </c>
      <c r="C717" s="675">
        <v>0.10199999999999999</v>
      </c>
      <c r="D717" s="661">
        <v>3.0630903743315535E-2</v>
      </c>
      <c r="E717" s="661">
        <v>4.1806951871657776E-2</v>
      </c>
      <c r="F717" s="676">
        <f t="shared" si="30"/>
        <v>-3.4857458534040791</v>
      </c>
      <c r="G717" s="649">
        <f t="shared" si="31"/>
        <v>1.1176048128342241E-2</v>
      </c>
      <c r="H717" s="677">
        <v>15.169679144385025</v>
      </c>
      <c r="I717" s="649">
        <f t="shared" si="32"/>
        <v>7.1369096256684458E-2</v>
      </c>
      <c r="J717" s="649"/>
    </row>
    <row r="718" spans="1:10">
      <c r="A718" s="33"/>
      <c r="B718" s="674">
        <v>43371</v>
      </c>
      <c r="C718" s="675">
        <v>9.5000000000000001E-2</v>
      </c>
      <c r="D718" s="661">
        <v>3.0662732620320869E-2</v>
      </c>
      <c r="E718" s="661">
        <v>4.1864705882352971E-2</v>
      </c>
      <c r="F718" s="676">
        <f t="shared" si="30"/>
        <v>-3.4847072829502896</v>
      </c>
      <c r="G718" s="649">
        <f t="shared" si="31"/>
        <v>1.1201973262032101E-2</v>
      </c>
      <c r="H718" s="677">
        <v>15.189572192513371</v>
      </c>
      <c r="I718" s="649">
        <f t="shared" si="32"/>
        <v>6.4337267379679125E-2</v>
      </c>
      <c r="J718" s="649"/>
    </row>
    <row r="719" spans="1:10">
      <c r="A719" s="33"/>
      <c r="B719" s="674">
        <v>43371</v>
      </c>
      <c r="C719" s="675">
        <v>9.5000000000000001E-2</v>
      </c>
      <c r="D719" s="661">
        <v>3.0662732620320869E-2</v>
      </c>
      <c r="E719" s="661">
        <v>4.1864705882352971E-2</v>
      </c>
      <c r="F719" s="676">
        <f t="shared" si="30"/>
        <v>-3.4847072829502896</v>
      </c>
      <c r="G719" s="649">
        <f t="shared" si="31"/>
        <v>1.1201973262032101E-2</v>
      </c>
      <c r="H719" s="677">
        <v>15.189572192513371</v>
      </c>
      <c r="I719" s="649">
        <f t="shared" si="32"/>
        <v>6.4337267379679125E-2</v>
      </c>
      <c r="J719" s="649"/>
    </row>
    <row r="720" spans="1:10">
      <c r="A720" s="33"/>
      <c r="B720" s="674">
        <v>43378</v>
      </c>
      <c r="C720" s="675">
        <v>9.6099999999999991E-2</v>
      </c>
      <c r="D720" s="661">
        <v>3.0785208556149749E-2</v>
      </c>
      <c r="E720" s="661">
        <v>4.202620320855617E-2</v>
      </c>
      <c r="F720" s="676">
        <f t="shared" si="30"/>
        <v>-3.4807209460390283</v>
      </c>
      <c r="G720" s="649">
        <f t="shared" si="31"/>
        <v>1.1240994652406421E-2</v>
      </c>
      <c r="H720" s="677">
        <v>15.283208556149733</v>
      </c>
      <c r="I720" s="649">
        <f t="shared" si="32"/>
        <v>6.5314791443850245E-2</v>
      </c>
      <c r="J720" s="649"/>
    </row>
    <row r="721" spans="1:10">
      <c r="A721" s="33"/>
      <c r="B721" s="674">
        <v>43388</v>
      </c>
      <c r="C721" s="675">
        <v>9.8000000000000004E-2</v>
      </c>
      <c r="D721" s="661">
        <v>3.0927508021390385E-2</v>
      </c>
      <c r="E721" s="661">
        <v>4.2222459893048132E-2</v>
      </c>
      <c r="F721" s="676">
        <f t="shared" si="30"/>
        <v>-3.4761092638662223</v>
      </c>
      <c r="G721" s="649">
        <f t="shared" si="31"/>
        <v>1.1294951871657747E-2</v>
      </c>
      <c r="H721" s="677">
        <v>15.585561497326211</v>
      </c>
      <c r="I721" s="649">
        <f t="shared" si="32"/>
        <v>6.7072491978609622E-2</v>
      </c>
      <c r="J721" s="649"/>
    </row>
    <row r="722" spans="1:10">
      <c r="A722" s="33"/>
      <c r="B722" s="674">
        <v>43399</v>
      </c>
      <c r="C722" s="675">
        <v>9.4E-2</v>
      </c>
      <c r="D722" s="661">
        <v>3.1094812834224612E-2</v>
      </c>
      <c r="E722" s="661">
        <v>4.2491978609625676E-2</v>
      </c>
      <c r="F722" s="676">
        <f t="shared" si="30"/>
        <v>-3.4707142636042447</v>
      </c>
      <c r="G722" s="649">
        <f t="shared" si="31"/>
        <v>1.1397165775401064E-2</v>
      </c>
      <c r="H722" s="677">
        <v>16.009251336898402</v>
      </c>
      <c r="I722" s="649">
        <f t="shared" si="32"/>
        <v>6.2905187165775395E-2</v>
      </c>
      <c r="J722" s="649"/>
    </row>
    <row r="723" spans="1:10">
      <c r="A723" s="33"/>
      <c r="B723" s="674">
        <v>43402</v>
      </c>
      <c r="C723" s="675">
        <v>9.6000000000000002E-2</v>
      </c>
      <c r="D723" s="661">
        <v>3.1105577540106965E-2</v>
      </c>
      <c r="E723" s="661">
        <v>4.2518181818181823E-2</v>
      </c>
      <c r="F723" s="676">
        <f t="shared" si="30"/>
        <v>-3.4703681337511991</v>
      </c>
      <c r="G723" s="649">
        <f t="shared" si="31"/>
        <v>1.1412604278074858E-2</v>
      </c>
      <c r="H723" s="677">
        <v>16.069304812834233</v>
      </c>
      <c r="I723" s="649">
        <f t="shared" si="32"/>
        <v>6.4894422459893034E-2</v>
      </c>
      <c r="J723" s="649"/>
    </row>
    <row r="724" spans="1:10">
      <c r="A724" s="33"/>
      <c r="B724" s="674">
        <v>43405</v>
      </c>
      <c r="C724" s="675">
        <v>9.8699999999999996E-2</v>
      </c>
      <c r="D724" s="661">
        <v>3.1143866310160445E-2</v>
      </c>
      <c r="E724" s="661">
        <v>4.2596791443850271E-2</v>
      </c>
      <c r="F724" s="676">
        <f t="shared" si="30"/>
        <v>-3.469137961318681</v>
      </c>
      <c r="G724" s="649">
        <f t="shared" si="31"/>
        <v>1.1452925133689826E-2</v>
      </c>
      <c r="H724" s="677">
        <v>15.958663101604284</v>
      </c>
      <c r="I724" s="649">
        <f t="shared" si="32"/>
        <v>6.7556133689839551E-2</v>
      </c>
      <c r="J724" s="649"/>
    </row>
    <row r="725" spans="1:10">
      <c r="A725" s="33"/>
      <c r="B725" s="674">
        <v>43412</v>
      </c>
      <c r="C725" s="675">
        <v>9.6999999999999989E-2</v>
      </c>
      <c r="D725" s="661">
        <v>3.1221882352941179E-2</v>
      </c>
      <c r="E725" s="661">
        <v>4.2726737967914451E-2</v>
      </c>
      <c r="F725" s="676">
        <f t="shared" si="30"/>
        <v>-3.4666360725368452</v>
      </c>
      <c r="G725" s="649">
        <f t="shared" si="31"/>
        <v>1.1504855614973272E-2</v>
      </c>
      <c r="H725" s="677">
        <v>15.700000000000006</v>
      </c>
      <c r="I725" s="649">
        <f t="shared" si="32"/>
        <v>6.5778117647058806E-2</v>
      </c>
      <c r="J725" s="649"/>
    </row>
    <row r="726" spans="1:10">
      <c r="A726" s="33"/>
      <c r="B726" s="674">
        <v>43412</v>
      </c>
      <c r="C726" s="675">
        <v>9.6999999999999989E-2</v>
      </c>
      <c r="D726" s="661">
        <v>3.1221882352941179E-2</v>
      </c>
      <c r="E726" s="661">
        <v>4.2726737967914451E-2</v>
      </c>
      <c r="F726" s="676">
        <f t="shared" si="30"/>
        <v>-3.4666360725368452</v>
      </c>
      <c r="G726" s="649">
        <f t="shared" si="31"/>
        <v>1.1504855614973272E-2</v>
      </c>
      <c r="H726" s="677">
        <v>15.700000000000006</v>
      </c>
      <c r="I726" s="649">
        <f t="shared" si="32"/>
        <v>6.5778117647058806E-2</v>
      </c>
      <c r="J726" s="649"/>
    </row>
    <row r="727" spans="1:10">
      <c r="A727" s="33"/>
      <c r="B727" s="674">
        <v>43445</v>
      </c>
      <c r="C727" s="675">
        <v>9.6999999999999989E-2</v>
      </c>
      <c r="D727" s="661">
        <v>3.1416149732620323E-2</v>
      </c>
      <c r="E727" s="661">
        <v>4.3105347593582893E-2</v>
      </c>
      <c r="F727" s="676">
        <f t="shared" si="30"/>
        <v>-3.4604331955915986</v>
      </c>
      <c r="G727" s="649">
        <f t="shared" si="31"/>
        <v>1.168919786096257E-2</v>
      </c>
      <c r="H727" s="677">
        <v>15.910748663101609</v>
      </c>
      <c r="I727" s="649">
        <f t="shared" si="32"/>
        <v>6.5583850267379673E-2</v>
      </c>
      <c r="J727" s="649"/>
    </row>
    <row r="728" spans="1:10">
      <c r="A728" s="33"/>
      <c r="B728" s="674">
        <v>43446</v>
      </c>
      <c r="C728" s="675">
        <v>9.3000000000000013E-2</v>
      </c>
      <c r="D728" s="661">
        <v>3.1419561497326207E-2</v>
      </c>
      <c r="E728" s="661">
        <v>4.312245989304813E-2</v>
      </c>
      <c r="F728" s="676">
        <f t="shared" si="30"/>
        <v>-3.4603246024160792</v>
      </c>
      <c r="G728" s="649">
        <f t="shared" si="31"/>
        <v>1.1702898395721924E-2</v>
      </c>
      <c r="H728" s="677">
        <v>15.941016042780751</v>
      </c>
      <c r="I728" s="649">
        <f t="shared" si="32"/>
        <v>6.1580438502673807E-2</v>
      </c>
      <c r="J728" s="649"/>
    </row>
    <row r="729" spans="1:10">
      <c r="A729" s="33"/>
      <c r="B729" s="674">
        <v>43447</v>
      </c>
      <c r="C729" s="675">
        <v>9.6000000000000002E-2</v>
      </c>
      <c r="D729" s="661">
        <v>3.1427090909090905E-2</v>
      </c>
      <c r="E729" s="661">
        <v>4.3139037433155093E-2</v>
      </c>
      <c r="F729" s="676">
        <f t="shared" si="30"/>
        <v>-3.4600849902326956</v>
      </c>
      <c r="G729" s="649">
        <f t="shared" si="31"/>
        <v>1.1711946524064189E-2</v>
      </c>
      <c r="H729" s="677">
        <v>15.949732620320859</v>
      </c>
      <c r="I729" s="649">
        <f t="shared" si="32"/>
        <v>6.4572909090909097E-2</v>
      </c>
      <c r="J729" s="649"/>
    </row>
    <row r="730" spans="1:10">
      <c r="A730" s="33"/>
      <c r="B730" s="674">
        <v>43453</v>
      </c>
      <c r="C730" s="675">
        <v>9.3000000000000013E-2</v>
      </c>
      <c r="D730" s="661">
        <v>3.1447080213903744E-2</v>
      </c>
      <c r="E730" s="661">
        <v>4.3184491978609636E-2</v>
      </c>
      <c r="F730" s="676">
        <f t="shared" si="30"/>
        <v>-3.4594491391310656</v>
      </c>
      <c r="G730" s="649">
        <f t="shared" si="31"/>
        <v>1.1737411764705892E-2</v>
      </c>
      <c r="H730" s="677">
        <v>16.019465240641715</v>
      </c>
      <c r="I730" s="649">
        <f t="shared" si="32"/>
        <v>6.1552919786096269E-2</v>
      </c>
      <c r="J730" s="649"/>
    </row>
    <row r="731" spans="1:10">
      <c r="A731" s="33"/>
      <c r="B731" s="674">
        <v>43455</v>
      </c>
      <c r="C731" s="675">
        <v>9.35E-2</v>
      </c>
      <c r="D731" s="661">
        <v>3.1448807486631022E-2</v>
      </c>
      <c r="E731" s="661">
        <v>4.3200534759358297E-2</v>
      </c>
      <c r="F731" s="676">
        <f t="shared" si="30"/>
        <v>-3.4593942143087641</v>
      </c>
      <c r="G731" s="649">
        <f t="shared" si="31"/>
        <v>1.1751727272727275E-2</v>
      </c>
      <c r="H731" s="677">
        <v>16.09946524064171</v>
      </c>
      <c r="I731" s="649">
        <f t="shared" si="32"/>
        <v>6.2051192513368977E-2</v>
      </c>
      <c r="J731" s="649"/>
    </row>
    <row r="732" spans="1:10">
      <c r="A732" s="33"/>
      <c r="B732" s="674">
        <v>43458</v>
      </c>
      <c r="C732" s="675">
        <v>9.2499999999999999E-2</v>
      </c>
      <c r="D732" s="661">
        <v>3.1444550802139037E-2</v>
      </c>
      <c r="E732" s="661">
        <v>4.3209625668449207E-2</v>
      </c>
      <c r="F732" s="676">
        <f t="shared" si="30"/>
        <v>-3.4595295762806577</v>
      </c>
      <c r="G732" s="649">
        <f t="shared" si="31"/>
        <v>1.176507486631017E-2</v>
      </c>
      <c r="H732" s="677">
        <v>16.170053475935831</v>
      </c>
      <c r="I732" s="649">
        <f t="shared" si="32"/>
        <v>6.1055449197860961E-2</v>
      </c>
      <c r="J732" s="649"/>
    </row>
    <row r="733" spans="1:10">
      <c r="A733" s="33"/>
      <c r="B733" s="674">
        <v>43458</v>
      </c>
      <c r="C733" s="675">
        <v>9.2499999999999999E-2</v>
      </c>
      <c r="D733" s="661">
        <v>3.1444550802139037E-2</v>
      </c>
      <c r="E733" s="661">
        <v>4.3209625668449207E-2</v>
      </c>
      <c r="F733" s="676">
        <f t="shared" si="30"/>
        <v>-3.4595295762806577</v>
      </c>
      <c r="G733" s="649">
        <f t="shared" si="31"/>
        <v>1.176507486631017E-2</v>
      </c>
      <c r="H733" s="677">
        <v>16.170053475935831</v>
      </c>
      <c r="I733" s="649">
        <f t="shared" si="32"/>
        <v>6.1055449197860961E-2</v>
      </c>
      <c r="J733" s="649"/>
    </row>
    <row r="734" spans="1:10">
      <c r="A734" s="33"/>
      <c r="B734" s="674">
        <v>43469</v>
      </c>
      <c r="C734" s="675">
        <v>9.8000000000000004E-2</v>
      </c>
      <c r="D734" s="661">
        <v>3.1432748663101612E-2</v>
      </c>
      <c r="E734" s="661">
        <v>4.3274866310160448E-2</v>
      </c>
      <c r="F734" s="676">
        <f t="shared" si="30"/>
        <v>-3.4599049785093285</v>
      </c>
      <c r="G734" s="649">
        <f t="shared" si="31"/>
        <v>1.1842117647058836E-2</v>
      </c>
      <c r="H734" s="677">
        <v>16.369144385026736</v>
      </c>
      <c r="I734" s="649">
        <f t="shared" si="32"/>
        <v>6.6567251336898392E-2</v>
      </c>
      <c r="J734" s="649"/>
    </row>
    <row r="735" spans="1:10">
      <c r="A735" s="33"/>
      <c r="B735" s="674">
        <v>43483</v>
      </c>
      <c r="C735" s="675">
        <v>9.6999999999999989E-2</v>
      </c>
      <c r="D735" s="661">
        <v>3.137917112299466E-2</v>
      </c>
      <c r="E735" s="661">
        <v>4.3409625668449213E-2</v>
      </c>
      <c r="F735" s="676">
        <f t="shared" si="30"/>
        <v>-3.4616109462072884</v>
      </c>
      <c r="G735" s="649">
        <f t="shared" si="31"/>
        <v>1.2030454545454553E-2</v>
      </c>
      <c r="H735" s="677">
        <v>16.470267379679143</v>
      </c>
      <c r="I735" s="649">
        <f t="shared" si="32"/>
        <v>6.5620828877005322E-2</v>
      </c>
      <c r="J735" s="649"/>
    </row>
    <row r="736" spans="1:10">
      <c r="A736" s="33"/>
      <c r="B736" s="674">
        <v>43538</v>
      </c>
      <c r="C736" s="675">
        <v>0.09</v>
      </c>
      <c r="D736" s="661">
        <v>3.1238844919786103E-2</v>
      </c>
      <c r="E736" s="661">
        <v>4.3392513368983976E-2</v>
      </c>
      <c r="F736" s="676">
        <f t="shared" si="30"/>
        <v>-3.4660929290928739</v>
      </c>
      <c r="G736" s="649">
        <f t="shared" si="31"/>
        <v>1.2153668449197873E-2</v>
      </c>
      <c r="H736" s="677">
        <v>16.824117647058827</v>
      </c>
      <c r="I736" s="649">
        <f t="shared" si="32"/>
        <v>5.8761155080213893E-2</v>
      </c>
      <c r="J736" s="649"/>
    </row>
    <row r="737" spans="1:10">
      <c r="A737" s="33"/>
      <c r="B737" s="674">
        <v>43551</v>
      </c>
      <c r="C737" s="675">
        <v>9.6999999999999989E-2</v>
      </c>
      <c r="D737" s="661">
        <v>3.1224823529411767E-2</v>
      </c>
      <c r="E737" s="661">
        <v>4.3318181818181839E-2</v>
      </c>
      <c r="F737" s="676">
        <f t="shared" si="30"/>
        <v>-3.4665418745665533</v>
      </c>
      <c r="G737" s="649">
        <f t="shared" si="31"/>
        <v>1.2093358288770072E-2</v>
      </c>
      <c r="H737" s="677">
        <v>16.822620320855616</v>
      </c>
      <c r="I737" s="649">
        <f t="shared" si="32"/>
        <v>6.5775176470588226E-2</v>
      </c>
      <c r="J737" s="649"/>
    </row>
    <row r="738" spans="1:10">
      <c r="A738" s="33"/>
      <c r="B738" s="674">
        <v>43585</v>
      </c>
      <c r="C738" s="675">
        <v>9.7299999999999998E-2</v>
      </c>
      <c r="D738" s="661">
        <v>3.1077502673796789E-2</v>
      </c>
      <c r="E738" s="661">
        <v>4.3078074866310177E-2</v>
      </c>
      <c r="F738" s="676">
        <f t="shared" si="30"/>
        <v>-3.4712711082619889</v>
      </c>
      <c r="G738" s="649">
        <f t="shared" si="31"/>
        <v>1.2000572192513388E-2</v>
      </c>
      <c r="H738" s="677">
        <v>16.774652406417111</v>
      </c>
      <c r="I738" s="649">
        <f t="shared" si="32"/>
        <v>6.6222497326203209E-2</v>
      </c>
      <c r="J738" s="649"/>
    </row>
    <row r="739" spans="1:10">
      <c r="A739" s="33"/>
      <c r="B739" s="674">
        <v>43592</v>
      </c>
      <c r="C739" s="675">
        <v>9.6500000000000002E-2</v>
      </c>
      <c r="D739" s="661">
        <v>3.1040764705882344E-2</v>
      </c>
      <c r="E739" s="661">
        <v>4.300000000000001E-2</v>
      </c>
      <c r="F739" s="676">
        <f t="shared" si="30"/>
        <v>-3.472453947827467</v>
      </c>
      <c r="G739" s="649">
        <f t="shared" si="31"/>
        <v>1.1959235294117666E-2</v>
      </c>
      <c r="H739" s="677">
        <v>16.869144385026736</v>
      </c>
      <c r="I739" s="649">
        <f t="shared" si="32"/>
        <v>6.5459235294117651E-2</v>
      </c>
      <c r="J739" s="649"/>
    </row>
    <row r="740" spans="1:10">
      <c r="A740" s="33"/>
      <c r="B740" s="674">
        <v>43606</v>
      </c>
      <c r="C740" s="675">
        <v>9.8000000000000004E-2</v>
      </c>
      <c r="D740" s="661">
        <v>3.0961534759358283E-2</v>
      </c>
      <c r="E740" s="661">
        <v>4.2858823529411783E-2</v>
      </c>
      <c r="F740" s="676">
        <f t="shared" si="30"/>
        <v>-3.4750096591585842</v>
      </c>
      <c r="G740" s="649">
        <f t="shared" si="31"/>
        <v>1.1897288770053499E-2</v>
      </c>
      <c r="H740" s="677">
        <v>17.097219251336902</v>
      </c>
      <c r="I740" s="649">
        <f t="shared" si="32"/>
        <v>6.703846524064172E-2</v>
      </c>
      <c r="J740" s="649"/>
    </row>
    <row r="741" spans="1:10">
      <c r="A741" s="33"/>
      <c r="B741" s="674">
        <v>43712</v>
      </c>
      <c r="C741" s="675">
        <v>0.1</v>
      </c>
      <c r="D741" s="661">
        <v>2.7556112299465248E-2</v>
      </c>
      <c r="E741" s="661">
        <v>3.9754010695187178E-2</v>
      </c>
      <c r="F741" s="676">
        <f t="shared" si="30"/>
        <v>-3.5915309059414033</v>
      </c>
      <c r="G741" s="649">
        <f t="shared" si="31"/>
        <v>1.219789839572193E-2</v>
      </c>
      <c r="H741" s="677">
        <v>16.820267379679144</v>
      </c>
      <c r="I741" s="649">
        <f t="shared" si="32"/>
        <v>7.2443887700534754E-2</v>
      </c>
      <c r="J741" s="649"/>
    </row>
    <row r="742" spans="1:10">
      <c r="A742" s="33"/>
      <c r="B742" s="674">
        <v>43734</v>
      </c>
      <c r="C742" s="675">
        <v>9.9000000000000005E-2</v>
      </c>
      <c r="D742" s="661">
        <v>2.6859481283422471E-2</v>
      </c>
      <c r="E742" s="661">
        <v>3.8926737967914439E-2</v>
      </c>
      <c r="F742" s="676">
        <f t="shared" si="30"/>
        <v>-3.6171363999341892</v>
      </c>
      <c r="G742" s="649">
        <f t="shared" si="31"/>
        <v>1.2067256684491968E-2</v>
      </c>
      <c r="H742" s="677">
        <v>15.90700534759358</v>
      </c>
      <c r="I742" s="649">
        <f t="shared" si="32"/>
        <v>7.2140518716577534E-2</v>
      </c>
      <c r="J742" s="649"/>
    </row>
    <row r="743" spans="1:10">
      <c r="B743" s="678"/>
      <c r="C743" s="679"/>
      <c r="D743" s="680"/>
      <c r="E743" s="680"/>
      <c r="F743" s="676"/>
      <c r="G743" s="649"/>
      <c r="H743" s="681"/>
      <c r="I743" s="649"/>
    </row>
    <row r="744" spans="1:10">
      <c r="B744" s="678"/>
      <c r="C744" s="679"/>
      <c r="D744" s="680"/>
      <c r="E744" s="680"/>
      <c r="F744" s="676"/>
      <c r="G744" s="649"/>
      <c r="H744" s="682"/>
      <c r="I744" s="649"/>
    </row>
    <row r="745" spans="1:10">
      <c r="D745" s="666" t="s">
        <v>1824</v>
      </c>
      <c r="F745" s="666"/>
      <c r="G745" s="649">
        <f>AVERAGE(G60:G742)</f>
        <v>1.3402054270595709E-2</v>
      </c>
      <c r="H745" s="676">
        <f>AVERAGE(H60:H742)</f>
        <v>18.854169641920677</v>
      </c>
      <c r="I745" s="649">
        <f>AVERAGE(I60:I742)</f>
        <v>5.5899077269986913E-2</v>
      </c>
    </row>
    <row r="746" spans="1:10">
      <c r="D746" s="666" t="s">
        <v>1712</v>
      </c>
      <c r="F746" s="666"/>
      <c r="G746" s="666"/>
      <c r="H746" s="666"/>
      <c r="I746" s="683">
        <f>COUNT(I60:I742)</f>
        <v>683</v>
      </c>
    </row>
  </sheetData>
  <printOptions horizontalCentered="1"/>
  <pageMargins left="0.7" right="0.7" top="1" bottom="0.5" header="0.3" footer="3"/>
  <pageSetup scale="76" fitToHeight="0" orientation="portrait" useFirstPageNumber="1" r:id="rId1"/>
  <headerFooter scaleWithDoc="0">
    <oddHeader>&amp;R&amp;"Arial,Regular"&amp;10DEU Exhibit 2.21R
Page &amp;P of 12</oddHeader>
  </headerFooter>
  <rowBreaks count="1" manualBreakCount="1">
    <brk id="5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50"/>
  <sheetViews>
    <sheetView view="pageLayout" zoomScaleNormal="100" zoomScaleSheetLayoutView="85" workbookViewId="0">
      <selection activeCell="G3" sqref="G3"/>
    </sheetView>
  </sheetViews>
  <sheetFormatPr defaultColWidth="8" defaultRowHeight="12.75"/>
  <cols>
    <col min="1" max="1" width="11.125" style="445" customWidth="1"/>
    <col min="2" max="2" width="11.125" style="446" customWidth="1"/>
    <col min="3" max="10" width="9.375" style="445" customWidth="1"/>
    <col min="11" max="16384" width="8" style="445"/>
  </cols>
  <sheetData>
    <row r="2" spans="1:10" ht="15" customHeight="1">
      <c r="A2" s="845" t="s">
        <v>1621</v>
      </c>
      <c r="B2" s="845"/>
      <c r="C2" s="845"/>
      <c r="D2" s="845"/>
      <c r="E2" s="845"/>
      <c r="F2" s="845"/>
      <c r="G2" s="845"/>
      <c r="H2" s="845"/>
      <c r="I2" s="845"/>
      <c r="J2" s="845"/>
    </row>
    <row r="5" spans="1:10">
      <c r="B5" s="446" t="s">
        <v>600</v>
      </c>
      <c r="C5" s="447">
        <v>0.105</v>
      </c>
    </row>
    <row r="6" spans="1:10">
      <c r="B6" s="446" t="s">
        <v>1622</v>
      </c>
      <c r="C6" s="447">
        <v>2.6646593392699012E-2</v>
      </c>
    </row>
    <row r="7" spans="1:10">
      <c r="B7" s="446" t="s">
        <v>1623</v>
      </c>
      <c r="C7" s="448">
        <v>25</v>
      </c>
    </row>
    <row r="8" spans="1:10">
      <c r="B8" s="446" t="s">
        <v>64</v>
      </c>
      <c r="C8" s="447">
        <v>4.2500000000000003E-2</v>
      </c>
      <c r="E8" s="449"/>
    </row>
    <row r="9" spans="1:10">
      <c r="B9" s="446" t="s">
        <v>1624</v>
      </c>
      <c r="C9" s="447">
        <v>6.25E-2</v>
      </c>
    </row>
    <row r="10" spans="1:10">
      <c r="B10" s="446" t="s">
        <v>1625</v>
      </c>
      <c r="C10" s="450">
        <f>C8/(1-C6)+C9</f>
        <v>0.10616348307973469</v>
      </c>
      <c r="D10" s="449"/>
    </row>
    <row r="11" spans="1:10">
      <c r="A11" s="451"/>
      <c r="B11" s="452" t="s">
        <v>1626</v>
      </c>
      <c r="C11" s="452" t="s">
        <v>1627</v>
      </c>
    </row>
    <row r="12" spans="1:10">
      <c r="B12" s="452" t="s">
        <v>1628</v>
      </c>
      <c r="C12" s="453">
        <f>C8+H25</f>
        <v>0.10383651692026533</v>
      </c>
    </row>
    <row r="13" spans="1:10">
      <c r="C13" s="446"/>
    </row>
    <row r="14" spans="1:10" s="454" customFormat="1" ht="25.5">
      <c r="B14" s="455"/>
      <c r="C14" s="456" t="s">
        <v>1629</v>
      </c>
      <c r="D14" s="456" t="s">
        <v>1630</v>
      </c>
      <c r="E14" s="456" t="s">
        <v>1631</v>
      </c>
      <c r="F14" s="456" t="s">
        <v>1515</v>
      </c>
      <c r="G14" s="456" t="s">
        <v>1632</v>
      </c>
      <c r="H14" s="456" t="s">
        <v>1633</v>
      </c>
      <c r="I14" s="456" t="s">
        <v>1634</v>
      </c>
      <c r="J14" s="456" t="s">
        <v>1497</v>
      </c>
    </row>
    <row r="15" spans="1:10">
      <c r="B15" s="446">
        <v>1</v>
      </c>
      <c r="C15" s="448">
        <f>C7*(1-C6)</f>
        <v>24.333835165182524</v>
      </c>
      <c r="D15" s="448"/>
      <c r="E15" s="448">
        <f t="shared" ref="E15:E24" si="0">C15+D15</f>
        <v>24.333835165182524</v>
      </c>
      <c r="F15" s="448">
        <f>C7</f>
        <v>25</v>
      </c>
      <c r="G15" s="457">
        <f>F15/C15</f>
        <v>1.0273760724643455</v>
      </c>
      <c r="H15" s="448">
        <f t="shared" ref="H15:H24" si="1">IF(C$11="yes",E15*C$10,E15*C$5)</f>
        <v>2.555052692344165</v>
      </c>
      <c r="I15" s="448">
        <f t="shared" ref="I15:I24" si="2">F15*C$8</f>
        <v>1.0625</v>
      </c>
      <c r="J15" s="447">
        <f t="shared" ref="J15:J24" si="3">I15/H15</f>
        <v>0.4158426959974732</v>
      </c>
    </row>
    <row r="16" spans="1:10">
      <c r="B16" s="446">
        <f t="shared" ref="B16:B24" si="4">B15+1</f>
        <v>2</v>
      </c>
      <c r="C16" s="448">
        <f t="shared" ref="C16:C24" si="5">C15</f>
        <v>24.333835165182524</v>
      </c>
      <c r="D16" s="448">
        <f>H15-I15</f>
        <v>1.492552692344165</v>
      </c>
      <c r="E16" s="448">
        <f t="shared" si="0"/>
        <v>25.82638785752669</v>
      </c>
      <c r="F16" s="448">
        <f t="shared" ref="F16:F24" si="6">E16*G15</f>
        <v>26.533412923006633</v>
      </c>
      <c r="G16" s="457">
        <f t="shared" ref="G16:G24" si="7">F16/E16</f>
        <v>1.0273760724643455</v>
      </c>
      <c r="H16" s="448">
        <f t="shared" si="1"/>
        <v>2.7117707250403025</v>
      </c>
      <c r="I16" s="448">
        <f t="shared" si="2"/>
        <v>1.127670049227782</v>
      </c>
      <c r="J16" s="447">
        <f t="shared" si="3"/>
        <v>0.4158426959974732</v>
      </c>
    </row>
    <row r="17" spans="2:10">
      <c r="B17" s="446">
        <f t="shared" si="4"/>
        <v>3</v>
      </c>
      <c r="C17" s="448">
        <f t="shared" si="5"/>
        <v>24.333835165182524</v>
      </c>
      <c r="D17" s="448">
        <f t="shared" ref="D17:D24" si="8">D16+H16-I16</f>
        <v>3.076653368156685</v>
      </c>
      <c r="E17" s="448">
        <f t="shared" si="0"/>
        <v>27.410488533339208</v>
      </c>
      <c r="F17" s="448">
        <f t="shared" si="6"/>
        <v>28.160880053711015</v>
      </c>
      <c r="G17" s="457">
        <f t="shared" si="7"/>
        <v>1.0273760724643455</v>
      </c>
      <c r="H17" s="448">
        <f t="shared" si="1"/>
        <v>2.8781012960006169</v>
      </c>
      <c r="I17" s="448">
        <f t="shared" si="2"/>
        <v>1.1968374022827182</v>
      </c>
      <c r="J17" s="447">
        <f t="shared" si="3"/>
        <v>0.4158426959974732</v>
      </c>
    </row>
    <row r="18" spans="2:10">
      <c r="B18" s="446">
        <f t="shared" si="4"/>
        <v>4</v>
      </c>
      <c r="C18" s="448">
        <f t="shared" si="5"/>
        <v>24.333835165182524</v>
      </c>
      <c r="D18" s="448">
        <f t="shared" si="8"/>
        <v>4.7579172618745833</v>
      </c>
      <c r="E18" s="448">
        <f t="shared" si="0"/>
        <v>29.091752427057109</v>
      </c>
      <c r="F18" s="448">
        <f t="shared" si="6"/>
        <v>29.888170349615024</v>
      </c>
      <c r="G18" s="457">
        <f t="shared" si="7"/>
        <v>1.0273760724643455</v>
      </c>
      <c r="H18" s="448">
        <f t="shared" si="1"/>
        <v>3.0546340048409966</v>
      </c>
      <c r="I18" s="448">
        <f t="shared" si="2"/>
        <v>1.2702472398586386</v>
      </c>
      <c r="J18" s="447">
        <f t="shared" si="3"/>
        <v>0.4158426959974732</v>
      </c>
    </row>
    <row r="19" spans="2:10">
      <c r="B19" s="446">
        <f t="shared" si="4"/>
        <v>5</v>
      </c>
      <c r="C19" s="448">
        <f t="shared" si="5"/>
        <v>24.333835165182524</v>
      </c>
      <c r="D19" s="448">
        <f t="shared" si="8"/>
        <v>6.5423040268569412</v>
      </c>
      <c r="E19" s="448">
        <f t="shared" si="0"/>
        <v>30.876139192039467</v>
      </c>
      <c r="F19" s="448">
        <f t="shared" si="6"/>
        <v>31.721406615979959</v>
      </c>
      <c r="G19" s="457">
        <f t="shared" si="7"/>
        <v>1.0273760724643455</v>
      </c>
      <c r="H19" s="448">
        <f t="shared" si="1"/>
        <v>3.2419946151641441</v>
      </c>
      <c r="I19" s="448">
        <f t="shared" si="2"/>
        <v>1.3481597811791484</v>
      </c>
      <c r="J19" s="447">
        <f t="shared" si="3"/>
        <v>0.4158426959974732</v>
      </c>
    </row>
    <row r="20" spans="2:10">
      <c r="B20" s="446">
        <f t="shared" si="4"/>
        <v>6</v>
      </c>
      <c r="C20" s="448">
        <f t="shared" si="5"/>
        <v>24.333835165182524</v>
      </c>
      <c r="D20" s="448">
        <f t="shared" si="8"/>
        <v>8.4361388608419361</v>
      </c>
      <c r="E20" s="448">
        <f t="shared" si="0"/>
        <v>32.769974026024457</v>
      </c>
      <c r="F20" s="448">
        <f t="shared" si="6"/>
        <v>33.667087209615623</v>
      </c>
      <c r="G20" s="457">
        <f t="shared" si="7"/>
        <v>1.0273760724643455</v>
      </c>
      <c r="H20" s="448">
        <f t="shared" si="1"/>
        <v>3.4408472727325679</v>
      </c>
      <c r="I20" s="448">
        <f t="shared" si="2"/>
        <v>1.430851206408664</v>
      </c>
      <c r="J20" s="447">
        <f t="shared" si="3"/>
        <v>0.4158426959974732</v>
      </c>
    </row>
    <row r="21" spans="2:10">
      <c r="B21" s="446">
        <f t="shared" si="4"/>
        <v>7</v>
      </c>
      <c r="C21" s="448">
        <f t="shared" si="5"/>
        <v>24.333835165182524</v>
      </c>
      <c r="D21" s="448">
        <f t="shared" si="8"/>
        <v>10.44613492716584</v>
      </c>
      <c r="E21" s="448">
        <f t="shared" si="0"/>
        <v>34.779970092348364</v>
      </c>
      <c r="F21" s="448">
        <f t="shared" si="6"/>
        <v>35.732109073904262</v>
      </c>
      <c r="G21" s="457">
        <f t="shared" si="7"/>
        <v>1.0273760724643455</v>
      </c>
      <c r="H21" s="448">
        <f t="shared" si="1"/>
        <v>3.6518968596965782</v>
      </c>
      <c r="I21" s="448">
        <f t="shared" si="2"/>
        <v>1.5186146356409311</v>
      </c>
      <c r="J21" s="447">
        <f t="shared" si="3"/>
        <v>0.4158426959974732</v>
      </c>
    </row>
    <row r="22" spans="2:10">
      <c r="B22" s="446">
        <f t="shared" si="4"/>
        <v>8</v>
      </c>
      <c r="C22" s="448">
        <f t="shared" si="5"/>
        <v>24.333835165182524</v>
      </c>
      <c r="D22" s="448">
        <f t="shared" si="8"/>
        <v>12.579417151221486</v>
      </c>
      <c r="E22" s="448">
        <f t="shared" si="0"/>
        <v>36.913252316404012</v>
      </c>
      <c r="F22" s="448">
        <f t="shared" si="6"/>
        <v>37.923792186712561</v>
      </c>
      <c r="G22" s="457">
        <f t="shared" si="7"/>
        <v>1.0273760724643455</v>
      </c>
      <c r="H22" s="448">
        <f t="shared" si="1"/>
        <v>3.8758914932224213</v>
      </c>
      <c r="I22" s="448">
        <f t="shared" si="2"/>
        <v>1.6117611679352839</v>
      </c>
      <c r="J22" s="447">
        <f t="shared" si="3"/>
        <v>0.4158426959974732</v>
      </c>
    </row>
    <row r="23" spans="2:10">
      <c r="B23" s="446">
        <f t="shared" si="4"/>
        <v>9</v>
      </c>
      <c r="C23" s="448">
        <f t="shared" si="5"/>
        <v>24.333835165182524</v>
      </c>
      <c r="D23" s="448">
        <f t="shared" si="8"/>
        <v>14.843547476508622</v>
      </c>
      <c r="E23" s="448">
        <f t="shared" si="0"/>
        <v>39.177382641691146</v>
      </c>
      <c r="F23" s="448">
        <f t="shared" si="6"/>
        <v>40.249905507853477</v>
      </c>
      <c r="G23" s="457">
        <f t="shared" si="7"/>
        <v>1.0273760724643455</v>
      </c>
      <c r="H23" s="448">
        <f t="shared" si="1"/>
        <v>4.1136251773775703</v>
      </c>
      <c r="I23" s="448">
        <f t="shared" si="2"/>
        <v>1.7106209840837729</v>
      </c>
      <c r="J23" s="447">
        <f t="shared" si="3"/>
        <v>0.41584269599747326</v>
      </c>
    </row>
    <row r="24" spans="2:10">
      <c r="B24" s="446">
        <f t="shared" si="4"/>
        <v>10</v>
      </c>
      <c r="C24" s="458">
        <f t="shared" si="5"/>
        <v>24.333835165182524</v>
      </c>
      <c r="D24" s="458">
        <f t="shared" si="8"/>
        <v>17.246551669802422</v>
      </c>
      <c r="E24" s="458">
        <f t="shared" si="0"/>
        <v>41.580386834984949</v>
      </c>
      <c r="F24" s="458">
        <f t="shared" si="6"/>
        <v>42.718694518075012</v>
      </c>
      <c r="G24" s="459">
        <f t="shared" si="7"/>
        <v>1.0273760724643455</v>
      </c>
      <c r="H24" s="458">
        <f t="shared" si="1"/>
        <v>4.3659406176734192</v>
      </c>
      <c r="I24" s="458">
        <f t="shared" si="2"/>
        <v>1.8155445170181881</v>
      </c>
      <c r="J24" s="460">
        <f t="shared" si="3"/>
        <v>0.4158426959974732</v>
      </c>
    </row>
    <row r="25" spans="2:10" ht="13.5" thickBot="1">
      <c r="C25" s="461" t="s">
        <v>1624</v>
      </c>
      <c r="D25" s="461"/>
      <c r="E25" s="462">
        <f>((E24/E15)^(1/9))-1</f>
        <v>6.1336516920265316E-2</v>
      </c>
      <c r="F25" s="462">
        <f>((F24/F15)^(1/9))-1</f>
        <v>6.1336516920265316E-2</v>
      </c>
      <c r="G25" s="461"/>
      <c r="H25" s="462">
        <f>((H24/H15)^(1/9))-1</f>
        <v>6.1336516920265316E-2</v>
      </c>
      <c r="I25" s="462">
        <f>((I24/I15)^(1/9))-1</f>
        <v>6.1336516920265316E-2</v>
      </c>
      <c r="J25" s="461"/>
    </row>
    <row r="26" spans="2:10" ht="13.5" thickTop="1"/>
    <row r="28" spans="2:10">
      <c r="I28" s="463"/>
    </row>
    <row r="29" spans="2:10">
      <c r="B29" s="446" t="s">
        <v>600</v>
      </c>
      <c r="C29" s="447">
        <f>C5</f>
        <v>0.105</v>
      </c>
    </row>
    <row r="30" spans="2:10">
      <c r="B30" s="446" t="s">
        <v>1622</v>
      </c>
      <c r="C30" s="447">
        <f>C6</f>
        <v>2.6646593392699012E-2</v>
      </c>
    </row>
    <row r="31" spans="2:10">
      <c r="B31" s="446" t="s">
        <v>1623</v>
      </c>
      <c r="C31" s="448">
        <f>C7</f>
        <v>25</v>
      </c>
    </row>
    <row r="32" spans="2:10">
      <c r="B32" s="446" t="s">
        <v>64</v>
      </c>
      <c r="C32" s="447">
        <f>C8</f>
        <v>4.2500000000000003E-2</v>
      </c>
    </row>
    <row r="33" spans="2:10">
      <c r="B33" s="446" t="s">
        <v>1624</v>
      </c>
      <c r="C33" s="447">
        <f>C9</f>
        <v>6.25E-2</v>
      </c>
    </row>
    <row r="34" spans="2:10">
      <c r="B34" s="446" t="s">
        <v>1625</v>
      </c>
      <c r="C34" s="450">
        <f>C32/(1-C30)+C33</f>
        <v>0.10616348307973469</v>
      </c>
    </row>
    <row r="35" spans="2:10">
      <c r="B35" s="452" t="s">
        <v>1626</v>
      </c>
      <c r="C35" s="452" t="s">
        <v>1635</v>
      </c>
    </row>
    <row r="36" spans="2:10">
      <c r="B36" s="452" t="s">
        <v>1628</v>
      </c>
      <c r="C36" s="453">
        <f>C32+H49</f>
        <v>0.10500000000000001</v>
      </c>
    </row>
    <row r="37" spans="2:10">
      <c r="C37" s="446"/>
    </row>
    <row r="38" spans="2:10" ht="25.5">
      <c r="C38" s="456" t="s">
        <v>1629</v>
      </c>
      <c r="D38" s="456" t="s">
        <v>1630</v>
      </c>
      <c r="E38" s="456" t="s">
        <v>1631</v>
      </c>
      <c r="F38" s="456" t="s">
        <v>1515</v>
      </c>
      <c r="G38" s="456" t="s">
        <v>1632</v>
      </c>
      <c r="H38" s="456" t="s">
        <v>1633</v>
      </c>
      <c r="I38" s="456" t="s">
        <v>1634</v>
      </c>
      <c r="J38" s="456" t="s">
        <v>1497</v>
      </c>
    </row>
    <row r="39" spans="2:10">
      <c r="B39" s="446">
        <v>1</v>
      </c>
      <c r="C39" s="448">
        <f>C31*(1-C30)</f>
        <v>24.333835165182524</v>
      </c>
      <c r="D39" s="448"/>
      <c r="E39" s="448">
        <f t="shared" ref="E39:E48" si="9">C39+D39</f>
        <v>24.333835165182524</v>
      </c>
      <c r="F39" s="448">
        <f>C31</f>
        <v>25</v>
      </c>
      <c r="G39" s="457">
        <f>F39/C39</f>
        <v>1.0273760724643455</v>
      </c>
      <c r="H39" s="448">
        <f t="shared" ref="H39:H48" si="10">IF(C$35="yes",E39*C$34,E39*C$29)</f>
        <v>2.583364697823908</v>
      </c>
      <c r="I39" s="448">
        <f t="shared" ref="I39:I48" si="11">F39*C$32</f>
        <v>1.0625</v>
      </c>
      <c r="J39" s="447">
        <f t="shared" ref="J39:J48" si="12">I39/H39</f>
        <v>0.41128532912716298</v>
      </c>
    </row>
    <row r="40" spans="2:10">
      <c r="B40" s="446">
        <f t="shared" ref="B40:B48" si="13">B39+1</f>
        <v>2</v>
      </c>
      <c r="C40" s="448">
        <f t="shared" ref="C40:C48" si="14">C39</f>
        <v>24.333835165182524</v>
      </c>
      <c r="D40" s="448">
        <f>H39-I39</f>
        <v>1.520864697823908</v>
      </c>
      <c r="E40" s="448">
        <f t="shared" si="9"/>
        <v>25.854699863006431</v>
      </c>
      <c r="F40" s="448">
        <f t="shared" ref="F40:F48" si="15">E40*G39</f>
        <v>26.562499999999996</v>
      </c>
      <c r="G40" s="457">
        <f t="shared" ref="G40:G48" si="16">F40/E40</f>
        <v>1.0273760724643455</v>
      </c>
      <c r="H40" s="448">
        <f t="shared" si="10"/>
        <v>2.7448249914379019</v>
      </c>
      <c r="I40" s="448">
        <f t="shared" si="11"/>
        <v>1.12890625</v>
      </c>
      <c r="J40" s="447">
        <f t="shared" si="12"/>
        <v>0.41128532912716304</v>
      </c>
    </row>
    <row r="41" spans="2:10">
      <c r="B41" s="446">
        <f t="shared" si="13"/>
        <v>3</v>
      </c>
      <c r="C41" s="448">
        <f t="shared" si="14"/>
        <v>24.333835165182524</v>
      </c>
      <c r="D41" s="448">
        <f t="shared" ref="D41:D48" si="17">D40+H40-I40</f>
        <v>3.1367834392618104</v>
      </c>
      <c r="E41" s="448">
        <f t="shared" si="9"/>
        <v>27.470618604444333</v>
      </c>
      <c r="F41" s="448">
        <f t="shared" si="15"/>
        <v>28.222656249999996</v>
      </c>
      <c r="G41" s="457">
        <f t="shared" si="16"/>
        <v>1.0273760724643455</v>
      </c>
      <c r="H41" s="448">
        <f t="shared" si="10"/>
        <v>2.9163765534027708</v>
      </c>
      <c r="I41" s="448">
        <f t="shared" si="11"/>
        <v>1.199462890625</v>
      </c>
      <c r="J41" s="447">
        <f t="shared" si="12"/>
        <v>0.41128532912716304</v>
      </c>
    </row>
    <row r="42" spans="2:10">
      <c r="B42" s="446">
        <f t="shared" si="13"/>
        <v>4</v>
      </c>
      <c r="C42" s="448">
        <f t="shared" si="14"/>
        <v>24.333835165182524</v>
      </c>
      <c r="D42" s="448">
        <f t="shared" si="17"/>
        <v>4.8536971020395807</v>
      </c>
      <c r="E42" s="448">
        <f t="shared" si="9"/>
        <v>29.187532267222103</v>
      </c>
      <c r="F42" s="448">
        <f t="shared" si="15"/>
        <v>29.986572265624996</v>
      </c>
      <c r="G42" s="457">
        <f t="shared" si="16"/>
        <v>1.0273760724643455</v>
      </c>
      <c r="H42" s="448">
        <f t="shared" si="10"/>
        <v>3.0986500879904439</v>
      </c>
      <c r="I42" s="448">
        <f t="shared" si="11"/>
        <v>1.2744293212890625</v>
      </c>
      <c r="J42" s="447">
        <f t="shared" si="12"/>
        <v>0.41128532912716304</v>
      </c>
    </row>
    <row r="43" spans="2:10">
      <c r="B43" s="446">
        <f t="shared" si="13"/>
        <v>5</v>
      </c>
      <c r="C43" s="448">
        <f t="shared" si="14"/>
        <v>24.333835165182524</v>
      </c>
      <c r="D43" s="448">
        <f t="shared" si="17"/>
        <v>6.6779178687409626</v>
      </c>
      <c r="E43" s="448">
        <f t="shared" si="9"/>
        <v>31.011753033923487</v>
      </c>
      <c r="F43" s="448">
        <f t="shared" si="15"/>
        <v>31.860733032226563</v>
      </c>
      <c r="G43" s="457">
        <f t="shared" si="16"/>
        <v>1.0273760724643455</v>
      </c>
      <c r="H43" s="448">
        <f t="shared" si="10"/>
        <v>3.2923157184898471</v>
      </c>
      <c r="I43" s="448">
        <f t="shared" si="11"/>
        <v>1.3540811538696289</v>
      </c>
      <c r="J43" s="447">
        <f t="shared" si="12"/>
        <v>0.41128532912716304</v>
      </c>
    </row>
    <row r="44" spans="2:10">
      <c r="B44" s="446">
        <f t="shared" si="13"/>
        <v>6</v>
      </c>
      <c r="C44" s="448">
        <f t="shared" si="14"/>
        <v>24.333835165182524</v>
      </c>
      <c r="D44" s="448">
        <f t="shared" si="17"/>
        <v>8.6161524333611812</v>
      </c>
      <c r="E44" s="448">
        <f t="shared" si="9"/>
        <v>32.949987598543707</v>
      </c>
      <c r="F44" s="448">
        <f t="shared" si="15"/>
        <v>33.852028846740723</v>
      </c>
      <c r="G44" s="457">
        <f t="shared" si="16"/>
        <v>1.0273760724643455</v>
      </c>
      <c r="H44" s="448">
        <f t="shared" si="10"/>
        <v>3.4980854508954629</v>
      </c>
      <c r="I44" s="448">
        <f t="shared" si="11"/>
        <v>1.4387112259864807</v>
      </c>
      <c r="J44" s="447">
        <f t="shared" si="12"/>
        <v>0.41128532912716298</v>
      </c>
    </row>
    <row r="45" spans="2:10">
      <c r="B45" s="446">
        <f t="shared" si="13"/>
        <v>7</v>
      </c>
      <c r="C45" s="448">
        <f t="shared" si="14"/>
        <v>24.333835165182524</v>
      </c>
      <c r="D45" s="448">
        <f t="shared" si="17"/>
        <v>10.675526658270163</v>
      </c>
      <c r="E45" s="448">
        <f t="shared" si="9"/>
        <v>35.009361823452686</v>
      </c>
      <c r="F45" s="448">
        <f t="shared" si="15"/>
        <v>35.967780649662018</v>
      </c>
      <c r="G45" s="457">
        <f t="shared" si="16"/>
        <v>1.0273760724643455</v>
      </c>
      <c r="H45" s="448">
        <f t="shared" si="10"/>
        <v>3.7167157915764291</v>
      </c>
      <c r="I45" s="448">
        <f t="shared" si="11"/>
        <v>1.5286306776106358</v>
      </c>
      <c r="J45" s="447">
        <f t="shared" si="12"/>
        <v>0.41128532912716298</v>
      </c>
    </row>
    <row r="46" spans="2:10">
      <c r="B46" s="446">
        <f t="shared" si="13"/>
        <v>8</v>
      </c>
      <c r="C46" s="448">
        <f t="shared" si="14"/>
        <v>24.333835165182524</v>
      </c>
      <c r="D46" s="448">
        <f t="shared" si="17"/>
        <v>12.863611772235956</v>
      </c>
      <c r="E46" s="448">
        <f t="shared" si="9"/>
        <v>37.197446937418476</v>
      </c>
      <c r="F46" s="448">
        <f t="shared" si="15"/>
        <v>38.215766940265894</v>
      </c>
      <c r="G46" s="457">
        <f t="shared" si="16"/>
        <v>1.0273760724643455</v>
      </c>
      <c r="H46" s="448">
        <f t="shared" si="10"/>
        <v>3.9490105285499557</v>
      </c>
      <c r="I46" s="448">
        <f t="shared" si="11"/>
        <v>1.6241700949613007</v>
      </c>
      <c r="J46" s="447">
        <f t="shared" si="12"/>
        <v>0.41128532912716309</v>
      </c>
    </row>
    <row r="47" spans="2:10">
      <c r="B47" s="446">
        <f t="shared" si="13"/>
        <v>9</v>
      </c>
      <c r="C47" s="448">
        <f t="shared" si="14"/>
        <v>24.333835165182524</v>
      </c>
      <c r="D47" s="448">
        <f t="shared" si="17"/>
        <v>15.188452205824611</v>
      </c>
      <c r="E47" s="448">
        <f t="shared" si="9"/>
        <v>39.522287371007138</v>
      </c>
      <c r="F47" s="448">
        <f t="shared" si="15"/>
        <v>40.604252374032519</v>
      </c>
      <c r="G47" s="457">
        <f t="shared" si="16"/>
        <v>1.0273760724643455</v>
      </c>
      <c r="H47" s="448">
        <f t="shared" si="10"/>
        <v>4.1958236865843288</v>
      </c>
      <c r="I47" s="448">
        <f t="shared" si="11"/>
        <v>1.7256807258963822</v>
      </c>
      <c r="J47" s="447">
        <f t="shared" si="12"/>
        <v>0.41128532912716304</v>
      </c>
    </row>
    <row r="48" spans="2:10">
      <c r="B48" s="446">
        <f t="shared" si="13"/>
        <v>10</v>
      </c>
      <c r="C48" s="448">
        <f t="shared" si="14"/>
        <v>24.333835165182524</v>
      </c>
      <c r="D48" s="448">
        <f t="shared" si="17"/>
        <v>17.658595166512558</v>
      </c>
      <c r="E48" s="448">
        <f t="shared" si="9"/>
        <v>41.992430331695083</v>
      </c>
      <c r="F48" s="448">
        <f t="shared" si="15"/>
        <v>43.142018147409544</v>
      </c>
      <c r="G48" s="457">
        <f t="shared" si="16"/>
        <v>1.0273760724643455</v>
      </c>
      <c r="H48" s="448">
        <f t="shared" si="10"/>
        <v>4.4580626669958487</v>
      </c>
      <c r="I48" s="448">
        <f t="shared" si="11"/>
        <v>1.8335357712649059</v>
      </c>
      <c r="J48" s="447">
        <f t="shared" si="12"/>
        <v>0.41128532912716304</v>
      </c>
    </row>
    <row r="49" spans="3:10" ht="13.5" thickBot="1">
      <c r="C49" s="461" t="s">
        <v>1624</v>
      </c>
      <c r="D49" s="461"/>
      <c r="E49" s="462">
        <f>((E48/E39)^(1/9))-1</f>
        <v>6.25E-2</v>
      </c>
      <c r="F49" s="462">
        <f>((F48/F39)^(1/9))-1</f>
        <v>6.25E-2</v>
      </c>
      <c r="G49" s="461"/>
      <c r="H49" s="462">
        <f>((H48/H39)^(1/9))-1</f>
        <v>6.25E-2</v>
      </c>
      <c r="I49" s="462">
        <f>((I48/I39)^(1/9))-1</f>
        <v>6.25E-2</v>
      </c>
      <c r="J49" s="461"/>
    </row>
    <row r="50" spans="3:10" ht="13.5" thickTop="1"/>
  </sheetData>
  <mergeCells count="1">
    <mergeCell ref="A2:J2"/>
  </mergeCells>
  <printOptions horizontalCentered="1"/>
  <pageMargins left="0.7" right="0.7" top="1" bottom="0.75" header="0.3" footer="0.3"/>
  <pageSetup scale="85" fitToHeight="0" orientation="portrait" useFirstPageNumber="1" r:id="rId1"/>
  <headerFooter scaleWithDoc="0">
    <oddHeader>&amp;R&amp;"Arial,Regular"&amp;10DEU Exhibit 2.22R
Page &amp;P of 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95"/>
  <sheetViews>
    <sheetView view="pageLayout" zoomScale="90" zoomScaleNormal="100" zoomScaleSheetLayoutView="100" zoomScalePageLayoutView="90" workbookViewId="0">
      <selection activeCell="I75" sqref="I75"/>
    </sheetView>
  </sheetViews>
  <sheetFormatPr defaultColWidth="7.75" defaultRowHeight="12.75" customHeight="1"/>
  <cols>
    <col min="1" max="1" width="4.375" style="575" customWidth="1"/>
    <col min="2" max="2" width="7.75" style="575"/>
    <col min="3" max="3" width="25.625" style="575" customWidth="1"/>
    <col min="4" max="4" width="14.375" style="575" bestFit="1" customWidth="1"/>
    <col min="5" max="7" width="11.125" style="575" customWidth="1"/>
    <col min="8" max="8" width="1.875" style="575" customWidth="1"/>
    <col min="9" max="9" width="45.75" style="575" bestFit="1" customWidth="1"/>
    <col min="10" max="10" width="1.875" style="575" customWidth="1"/>
    <col min="11" max="11" width="10.375" style="576" bestFit="1" customWidth="1"/>
    <col min="12" max="12" width="7.25" style="576" bestFit="1" customWidth="1"/>
    <col min="13" max="13" width="11.625" style="575" bestFit="1" customWidth="1"/>
    <col min="14" max="14" width="13" style="575" customWidth="1"/>
    <col min="15" max="15" width="7.75" style="575"/>
    <col min="16" max="16" width="9.875" style="575" bestFit="1" customWidth="1"/>
    <col min="17" max="17" width="8.375" style="575" bestFit="1" customWidth="1"/>
    <col min="18" max="18" width="10.125" style="575" bestFit="1" customWidth="1"/>
    <col min="19" max="19" width="10.75" style="575" bestFit="1" customWidth="1"/>
    <col min="20" max="16384" width="7.75" style="575"/>
  </cols>
  <sheetData>
    <row r="2" spans="1:19" ht="12.75" customHeight="1">
      <c r="B2" s="847" t="s">
        <v>1721</v>
      </c>
      <c r="C2" s="847"/>
      <c r="D2" s="847"/>
      <c r="E2" s="847"/>
      <c r="F2" s="847"/>
      <c r="G2" s="847"/>
      <c r="H2" s="847"/>
      <c r="I2" s="847"/>
      <c r="J2" s="576"/>
    </row>
    <row r="4" spans="1:19" ht="12.75" customHeight="1">
      <c r="B4" s="576"/>
      <c r="C4" s="576"/>
      <c r="D4" s="576" t="s">
        <v>1722</v>
      </c>
      <c r="E4" s="576"/>
      <c r="F4" s="576"/>
      <c r="H4" s="576"/>
      <c r="I4" s="576"/>
      <c r="J4" s="576"/>
    </row>
    <row r="5" spans="1:19" ht="12.75" customHeight="1">
      <c r="A5" s="576"/>
      <c r="B5" s="576"/>
      <c r="C5" s="576"/>
      <c r="D5" s="576" t="s">
        <v>1723</v>
      </c>
      <c r="E5" s="848" t="s">
        <v>1724</v>
      </c>
      <c r="F5" s="848"/>
      <c r="G5" s="848"/>
      <c r="H5" s="576"/>
      <c r="I5" s="576"/>
      <c r="J5" s="576"/>
    </row>
    <row r="6" spans="1:19" ht="12.75" customHeight="1">
      <c r="A6" s="470" t="s">
        <v>1725</v>
      </c>
      <c r="B6" s="846" t="s">
        <v>1726</v>
      </c>
      <c r="C6" s="846"/>
      <c r="D6" s="577" t="s">
        <v>1727</v>
      </c>
      <c r="E6" s="577" t="s">
        <v>1728</v>
      </c>
      <c r="F6" s="577" t="s">
        <v>1729</v>
      </c>
      <c r="G6" s="577" t="s">
        <v>1730</v>
      </c>
      <c r="H6" s="577"/>
      <c r="I6" s="577" t="s">
        <v>1731</v>
      </c>
      <c r="J6" s="577"/>
    </row>
    <row r="7" spans="1:19" ht="12.75" customHeight="1">
      <c r="A7" s="576"/>
      <c r="D7" s="578" t="s">
        <v>1732</v>
      </c>
      <c r="E7" s="579">
        <f>+D7-1</f>
        <v>-2</v>
      </c>
      <c r="F7" s="579">
        <f>+E7-1</f>
        <v>-3</v>
      </c>
      <c r="G7" s="579">
        <f>+F7-1</f>
        <v>-4</v>
      </c>
      <c r="H7" s="576"/>
      <c r="I7" s="578" t="s">
        <v>1733</v>
      </c>
      <c r="J7" s="578"/>
      <c r="K7" s="576" t="s">
        <v>1734</v>
      </c>
    </row>
    <row r="8" spans="1:19" ht="12.75" customHeight="1">
      <c r="A8" s="576"/>
    </row>
    <row r="9" spans="1:19" ht="12.75" customHeight="1">
      <c r="A9" s="414">
        <v>1</v>
      </c>
      <c r="B9" s="575" t="s">
        <v>1735</v>
      </c>
      <c r="D9" s="580">
        <v>1816213950.5488641</v>
      </c>
      <c r="E9" s="580"/>
      <c r="I9" s="581" t="s">
        <v>1736</v>
      </c>
      <c r="J9" s="581"/>
      <c r="K9" s="576" t="s">
        <v>1737</v>
      </c>
      <c r="L9" s="576" t="s">
        <v>1738</v>
      </c>
      <c r="M9" s="575" t="s">
        <v>1739</v>
      </c>
      <c r="N9" s="576" t="s">
        <v>1740</v>
      </c>
    </row>
    <row r="10" spans="1:19" ht="12.75" customHeight="1">
      <c r="A10" s="414">
        <f>A9+1</f>
        <v>2</v>
      </c>
      <c r="B10" s="575" t="s">
        <v>1741</v>
      </c>
      <c r="D10" s="582">
        <f>M11</f>
        <v>4.6800000000000001E-2</v>
      </c>
      <c r="E10" s="582"/>
      <c r="I10" s="581" t="s">
        <v>1742</v>
      </c>
      <c r="K10" s="343">
        <v>0.48</v>
      </c>
      <c r="L10" s="343">
        <v>4.3700000000000003E-2</v>
      </c>
      <c r="M10" s="583">
        <f>+L10*K10</f>
        <v>2.0976000000000002E-2</v>
      </c>
      <c r="N10" s="584">
        <f>M10</f>
        <v>2.0976000000000002E-2</v>
      </c>
      <c r="O10" s="575" t="s">
        <v>1174</v>
      </c>
      <c r="P10" s="576"/>
      <c r="R10" s="585"/>
      <c r="S10" s="585"/>
    </row>
    <row r="11" spans="1:19" ht="12.75" customHeight="1">
      <c r="A11" s="414">
        <f t="shared" ref="A11:A18" si="0">A10+1</f>
        <v>3</v>
      </c>
      <c r="B11" s="575" t="s">
        <v>1743</v>
      </c>
      <c r="D11" s="586">
        <f>N12</f>
        <v>8.3028120000000011E-2</v>
      </c>
      <c r="E11" s="582"/>
      <c r="I11" s="581" t="s">
        <v>1744</v>
      </c>
      <c r="K11" s="587">
        <v>0.52</v>
      </c>
      <c r="L11" s="587">
        <v>0.09</v>
      </c>
      <c r="M11" s="588">
        <f>+L11*K11</f>
        <v>4.6800000000000001E-2</v>
      </c>
      <c r="N11" s="589">
        <f>M11*M17</f>
        <v>6.2052120000000002E-2</v>
      </c>
      <c r="O11" s="590" t="s">
        <v>1173</v>
      </c>
      <c r="P11" s="591"/>
      <c r="R11" s="585"/>
      <c r="S11" s="585"/>
    </row>
    <row r="12" spans="1:19" ht="12.75" customHeight="1">
      <c r="A12" s="414">
        <f t="shared" si="0"/>
        <v>4</v>
      </c>
      <c r="B12" s="575" t="s">
        <v>1745</v>
      </c>
      <c r="D12" s="580">
        <f>D9*D10</f>
        <v>84998812.885686845</v>
      </c>
      <c r="E12" s="580"/>
      <c r="I12" s="581" t="s">
        <v>1746</v>
      </c>
      <c r="K12" s="592">
        <f>SUM(K10:K11)</f>
        <v>1</v>
      </c>
      <c r="L12" s="593"/>
      <c r="M12" s="592">
        <f>SUM(M10:M11)</f>
        <v>6.7776000000000003E-2</v>
      </c>
      <c r="N12" s="592">
        <f>SUM(N10:N11)</f>
        <v>8.3028120000000011E-2</v>
      </c>
      <c r="O12" s="594"/>
      <c r="Q12" s="595"/>
      <c r="R12" s="585"/>
      <c r="S12" s="585"/>
    </row>
    <row r="13" spans="1:19" ht="12.75" customHeight="1">
      <c r="A13" s="414">
        <f t="shared" si="0"/>
        <v>5</v>
      </c>
      <c r="B13" s="575" t="s">
        <v>1747</v>
      </c>
      <c r="D13" s="580">
        <f>D9*D11</f>
        <v>150796829.83184516</v>
      </c>
      <c r="E13" s="580"/>
      <c r="I13" s="581" t="s">
        <v>1748</v>
      </c>
      <c r="K13" s="343"/>
      <c r="L13" s="343"/>
      <c r="M13" s="583"/>
      <c r="N13" s="583"/>
      <c r="Q13" s="595"/>
    </row>
    <row r="14" spans="1:19" ht="12.75" customHeight="1">
      <c r="A14" s="414">
        <f t="shared" si="0"/>
        <v>6</v>
      </c>
      <c r="B14" s="575" t="s">
        <v>1749</v>
      </c>
      <c r="D14" s="580">
        <v>85423489.740319371</v>
      </c>
      <c r="E14" s="580"/>
      <c r="F14" s="596"/>
      <c r="G14" s="597"/>
      <c r="I14" s="581" t="s">
        <v>1736</v>
      </c>
      <c r="J14" s="581"/>
      <c r="K14" s="598"/>
      <c r="L14" s="598"/>
      <c r="M14" s="583"/>
      <c r="N14" s="592"/>
      <c r="O14" s="594"/>
      <c r="P14" s="594"/>
      <c r="Q14" s="595"/>
    </row>
    <row r="15" spans="1:19" ht="12.75" customHeight="1">
      <c r="A15" s="414">
        <f t="shared" si="0"/>
        <v>7</v>
      </c>
      <c r="B15" s="575" t="s">
        <v>1750</v>
      </c>
      <c r="D15" s="599">
        <f>-2.5%*90575015</f>
        <v>-2264375.375</v>
      </c>
      <c r="E15" s="580"/>
      <c r="G15" s="600"/>
      <c r="I15" s="581" t="s">
        <v>1751</v>
      </c>
      <c r="P15" s="594"/>
      <c r="Q15" s="595"/>
    </row>
    <row r="16" spans="1:19" ht="12.75" customHeight="1">
      <c r="A16" s="414">
        <f t="shared" si="0"/>
        <v>8</v>
      </c>
      <c r="B16" s="575" t="s">
        <v>1752</v>
      </c>
      <c r="D16" s="599">
        <v>0</v>
      </c>
      <c r="E16" s="580"/>
      <c r="G16" s="600"/>
      <c r="I16" s="581" t="s">
        <v>1736</v>
      </c>
      <c r="P16" s="594"/>
      <c r="Q16" s="595"/>
    </row>
    <row r="17" spans="1:17" ht="12.75" customHeight="1">
      <c r="A17" s="414">
        <f t="shared" si="0"/>
        <v>9</v>
      </c>
      <c r="B17" s="575" t="s">
        <v>1753</v>
      </c>
      <c r="D17" s="580">
        <f>D12+SUM(D14:D16)</f>
        <v>168157927.25100622</v>
      </c>
      <c r="E17" s="580"/>
      <c r="I17" s="581" t="s">
        <v>1754</v>
      </c>
      <c r="K17" s="601" t="s">
        <v>1755</v>
      </c>
      <c r="M17" s="602">
        <v>1.3259000000000001</v>
      </c>
      <c r="N17" s="575" t="s">
        <v>29</v>
      </c>
      <c r="Q17" s="595"/>
    </row>
    <row r="18" spans="1:17" ht="12.75" customHeight="1">
      <c r="A18" s="414">
        <f t="shared" si="0"/>
        <v>10</v>
      </c>
      <c r="B18" s="575" t="s">
        <v>1756</v>
      </c>
      <c r="D18" s="580">
        <f>SUM(D13:D14)</f>
        <v>236220319.57216454</v>
      </c>
      <c r="E18" s="580"/>
      <c r="I18" s="581" t="s">
        <v>1757</v>
      </c>
    </row>
    <row r="19" spans="1:17" ht="12.75" customHeight="1">
      <c r="A19" s="576"/>
      <c r="D19" s="580"/>
      <c r="E19" s="580"/>
      <c r="Q19" s="594"/>
    </row>
    <row r="20" spans="1:17" s="594" customFormat="1" ht="12.75" customHeight="1" thickBot="1">
      <c r="A20" s="593">
        <f>A18+1</f>
        <v>11</v>
      </c>
      <c r="B20" s="594" t="s">
        <v>1758</v>
      </c>
      <c r="D20" s="786">
        <f>(871782696+90575015)/1906788966</f>
        <v>0.50470069218976166</v>
      </c>
      <c r="E20" s="604"/>
      <c r="F20" s="605"/>
      <c r="G20" s="606"/>
      <c r="I20" s="594" t="s">
        <v>1759</v>
      </c>
      <c r="K20" s="576"/>
      <c r="L20" s="576"/>
      <c r="M20" s="575"/>
      <c r="N20" s="575"/>
      <c r="O20" s="575"/>
      <c r="P20" s="575"/>
    </row>
    <row r="21" spans="1:17" s="594" customFormat="1" ht="12.75" customHeight="1" thickBot="1">
      <c r="A21" s="593">
        <f>A20+1</f>
        <v>12</v>
      </c>
      <c r="B21" s="594" t="s">
        <v>1760</v>
      </c>
      <c r="D21" s="607">
        <f>(871782696+90575015)/D18</f>
        <v>4.0739836130227687</v>
      </c>
      <c r="E21" s="608" t="s">
        <v>1761</v>
      </c>
      <c r="F21" s="609" t="s">
        <v>1762</v>
      </c>
      <c r="G21" s="610" t="s">
        <v>1763</v>
      </c>
      <c r="I21" s="594" t="s">
        <v>1764</v>
      </c>
      <c r="K21" s="576"/>
      <c r="L21" s="576"/>
      <c r="M21" s="575"/>
      <c r="N21" s="575"/>
      <c r="O21" s="575"/>
      <c r="P21" s="575"/>
    </row>
    <row r="22" spans="1:17" s="594" customFormat="1" ht="12.75" customHeight="1" thickBot="1">
      <c r="A22" s="593">
        <f>A21+1</f>
        <v>13</v>
      </c>
      <c r="B22" s="594" t="s">
        <v>1765</v>
      </c>
      <c r="D22" s="611">
        <f>D17/(871782696+90575015)</f>
        <v>0.1747353664120079</v>
      </c>
      <c r="E22" s="612" t="s">
        <v>1766</v>
      </c>
      <c r="F22" s="613" t="s">
        <v>1767</v>
      </c>
      <c r="G22" s="614" t="s">
        <v>1768</v>
      </c>
      <c r="I22" s="594" t="s">
        <v>1888</v>
      </c>
      <c r="K22" s="576"/>
      <c r="L22" s="576"/>
      <c r="M22" s="575"/>
      <c r="N22" s="575"/>
      <c r="O22" s="575"/>
      <c r="P22" s="575"/>
      <c r="Q22" s="575"/>
    </row>
    <row r="23" spans="1:17" s="594" customFormat="1" ht="12.75" customHeight="1">
      <c r="A23" s="593">
        <f>A22+1</f>
        <v>14</v>
      </c>
      <c r="B23" s="594" t="s">
        <v>1769</v>
      </c>
      <c r="D23" s="615"/>
      <c r="E23" s="616" t="s">
        <v>1770</v>
      </c>
      <c r="F23" s="616" t="s">
        <v>130</v>
      </c>
      <c r="G23" s="593" t="s">
        <v>1771</v>
      </c>
      <c r="I23" s="594" t="s">
        <v>1772</v>
      </c>
      <c r="K23" s="576"/>
      <c r="L23" s="576"/>
      <c r="M23" s="575"/>
      <c r="N23" s="575"/>
      <c r="O23" s="575"/>
      <c r="P23" s="575"/>
      <c r="Q23" s="575"/>
    </row>
    <row r="24" spans="1:17" ht="12.75" customHeight="1">
      <c r="A24" s="576"/>
    </row>
    <row r="25" spans="1:17" ht="12.75" customHeight="1">
      <c r="A25" s="576"/>
      <c r="B25" s="847" t="s">
        <v>1773</v>
      </c>
      <c r="C25" s="847"/>
      <c r="D25" s="847"/>
      <c r="E25" s="847"/>
      <c r="F25" s="847"/>
      <c r="G25" s="847"/>
      <c r="H25" s="847"/>
      <c r="I25" s="847"/>
      <c r="J25" s="576"/>
    </row>
    <row r="26" spans="1:17" ht="12.75" customHeight="1">
      <c r="A26" s="576"/>
    </row>
    <row r="27" spans="1:17" ht="12.75" customHeight="1">
      <c r="A27" s="576"/>
      <c r="B27" s="576"/>
      <c r="C27" s="576"/>
      <c r="D27" s="576" t="s">
        <v>1722</v>
      </c>
      <c r="E27" s="576"/>
      <c r="F27" s="576"/>
      <c r="H27" s="576"/>
      <c r="I27" s="576"/>
      <c r="J27" s="576"/>
    </row>
    <row r="28" spans="1:17" ht="12.75" customHeight="1">
      <c r="A28" s="576"/>
      <c r="B28" s="576"/>
      <c r="C28" s="576"/>
      <c r="D28" s="576" t="s">
        <v>1723</v>
      </c>
      <c r="E28" s="849" t="str">
        <f>E5</f>
        <v>S&amp;P Benchmark (Medial Volatility)</v>
      </c>
      <c r="F28" s="849"/>
      <c r="G28" s="849"/>
      <c r="H28" s="576"/>
      <c r="I28" s="576"/>
      <c r="J28" s="576"/>
    </row>
    <row r="29" spans="1:17" ht="12.75" customHeight="1">
      <c r="A29" s="470" t="s">
        <v>1725</v>
      </c>
      <c r="B29" s="846" t="s">
        <v>1726</v>
      </c>
      <c r="C29" s="846"/>
      <c r="D29" s="577" t="s">
        <v>1727</v>
      </c>
      <c r="E29" s="577" t="s">
        <v>1728</v>
      </c>
      <c r="F29" s="577" t="s">
        <v>1729</v>
      </c>
      <c r="G29" s="577" t="s">
        <v>1730</v>
      </c>
      <c r="H29" s="577"/>
      <c r="I29" s="577" t="s">
        <v>1731</v>
      </c>
      <c r="J29" s="577"/>
    </row>
    <row r="30" spans="1:17" ht="12.75" customHeight="1">
      <c r="A30" s="576"/>
      <c r="D30" s="578" t="s">
        <v>1732</v>
      </c>
      <c r="E30" s="579">
        <f>+D30-1</f>
        <v>-2</v>
      </c>
      <c r="F30" s="579">
        <f>+E30-1</f>
        <v>-3</v>
      </c>
      <c r="G30" s="579">
        <f>+F30-1</f>
        <v>-4</v>
      </c>
      <c r="H30" s="576"/>
      <c r="I30" s="578" t="s">
        <v>1733</v>
      </c>
      <c r="J30" s="578"/>
    </row>
    <row r="31" spans="1:17" ht="12.75" customHeight="1">
      <c r="A31" s="576"/>
    </row>
    <row r="32" spans="1:17" ht="12.75" customHeight="1">
      <c r="A32" s="414">
        <v>1</v>
      </c>
      <c r="B32" s="575" t="str">
        <f t="shared" ref="B32:B41" si="1">B9</f>
        <v>Rate Base (Total Company - 2020 Test Year)</v>
      </c>
      <c r="D32" s="580">
        <f>D9</f>
        <v>1816213950.5488641</v>
      </c>
      <c r="E32" s="580"/>
      <c r="I32" s="581" t="str">
        <f t="shared" ref="I32:I41" si="2">I9</f>
        <v>DEU Exhibit 3.02</v>
      </c>
      <c r="J32" s="581"/>
      <c r="K32" s="576" t="s">
        <v>1737</v>
      </c>
      <c r="L32" s="576" t="s">
        <v>1738</v>
      </c>
      <c r="M32" s="575" t="s">
        <v>1739</v>
      </c>
      <c r="N32" s="576" t="s">
        <v>1740</v>
      </c>
    </row>
    <row r="33" spans="1:15" ht="12.75" customHeight="1">
      <c r="A33" s="414">
        <f>A32+1</f>
        <v>2</v>
      </c>
      <c r="B33" s="575" t="str">
        <f t="shared" si="1"/>
        <v>Weighted Common Return</v>
      </c>
      <c r="D33" s="582">
        <f>M34</f>
        <v>3.8452822564571602E-2</v>
      </c>
      <c r="E33" s="582"/>
      <c r="I33" s="581" t="str">
        <f t="shared" si="2"/>
        <v>FEA Exhibit 1.18 Page 2, Line 2, Col. 3.</v>
      </c>
      <c r="K33" s="617">
        <f>K10</f>
        <v>0.48</v>
      </c>
      <c r="L33" s="617">
        <f>L10</f>
        <v>4.3700000000000003E-2</v>
      </c>
      <c r="M33" s="583">
        <f>L33*K33</f>
        <v>2.0976000000000002E-2</v>
      </c>
      <c r="N33" s="584">
        <f>M33</f>
        <v>2.0976000000000002E-2</v>
      </c>
      <c r="O33" s="575" t="s">
        <v>1174</v>
      </c>
    </row>
    <row r="34" spans="1:15" ht="12.75" customHeight="1">
      <c r="A34" s="414">
        <f t="shared" ref="A34:A41" si="3">A33+1</f>
        <v>3</v>
      </c>
      <c r="B34" s="575" t="str">
        <f t="shared" si="1"/>
        <v>Pre-Tax Rate of Return</v>
      </c>
      <c r="D34" s="586">
        <f>N35</f>
        <v>7.1960597438365498E-2</v>
      </c>
      <c r="E34" s="582"/>
      <c r="I34" s="581" t="str">
        <f t="shared" si="2"/>
        <v>FEA Exhibit 1.18 Page 2, Line 3, Col. 4.</v>
      </c>
      <c r="K34" s="617">
        <f>K11</f>
        <v>0.52</v>
      </c>
      <c r="L34" s="617">
        <v>7.3947735701099235E-2</v>
      </c>
      <c r="M34" s="583">
        <f>L34*K34</f>
        <v>3.8452822564571602E-2</v>
      </c>
      <c r="N34" s="584">
        <f>M34*M40</f>
        <v>5.0984597438365489E-2</v>
      </c>
      <c r="O34" s="575" t="s">
        <v>1173</v>
      </c>
    </row>
    <row r="35" spans="1:15" ht="12.75" customHeight="1">
      <c r="A35" s="414">
        <f t="shared" si="3"/>
        <v>4</v>
      </c>
      <c r="B35" s="575" t="str">
        <f t="shared" si="1"/>
        <v>Income to Common</v>
      </c>
      <c r="D35" s="580">
        <f>D32*D33</f>
        <v>69838552.779755101</v>
      </c>
      <c r="E35" s="580"/>
      <c r="I35" s="581" t="str">
        <f t="shared" si="2"/>
        <v>Line 1 x Line 2.</v>
      </c>
      <c r="K35" s="618"/>
      <c r="L35" s="618"/>
      <c r="M35" s="619">
        <f>SUM(M33:M34)</f>
        <v>5.9428822564571604E-2</v>
      </c>
      <c r="N35" s="619">
        <f>SUM(N33:N34)</f>
        <v>7.1960597438365498E-2</v>
      </c>
    </row>
    <row r="36" spans="1:15" ht="12.75" customHeight="1">
      <c r="A36" s="414">
        <f t="shared" si="3"/>
        <v>5</v>
      </c>
      <c r="B36" s="575" t="str">
        <f t="shared" si="1"/>
        <v>EBIT</v>
      </c>
      <c r="D36" s="580">
        <f>D32*D34</f>
        <v>130695840.95739028</v>
      </c>
      <c r="E36" s="580"/>
      <c r="I36" s="581" t="str">
        <f t="shared" si="2"/>
        <v>Line 1 x Line 3.</v>
      </c>
      <c r="K36" s="617"/>
      <c r="L36" s="617"/>
      <c r="M36" s="583"/>
      <c r="N36" s="583"/>
    </row>
    <row r="37" spans="1:15" ht="12.75" customHeight="1">
      <c r="A37" s="414">
        <f t="shared" si="3"/>
        <v>6</v>
      </c>
      <c r="B37" s="575" t="str">
        <f t="shared" si="1"/>
        <v>Depreciation &amp; Amortization</v>
      </c>
      <c r="D37" s="580">
        <f>D14</f>
        <v>85423489.740319371</v>
      </c>
      <c r="E37" s="580"/>
      <c r="F37" s="596"/>
      <c r="G37" s="597"/>
      <c r="I37" s="581" t="str">
        <f t="shared" si="2"/>
        <v>DEU Exhibit 3.02</v>
      </c>
      <c r="J37" s="581"/>
      <c r="K37" s="617"/>
      <c r="L37" s="617"/>
      <c r="M37" s="583"/>
      <c r="N37" s="592"/>
      <c r="O37" s="594"/>
    </row>
    <row r="38" spans="1:15" ht="12.75" customHeight="1">
      <c r="A38" s="414">
        <f t="shared" si="3"/>
        <v>7</v>
      </c>
      <c r="B38" s="575" t="str">
        <f t="shared" si="1"/>
        <v>AFUDC Debt Interest</v>
      </c>
      <c r="D38" s="580">
        <f>D15</f>
        <v>-2264375.375</v>
      </c>
      <c r="E38" s="580"/>
      <c r="G38" s="600"/>
      <c r="I38" s="581" t="str">
        <f t="shared" si="2"/>
        <v>FEA Exhibit 1.18 Page 2, Line 9, Col. 1.</v>
      </c>
    </row>
    <row r="39" spans="1:15" ht="12.75" customHeight="1">
      <c r="A39" s="414">
        <f t="shared" si="3"/>
        <v>8</v>
      </c>
      <c r="B39" s="575" t="str">
        <f t="shared" si="1"/>
        <v>Deferred Income Taxes and ITC</v>
      </c>
      <c r="D39" s="580">
        <f>D16</f>
        <v>0</v>
      </c>
      <c r="E39" s="580"/>
      <c r="G39" s="600"/>
      <c r="I39" s="581" t="str">
        <f t="shared" si="2"/>
        <v>DEU Exhibit 3.02</v>
      </c>
    </row>
    <row r="40" spans="1:15" ht="12.75" customHeight="1">
      <c r="A40" s="414">
        <f t="shared" si="3"/>
        <v>9</v>
      </c>
      <c r="B40" s="575" t="str">
        <f t="shared" si="1"/>
        <v>Funds from Operations (FFO)</v>
      </c>
      <c r="D40" s="580">
        <f>D35+SUM(D37:D39)</f>
        <v>152997667.14507449</v>
      </c>
      <c r="E40" s="580"/>
      <c r="I40" s="581" t="str">
        <f t="shared" si="2"/>
        <v>Sum of Line 4 and Lines 6 through 8.</v>
      </c>
      <c r="K40" s="601" t="s">
        <v>1755</v>
      </c>
      <c r="M40" s="620">
        <f>M17</f>
        <v>1.3259000000000001</v>
      </c>
    </row>
    <row r="41" spans="1:15" ht="12.75" customHeight="1">
      <c r="A41" s="414">
        <f t="shared" si="3"/>
        <v>10</v>
      </c>
      <c r="B41" s="575" t="str">
        <f t="shared" si="1"/>
        <v>EBITDA</v>
      </c>
      <c r="D41" s="580">
        <f>SUM(D36:D37)</f>
        <v>216119330.69770965</v>
      </c>
      <c r="E41" s="580"/>
      <c r="I41" s="581" t="str">
        <f t="shared" si="2"/>
        <v>Sum of Lines 5 through 7 and Line 11.</v>
      </c>
    </row>
    <row r="42" spans="1:15" ht="12.75" customHeight="1" thickBot="1">
      <c r="A42" s="576"/>
      <c r="D42" s="580"/>
      <c r="E42" s="580"/>
    </row>
    <row r="43" spans="1:15" ht="12.75" customHeight="1">
      <c r="A43" s="593">
        <f>A41+1</f>
        <v>11</v>
      </c>
      <c r="B43" s="575" t="str">
        <f>B20</f>
        <v>Total Adjusted Debt Ratio</v>
      </c>
      <c r="C43" s="594"/>
      <c r="D43" s="621">
        <v>0.5</v>
      </c>
      <c r="E43" s="622"/>
      <c r="F43" s="623"/>
      <c r="G43" s="606"/>
      <c r="H43" s="594"/>
      <c r="I43" s="581" t="str">
        <f>I20</f>
        <v>FEA Exhibit 1.18 Page 2, Line 5 + Line 6, Col. 2</v>
      </c>
      <c r="J43" s="594"/>
    </row>
    <row r="44" spans="1:15" ht="12.75" customHeight="1">
      <c r="A44" s="593">
        <f>A43+1</f>
        <v>12</v>
      </c>
      <c r="B44" s="575" t="str">
        <f>B21</f>
        <v>Debt to EBITDA</v>
      </c>
      <c r="C44" s="594"/>
      <c r="D44" s="607">
        <f>(871782696+90575015)/D41</f>
        <v>4.4528997378122952</v>
      </c>
      <c r="E44" s="609" t="s">
        <v>1774</v>
      </c>
      <c r="F44" s="624" t="s">
        <v>1775</v>
      </c>
      <c r="G44" s="625" t="s">
        <v>1776</v>
      </c>
      <c r="H44" s="594"/>
      <c r="I44" s="581" t="str">
        <f>I21</f>
        <v>(FEA Exhibit 1.18 Page 2, Line 5 + Line 6)/ Line 10, Col. 1</v>
      </c>
      <c r="J44" s="594"/>
    </row>
    <row r="45" spans="1:15" ht="12.75" customHeight="1" thickBot="1">
      <c r="A45" s="593">
        <f>A44+1</f>
        <v>13</v>
      </c>
      <c r="B45" s="575" t="str">
        <f>B22</f>
        <v>FFO to Total Debt</v>
      </c>
      <c r="C45" s="594"/>
      <c r="D45" s="611">
        <f>D40/(871782696+90575015)</f>
        <v>0.15898211797574976</v>
      </c>
      <c r="E45" s="626" t="str">
        <f t="shared" ref="E45:G46" si="4">E22</f>
        <v>23% - 35%</v>
      </c>
      <c r="F45" s="627" t="str">
        <f t="shared" si="4"/>
        <v>13% - 23%</v>
      </c>
      <c r="G45" s="614" t="str">
        <f t="shared" si="4"/>
        <v>9% - 13%</v>
      </c>
      <c r="H45" s="594"/>
      <c r="I45" s="581" t="str">
        <f>I22</f>
        <v>Line 9 / (FEA Exhibit 1.18 Page 2, Line 5 + Line 6, Col. 1)</v>
      </c>
      <c r="J45" s="594"/>
    </row>
    <row r="46" spans="1:15" ht="12.75" customHeight="1">
      <c r="A46" s="593">
        <f>A45+1</f>
        <v>14</v>
      </c>
      <c r="B46" s="575" t="str">
        <f>B23</f>
        <v>Indicative Credit Rating</v>
      </c>
      <c r="C46" s="594"/>
      <c r="D46" s="615"/>
      <c r="E46" s="576" t="str">
        <f t="shared" si="4"/>
        <v>AA</v>
      </c>
      <c r="F46" s="576" t="str">
        <f t="shared" si="4"/>
        <v>A</v>
      </c>
      <c r="G46" s="576" t="str">
        <f t="shared" si="4"/>
        <v>A-</v>
      </c>
      <c r="H46" s="594"/>
      <c r="I46" s="581" t="str">
        <f>I23</f>
        <v>S&amp;P Methodology, November 19, 2013</v>
      </c>
      <c r="J46" s="594"/>
    </row>
    <row r="47" spans="1:15" ht="12.75" customHeight="1">
      <c r="A47" s="576"/>
    </row>
    <row r="48" spans="1:15" ht="12.75" customHeight="1">
      <c r="A48" s="576"/>
      <c r="B48" s="847" t="s">
        <v>1894</v>
      </c>
      <c r="C48" s="847"/>
      <c r="D48" s="847"/>
      <c r="E48" s="847"/>
      <c r="F48" s="847"/>
      <c r="G48" s="847"/>
      <c r="H48" s="847"/>
      <c r="I48" s="847"/>
      <c r="J48" s="576"/>
    </row>
    <row r="49" spans="1:15" ht="12.75" customHeight="1">
      <c r="A49" s="576"/>
    </row>
    <row r="50" spans="1:15" ht="12.75" customHeight="1">
      <c r="A50" s="576"/>
      <c r="B50" s="576"/>
      <c r="C50" s="576"/>
      <c r="D50" s="576" t="s">
        <v>1722</v>
      </c>
      <c r="E50" s="576"/>
      <c r="F50" s="576"/>
      <c r="H50" s="576"/>
      <c r="I50" s="576"/>
      <c r="J50" s="576"/>
    </row>
    <row r="51" spans="1:15" ht="12.75" customHeight="1">
      <c r="A51" s="576"/>
      <c r="B51" s="576"/>
      <c r="C51" s="576"/>
      <c r="D51" s="576" t="s">
        <v>1723</v>
      </c>
      <c r="E51" s="849" t="str">
        <f>E28</f>
        <v>S&amp;P Benchmark (Medial Volatility)</v>
      </c>
      <c r="F51" s="849"/>
      <c r="G51" s="849"/>
      <c r="H51" s="576"/>
      <c r="I51" s="576"/>
      <c r="J51" s="576"/>
    </row>
    <row r="52" spans="1:15" ht="12.75" customHeight="1">
      <c r="A52" s="576"/>
      <c r="B52" s="846" t="s">
        <v>1726</v>
      </c>
      <c r="C52" s="846"/>
      <c r="D52" s="577" t="s">
        <v>1727</v>
      </c>
      <c r="E52" s="577" t="s">
        <v>1728</v>
      </c>
      <c r="F52" s="577" t="s">
        <v>1729</v>
      </c>
      <c r="G52" s="577" t="s">
        <v>1730</v>
      </c>
      <c r="H52" s="577"/>
      <c r="I52" s="577" t="s">
        <v>1731</v>
      </c>
      <c r="J52" s="577"/>
    </row>
    <row r="53" spans="1:15" ht="12.75" customHeight="1">
      <c r="A53" s="576"/>
      <c r="D53" s="578" t="s">
        <v>1732</v>
      </c>
      <c r="E53" s="579">
        <f>+D53-1</f>
        <v>-2</v>
      </c>
      <c r="F53" s="579">
        <f>+E53-1</f>
        <v>-3</v>
      </c>
      <c r="G53" s="579">
        <f>+F53-1</f>
        <v>-4</v>
      </c>
      <c r="H53" s="576"/>
      <c r="I53" s="578" t="s">
        <v>1733</v>
      </c>
      <c r="J53" s="578"/>
    </row>
    <row r="54" spans="1:15" ht="12.75" customHeight="1">
      <c r="A54" s="576"/>
    </row>
    <row r="55" spans="1:15" ht="12.75" customHeight="1">
      <c r="A55" s="414"/>
      <c r="B55" s="575" t="str">
        <f t="shared" ref="B55:B64" si="5">B32</f>
        <v>Rate Base (Total Company - 2020 Test Year)</v>
      </c>
      <c r="D55" s="580">
        <f>D32</f>
        <v>1816213950.5488641</v>
      </c>
      <c r="E55" s="580"/>
      <c r="I55" s="581" t="str">
        <f t="shared" ref="I55:I64" si="6">I32</f>
        <v>DEU Exhibit 3.02</v>
      </c>
      <c r="J55" s="581"/>
      <c r="K55" s="576" t="s">
        <v>1737</v>
      </c>
      <c r="L55" s="576" t="s">
        <v>1738</v>
      </c>
      <c r="M55" s="575" t="s">
        <v>1739</v>
      </c>
      <c r="N55" s="576" t="s">
        <v>1740</v>
      </c>
    </row>
    <row r="56" spans="1:15" ht="12.75" customHeight="1">
      <c r="A56" s="414"/>
      <c r="B56" s="575" t="str">
        <f t="shared" si="5"/>
        <v>Weighted Common Return</v>
      </c>
      <c r="D56" s="582">
        <f>M57</f>
        <v>6.2884418765217942E-2</v>
      </c>
      <c r="E56" s="582"/>
      <c r="I56" s="581" t="str">
        <f t="shared" si="6"/>
        <v>FEA Exhibit 1.18 Page 2, Line 2, Col. 3.</v>
      </c>
      <c r="K56" s="617">
        <f>K33</f>
        <v>0.48</v>
      </c>
      <c r="L56" s="617">
        <f>L33</f>
        <v>4.3700000000000003E-2</v>
      </c>
      <c r="M56" s="583">
        <f>L56*K56</f>
        <v>2.0976000000000002E-2</v>
      </c>
      <c r="N56" s="584">
        <f>M56</f>
        <v>2.0976000000000002E-2</v>
      </c>
      <c r="O56" s="575" t="s">
        <v>1174</v>
      </c>
    </row>
    <row r="57" spans="1:15" ht="12.75" customHeight="1">
      <c r="A57" s="414"/>
      <c r="B57" s="575" t="str">
        <f t="shared" si="5"/>
        <v>Pre-Tax Rate of Return</v>
      </c>
      <c r="D57" s="586">
        <f>N58</f>
        <v>0.10435445084080247</v>
      </c>
      <c r="E57" s="582"/>
      <c r="I57" s="581" t="str">
        <f t="shared" si="6"/>
        <v>FEA Exhibit 1.18 Page 2, Line 3, Col. 4.</v>
      </c>
      <c r="K57" s="617">
        <f>K34</f>
        <v>0.52</v>
      </c>
      <c r="L57" s="617">
        <v>0.12093157454849603</v>
      </c>
      <c r="M57" s="583">
        <f>L57*K57</f>
        <v>6.2884418765217942E-2</v>
      </c>
      <c r="N57" s="584">
        <f>M57*M61</f>
        <v>8.3378450840802476E-2</v>
      </c>
      <c r="O57" s="575" t="s">
        <v>1173</v>
      </c>
    </row>
    <row r="58" spans="1:15" ht="12.75" customHeight="1">
      <c r="A58" s="414"/>
      <c r="B58" s="575" t="str">
        <f t="shared" si="5"/>
        <v>Income to Common</v>
      </c>
      <c r="D58" s="580">
        <f>D55*D56</f>
        <v>114211558.63354561</v>
      </c>
      <c r="E58" s="580"/>
      <c r="I58" s="581" t="str">
        <f t="shared" si="6"/>
        <v>Line 1 x Line 2.</v>
      </c>
      <c r="K58" s="618"/>
      <c r="L58" s="618"/>
      <c r="M58" s="619">
        <f>SUM(M56:M57)</f>
        <v>8.3860418765217937E-2</v>
      </c>
      <c r="N58" s="619">
        <f>SUM(N56:N57)</f>
        <v>0.10435445084080247</v>
      </c>
    </row>
    <row r="59" spans="1:15" ht="12.75" customHeight="1">
      <c r="A59" s="414"/>
      <c r="B59" s="575" t="str">
        <f t="shared" si="5"/>
        <v>EBIT</v>
      </c>
      <c r="D59" s="580">
        <f>D55*D57</f>
        <v>189530009.4189311</v>
      </c>
      <c r="E59" s="580"/>
      <c r="I59" s="581" t="str">
        <f t="shared" si="6"/>
        <v>Line 1 x Line 3.</v>
      </c>
    </row>
    <row r="60" spans="1:15" ht="12.75" customHeight="1">
      <c r="A60" s="414"/>
      <c r="B60" s="575" t="str">
        <f t="shared" si="5"/>
        <v>Depreciation &amp; Amortization</v>
      </c>
      <c r="D60" s="580">
        <f>D37</f>
        <v>85423489.740319371</v>
      </c>
      <c r="E60" s="580"/>
      <c r="F60" s="596"/>
      <c r="G60" s="597"/>
      <c r="I60" s="581" t="str">
        <f t="shared" si="6"/>
        <v>DEU Exhibit 3.02</v>
      </c>
      <c r="J60" s="581"/>
      <c r="O60" s="576"/>
    </row>
    <row r="61" spans="1:15" ht="12.75" customHeight="1">
      <c r="A61" s="414"/>
      <c r="B61" s="575" t="str">
        <f t="shared" si="5"/>
        <v>AFUDC Debt Interest</v>
      </c>
      <c r="D61" s="580">
        <f>D38</f>
        <v>-2264375.375</v>
      </c>
      <c r="E61" s="580"/>
      <c r="G61" s="600"/>
      <c r="I61" s="581" t="str">
        <f t="shared" si="6"/>
        <v>FEA Exhibit 1.18 Page 2, Line 9, Col. 1.</v>
      </c>
      <c r="K61" s="601" t="s">
        <v>1755</v>
      </c>
      <c r="M61" s="620">
        <f>M40</f>
        <v>1.3259000000000001</v>
      </c>
      <c r="O61" s="576"/>
    </row>
    <row r="62" spans="1:15" ht="12.75" customHeight="1">
      <c r="A62" s="414"/>
      <c r="B62" s="575" t="str">
        <f t="shared" si="5"/>
        <v>Deferred Income Taxes and ITC</v>
      </c>
      <c r="D62" s="580">
        <f>D39</f>
        <v>0</v>
      </c>
      <c r="E62" s="580"/>
      <c r="G62" s="600"/>
      <c r="I62" s="581" t="str">
        <f t="shared" si="6"/>
        <v>DEU Exhibit 3.02</v>
      </c>
      <c r="M62" s="576"/>
      <c r="N62" s="576"/>
      <c r="O62" s="576"/>
    </row>
    <row r="63" spans="1:15" ht="12.75" customHeight="1">
      <c r="A63" s="414"/>
      <c r="B63" s="575" t="str">
        <f t="shared" si="5"/>
        <v>Funds from Operations (FFO)</v>
      </c>
      <c r="D63" s="580">
        <f>D58+SUM(D60:D62)</f>
        <v>197370672.99886498</v>
      </c>
      <c r="E63" s="580"/>
      <c r="I63" s="581" t="str">
        <f t="shared" si="6"/>
        <v>Sum of Line 4 and Lines 6 through 8.</v>
      </c>
      <c r="K63" s="581"/>
      <c r="M63" s="576"/>
      <c r="N63" s="576"/>
      <c r="O63" s="576"/>
    </row>
    <row r="64" spans="1:15" s="576" customFormat="1" ht="12.75" customHeight="1">
      <c r="A64" s="414"/>
      <c r="B64" s="575" t="str">
        <f t="shared" si="5"/>
        <v>EBITDA</v>
      </c>
      <c r="C64" s="575"/>
      <c r="D64" s="580">
        <f>SUM(D59:D60)</f>
        <v>274953499.1592505</v>
      </c>
      <c r="E64" s="580"/>
      <c r="F64" s="575"/>
      <c r="G64" s="575"/>
      <c r="H64" s="575"/>
      <c r="I64" s="581" t="str">
        <f t="shared" si="6"/>
        <v>Sum of Lines 5 through 7 and Line 11.</v>
      </c>
      <c r="J64" s="575"/>
    </row>
    <row r="65" spans="1:16" s="576" customFormat="1" ht="12.75" customHeight="1" thickBot="1">
      <c r="B65" s="575"/>
      <c r="C65" s="575"/>
      <c r="D65" s="580"/>
      <c r="E65" s="580"/>
      <c r="F65" s="575"/>
      <c r="G65" s="575"/>
      <c r="H65" s="575"/>
      <c r="I65" s="575"/>
      <c r="J65" s="575"/>
    </row>
    <row r="66" spans="1:16" s="576" customFormat="1" ht="12.75" customHeight="1">
      <c r="A66" s="593"/>
      <c r="B66" s="575" t="str">
        <f>B43</f>
        <v>Total Adjusted Debt Ratio</v>
      </c>
      <c r="C66" s="594"/>
      <c r="D66" s="603">
        <f>D43</f>
        <v>0.5</v>
      </c>
      <c r="E66" s="628"/>
      <c r="F66" s="623"/>
      <c r="G66" s="606"/>
      <c r="H66" s="594"/>
      <c r="I66" s="581" t="str">
        <f>I43</f>
        <v>FEA Exhibit 1.18 Page 2, Line 5 + Line 6, Col. 2</v>
      </c>
      <c r="J66" s="594"/>
    </row>
    <row r="67" spans="1:16" s="576" customFormat="1" ht="12.75" customHeight="1">
      <c r="A67" s="593"/>
      <c r="B67" s="575" t="str">
        <f>B44</f>
        <v>Debt to EBITDA</v>
      </c>
      <c r="C67" s="594"/>
      <c r="D67" s="607">
        <f>(871782696+90575015)/D64</f>
        <v>3.5000744269219553</v>
      </c>
      <c r="E67" s="629" t="str">
        <f t="shared" ref="E67:G69" si="7">E44</f>
        <v>2.5x - 3.5x</v>
      </c>
      <c r="F67" s="624" t="str">
        <f t="shared" si="7"/>
        <v>3.5x - 4.5x</v>
      </c>
      <c r="G67" s="630" t="str">
        <f t="shared" si="7"/>
        <v>4.5x - 5.5x</v>
      </c>
      <c r="H67" s="594"/>
      <c r="I67" s="581" t="str">
        <f>I44</f>
        <v>(FEA Exhibit 1.18 Page 2, Line 5 + Line 6)/ Line 10, Col. 1</v>
      </c>
      <c r="J67" s="594"/>
      <c r="M67" s="575"/>
      <c r="N67" s="575"/>
      <c r="O67" s="575"/>
    </row>
    <row r="68" spans="1:16" s="576" customFormat="1" ht="12.75" customHeight="1" thickBot="1">
      <c r="A68" s="593"/>
      <c r="B68" s="575" t="str">
        <f>B45</f>
        <v>FFO to Total Debt</v>
      </c>
      <c r="C68" s="594"/>
      <c r="D68" s="611">
        <f>D63/(871782696+90575015)</f>
        <v>0.20509075860552334</v>
      </c>
      <c r="E68" s="631" t="str">
        <f t="shared" si="7"/>
        <v>23% - 35%</v>
      </c>
      <c r="F68" s="627" t="str">
        <f t="shared" si="7"/>
        <v>13% - 23%</v>
      </c>
      <c r="G68" s="632" t="str">
        <f t="shared" si="7"/>
        <v>9% - 13%</v>
      </c>
      <c r="H68" s="594"/>
      <c r="I68" s="581" t="str">
        <f>I45</f>
        <v>Line 9 / (FEA Exhibit 1.18 Page 2, Line 5 + Line 6, Col. 1)</v>
      </c>
      <c r="J68" s="594"/>
      <c r="M68" s="575"/>
      <c r="N68" s="575"/>
      <c r="O68" s="575"/>
    </row>
    <row r="69" spans="1:16" s="576" customFormat="1" ht="12.75" customHeight="1">
      <c r="A69" s="593"/>
      <c r="B69" s="575" t="str">
        <f>B46</f>
        <v>Indicative Credit Rating</v>
      </c>
      <c r="C69" s="594"/>
      <c r="D69" s="633"/>
      <c r="E69" s="576" t="str">
        <f t="shared" si="7"/>
        <v>AA</v>
      </c>
      <c r="F69" s="576" t="str">
        <f t="shared" si="7"/>
        <v>A</v>
      </c>
      <c r="G69" s="576" t="str">
        <f t="shared" si="7"/>
        <v>A-</v>
      </c>
      <c r="H69" s="594"/>
      <c r="I69" s="581" t="str">
        <f>I46</f>
        <v>S&amp;P Methodology, November 19, 2013</v>
      </c>
      <c r="J69" s="594"/>
      <c r="M69" s="575"/>
      <c r="N69" s="575"/>
      <c r="O69" s="575"/>
    </row>
    <row r="70" spans="1:16" s="576" customFormat="1" ht="12.75" customHeight="1">
      <c r="B70" s="575"/>
      <c r="C70" s="575"/>
      <c r="D70" s="575"/>
      <c r="E70" s="575"/>
      <c r="F70" s="575"/>
      <c r="G70" s="575"/>
      <c r="H70" s="575"/>
      <c r="I70" s="575"/>
      <c r="J70" s="575"/>
      <c r="M70" s="575"/>
      <c r="N70" s="575"/>
      <c r="O70" s="575"/>
    </row>
    <row r="71" spans="1:16" s="576" customFormat="1" ht="12.75" customHeight="1">
      <c r="B71" s="847" t="s">
        <v>1777</v>
      </c>
      <c r="C71" s="847"/>
      <c r="D71" s="847"/>
      <c r="E71" s="847"/>
      <c r="F71" s="847"/>
      <c r="G71" s="847"/>
      <c r="H71" s="847"/>
      <c r="I71" s="847"/>
      <c r="M71" s="575"/>
      <c r="N71" s="575"/>
      <c r="O71" s="575"/>
    </row>
    <row r="72" spans="1:16" s="576" customFormat="1" ht="12.75" customHeight="1">
      <c r="B72" s="575"/>
      <c r="C72" s="575"/>
      <c r="D72" s="575"/>
      <c r="E72" s="575"/>
      <c r="F72" s="575"/>
      <c r="G72" s="575"/>
      <c r="H72" s="575"/>
      <c r="I72" s="575"/>
      <c r="J72" s="575"/>
      <c r="M72" s="575"/>
      <c r="N72" s="575"/>
      <c r="O72" s="575"/>
      <c r="P72" s="575"/>
    </row>
    <row r="73" spans="1:16" ht="12.75" customHeight="1">
      <c r="B73" s="576"/>
      <c r="C73" s="576"/>
      <c r="D73" s="576" t="s">
        <v>1722</v>
      </c>
      <c r="E73" s="576"/>
      <c r="F73" s="576"/>
      <c r="H73" s="576"/>
      <c r="I73" s="576"/>
      <c r="J73" s="576"/>
    </row>
    <row r="74" spans="1:16" ht="12.75" customHeight="1">
      <c r="B74" s="576"/>
      <c r="C74" s="576"/>
      <c r="D74" s="576" t="s">
        <v>1723</v>
      </c>
      <c r="E74" s="849" t="str">
        <f>E51</f>
        <v>S&amp;P Benchmark (Medial Volatility)</v>
      </c>
      <c r="F74" s="849"/>
      <c r="G74" s="849"/>
      <c r="H74" s="576"/>
      <c r="I74" s="576"/>
      <c r="J74" s="576"/>
    </row>
    <row r="75" spans="1:16" ht="12.75" customHeight="1">
      <c r="B75" s="846" t="s">
        <v>1726</v>
      </c>
      <c r="C75" s="846"/>
      <c r="D75" s="577" t="s">
        <v>1727</v>
      </c>
      <c r="E75" s="577" t="s">
        <v>1728</v>
      </c>
      <c r="F75" s="577" t="s">
        <v>1729</v>
      </c>
      <c r="G75" s="577" t="s">
        <v>1730</v>
      </c>
      <c r="H75" s="577"/>
      <c r="I75" s="577" t="s">
        <v>1731</v>
      </c>
      <c r="J75" s="577"/>
      <c r="K75" s="576" t="s">
        <v>1737</v>
      </c>
      <c r="L75" s="576" t="s">
        <v>1738</v>
      </c>
      <c r="M75" s="575" t="s">
        <v>1739</v>
      </c>
      <c r="N75" s="576" t="s">
        <v>1740</v>
      </c>
    </row>
    <row r="76" spans="1:16" ht="12.75" customHeight="1">
      <c r="D76" s="578" t="s">
        <v>1732</v>
      </c>
      <c r="E76" s="579">
        <f>+D76-1</f>
        <v>-2</v>
      </c>
      <c r="F76" s="579">
        <f>+E76-1</f>
        <v>-3</v>
      </c>
      <c r="G76" s="579">
        <f>+F76-1</f>
        <v>-4</v>
      </c>
      <c r="H76" s="576"/>
      <c r="I76" s="578" t="s">
        <v>1733</v>
      </c>
      <c r="J76" s="578"/>
      <c r="K76" s="617">
        <f>K56</f>
        <v>0.48</v>
      </c>
      <c r="L76" s="617">
        <f>L56</f>
        <v>4.3700000000000003E-2</v>
      </c>
      <c r="M76" s="583">
        <f>L76*K76</f>
        <v>2.0976000000000002E-2</v>
      </c>
      <c r="N76" s="584">
        <f>M76</f>
        <v>2.0976000000000002E-2</v>
      </c>
      <c r="O76" s="575" t="s">
        <v>1174</v>
      </c>
    </row>
    <row r="77" spans="1:16" ht="12.75" customHeight="1">
      <c r="K77" s="617">
        <f>K57</f>
        <v>0.52</v>
      </c>
      <c r="L77" s="617">
        <v>0.105</v>
      </c>
      <c r="M77" s="583">
        <f>L77*K77</f>
        <v>5.4600000000000003E-2</v>
      </c>
      <c r="N77" s="584">
        <f>M77*M81</f>
        <v>7.239414000000001E-2</v>
      </c>
      <c r="O77" s="575" t="s">
        <v>1173</v>
      </c>
    </row>
    <row r="78" spans="1:16" ht="12.75" customHeight="1">
      <c r="B78" s="575" t="str">
        <f t="shared" ref="B78:B87" si="8">B55</f>
        <v>Rate Base (Total Company - 2020 Test Year)</v>
      </c>
      <c r="D78" s="580">
        <f>D55</f>
        <v>1816213950.5488641</v>
      </c>
      <c r="E78" s="580"/>
      <c r="I78" s="581" t="str">
        <f t="shared" ref="I78:I87" si="9">I55</f>
        <v>DEU Exhibit 3.02</v>
      </c>
      <c r="J78" s="581"/>
      <c r="K78" s="618"/>
      <c r="L78" s="618"/>
      <c r="M78" s="619">
        <f>SUM(M76:M77)</f>
        <v>7.5576000000000004E-2</v>
      </c>
      <c r="N78" s="619">
        <f>SUM(N76:N77)</f>
        <v>9.3370140000000018E-2</v>
      </c>
    </row>
    <row r="79" spans="1:16" ht="12.75" customHeight="1">
      <c r="B79" s="575" t="str">
        <f t="shared" si="8"/>
        <v>Weighted Common Return</v>
      </c>
      <c r="D79" s="582">
        <f>M77</f>
        <v>5.4600000000000003E-2</v>
      </c>
      <c r="E79" s="582"/>
      <c r="I79" s="581" t="str">
        <f t="shared" si="9"/>
        <v>FEA Exhibit 1.18 Page 2, Line 2, Col. 3.</v>
      </c>
    </row>
    <row r="80" spans="1:16" ht="12.75" customHeight="1">
      <c r="B80" s="575" t="str">
        <f t="shared" si="8"/>
        <v>Pre-Tax Rate of Return</v>
      </c>
      <c r="D80" s="586">
        <f>N78</f>
        <v>9.3370140000000018E-2</v>
      </c>
      <c r="E80" s="582"/>
      <c r="I80" s="581" t="str">
        <f t="shared" si="9"/>
        <v>FEA Exhibit 1.18 Page 2, Line 3, Col. 4.</v>
      </c>
      <c r="O80" s="576"/>
    </row>
    <row r="81" spans="2:15" ht="12.75" customHeight="1">
      <c r="B81" s="575" t="str">
        <f t="shared" si="8"/>
        <v>Income to Common</v>
      </c>
      <c r="D81" s="580">
        <f>D78*D79</f>
        <v>99165281.69996798</v>
      </c>
      <c r="E81" s="580"/>
      <c r="I81" s="581" t="str">
        <f t="shared" si="9"/>
        <v>Line 1 x Line 2.</v>
      </c>
      <c r="K81" s="601" t="s">
        <v>1755</v>
      </c>
      <c r="M81" s="620">
        <f>M61</f>
        <v>1.3259000000000001</v>
      </c>
      <c r="O81" s="576"/>
    </row>
    <row r="82" spans="2:15" ht="12.75" customHeight="1">
      <c r="B82" s="575" t="str">
        <f t="shared" si="8"/>
        <v>EBIT</v>
      </c>
      <c r="D82" s="580">
        <f>D78*D80</f>
        <v>169580150.83270055</v>
      </c>
      <c r="E82" s="580"/>
      <c r="I82" s="581" t="str">
        <f t="shared" si="9"/>
        <v>Line 1 x Line 3.</v>
      </c>
    </row>
    <row r="83" spans="2:15" ht="12.75" customHeight="1">
      <c r="B83" s="575" t="str">
        <f t="shared" si="8"/>
        <v>Depreciation &amp; Amortization</v>
      </c>
      <c r="D83" s="580">
        <f>D60</f>
        <v>85423489.740319371</v>
      </c>
      <c r="E83" s="580"/>
      <c r="F83" s="596"/>
      <c r="G83" s="597"/>
      <c r="I83" s="581" t="str">
        <f t="shared" si="9"/>
        <v>DEU Exhibit 3.02</v>
      </c>
      <c r="J83" s="581"/>
    </row>
    <row r="84" spans="2:15" ht="12.75" customHeight="1">
      <c r="B84" s="575" t="str">
        <f t="shared" si="8"/>
        <v>AFUDC Debt Interest</v>
      </c>
      <c r="D84" s="580">
        <f>D61</f>
        <v>-2264375.375</v>
      </c>
      <c r="E84" s="580"/>
      <c r="G84" s="600"/>
      <c r="I84" s="581" t="str">
        <f t="shared" si="9"/>
        <v>FEA Exhibit 1.18 Page 2, Line 9, Col. 1.</v>
      </c>
    </row>
    <row r="85" spans="2:15" ht="12.75" customHeight="1">
      <c r="B85" s="575" t="str">
        <f t="shared" si="8"/>
        <v>Deferred Income Taxes and ITC</v>
      </c>
      <c r="D85" s="580">
        <f>D62</f>
        <v>0</v>
      </c>
      <c r="E85" s="580"/>
      <c r="G85" s="600"/>
      <c r="I85" s="581" t="str">
        <f t="shared" si="9"/>
        <v>DEU Exhibit 3.02</v>
      </c>
    </row>
    <row r="86" spans="2:15" ht="12.75" customHeight="1">
      <c r="B86" s="575" t="str">
        <f t="shared" si="8"/>
        <v>Funds from Operations (FFO)</v>
      </c>
      <c r="D86" s="580">
        <f>D81+SUM(D83:D85)</f>
        <v>182324396.06528735</v>
      </c>
      <c r="E86" s="580"/>
      <c r="I86" s="581" t="str">
        <f t="shared" si="9"/>
        <v>Sum of Line 4 and Lines 6 through 8.</v>
      </c>
    </row>
    <row r="87" spans="2:15" ht="12.75" customHeight="1">
      <c r="B87" s="575" t="str">
        <f t="shared" si="8"/>
        <v>EBITDA</v>
      </c>
      <c r="D87" s="580">
        <f>SUM(D82:D83)</f>
        <v>255003640.57301992</v>
      </c>
      <c r="E87" s="580"/>
      <c r="I87" s="581" t="str">
        <f t="shared" si="9"/>
        <v>Sum of Lines 5 through 7 and Line 11.</v>
      </c>
    </row>
    <row r="88" spans="2:15" ht="12.75" customHeight="1" thickBot="1">
      <c r="D88" s="580"/>
      <c r="E88" s="580"/>
    </row>
    <row r="89" spans="2:15" ht="12.75" customHeight="1">
      <c r="B89" s="575" t="str">
        <f>B66</f>
        <v>Total Adjusted Debt Ratio</v>
      </c>
      <c r="C89" s="594"/>
      <c r="D89" s="603">
        <f>D66</f>
        <v>0.5</v>
      </c>
      <c r="E89" s="628"/>
      <c r="F89" s="623"/>
      <c r="G89" s="606"/>
      <c r="H89" s="594"/>
      <c r="I89" s="581" t="str">
        <f>I66</f>
        <v>FEA Exhibit 1.18 Page 2, Line 5 + Line 6, Col. 2</v>
      </c>
      <c r="J89" s="594"/>
    </row>
    <row r="90" spans="2:15" ht="12.75" customHeight="1">
      <c r="B90" s="575" t="str">
        <f>B67</f>
        <v>Debt to EBITDA</v>
      </c>
      <c r="C90" s="594"/>
      <c r="D90" s="607">
        <f>(871782696+90575015)/D87</f>
        <v>3.7738979288196877</v>
      </c>
      <c r="E90" s="629" t="str">
        <f t="shared" ref="E90:G92" si="10">E67</f>
        <v>2.5x - 3.5x</v>
      </c>
      <c r="F90" s="624" t="str">
        <f t="shared" si="10"/>
        <v>3.5x - 4.5x</v>
      </c>
      <c r="G90" s="630" t="str">
        <f t="shared" si="10"/>
        <v>4.5x - 5.5x</v>
      </c>
      <c r="H90" s="594"/>
      <c r="I90" s="581" t="str">
        <f>I67</f>
        <v>(FEA Exhibit 1.18 Page 2, Line 5 + Line 6)/ Line 10, Col. 1</v>
      </c>
      <c r="J90" s="594"/>
    </row>
    <row r="91" spans="2:15" ht="12.75" customHeight="1" thickBot="1">
      <c r="B91" s="575" t="str">
        <f>B68</f>
        <v>FFO to Total Debt</v>
      </c>
      <c r="C91" s="594"/>
      <c r="D91" s="611">
        <f>D86/(D78*D89)</f>
        <v>0.20077413898311758</v>
      </c>
      <c r="E91" s="631" t="str">
        <f t="shared" si="10"/>
        <v>23% - 35%</v>
      </c>
      <c r="F91" s="627" t="str">
        <f t="shared" si="10"/>
        <v>13% - 23%</v>
      </c>
      <c r="G91" s="632" t="str">
        <f t="shared" si="10"/>
        <v>9% - 13%</v>
      </c>
      <c r="H91" s="594"/>
      <c r="I91" s="581" t="str">
        <f>I68</f>
        <v>Line 9 / (FEA Exhibit 1.18 Page 2, Line 5 + Line 6, Col. 1)</v>
      </c>
      <c r="J91" s="594"/>
    </row>
    <row r="92" spans="2:15" ht="12.75" customHeight="1">
      <c r="B92" s="575" t="str">
        <f>B69</f>
        <v>Indicative Credit Rating</v>
      </c>
      <c r="C92" s="594"/>
      <c r="D92" s="615"/>
      <c r="E92" s="576" t="str">
        <f t="shared" si="10"/>
        <v>AA</v>
      </c>
      <c r="F92" s="576" t="str">
        <f t="shared" si="10"/>
        <v>A</v>
      </c>
      <c r="G92" s="576" t="str">
        <f t="shared" si="10"/>
        <v>A-</v>
      </c>
      <c r="H92" s="594"/>
      <c r="I92" s="581" t="str">
        <f>I69</f>
        <v>S&amp;P Methodology, November 19, 2013</v>
      </c>
      <c r="J92" s="594"/>
    </row>
    <row r="93" spans="2:15" ht="12.75" customHeight="1">
      <c r="B93" s="576"/>
    </row>
    <row r="95" spans="2:15" ht="12.75" customHeight="1">
      <c r="B95" s="575" t="s">
        <v>1778</v>
      </c>
    </row>
  </sheetData>
  <mergeCells count="12">
    <mergeCell ref="B75:C75"/>
    <mergeCell ref="B2:I2"/>
    <mergeCell ref="E5:G5"/>
    <mergeCell ref="B6:C6"/>
    <mergeCell ref="B25:I25"/>
    <mergeCell ref="E28:G28"/>
    <mergeCell ref="B29:C29"/>
    <mergeCell ref="B48:I48"/>
    <mergeCell ref="E51:G51"/>
    <mergeCell ref="B52:C52"/>
    <mergeCell ref="B71:I71"/>
    <mergeCell ref="E74:G74"/>
  </mergeCells>
  <printOptions horizontalCentered="1"/>
  <pageMargins left="0.7" right="0.7" top="1" bottom="0.5" header="0.3" footer="3"/>
  <pageSetup scale="80" fitToHeight="3" orientation="landscape" useFirstPageNumber="1" r:id="rId1"/>
  <headerFooter scaleWithDoc="0">
    <oddHeader>&amp;R&amp;"Arial,Regular"&amp;10DEU Exhibit 2.23R
Page &amp;P of 4</oddHeader>
  </headerFooter>
  <rowBreaks count="3" manualBreakCount="3">
    <brk id="23" max="8" man="1"/>
    <brk id="46" max="8" man="1"/>
    <brk id="69"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0"/>
  <sheetViews>
    <sheetView view="pageLayout" zoomScaleNormal="100" zoomScaleSheetLayoutView="90" workbookViewId="0">
      <selection activeCell="O1" sqref="O1"/>
    </sheetView>
  </sheetViews>
  <sheetFormatPr defaultColWidth="7.75" defaultRowHeight="12.75"/>
  <cols>
    <col min="1" max="1" width="2.875" style="740" customWidth="1"/>
    <col min="2" max="3" width="1.625" style="740" customWidth="1"/>
    <col min="4" max="4" width="3.25" style="740" customWidth="1"/>
    <col min="5" max="5" width="7.75" style="740"/>
    <col min="6" max="6" width="12" style="740" customWidth="1"/>
    <col min="7" max="7" width="5.625" style="740" customWidth="1"/>
    <col min="8" max="8" width="7.625" style="740" customWidth="1"/>
    <col min="9" max="9" width="10.25" style="740" customWidth="1"/>
    <col min="10" max="10" width="1.625" style="740" customWidth="1"/>
    <col min="11" max="11" width="10.25" style="740" customWidth="1"/>
    <col min="12" max="12" width="1.625" style="740" customWidth="1"/>
    <col min="13" max="13" width="5.5" style="740" customWidth="1"/>
    <col min="14" max="14" width="1.625" style="740" customWidth="1"/>
    <col min="15" max="15" width="10.25" style="740" customWidth="1"/>
    <col min="16" max="16" width="2.75" style="740" customWidth="1"/>
    <col min="17" max="18" width="9.375" style="740" customWidth="1"/>
    <col min="19" max="24" width="7.75" style="740"/>
    <col min="25" max="25" width="3.25" style="740" customWidth="1"/>
    <col min="26" max="16384" width="7.75" style="740"/>
  </cols>
  <sheetData>
    <row r="1" spans="1:32">
      <c r="A1" s="742"/>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row>
    <row r="2" spans="1:32">
      <c r="A2" s="743"/>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row>
    <row r="3" spans="1:32">
      <c r="A3" s="486"/>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row>
    <row r="4" spans="1:32">
      <c r="A4" s="684"/>
      <c r="B4" s="685"/>
      <c r="C4" s="850" t="s">
        <v>1885</v>
      </c>
      <c r="D4" s="850"/>
      <c r="E4" s="850"/>
      <c r="F4" s="850"/>
      <c r="G4" s="850"/>
      <c r="H4" s="850"/>
      <c r="I4" s="850"/>
      <c r="J4" s="850"/>
      <c r="K4" s="850"/>
      <c r="L4" s="850"/>
      <c r="M4" s="850"/>
      <c r="N4" s="850"/>
      <c r="O4" s="850"/>
      <c r="P4" s="850"/>
      <c r="Q4" s="850"/>
      <c r="R4" s="687"/>
      <c r="S4" s="483"/>
      <c r="T4" s="483"/>
      <c r="U4" s="486"/>
      <c r="V4" s="486"/>
      <c r="W4" s="486"/>
      <c r="X4" s="744"/>
      <c r="Y4" s="745"/>
      <c r="Z4" s="746"/>
      <c r="AA4" s="486"/>
      <c r="AB4" s="486"/>
      <c r="AC4" s="486"/>
      <c r="AD4" s="486"/>
      <c r="AE4" s="486"/>
      <c r="AF4" s="486"/>
    </row>
    <row r="5" spans="1:32">
      <c r="A5" s="755"/>
      <c r="B5" s="756"/>
      <c r="C5" s="832" t="s">
        <v>1892</v>
      </c>
      <c r="D5" s="832"/>
      <c r="E5" s="832"/>
      <c r="F5" s="832"/>
      <c r="G5" s="832"/>
      <c r="H5" s="832"/>
      <c r="I5" s="832"/>
      <c r="J5" s="832"/>
      <c r="K5" s="832"/>
      <c r="L5" s="832"/>
      <c r="M5" s="832"/>
      <c r="N5" s="832"/>
      <c r="O5" s="832"/>
      <c r="P5" s="832"/>
      <c r="Q5" s="832"/>
      <c r="R5" s="687"/>
      <c r="S5" s="483"/>
      <c r="T5" s="486"/>
      <c r="U5" s="486"/>
      <c r="V5" s="486"/>
      <c r="W5" s="486"/>
      <c r="X5" s="744"/>
      <c r="Y5" s="745"/>
      <c r="Z5" s="746"/>
      <c r="AA5" s="486"/>
      <c r="AB5" s="486"/>
      <c r="AC5" s="486"/>
      <c r="AD5" s="486"/>
      <c r="AE5" s="486"/>
      <c r="AF5" s="486"/>
    </row>
    <row r="6" spans="1:32">
      <c r="A6" s="755"/>
      <c r="B6" s="756"/>
      <c r="C6" s="832" t="s">
        <v>1895</v>
      </c>
      <c r="D6" s="832"/>
      <c r="E6" s="832"/>
      <c r="F6" s="832"/>
      <c r="G6" s="832"/>
      <c r="H6" s="832"/>
      <c r="I6" s="832"/>
      <c r="J6" s="832"/>
      <c r="K6" s="832"/>
      <c r="L6" s="832"/>
      <c r="M6" s="832"/>
      <c r="N6" s="832"/>
      <c r="O6" s="832"/>
      <c r="P6" s="832"/>
      <c r="Q6" s="832"/>
      <c r="R6" s="687"/>
      <c r="S6" s="483"/>
      <c r="T6" s="486"/>
      <c r="U6" s="486"/>
      <c r="V6" s="486"/>
      <c r="W6" s="486"/>
      <c r="X6" s="744"/>
      <c r="Y6" s="745"/>
      <c r="Z6" s="746"/>
      <c r="AA6" s="486"/>
      <c r="AB6" s="486"/>
      <c r="AC6" s="486"/>
      <c r="AD6" s="486"/>
      <c r="AE6" s="486"/>
      <c r="AF6" s="486"/>
    </row>
    <row r="7" spans="1:32">
      <c r="A7" s="755"/>
      <c r="B7" s="756"/>
      <c r="C7" s="770"/>
      <c r="D7" s="770"/>
      <c r="E7" s="770"/>
      <c r="F7" s="770"/>
      <c r="G7" s="770"/>
      <c r="H7" s="770"/>
      <c r="I7" s="770"/>
      <c r="J7" s="770"/>
      <c r="K7" s="770"/>
      <c r="L7" s="770"/>
      <c r="M7" s="770"/>
      <c r="N7" s="770"/>
      <c r="O7" s="770"/>
      <c r="P7" s="770"/>
      <c r="Q7" s="771"/>
      <c r="R7" s="687"/>
      <c r="S7" s="483"/>
      <c r="T7" s="486"/>
      <c r="U7" s="486"/>
      <c r="V7" s="486"/>
      <c r="W7" s="486"/>
      <c r="X7" s="744"/>
      <c r="Y7" s="745"/>
      <c r="Z7" s="746"/>
      <c r="AA7" s="486"/>
      <c r="AB7" s="486"/>
      <c r="AC7" s="486"/>
      <c r="AD7" s="486"/>
      <c r="AE7" s="486"/>
      <c r="AF7" s="486"/>
    </row>
    <row r="8" spans="1:32" ht="15" customHeight="1">
      <c r="A8" s="755"/>
      <c r="B8" s="756"/>
      <c r="C8" s="757"/>
      <c r="D8" s="757"/>
      <c r="E8" s="757"/>
      <c r="F8" s="757"/>
      <c r="G8" s="757"/>
      <c r="H8" s="756"/>
      <c r="I8" s="758"/>
      <c r="J8" s="758"/>
      <c r="K8" s="850" t="s">
        <v>1825</v>
      </c>
      <c r="L8" s="850"/>
      <c r="M8" s="850"/>
      <c r="N8" s="850"/>
      <c r="O8" s="850"/>
      <c r="P8" s="757"/>
      <c r="Q8" s="757"/>
      <c r="R8" s="687"/>
      <c r="S8" s="483"/>
      <c r="T8" s="486"/>
      <c r="U8" s="486"/>
      <c r="V8" s="486"/>
      <c r="W8" s="486"/>
      <c r="X8" s="744"/>
      <c r="Y8" s="486"/>
      <c r="Z8" s="486"/>
      <c r="AA8" s="486"/>
      <c r="AB8" s="486"/>
      <c r="AC8" s="486"/>
      <c r="AD8" s="486"/>
      <c r="AE8" s="486"/>
      <c r="AF8" s="486"/>
    </row>
    <row r="9" spans="1:32" ht="15" customHeight="1">
      <c r="A9" s="755"/>
      <c r="B9" s="756"/>
      <c r="C9" s="757"/>
      <c r="D9" s="757"/>
      <c r="E9" s="757"/>
      <c r="F9" s="757"/>
      <c r="G9" s="757"/>
      <c r="H9" s="756"/>
      <c r="I9" s="758"/>
      <c r="J9" s="758"/>
      <c r="K9" s="851" t="s">
        <v>1826</v>
      </c>
      <c r="L9" s="851"/>
      <c r="M9" s="851"/>
      <c r="N9" s="851"/>
      <c r="O9" s="851"/>
      <c r="P9" s="760"/>
      <c r="Q9" s="760"/>
      <c r="R9" s="687"/>
      <c r="S9" s="483"/>
      <c r="T9" s="486"/>
      <c r="U9" s="486"/>
      <c r="V9" s="486"/>
      <c r="W9" s="486"/>
      <c r="X9" s="486"/>
      <c r="Y9" s="486"/>
      <c r="Z9" s="486"/>
      <c r="AA9" s="486"/>
      <c r="AB9" s="486"/>
      <c r="AC9" s="486"/>
      <c r="AD9" s="486"/>
      <c r="AE9" s="486"/>
      <c r="AF9" s="486"/>
    </row>
    <row r="10" spans="1:32" ht="15" customHeight="1">
      <c r="A10" s="755"/>
      <c r="B10" s="756"/>
      <c r="C10" s="757"/>
      <c r="D10" s="757"/>
      <c r="E10" s="757"/>
      <c r="F10" s="757"/>
      <c r="G10" s="757"/>
      <c r="H10" s="756"/>
      <c r="I10" s="758"/>
      <c r="J10" s="761"/>
      <c r="K10" s="762" t="s">
        <v>1827</v>
      </c>
      <c r="L10" s="761"/>
      <c r="M10" s="761"/>
      <c r="N10" s="761"/>
      <c r="O10" s="762" t="s">
        <v>1828</v>
      </c>
      <c r="P10" s="763"/>
      <c r="Q10" s="764" t="s">
        <v>20</v>
      </c>
      <c r="R10" s="689"/>
      <c r="S10" s="483"/>
      <c r="T10" s="486"/>
      <c r="U10" s="486"/>
      <c r="V10" s="486"/>
      <c r="W10" s="486"/>
      <c r="X10" s="486"/>
      <c r="Y10" s="486"/>
      <c r="Z10" s="486"/>
      <c r="AA10" s="486"/>
      <c r="AB10" s="486"/>
      <c r="AC10" s="486"/>
      <c r="AD10" s="486"/>
      <c r="AE10" s="486"/>
      <c r="AF10" s="486"/>
    </row>
    <row r="11" spans="1:32">
      <c r="A11" s="755"/>
      <c r="B11" s="756"/>
      <c r="C11" s="757"/>
      <c r="D11" s="757"/>
      <c r="E11" s="757"/>
      <c r="F11" s="757"/>
      <c r="G11" s="757"/>
      <c r="H11" s="756"/>
      <c r="I11" s="758"/>
      <c r="J11" s="761"/>
      <c r="K11" s="758"/>
      <c r="L11" s="761"/>
      <c r="M11" s="761"/>
      <c r="N11" s="765"/>
      <c r="O11" s="765"/>
      <c r="P11" s="763"/>
      <c r="Q11" s="763"/>
      <c r="R11" s="688"/>
      <c r="S11" s="483"/>
      <c r="T11" s="486"/>
      <c r="U11" s="486"/>
      <c r="V11" s="486"/>
      <c r="W11" s="486"/>
      <c r="X11" s="486"/>
      <c r="Y11" s="486"/>
      <c r="Z11" s="486"/>
      <c r="AA11" s="486"/>
      <c r="AB11" s="486"/>
      <c r="AC11" s="486"/>
      <c r="AD11" s="486"/>
      <c r="AE11" s="486"/>
      <c r="AF11" s="486"/>
    </row>
    <row r="12" spans="1:32">
      <c r="A12" s="755">
        <v>1</v>
      </c>
      <c r="B12" s="756"/>
      <c r="C12" s="757"/>
      <c r="D12" s="756" t="s">
        <v>1829</v>
      </c>
      <c r="E12" s="757"/>
      <c r="F12" s="757"/>
      <c r="G12" s="757"/>
      <c r="H12" s="756"/>
      <c r="I12" s="758"/>
      <c r="J12" s="761"/>
      <c r="K12" s="763">
        <v>2.1600000000000001E-2</v>
      </c>
      <c r="L12" s="757" t="s">
        <v>50</v>
      </c>
      <c r="M12" s="761"/>
      <c r="N12" s="761"/>
      <c r="O12" s="766">
        <f>'DEU 2.05R CAPM'!C11</f>
        <v>2.2833333333333337E-2</v>
      </c>
      <c r="P12" s="757" t="s">
        <v>51</v>
      </c>
      <c r="Q12" s="767"/>
      <c r="R12" s="483"/>
      <c r="S12" s="747"/>
      <c r="T12" s="486"/>
      <c r="U12" s="486"/>
      <c r="V12" s="486"/>
      <c r="W12" s="486"/>
      <c r="X12" s="486"/>
      <c r="Y12" s="486"/>
      <c r="Z12" s="748"/>
      <c r="AA12" s="486"/>
      <c r="AB12" s="486"/>
      <c r="AC12" s="486"/>
      <c r="AD12" s="483"/>
      <c r="AE12" s="486"/>
      <c r="AF12" s="483"/>
    </row>
    <row r="13" spans="1:32" ht="15" customHeight="1">
      <c r="A13" s="755"/>
      <c r="B13" s="756"/>
      <c r="C13" s="757"/>
      <c r="D13" s="757"/>
      <c r="E13" s="757"/>
      <c r="F13" s="757"/>
      <c r="G13" s="757"/>
      <c r="H13" s="756"/>
      <c r="I13" s="758"/>
      <c r="J13" s="761"/>
      <c r="K13" s="758"/>
      <c r="L13" s="761"/>
      <c r="M13" s="761"/>
      <c r="N13" s="765"/>
      <c r="O13" s="765"/>
      <c r="P13" s="763"/>
      <c r="Q13" s="763"/>
      <c r="R13" s="688"/>
      <c r="S13" s="483"/>
      <c r="T13" s="486"/>
      <c r="U13" s="486"/>
      <c r="V13" s="486"/>
      <c r="W13" s="486"/>
      <c r="X13" s="486"/>
      <c r="Y13" s="486"/>
      <c r="Z13" s="748"/>
      <c r="AA13" s="486"/>
      <c r="AB13" s="486"/>
      <c r="AC13" s="486"/>
      <c r="AD13" s="483"/>
      <c r="AE13" s="486"/>
      <c r="AF13" s="483"/>
    </row>
    <row r="14" spans="1:32" ht="15" customHeight="1">
      <c r="A14" s="755">
        <v>2</v>
      </c>
      <c r="B14" s="756"/>
      <c r="C14" s="757"/>
      <c r="D14" s="768" t="s">
        <v>1830</v>
      </c>
      <c r="E14" s="757"/>
      <c r="F14" s="757"/>
      <c r="G14" s="757"/>
      <c r="H14" s="756"/>
      <c r="I14" s="758"/>
      <c r="J14" s="761"/>
      <c r="K14" s="749">
        <f>'DEU 2.03R MRP Bloomberg'!D7</f>
        <v>0.14195180335247456</v>
      </c>
      <c r="L14" s="761"/>
      <c r="M14" s="761"/>
      <c r="N14" s="765"/>
      <c r="O14" s="749">
        <f>K14</f>
        <v>0.14195180335247456</v>
      </c>
      <c r="P14" s="759" t="s">
        <v>52</v>
      </c>
      <c r="Q14" s="763"/>
      <c r="R14" s="688"/>
      <c r="S14" s="483"/>
      <c r="T14" s="486"/>
      <c r="U14" s="486"/>
      <c r="V14" s="486"/>
      <c r="W14" s="486"/>
      <c r="X14" s="486"/>
      <c r="Y14" s="486"/>
      <c r="Z14" s="748"/>
      <c r="AA14" s="486"/>
      <c r="AB14" s="486"/>
      <c r="AC14" s="486"/>
      <c r="AD14" s="483"/>
      <c r="AE14" s="486"/>
      <c r="AF14" s="483"/>
    </row>
    <row r="15" spans="1:32">
      <c r="A15" s="755">
        <v>3</v>
      </c>
      <c r="B15" s="756"/>
      <c r="C15" s="756"/>
      <c r="D15" s="768" t="s">
        <v>1831</v>
      </c>
      <c r="E15" s="758"/>
      <c r="F15" s="768"/>
      <c r="G15" s="768"/>
      <c r="H15" s="757"/>
      <c r="I15" s="758"/>
      <c r="J15" s="761"/>
      <c r="K15" s="763">
        <f>K14-K12</f>
        <v>0.12035180335247456</v>
      </c>
      <c r="L15" s="761"/>
      <c r="M15" s="761"/>
      <c r="N15" s="757"/>
      <c r="O15" s="763">
        <f>+K15</f>
        <v>0.12035180335247456</v>
      </c>
      <c r="P15" s="757" t="s">
        <v>53</v>
      </c>
      <c r="Q15" s="767"/>
      <c r="R15" s="483"/>
      <c r="S15" s="690"/>
      <c r="T15" s="486"/>
      <c r="U15" s="486"/>
      <c r="V15" s="486"/>
      <c r="W15" s="486"/>
      <c r="X15" s="486"/>
      <c r="Y15" s="486"/>
      <c r="Z15" s="750"/>
      <c r="AA15" s="486"/>
      <c r="AB15" s="486"/>
      <c r="AC15" s="486"/>
      <c r="AD15" s="483"/>
      <c r="AE15" s="486"/>
      <c r="AF15" s="483"/>
    </row>
    <row r="16" spans="1:32">
      <c r="A16" s="769">
        <v>4</v>
      </c>
      <c r="B16" s="756"/>
      <c r="C16" s="756"/>
      <c r="D16" s="768" t="s">
        <v>1832</v>
      </c>
      <c r="E16" s="758"/>
      <c r="F16" s="768"/>
      <c r="G16" s="768"/>
      <c r="H16" s="756"/>
      <c r="I16" s="758"/>
      <c r="J16" s="761"/>
      <c r="K16" s="691">
        <f>'DEU 2.05R CAPM'!D10</f>
        <v>0.58132665072168621</v>
      </c>
      <c r="L16" s="761"/>
      <c r="M16" s="761"/>
      <c r="N16" s="756"/>
      <c r="O16" s="691">
        <f>K16</f>
        <v>0.58132665072168621</v>
      </c>
      <c r="P16" s="757" t="s">
        <v>54</v>
      </c>
      <c r="Q16" s="767"/>
      <c r="R16" s="483"/>
      <c r="S16" s="690"/>
      <c r="T16" s="486"/>
      <c r="U16" s="486"/>
      <c r="V16" s="486"/>
      <c r="W16" s="486"/>
      <c r="X16" s="486"/>
      <c r="Y16" s="486"/>
      <c r="Z16" s="750"/>
      <c r="AA16" s="486"/>
      <c r="AB16" s="486"/>
      <c r="AC16" s="486"/>
      <c r="AD16" s="483"/>
      <c r="AE16" s="486"/>
      <c r="AF16" s="483"/>
    </row>
    <row r="17" spans="1:32">
      <c r="A17" s="755"/>
      <c r="B17" s="756"/>
      <c r="C17" s="756"/>
      <c r="D17" s="768"/>
      <c r="E17" s="768"/>
      <c r="F17" s="768"/>
      <c r="G17" s="768"/>
      <c r="H17" s="756"/>
      <c r="I17" s="756"/>
      <c r="J17" s="761"/>
      <c r="K17" s="756"/>
      <c r="L17" s="761"/>
      <c r="M17" s="761"/>
      <c r="N17" s="756"/>
      <c r="O17" s="756"/>
      <c r="P17" s="756"/>
      <c r="Q17" s="763"/>
      <c r="R17" s="688"/>
      <c r="S17" s="690"/>
      <c r="T17" s="486"/>
      <c r="U17" s="486"/>
      <c r="V17" s="486"/>
      <c r="W17" s="486"/>
      <c r="X17" s="486"/>
      <c r="Y17" s="486"/>
      <c r="Z17" s="486"/>
      <c r="AA17" s="486"/>
      <c r="AB17" s="486"/>
      <c r="AC17" s="486"/>
      <c r="AD17" s="486"/>
      <c r="AE17" s="486"/>
      <c r="AF17" s="486"/>
    </row>
    <row r="18" spans="1:32">
      <c r="A18" s="755">
        <v>5</v>
      </c>
      <c r="B18" s="756"/>
      <c r="C18" s="756"/>
      <c r="D18" s="768" t="s">
        <v>1833</v>
      </c>
      <c r="E18" s="768"/>
      <c r="F18" s="768"/>
      <c r="G18" s="768"/>
      <c r="H18" s="756"/>
      <c r="I18" s="756"/>
      <c r="J18" s="761"/>
      <c r="K18" s="692">
        <f>+K12+(K15*K16)</f>
        <v>9.1563710751209032E-2</v>
      </c>
      <c r="L18" s="761"/>
      <c r="M18" s="761"/>
      <c r="N18" s="756"/>
      <c r="O18" s="692">
        <f>+O12+(O15*O16)</f>
        <v>9.2797044084542368E-2</v>
      </c>
      <c r="P18" s="756"/>
      <c r="Q18" s="763">
        <f>+AVERAGE(K18:O18)</f>
        <v>9.21803774178757E-2</v>
      </c>
      <c r="R18" s="688"/>
      <c r="S18" s="690"/>
      <c r="U18" s="486"/>
      <c r="V18" s="486"/>
      <c r="W18" s="486"/>
      <c r="X18" s="486"/>
      <c r="Y18" s="486"/>
      <c r="Z18" s="486"/>
      <c r="AA18" s="486"/>
      <c r="AB18" s="486"/>
      <c r="AC18" s="486"/>
      <c r="AD18" s="486"/>
      <c r="AE18" s="486"/>
      <c r="AF18" s="486"/>
    </row>
    <row r="19" spans="1:32">
      <c r="A19" s="755">
        <v>6</v>
      </c>
      <c r="B19" s="756"/>
      <c r="C19" s="756"/>
      <c r="D19" s="768" t="s">
        <v>1834</v>
      </c>
      <c r="E19" s="768"/>
      <c r="F19" s="768"/>
      <c r="G19" s="768"/>
      <c r="H19" s="756"/>
      <c r="I19" s="756"/>
      <c r="J19" s="761"/>
      <c r="K19" s="692">
        <f>+K12+(K15*K16*0.75)+(K15*0.25)</f>
        <v>0.10416073390152542</v>
      </c>
      <c r="L19" s="761"/>
      <c r="M19" s="761"/>
      <c r="N19" s="756"/>
      <c r="O19" s="692">
        <f>+O12+(O15*O16*0.75)+(O15*0.25)</f>
        <v>0.10539406723485875</v>
      </c>
      <c r="P19" s="756"/>
      <c r="Q19" s="763">
        <f>+AVERAGE(K19:O19)</f>
        <v>0.10477740056819208</v>
      </c>
      <c r="R19" s="688"/>
      <c r="S19" s="690"/>
      <c r="T19" s="486"/>
      <c r="U19" s="486"/>
      <c r="V19" s="486"/>
      <c r="W19" s="486"/>
      <c r="X19" s="486"/>
      <c r="Y19" s="486"/>
      <c r="Z19" s="486"/>
      <c r="AA19" s="486"/>
      <c r="AB19" s="486"/>
      <c r="AC19" s="486"/>
      <c r="AD19" s="486"/>
      <c r="AE19" s="486"/>
      <c r="AF19" s="486"/>
    </row>
    <row r="20" spans="1:32">
      <c r="A20" s="755"/>
      <c r="B20" s="756"/>
      <c r="C20" s="756"/>
      <c r="D20" s="768"/>
      <c r="E20" s="768"/>
      <c r="F20" s="768"/>
      <c r="G20" s="768"/>
      <c r="H20" s="756"/>
      <c r="I20" s="756"/>
      <c r="J20" s="756"/>
      <c r="K20" s="756"/>
      <c r="L20" s="756"/>
      <c r="M20" s="756"/>
      <c r="N20" s="756"/>
      <c r="O20" s="756"/>
      <c r="P20" s="756"/>
      <c r="Q20" s="763"/>
      <c r="R20" s="688"/>
      <c r="S20" s="690"/>
      <c r="T20" s="486"/>
      <c r="U20" s="486"/>
      <c r="V20" s="486"/>
      <c r="W20" s="486"/>
      <c r="X20" s="486"/>
      <c r="Y20" s="486"/>
      <c r="Z20" s="486"/>
      <c r="AA20" s="486"/>
      <c r="AB20" s="486"/>
      <c r="AC20" s="486"/>
      <c r="AD20" s="486"/>
      <c r="AE20" s="486"/>
      <c r="AF20" s="486"/>
    </row>
    <row r="21" spans="1:32">
      <c r="A21" s="755">
        <v>7</v>
      </c>
      <c r="B21" s="756"/>
      <c r="C21" s="756"/>
      <c r="D21" s="757" t="s">
        <v>1835</v>
      </c>
      <c r="E21" s="757"/>
      <c r="F21" s="757"/>
      <c r="G21" s="757"/>
      <c r="H21" s="756"/>
      <c r="I21" s="756"/>
      <c r="J21" s="756"/>
      <c r="K21" s="758"/>
      <c r="L21" s="758"/>
      <c r="M21" s="758"/>
      <c r="N21" s="758"/>
      <c r="O21" s="758"/>
      <c r="P21" s="756"/>
      <c r="Q21" s="759">
        <f>+AVERAGE(Q18:Q19)</f>
        <v>9.8478888993033892E-2</v>
      </c>
      <c r="R21" s="688"/>
      <c r="S21" s="690"/>
      <c r="U21" s="486"/>
      <c r="V21" s="486"/>
      <c r="W21" s="486"/>
      <c r="X21" s="486"/>
      <c r="Y21" s="486"/>
      <c r="Z21" s="486"/>
      <c r="AA21" s="486"/>
      <c r="AB21" s="486"/>
      <c r="AC21" s="486"/>
      <c r="AD21" s="486"/>
      <c r="AE21" s="486"/>
      <c r="AF21" s="486"/>
    </row>
    <row r="22" spans="1:32">
      <c r="A22" s="755"/>
      <c r="B22" s="756"/>
      <c r="C22" s="756"/>
      <c r="D22" s="768"/>
      <c r="E22" s="768"/>
      <c r="F22" s="768"/>
      <c r="G22" s="768"/>
      <c r="H22" s="756"/>
      <c r="I22" s="756"/>
      <c r="J22" s="756"/>
      <c r="K22" s="756"/>
      <c r="L22" s="756"/>
      <c r="M22" s="756"/>
      <c r="N22" s="756"/>
      <c r="O22" s="756"/>
      <c r="P22" s="756"/>
      <c r="Q22" s="763"/>
      <c r="R22" s="688"/>
      <c r="S22" s="690"/>
      <c r="T22" s="486"/>
      <c r="U22" s="486"/>
      <c r="V22" s="486"/>
      <c r="W22" s="486"/>
      <c r="X22" s="486"/>
      <c r="Y22" s="486"/>
      <c r="Z22" s="486"/>
      <c r="AA22" s="486"/>
      <c r="AB22" s="486"/>
      <c r="AC22" s="486"/>
      <c r="AD22" s="486"/>
      <c r="AE22" s="486"/>
      <c r="AF22" s="486"/>
    </row>
    <row r="23" spans="1:32">
      <c r="A23" s="684"/>
      <c r="B23" s="685"/>
      <c r="C23" s="686"/>
      <c r="D23" s="686"/>
      <c r="E23" s="686"/>
      <c r="F23" s="686"/>
      <c r="G23" s="686"/>
      <c r="H23" s="685"/>
      <c r="I23" s="685"/>
      <c r="J23" s="685"/>
      <c r="K23" s="685"/>
      <c r="L23" s="685"/>
      <c r="M23" s="685"/>
      <c r="N23" s="685"/>
      <c r="O23" s="685"/>
      <c r="P23" s="685"/>
      <c r="Q23" s="687"/>
      <c r="R23" s="687"/>
      <c r="S23" s="690"/>
      <c r="T23" s="483"/>
      <c r="U23" s="486"/>
      <c r="V23" s="486"/>
      <c r="W23" s="486"/>
      <c r="X23" s="486"/>
      <c r="Y23" s="486"/>
      <c r="Z23" s="486"/>
      <c r="AA23" s="486"/>
      <c r="AB23" s="486"/>
      <c r="AC23" s="486"/>
      <c r="AD23" s="486"/>
      <c r="AE23" s="486"/>
      <c r="AF23" s="486"/>
    </row>
    <row r="24" spans="1:32">
      <c r="A24" s="684" t="s">
        <v>50</v>
      </c>
      <c r="B24" s="685"/>
      <c r="C24" s="685" t="s">
        <v>1891</v>
      </c>
      <c r="D24" s="685"/>
      <c r="E24" s="685"/>
      <c r="F24" s="685"/>
      <c r="G24" s="685"/>
      <c r="H24" s="685"/>
      <c r="I24" s="685"/>
      <c r="J24" s="685"/>
      <c r="K24" s="685"/>
      <c r="L24" s="685"/>
      <c r="M24" s="685"/>
      <c r="N24" s="685"/>
      <c r="O24" s="685"/>
      <c r="P24" s="685"/>
      <c r="Q24" s="685"/>
      <c r="R24" s="685"/>
      <c r="S24" s="486"/>
      <c r="T24" s="486"/>
      <c r="U24" s="486"/>
      <c r="V24" s="486"/>
      <c r="W24" s="486"/>
      <c r="X24" s="486"/>
      <c r="Y24" s="486"/>
      <c r="Z24" s="486"/>
      <c r="AA24" s="486"/>
      <c r="AB24" s="486"/>
      <c r="AC24" s="486"/>
      <c r="AD24" s="486"/>
      <c r="AE24" s="486"/>
      <c r="AF24" s="486"/>
    </row>
    <row r="25" spans="1:32">
      <c r="A25" s="684" t="s">
        <v>51</v>
      </c>
      <c r="B25" s="685"/>
      <c r="C25" s="486" t="s">
        <v>1836</v>
      </c>
      <c r="D25" s="486"/>
      <c r="E25" s="486"/>
      <c r="F25" s="486"/>
      <c r="G25" s="486"/>
      <c r="H25" s="685"/>
      <c r="I25" s="685"/>
      <c r="J25" s="685"/>
      <c r="K25" s="685"/>
      <c r="L25" s="685"/>
      <c r="M25" s="685"/>
      <c r="N25" s="685"/>
      <c r="O25" s="685"/>
      <c r="P25" s="685"/>
      <c r="Q25" s="685"/>
      <c r="R25" s="685"/>
      <c r="S25" s="486"/>
      <c r="T25" s="486"/>
      <c r="U25" s="486"/>
      <c r="V25" s="486"/>
      <c r="W25" s="486"/>
      <c r="X25" s="486"/>
      <c r="Y25" s="486"/>
      <c r="Z25" s="486"/>
      <c r="AA25" s="486"/>
      <c r="AB25" s="486"/>
      <c r="AC25" s="486"/>
      <c r="AD25" s="486"/>
      <c r="AE25" s="486"/>
      <c r="AF25" s="486"/>
    </row>
    <row r="26" spans="1:32">
      <c r="A26" s="693" t="s">
        <v>52</v>
      </c>
      <c r="B26" s="486"/>
      <c r="C26" s="486" t="s">
        <v>1889</v>
      </c>
      <c r="D26" s="486"/>
      <c r="E26" s="787"/>
      <c r="F26" s="486"/>
      <c r="G26" s="486"/>
      <c r="H26" s="486"/>
      <c r="I26" s="486"/>
      <c r="J26" s="486"/>
      <c r="K26" s="486"/>
      <c r="L26" s="486"/>
      <c r="M26" s="486"/>
      <c r="N26" s="486"/>
      <c r="O26" s="486"/>
      <c r="P26" s="486"/>
      <c r="Q26" s="483"/>
      <c r="R26" s="483"/>
      <c r="S26" s="486"/>
      <c r="T26" s="486"/>
      <c r="U26" s="486"/>
      <c r="V26" s="486"/>
      <c r="W26" s="486"/>
      <c r="X26" s="486"/>
      <c r="Y26" s="486"/>
      <c r="Z26" s="486"/>
      <c r="AA26" s="486"/>
      <c r="AB26" s="486"/>
      <c r="AC26" s="486"/>
      <c r="AD26" s="486"/>
      <c r="AE26" s="486"/>
      <c r="AF26" s="486"/>
    </row>
    <row r="27" spans="1:32">
      <c r="A27" s="693" t="s">
        <v>53</v>
      </c>
      <c r="B27" s="486"/>
      <c r="C27" s="751" t="s">
        <v>1886</v>
      </c>
      <c r="D27" s="486"/>
      <c r="E27" s="787"/>
      <c r="F27" s="486"/>
      <c r="G27" s="486"/>
      <c r="H27" s="486"/>
      <c r="I27" s="486"/>
      <c r="J27" s="486"/>
      <c r="K27" s="486"/>
      <c r="L27" s="486"/>
      <c r="M27" s="486"/>
      <c r="N27" s="486"/>
      <c r="O27" s="486"/>
      <c r="P27" s="486"/>
      <c r="Q27" s="752"/>
      <c r="R27" s="752"/>
      <c r="S27" s="486"/>
      <c r="T27" s="486"/>
      <c r="U27" s="486"/>
      <c r="V27" s="486"/>
      <c r="W27" s="486"/>
      <c r="X27" s="486"/>
      <c r="Y27" s="486"/>
      <c r="Z27" s="486"/>
      <c r="AA27" s="486"/>
      <c r="AB27" s="486"/>
      <c r="AC27" s="486"/>
      <c r="AD27" s="486"/>
      <c r="AE27" s="486"/>
      <c r="AF27" s="486"/>
    </row>
    <row r="28" spans="1:32">
      <c r="A28" s="694" t="s">
        <v>54</v>
      </c>
      <c r="B28" s="685"/>
      <c r="C28" s="486" t="s">
        <v>1890</v>
      </c>
      <c r="D28" s="686"/>
      <c r="E28" s="788"/>
      <c r="F28" s="685"/>
      <c r="G28" s="685"/>
      <c r="H28" s="685"/>
      <c r="I28" s="685"/>
      <c r="J28" s="685"/>
      <c r="K28" s="685"/>
      <c r="L28" s="685"/>
      <c r="M28" s="685"/>
      <c r="N28" s="685"/>
      <c r="O28" s="685"/>
      <c r="P28" s="685"/>
      <c r="Q28" s="687"/>
      <c r="R28" s="687"/>
      <c r="S28" s="486"/>
      <c r="T28" s="486"/>
      <c r="U28" s="486"/>
      <c r="V28" s="486"/>
      <c r="W28" s="486"/>
      <c r="X28" s="486"/>
      <c r="Y28" s="486"/>
      <c r="Z28" s="486"/>
      <c r="AA28" s="486"/>
      <c r="AB28" s="486"/>
      <c r="AC28" s="486"/>
      <c r="AD28" s="486"/>
      <c r="AE28" s="486"/>
      <c r="AF28" s="486"/>
    </row>
    <row r="29" spans="1:32">
      <c r="A29" s="694"/>
      <c r="B29" s="685"/>
      <c r="C29" s="486"/>
      <c r="D29" s="686"/>
      <c r="E29" s="685"/>
      <c r="F29" s="685"/>
      <c r="G29" s="685"/>
      <c r="H29" s="685"/>
      <c r="I29" s="685"/>
      <c r="J29" s="685"/>
      <c r="K29" s="685"/>
      <c r="L29" s="685"/>
      <c r="M29" s="685"/>
      <c r="N29" s="685"/>
      <c r="O29" s="685"/>
      <c r="P29" s="685"/>
      <c r="Q29" s="687"/>
      <c r="R29" s="687"/>
      <c r="S29" s="486"/>
      <c r="T29" s="486"/>
      <c r="U29" s="486"/>
      <c r="V29" s="486"/>
      <c r="W29" s="486"/>
      <c r="X29" s="486"/>
      <c r="Y29" s="486"/>
      <c r="Z29" s="486"/>
      <c r="AA29" s="486"/>
      <c r="AB29" s="486"/>
      <c r="AC29" s="486"/>
      <c r="AD29" s="486"/>
      <c r="AE29" s="486"/>
      <c r="AF29" s="486"/>
    </row>
    <row r="30" spans="1:32">
      <c r="A30" s="694"/>
      <c r="B30" s="685"/>
      <c r="C30" s="486"/>
      <c r="D30" s="686"/>
      <c r="E30" s="685"/>
      <c r="F30" s="685"/>
      <c r="G30" s="685"/>
      <c r="H30" s="685"/>
      <c r="I30" s="685"/>
      <c r="J30" s="685"/>
      <c r="K30" s="685"/>
      <c r="L30" s="685"/>
      <c r="M30" s="685"/>
      <c r="N30" s="685"/>
      <c r="O30" s="685"/>
      <c r="P30" s="685"/>
      <c r="Q30" s="687"/>
      <c r="R30" s="687"/>
      <c r="S30" s="486"/>
      <c r="T30" s="486"/>
      <c r="U30" s="486"/>
      <c r="V30" s="486"/>
      <c r="W30" s="486"/>
      <c r="X30" s="486"/>
      <c r="Y30" s="486"/>
      <c r="Z30" s="486"/>
      <c r="AA30" s="486"/>
      <c r="AB30" s="486"/>
      <c r="AC30" s="486"/>
      <c r="AD30" s="486"/>
      <c r="AE30" s="486"/>
      <c r="AF30" s="486"/>
    </row>
    <row r="31" spans="1:32">
      <c r="A31" s="694"/>
      <c r="B31" s="685"/>
      <c r="C31" s="486"/>
      <c r="D31" s="686"/>
      <c r="E31" s="685"/>
      <c r="F31" s="685"/>
      <c r="G31" s="685"/>
      <c r="H31" s="685"/>
      <c r="I31" s="685"/>
      <c r="J31" s="685"/>
      <c r="K31" s="685"/>
      <c r="L31" s="685"/>
      <c r="M31" s="685"/>
      <c r="N31" s="685"/>
      <c r="O31" s="685"/>
      <c r="P31" s="685"/>
      <c r="Q31" s="687"/>
      <c r="R31" s="687"/>
      <c r="S31" s="486"/>
      <c r="T31" s="486"/>
      <c r="U31" s="486"/>
      <c r="V31" s="486"/>
      <c r="W31" s="486"/>
      <c r="X31" s="486"/>
      <c r="Y31" s="486"/>
      <c r="Z31" s="486"/>
      <c r="AA31" s="486"/>
      <c r="AB31" s="486"/>
      <c r="AC31" s="486"/>
      <c r="AD31" s="486"/>
      <c r="AE31" s="486"/>
      <c r="AF31" s="486"/>
    </row>
    <row r="32" spans="1:32">
      <c r="A32" s="694"/>
      <c r="B32" s="685"/>
      <c r="C32" s="686"/>
      <c r="D32" s="685"/>
      <c r="E32" s="685"/>
      <c r="F32" s="685"/>
      <c r="G32" s="685"/>
      <c r="H32" s="685"/>
      <c r="I32" s="685"/>
      <c r="J32" s="685"/>
      <c r="K32" s="685"/>
      <c r="L32" s="685"/>
      <c r="M32" s="685"/>
      <c r="N32" s="685"/>
      <c r="O32" s="685"/>
      <c r="P32" s="685"/>
      <c r="Q32" s="687"/>
      <c r="R32" s="687"/>
      <c r="S32" s="486"/>
      <c r="T32" s="486"/>
      <c r="U32" s="486"/>
      <c r="V32" s="486"/>
      <c r="W32" s="486"/>
      <c r="X32" s="486"/>
      <c r="Y32" s="486"/>
      <c r="Z32" s="486"/>
      <c r="AA32" s="486"/>
      <c r="AB32" s="486"/>
      <c r="AC32" s="486"/>
      <c r="AD32" s="486"/>
      <c r="AE32" s="486"/>
      <c r="AF32" s="486"/>
    </row>
    <row r="33" spans="1:32">
      <c r="A33" s="685"/>
      <c r="B33" s="685"/>
      <c r="C33" s="685"/>
      <c r="D33" s="685"/>
      <c r="E33" s="685"/>
      <c r="F33" s="685"/>
      <c r="G33" s="685"/>
      <c r="H33" s="685"/>
      <c r="I33" s="685"/>
      <c r="J33" s="685"/>
      <c r="K33" s="685"/>
      <c r="L33" s="685"/>
      <c r="M33" s="685"/>
      <c r="N33" s="685"/>
      <c r="O33" s="685"/>
      <c r="P33" s="685"/>
      <c r="Q33" s="688"/>
      <c r="R33" s="688"/>
      <c r="S33" s="486"/>
      <c r="T33" s="486"/>
      <c r="U33" s="483"/>
      <c r="V33" s="486"/>
      <c r="W33" s="486"/>
      <c r="X33" s="486"/>
      <c r="Y33" s="486"/>
      <c r="Z33" s="486"/>
      <c r="AA33" s="486"/>
      <c r="AB33" s="486"/>
      <c r="AC33" s="486"/>
      <c r="AD33" s="753"/>
      <c r="AE33" s="486"/>
      <c r="AF33" s="486"/>
    </row>
    <row r="34" spans="1:32">
      <c r="A34" s="486"/>
      <c r="B34" s="486"/>
      <c r="C34" s="486"/>
      <c r="D34" s="486"/>
      <c r="E34" s="486"/>
      <c r="F34" s="486"/>
      <c r="G34" s="486"/>
      <c r="H34" s="486"/>
      <c r="I34" s="486"/>
      <c r="J34" s="486"/>
      <c r="K34" s="486"/>
      <c r="L34" s="486"/>
      <c r="M34" s="486"/>
      <c r="N34" s="486"/>
      <c r="O34" s="486"/>
      <c r="P34" s="486"/>
      <c r="Q34" s="744"/>
      <c r="R34" s="744"/>
      <c r="S34" s="486"/>
      <c r="T34" s="486"/>
      <c r="U34" s="486"/>
      <c r="V34" s="486"/>
      <c r="W34" s="486"/>
      <c r="X34" s="486"/>
      <c r="Y34" s="486"/>
      <c r="Z34" s="486"/>
      <c r="AA34" s="486"/>
      <c r="AB34" s="486"/>
      <c r="AC34" s="486"/>
      <c r="AD34" s="486"/>
      <c r="AE34" s="486"/>
      <c r="AF34" s="486"/>
    </row>
    <row r="35" spans="1:32">
      <c r="A35" s="685"/>
      <c r="B35" s="686"/>
      <c r="C35" s="686"/>
      <c r="D35" s="685"/>
      <c r="E35" s="686"/>
      <c r="F35" s="686"/>
      <c r="G35" s="686"/>
      <c r="H35" s="686"/>
      <c r="I35" s="703"/>
      <c r="J35" s="703"/>
      <c r="K35" s="703"/>
      <c r="L35" s="703"/>
      <c r="M35" s="703"/>
      <c r="N35" s="703"/>
      <c r="O35" s="703"/>
      <c r="P35" s="703"/>
      <c r="Q35" s="695"/>
      <c r="R35" s="695"/>
      <c r="S35" s="486"/>
      <c r="T35" s="486"/>
      <c r="U35" s="483"/>
      <c r="V35" s="486"/>
      <c r="W35" s="486"/>
      <c r="X35" s="486"/>
      <c r="Y35" s="486"/>
      <c r="Z35" s="486"/>
      <c r="AA35" s="486"/>
      <c r="AB35" s="486"/>
      <c r="AC35" s="486"/>
      <c r="AD35" s="486"/>
      <c r="AE35" s="486"/>
      <c r="AF35" s="486"/>
    </row>
    <row r="36" spans="1:32">
      <c r="A36" s="684"/>
      <c r="B36" s="685"/>
      <c r="C36" s="686"/>
      <c r="D36" s="686"/>
      <c r="E36" s="686"/>
      <c r="F36" s="686"/>
      <c r="G36" s="686"/>
      <c r="H36" s="685"/>
      <c r="I36" s="685"/>
      <c r="J36" s="685"/>
      <c r="K36" s="685"/>
      <c r="L36" s="685"/>
      <c r="M36" s="685"/>
      <c r="N36" s="685"/>
      <c r="O36" s="685"/>
      <c r="P36" s="685"/>
      <c r="Q36" s="687"/>
      <c r="R36" s="687"/>
      <c r="S36" s="486"/>
      <c r="T36" s="486"/>
      <c r="U36" s="486"/>
      <c r="V36" s="486"/>
      <c r="W36" s="486"/>
      <c r="X36" s="486"/>
      <c r="Y36" s="486"/>
      <c r="Z36" s="751"/>
      <c r="AA36" s="486"/>
      <c r="AB36" s="486"/>
      <c r="AC36" s="486"/>
      <c r="AD36" s="483"/>
      <c r="AE36" s="486"/>
      <c r="AF36" s="486"/>
    </row>
    <row r="37" spans="1:32">
      <c r="A37" s="685"/>
      <c r="B37" s="685"/>
      <c r="C37" s="686"/>
      <c r="D37" s="686"/>
      <c r="E37" s="686"/>
      <c r="F37" s="686"/>
      <c r="G37" s="686"/>
      <c r="H37" s="685"/>
      <c r="I37" s="688"/>
      <c r="J37" s="688"/>
      <c r="K37" s="696"/>
      <c r="L37" s="696"/>
      <c r="M37" s="688"/>
      <c r="N37" s="688"/>
      <c r="O37" s="688"/>
      <c r="P37" s="688"/>
      <c r="Q37" s="688"/>
      <c r="R37" s="688"/>
      <c r="S37" s="486"/>
      <c r="T37" s="486"/>
      <c r="U37" s="483"/>
      <c r="V37" s="486"/>
      <c r="W37" s="486"/>
      <c r="X37" s="486"/>
      <c r="Y37" s="486"/>
      <c r="Z37" s="751"/>
      <c r="AA37" s="486"/>
      <c r="AB37" s="486"/>
      <c r="AC37" s="486"/>
      <c r="AD37" s="483"/>
      <c r="AE37" s="486"/>
      <c r="AF37" s="486"/>
    </row>
    <row r="38" spans="1:32">
      <c r="A38" s="685"/>
      <c r="B38" s="685"/>
      <c r="C38" s="686"/>
      <c r="D38" s="686"/>
      <c r="E38" s="686"/>
      <c r="F38" s="686"/>
      <c r="G38" s="686"/>
      <c r="H38" s="685"/>
      <c r="I38" s="688"/>
      <c r="J38" s="688"/>
      <c r="K38" s="696"/>
      <c r="L38" s="696"/>
      <c r="M38" s="688"/>
      <c r="N38" s="688"/>
      <c r="O38" s="688"/>
      <c r="P38" s="688"/>
      <c r="Q38" s="688"/>
      <c r="R38" s="688"/>
      <c r="S38" s="486"/>
      <c r="T38" s="486"/>
      <c r="U38" s="486"/>
      <c r="V38" s="486"/>
      <c r="W38" s="486"/>
      <c r="X38" s="486"/>
      <c r="Y38" s="486"/>
      <c r="Z38" s="751"/>
      <c r="AA38" s="486"/>
      <c r="AB38" s="486"/>
      <c r="AC38" s="486"/>
      <c r="AD38" s="483"/>
      <c r="AE38" s="486"/>
      <c r="AF38" s="486"/>
    </row>
    <row r="39" spans="1:32">
      <c r="A39" s="685"/>
      <c r="B39" s="685"/>
      <c r="C39" s="685"/>
      <c r="D39" s="685"/>
      <c r="E39" s="685"/>
      <c r="F39" s="685"/>
      <c r="G39" s="685"/>
      <c r="H39" s="685"/>
      <c r="I39" s="685"/>
      <c r="J39" s="685"/>
      <c r="K39" s="685"/>
      <c r="L39" s="685"/>
      <c r="M39" s="685"/>
      <c r="N39" s="685"/>
      <c r="O39" s="685"/>
      <c r="P39" s="685"/>
      <c r="Q39" s="685"/>
      <c r="R39" s="685"/>
      <c r="S39" s="486"/>
      <c r="T39" s="486"/>
      <c r="U39" s="483"/>
      <c r="V39" s="486"/>
      <c r="W39" s="486"/>
      <c r="X39" s="486"/>
      <c r="Y39" s="486"/>
      <c r="Z39" s="486"/>
      <c r="AA39" s="486"/>
      <c r="AB39" s="486"/>
      <c r="AC39" s="486"/>
      <c r="AD39" s="486"/>
      <c r="AE39" s="486"/>
      <c r="AF39" s="486"/>
    </row>
    <row r="40" spans="1:32">
      <c r="A40" s="697"/>
      <c r="B40" s="486"/>
      <c r="C40" s="698"/>
      <c r="D40" s="697"/>
      <c r="E40" s="697"/>
      <c r="F40" s="697"/>
      <c r="G40" s="697"/>
      <c r="H40" s="697"/>
      <c r="I40" s="697"/>
      <c r="J40" s="697"/>
      <c r="K40" s="697"/>
      <c r="L40" s="697"/>
      <c r="M40" s="697"/>
      <c r="N40" s="697"/>
      <c r="O40" s="699"/>
      <c r="P40" s="700"/>
      <c r="Q40" s="699"/>
      <c r="R40" s="699"/>
      <c r="S40" s="486"/>
      <c r="T40" s="486"/>
      <c r="U40" s="486"/>
      <c r="V40" s="486"/>
      <c r="W40" s="486"/>
      <c r="X40" s="486"/>
      <c r="Y40" s="486"/>
      <c r="Z40" s="486"/>
      <c r="AA40" s="486"/>
      <c r="AB40" s="486"/>
      <c r="AC40" s="486"/>
      <c r="AD40" s="486"/>
      <c r="AE40" s="486"/>
      <c r="AF40" s="486"/>
    </row>
    <row r="41" spans="1:32">
      <c r="A41" s="486"/>
      <c r="B41" s="486"/>
      <c r="C41" s="486"/>
      <c r="D41" s="486"/>
      <c r="E41" s="486"/>
      <c r="F41" s="486"/>
      <c r="G41" s="486"/>
      <c r="H41" s="486"/>
      <c r="I41" s="486"/>
      <c r="J41" s="486"/>
      <c r="K41" s="486"/>
      <c r="L41" s="486"/>
      <c r="M41" s="486"/>
      <c r="N41" s="486"/>
      <c r="O41" s="486"/>
      <c r="P41" s="486"/>
      <c r="Q41" s="486"/>
      <c r="R41" s="486"/>
      <c r="S41" s="486"/>
      <c r="T41" s="486"/>
      <c r="U41" s="483"/>
      <c r="V41" s="486"/>
      <c r="W41" s="486"/>
      <c r="X41" s="486"/>
      <c r="Y41" s="486"/>
      <c r="Z41" s="486"/>
      <c r="AA41" s="486"/>
      <c r="AB41" s="486"/>
      <c r="AC41" s="486"/>
      <c r="AD41" s="486"/>
      <c r="AE41" s="486"/>
      <c r="AF41" s="486"/>
    </row>
    <row r="42" spans="1:32">
      <c r="A42" s="486"/>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row>
    <row r="43" spans="1:32">
      <c r="A43" s="486"/>
      <c r="B43" s="486"/>
      <c r="C43" s="486"/>
      <c r="D43" s="486"/>
      <c r="E43" s="486"/>
      <c r="F43" s="486"/>
      <c r="G43" s="486"/>
      <c r="H43" s="486"/>
      <c r="I43" s="486"/>
      <c r="J43" s="486"/>
      <c r="K43" s="486"/>
      <c r="L43" s="486"/>
      <c r="M43" s="486"/>
      <c r="N43" s="486"/>
      <c r="O43" s="486"/>
      <c r="P43" s="486"/>
      <c r="Q43" s="486"/>
      <c r="R43" s="486"/>
      <c r="S43" s="486"/>
      <c r="T43" s="486"/>
      <c r="U43" s="754"/>
      <c r="V43" s="486"/>
      <c r="W43" s="486"/>
      <c r="X43" s="486"/>
      <c r="Y43" s="486"/>
      <c r="Z43" s="486"/>
      <c r="AA43" s="486"/>
      <c r="AB43" s="486"/>
      <c r="AC43" s="486"/>
      <c r="AD43" s="486"/>
      <c r="AE43" s="486"/>
      <c r="AF43" s="486"/>
    </row>
    <row r="44" spans="1:32">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row>
    <row r="45" spans="1:32">
      <c r="A45" s="486"/>
      <c r="B45" s="486"/>
      <c r="C45" s="486"/>
      <c r="D45" s="486"/>
      <c r="E45" s="486"/>
      <c r="F45" s="486"/>
      <c r="G45" s="486"/>
      <c r="H45" s="486"/>
      <c r="I45" s="486"/>
      <c r="J45" s="486"/>
      <c r="K45" s="486"/>
      <c r="L45" s="486"/>
      <c r="M45" s="486"/>
      <c r="N45" s="486"/>
      <c r="O45" s="486"/>
      <c r="P45" s="486"/>
      <c r="Q45" s="486"/>
      <c r="R45" s="486"/>
      <c r="S45" s="486"/>
      <c r="T45" s="486"/>
      <c r="U45" s="483"/>
      <c r="V45" s="486"/>
      <c r="W45" s="486"/>
      <c r="X45" s="486"/>
      <c r="Y45" s="486"/>
      <c r="Z45" s="486"/>
      <c r="AA45" s="486"/>
      <c r="AB45" s="486"/>
      <c r="AC45" s="486"/>
      <c r="AD45" s="486"/>
      <c r="AE45" s="486"/>
      <c r="AF45" s="486"/>
    </row>
    <row r="46" spans="1:32">
      <c r="A46" s="486"/>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row>
    <row r="47" spans="1:32">
      <c r="A47" s="486"/>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row>
    <row r="48" spans="1:32">
      <c r="A48" s="486"/>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row>
    <row r="49" spans="1:32">
      <c r="A49" s="486"/>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row>
    <row r="50" spans="1:32">
      <c r="A50" s="486"/>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row>
    <row r="51" spans="1:32">
      <c r="A51" s="486"/>
      <c r="B51" s="486"/>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row>
    <row r="52" spans="1:32">
      <c r="A52" s="486"/>
      <c r="B52" s="486"/>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row>
    <row r="61" spans="1:32">
      <c r="U61" s="741"/>
    </row>
    <row r="63" spans="1:32">
      <c r="U63" s="483"/>
    </row>
    <row r="65" spans="21:23">
      <c r="U65" s="741"/>
    </row>
    <row r="67" spans="21:23">
      <c r="U67" s="741"/>
    </row>
    <row r="69" spans="21:23">
      <c r="U69" s="741"/>
      <c r="W69" s="754"/>
    </row>
    <row r="70" spans="21:23">
      <c r="W70" s="754"/>
    </row>
  </sheetData>
  <mergeCells count="5">
    <mergeCell ref="K8:O8"/>
    <mergeCell ref="K9:O9"/>
    <mergeCell ref="C4:Q4"/>
    <mergeCell ref="C6:Q6"/>
    <mergeCell ref="C5:Q5"/>
  </mergeCells>
  <pageMargins left="0.7" right="0.7" top="0.75" bottom="0.75" header="0.3" footer="0.3"/>
  <pageSetup orientation="landscape" useFirstPageNumber="1" r:id="rId1"/>
  <headerFooter scaleWithDoc="0">
    <oddHeader>&amp;RDEU Exhibit 2.24R
Page &amp;P of 1</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P48"/>
  <sheetViews>
    <sheetView view="pageBreakPreview" zoomScale="85" zoomScaleNormal="85" zoomScaleSheetLayoutView="85" workbookViewId="0"/>
  </sheetViews>
  <sheetFormatPr defaultColWidth="8.375" defaultRowHeight="12.75"/>
  <cols>
    <col min="1" max="1" width="2.25" style="157" customWidth="1"/>
    <col min="2" max="2" width="38" style="157" customWidth="1"/>
    <col min="3" max="3" width="10.375" style="157" bestFit="1" customWidth="1"/>
    <col min="4" max="5" width="12.625" style="157" customWidth="1"/>
    <col min="6" max="6" width="11.625" style="157" bestFit="1" customWidth="1"/>
    <col min="7" max="7" width="2.25" style="157" customWidth="1"/>
    <col min="8" max="16" width="9.875" style="157" bestFit="1" customWidth="1"/>
    <col min="17" max="16384" width="8.375" style="157"/>
  </cols>
  <sheetData>
    <row r="1" spans="1:16">
      <c r="A1" s="160"/>
      <c r="B1" s="219"/>
      <c r="C1" s="160"/>
      <c r="D1" s="160"/>
      <c r="E1" s="158"/>
      <c r="F1" s="158"/>
      <c r="G1" s="160"/>
    </row>
    <row r="2" spans="1:16">
      <c r="A2" s="160"/>
      <c r="B2" s="205" t="s">
        <v>1165</v>
      </c>
      <c r="C2" s="205"/>
      <c r="D2" s="205"/>
      <c r="E2" s="217"/>
      <c r="F2" s="217"/>
      <c r="G2" s="160"/>
    </row>
    <row r="3" spans="1:16">
      <c r="A3" s="160"/>
      <c r="B3" s="205"/>
      <c r="C3" s="205"/>
      <c r="D3" s="205"/>
      <c r="E3" s="218"/>
      <c r="F3" s="217"/>
      <c r="G3" s="160"/>
    </row>
    <row r="4" spans="1:16">
      <c r="A4" s="203"/>
      <c r="B4" s="203"/>
      <c r="C4" s="203"/>
      <c r="D4" s="182" t="s">
        <v>50</v>
      </c>
      <c r="E4" s="182" t="s">
        <v>51</v>
      </c>
      <c r="F4" s="203"/>
      <c r="G4" s="203"/>
    </row>
    <row r="5" spans="1:16">
      <c r="A5" s="203"/>
      <c r="B5" s="203"/>
      <c r="C5" s="203"/>
      <c r="D5" s="181" t="s">
        <v>1159</v>
      </c>
      <c r="E5" s="181" t="s">
        <v>1164</v>
      </c>
      <c r="F5" s="203"/>
      <c r="G5" s="203"/>
    </row>
    <row r="6" spans="1:16">
      <c r="A6" s="213"/>
      <c r="B6" s="161" t="s">
        <v>1163</v>
      </c>
      <c r="C6" s="160"/>
      <c r="D6" s="216">
        <f>478004/1000000</f>
        <v>0.47800399999999998</v>
      </c>
      <c r="E6" s="215">
        <f>(0.516882*1099443275)/1000000</f>
        <v>568.28243886854989</v>
      </c>
      <c r="F6" s="214"/>
      <c r="G6" s="213"/>
    </row>
    <row r="7" spans="1:16">
      <c r="A7" s="160"/>
      <c r="B7" s="160" t="s">
        <v>1162</v>
      </c>
      <c r="C7" s="160"/>
      <c r="D7" s="212"/>
      <c r="E7" s="211">
        <f>F20</f>
        <v>2.126865</v>
      </c>
      <c r="F7" s="210"/>
      <c r="G7" s="160"/>
    </row>
    <row r="8" spans="1:16">
      <c r="A8" s="207"/>
      <c r="B8" s="198" t="s">
        <v>1161</v>
      </c>
      <c r="C8" s="167"/>
      <c r="D8" s="209"/>
      <c r="E8" s="187">
        <f>E6*E7</f>
        <v>1208.6600293441584</v>
      </c>
      <c r="F8" s="208"/>
      <c r="G8" s="207"/>
      <c r="H8" s="206"/>
    </row>
    <row r="9" spans="1:16">
      <c r="A9" s="203"/>
      <c r="C9" s="205"/>
      <c r="D9" s="205"/>
      <c r="E9" s="205"/>
      <c r="F9" s="205"/>
      <c r="G9" s="203"/>
    </row>
    <row r="10" spans="1:16">
      <c r="A10" s="203"/>
      <c r="B10" s="204"/>
      <c r="C10" s="182"/>
      <c r="D10" s="182" t="s">
        <v>52</v>
      </c>
      <c r="E10" s="182" t="s">
        <v>53</v>
      </c>
      <c r="F10" s="182" t="s">
        <v>54</v>
      </c>
      <c r="G10" s="203"/>
    </row>
    <row r="11" spans="1:16" ht="25.5">
      <c r="A11" s="200"/>
      <c r="B11" s="202" t="s">
        <v>1160</v>
      </c>
      <c r="C11" s="181" t="s">
        <v>0</v>
      </c>
      <c r="D11" s="181" t="s">
        <v>1159</v>
      </c>
      <c r="E11" s="201" t="s">
        <v>1158</v>
      </c>
      <c r="F11" s="220" t="s">
        <v>1157</v>
      </c>
      <c r="G11" s="200"/>
    </row>
    <row r="12" spans="1:16">
      <c r="A12" s="195"/>
      <c r="B12" s="161" t="s">
        <v>33</v>
      </c>
      <c r="C12" s="200" t="s">
        <v>34</v>
      </c>
      <c r="D12" s="199">
        <v>3.2563360000000001</v>
      </c>
      <c r="E12" s="192">
        <v>11305.484586666667</v>
      </c>
      <c r="F12" s="191">
        <v>2.1758599999999997</v>
      </c>
      <c r="G12" s="195"/>
    </row>
    <row r="13" spans="1:16">
      <c r="A13" s="195"/>
      <c r="B13" s="161" t="s">
        <v>35</v>
      </c>
      <c r="C13" s="200" t="s">
        <v>32</v>
      </c>
      <c r="D13" s="199">
        <v>0.15353700000000001</v>
      </c>
      <c r="E13" s="192">
        <v>1456.5948066666667</v>
      </c>
      <c r="F13" s="191">
        <v>2.7184833333333334</v>
      </c>
      <c r="G13" s="195"/>
    </row>
    <row r="14" spans="1:16">
      <c r="A14" s="195"/>
      <c r="B14" s="161" t="s">
        <v>36</v>
      </c>
      <c r="C14" s="200" t="s">
        <v>37</v>
      </c>
      <c r="D14" s="199">
        <v>1.077375</v>
      </c>
      <c r="E14" s="192">
        <v>4180.5020733333331</v>
      </c>
      <c r="F14" s="191">
        <v>2.8681466666666675</v>
      </c>
      <c r="G14" s="195"/>
    </row>
    <row r="15" spans="1:16">
      <c r="A15" s="195"/>
      <c r="B15" s="161" t="s">
        <v>38</v>
      </c>
      <c r="C15" s="200" t="s">
        <v>39</v>
      </c>
      <c r="D15" s="199">
        <v>0.73787400000000003</v>
      </c>
      <c r="E15" s="192">
        <v>1798.5133066666667</v>
      </c>
      <c r="F15" s="191">
        <v>2.3653733333333333</v>
      </c>
      <c r="G15" s="192"/>
    </row>
    <row r="16" spans="1:16">
      <c r="A16" s="195"/>
      <c r="B16" s="161" t="s">
        <v>40</v>
      </c>
      <c r="C16" s="200" t="s">
        <v>46</v>
      </c>
      <c r="D16" s="199">
        <v>2.1789999999999998</v>
      </c>
      <c r="E16" s="192">
        <v>4365.4418400000004</v>
      </c>
      <c r="F16" s="191">
        <v>2.0778700000000003</v>
      </c>
      <c r="G16" s="195"/>
      <c r="K16" s="194"/>
      <c r="L16" s="194"/>
      <c r="M16" s="194"/>
      <c r="N16" s="194"/>
      <c r="O16" s="194"/>
      <c r="P16" s="194"/>
    </row>
    <row r="17" spans="1:16">
      <c r="A17" s="195"/>
      <c r="B17" s="161" t="s">
        <v>48</v>
      </c>
      <c r="C17" s="200" t="s">
        <v>41</v>
      </c>
      <c r="D17" s="199">
        <v>0.383633</v>
      </c>
      <c r="E17" s="192">
        <v>2793.3113233333333</v>
      </c>
      <c r="F17" s="191">
        <v>1.9992966666666667</v>
      </c>
      <c r="G17" s="195"/>
      <c r="K17" s="194"/>
      <c r="L17" s="194"/>
      <c r="M17" s="194"/>
      <c r="N17" s="194"/>
      <c r="O17" s="194"/>
      <c r="P17" s="194"/>
    </row>
    <row r="18" spans="1:16">
      <c r="A18" s="195"/>
      <c r="B18" s="161" t="s">
        <v>42</v>
      </c>
      <c r="C18" s="200" t="s">
        <v>43</v>
      </c>
      <c r="D18" s="199">
        <v>2.014656</v>
      </c>
      <c r="E18" s="192">
        <v>4199.836760000002</v>
      </c>
      <c r="F18" s="191">
        <v>1.9553766666666665</v>
      </c>
      <c r="G18" s="195"/>
      <c r="K18" s="194"/>
      <c r="L18" s="194"/>
      <c r="M18" s="194"/>
      <c r="N18" s="194"/>
      <c r="O18" s="194"/>
      <c r="P18" s="194"/>
    </row>
    <row r="19" spans="1:16">
      <c r="A19" s="195"/>
      <c r="B19" s="198" t="s">
        <v>44</v>
      </c>
      <c r="C19" s="197" t="s">
        <v>45</v>
      </c>
      <c r="D19" s="196">
        <v>1.6928259999999999</v>
      </c>
      <c r="E19" s="187">
        <v>3933.4535766666672</v>
      </c>
      <c r="F19" s="186">
        <v>1.6877966666666666</v>
      </c>
      <c r="G19" s="195"/>
      <c r="K19" s="194"/>
      <c r="L19" s="194"/>
      <c r="M19" s="194"/>
      <c r="N19" s="194"/>
      <c r="O19" s="194"/>
      <c r="P19" s="194"/>
    </row>
    <row r="20" spans="1:16">
      <c r="A20" s="190"/>
      <c r="B20" s="160" t="s">
        <v>1156</v>
      </c>
      <c r="C20" s="160"/>
      <c r="D20" s="193">
        <f>MEDIAN(D12:D19)</f>
        <v>1.3851005000000001</v>
      </c>
      <c r="E20" s="192">
        <f>MEDIAN(E12:E19)</f>
        <v>4056.9778249999999</v>
      </c>
      <c r="F20" s="191">
        <f>MEDIAN(F12:F19)</f>
        <v>2.126865</v>
      </c>
      <c r="G20" s="190"/>
      <c r="I20" s="189"/>
    </row>
    <row r="21" spans="1:16">
      <c r="A21" s="185"/>
      <c r="B21" s="167" t="s">
        <v>1155</v>
      </c>
      <c r="C21" s="167"/>
      <c r="D21" s="188">
        <f>AVERAGE(D12:D19)</f>
        <v>1.4369046249999999</v>
      </c>
      <c r="E21" s="187">
        <f>AVERAGE(E12:E19)</f>
        <v>4254.1422841666672</v>
      </c>
      <c r="F21" s="186">
        <f>AVERAGE(F12:F19)</f>
        <v>2.2310254166666668</v>
      </c>
      <c r="G21" s="185"/>
    </row>
    <row r="22" spans="1:16">
      <c r="A22" s="158"/>
      <c r="B22" s="160"/>
      <c r="C22" s="160"/>
      <c r="D22" s="160"/>
      <c r="E22" s="159"/>
      <c r="F22" s="159"/>
      <c r="G22" s="158"/>
    </row>
    <row r="23" spans="1:16">
      <c r="A23" s="158"/>
      <c r="B23" s="160"/>
      <c r="C23" s="160"/>
      <c r="D23" s="160"/>
      <c r="E23" s="159"/>
      <c r="F23" s="159"/>
      <c r="G23" s="158"/>
    </row>
    <row r="24" spans="1:16">
      <c r="A24" s="158"/>
      <c r="B24" s="160"/>
      <c r="C24" s="167"/>
      <c r="D24" s="167"/>
      <c r="E24" s="184"/>
      <c r="F24" s="184"/>
      <c r="G24" s="158"/>
    </row>
    <row r="25" spans="1:16">
      <c r="A25" s="160"/>
      <c r="C25" s="183" t="s">
        <v>1154</v>
      </c>
      <c r="D25" s="183"/>
      <c r="E25" s="183"/>
      <c r="F25" s="183"/>
      <c r="G25" s="160"/>
    </row>
    <row r="26" spans="1:16">
      <c r="A26" s="160"/>
      <c r="C26" s="183"/>
      <c r="D26" s="183"/>
      <c r="E26" s="183"/>
      <c r="F26" s="183"/>
      <c r="G26" s="160"/>
    </row>
    <row r="27" spans="1:16">
      <c r="A27" s="180"/>
      <c r="C27" s="182" t="s">
        <v>1153</v>
      </c>
      <c r="D27" s="181" t="s">
        <v>1152</v>
      </c>
      <c r="E27" s="181" t="s">
        <v>1151</v>
      </c>
      <c r="F27" s="181" t="s">
        <v>1150</v>
      </c>
      <c r="G27" s="180"/>
    </row>
    <row r="28" spans="1:16">
      <c r="A28" s="160"/>
      <c r="C28" s="178">
        <v>2</v>
      </c>
      <c r="D28" s="158">
        <v>12067.589</v>
      </c>
      <c r="E28" s="158">
        <v>25096.258000000002</v>
      </c>
      <c r="F28" s="177">
        <v>5.5999999999999999E-3</v>
      </c>
      <c r="G28" s="160"/>
      <c r="H28" s="179"/>
    </row>
    <row r="29" spans="1:16">
      <c r="A29" s="160"/>
      <c r="C29" s="178">
        <v>3</v>
      </c>
      <c r="D29" s="158">
        <v>6557.5190000000002</v>
      </c>
      <c r="E29" s="158">
        <v>11978.971</v>
      </c>
      <c r="F29" s="177">
        <v>8.6999999999999994E-3</v>
      </c>
      <c r="G29" s="160"/>
    </row>
    <row r="30" spans="1:16">
      <c r="A30" s="160"/>
      <c r="C30" s="178">
        <v>4</v>
      </c>
      <c r="D30" s="158">
        <v>4097.96</v>
      </c>
      <c r="E30" s="158">
        <v>6545.5479999999998</v>
      </c>
      <c r="F30" s="177">
        <v>8.9999999999999993E-3</v>
      </c>
      <c r="G30" s="160"/>
    </row>
    <row r="31" spans="1:16">
      <c r="A31" s="160"/>
      <c r="C31" s="178">
        <v>5</v>
      </c>
      <c r="D31" s="158">
        <v>2763.7190000000001</v>
      </c>
      <c r="E31" s="158">
        <v>4091.971</v>
      </c>
      <c r="F31" s="177">
        <v>1.38E-2</v>
      </c>
      <c r="G31" s="160"/>
    </row>
    <row r="32" spans="1:16">
      <c r="A32" s="160"/>
      <c r="C32" s="178">
        <v>6</v>
      </c>
      <c r="D32" s="158">
        <v>1815.68</v>
      </c>
      <c r="E32" s="158">
        <v>2759.9389999999999</v>
      </c>
      <c r="F32" s="177">
        <v>1.6E-2</v>
      </c>
      <c r="G32" s="160"/>
    </row>
    <row r="33" spans="1:9">
      <c r="A33" s="160"/>
      <c r="C33" s="178">
        <v>7</v>
      </c>
      <c r="D33" s="158">
        <v>1175.3689999999999</v>
      </c>
      <c r="E33" s="158">
        <v>1814.568</v>
      </c>
      <c r="F33" s="177">
        <v>1.5800000000000002E-2</v>
      </c>
      <c r="G33" s="160"/>
    </row>
    <row r="34" spans="1:9">
      <c r="A34" s="160"/>
      <c r="C34" s="178">
        <v>8</v>
      </c>
      <c r="D34" s="158">
        <v>657.70500000000004</v>
      </c>
      <c r="E34" s="158">
        <v>1170.0630000000001</v>
      </c>
      <c r="F34" s="177">
        <v>1.8800000000000001E-2</v>
      </c>
      <c r="G34" s="160"/>
    </row>
    <row r="35" spans="1:9">
      <c r="A35" s="160"/>
      <c r="C35" s="178">
        <v>9</v>
      </c>
      <c r="D35" s="158">
        <v>299.39999999999998</v>
      </c>
      <c r="E35" s="158">
        <v>656.84500000000003</v>
      </c>
      <c r="F35" s="177">
        <v>2.5000000000000001E-2</v>
      </c>
      <c r="G35" s="160"/>
    </row>
    <row r="36" spans="1:9">
      <c r="A36" s="160"/>
      <c r="C36" s="176">
        <v>10</v>
      </c>
      <c r="D36" s="175">
        <v>2.5310000000000001</v>
      </c>
      <c r="E36" s="175">
        <v>299.29000000000002</v>
      </c>
      <c r="F36" s="174">
        <v>5.3699999999999998E-2</v>
      </c>
      <c r="G36" s="160"/>
    </row>
    <row r="37" spans="1:9">
      <c r="A37" s="160"/>
      <c r="C37" s="173"/>
      <c r="D37" s="169"/>
      <c r="E37" s="169"/>
      <c r="F37" s="168"/>
      <c r="G37" s="160"/>
    </row>
    <row r="38" spans="1:9">
      <c r="A38" s="160"/>
      <c r="C38" s="172" t="s">
        <v>75</v>
      </c>
      <c r="D38" s="169"/>
      <c r="E38" s="169">
        <f>E20</f>
        <v>4056.9778249999999</v>
      </c>
      <c r="F38" s="168">
        <f>F31</f>
        <v>1.38E-2</v>
      </c>
      <c r="G38" s="160"/>
    </row>
    <row r="39" spans="1:9">
      <c r="A39" s="160"/>
      <c r="C39" s="171" t="s">
        <v>1149</v>
      </c>
      <c r="D39" s="169"/>
      <c r="E39" s="169">
        <f>E8</f>
        <v>1208.6600293441584</v>
      </c>
      <c r="F39" s="168">
        <f>F33</f>
        <v>1.5800000000000002E-2</v>
      </c>
      <c r="G39" s="160"/>
      <c r="I39" s="157">
        <f>E39/E38</f>
        <v>0.29792128068734475</v>
      </c>
    </row>
    <row r="40" spans="1:9">
      <c r="A40" s="160"/>
      <c r="C40" s="170" t="s">
        <v>1148</v>
      </c>
      <c r="D40" s="169"/>
      <c r="E40" s="169"/>
      <c r="F40" s="168">
        <f>F39-F38</f>
        <v>2.0000000000000018E-3</v>
      </c>
      <c r="G40" s="160"/>
    </row>
    <row r="41" spans="1:9">
      <c r="A41" s="160"/>
      <c r="B41" s="160"/>
      <c r="C41" s="160"/>
      <c r="D41" s="160"/>
      <c r="E41" s="160"/>
      <c r="F41" s="160"/>
      <c r="G41" s="160"/>
    </row>
    <row r="42" spans="1:9">
      <c r="A42" s="160"/>
      <c r="B42" s="167" t="s">
        <v>76</v>
      </c>
      <c r="C42" s="160"/>
      <c r="D42" s="160"/>
      <c r="E42" s="160"/>
      <c r="F42" s="160"/>
      <c r="G42" s="160"/>
    </row>
    <row r="43" spans="1:9">
      <c r="A43" s="160"/>
      <c r="B43" s="166" t="s">
        <v>1147</v>
      </c>
      <c r="C43" s="165"/>
      <c r="D43" s="165"/>
      <c r="E43" s="165"/>
      <c r="F43" s="165"/>
      <c r="G43" s="165"/>
    </row>
    <row r="44" spans="1:9" ht="26.25" customHeight="1">
      <c r="A44" s="160"/>
      <c r="B44" s="852" t="s">
        <v>1146</v>
      </c>
      <c r="C44" s="852"/>
      <c r="D44" s="852"/>
      <c r="E44" s="852"/>
      <c r="F44" s="852"/>
      <c r="G44" s="852"/>
    </row>
    <row r="45" spans="1:9">
      <c r="A45" s="164"/>
      <c r="B45" s="163" t="s">
        <v>1145</v>
      </c>
      <c r="C45" s="160"/>
      <c r="D45" s="160"/>
      <c r="E45" s="160"/>
      <c r="F45" s="160"/>
      <c r="G45" s="164"/>
    </row>
    <row r="46" spans="1:9">
      <c r="A46" s="160"/>
      <c r="B46" s="163" t="s">
        <v>1144</v>
      </c>
      <c r="C46" s="160"/>
      <c r="D46" s="160"/>
      <c r="E46" s="160"/>
      <c r="F46" s="160"/>
      <c r="G46" s="160"/>
    </row>
    <row r="47" spans="1:9">
      <c r="A47" s="160"/>
      <c r="B47" s="163" t="s">
        <v>1143</v>
      </c>
      <c r="C47" s="160"/>
      <c r="D47" s="160"/>
      <c r="E47" s="160"/>
      <c r="F47" s="160"/>
      <c r="G47" s="160"/>
    </row>
    <row r="48" spans="1:9">
      <c r="A48" s="158"/>
      <c r="B48" s="162" t="s">
        <v>1142</v>
      </c>
      <c r="C48" s="161"/>
      <c r="D48" s="160"/>
      <c r="E48" s="159"/>
      <c r="F48" s="159"/>
      <c r="G48" s="158"/>
    </row>
  </sheetData>
  <mergeCells count="1">
    <mergeCell ref="B44:G44"/>
  </mergeCells>
  <printOptions horizontalCentered="1"/>
  <pageMargins left="0.7" right="0.7" top="0.75" bottom="0.75" header="0.3" footer="0.3"/>
  <pageSetup scale="92"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U34"/>
  <sheetViews>
    <sheetView view="pageLayout" zoomScale="85" zoomScaleNormal="70" zoomScaleSheetLayoutView="85" zoomScalePageLayoutView="85" workbookViewId="0"/>
  </sheetViews>
  <sheetFormatPr defaultColWidth="8.375" defaultRowHeight="12.75"/>
  <cols>
    <col min="1" max="1" width="1.625" style="124" customWidth="1"/>
    <col min="2" max="2" width="31.875" style="124" customWidth="1"/>
    <col min="3" max="3" width="8.375" style="124"/>
    <col min="4" max="8" width="9.875" style="124" customWidth="1"/>
    <col min="9" max="9" width="9.375" style="124" customWidth="1"/>
    <col min="10" max="12" width="9.875" style="124" customWidth="1"/>
    <col min="13" max="15" width="9.375" style="124" customWidth="1"/>
    <col min="16" max="16" width="9.875" style="124" customWidth="1"/>
    <col min="17" max="21" width="9.375" style="124" customWidth="1"/>
    <col min="22" max="22" width="1.625" style="124" customWidth="1"/>
    <col min="23" max="16384" width="8.375" style="124"/>
  </cols>
  <sheetData>
    <row r="2" spans="2:21">
      <c r="B2" s="123" t="s">
        <v>69</v>
      </c>
      <c r="C2" s="123"/>
      <c r="D2" s="123"/>
      <c r="E2" s="123"/>
      <c r="F2" s="123"/>
      <c r="G2" s="123"/>
      <c r="H2" s="123"/>
      <c r="I2" s="123"/>
      <c r="J2" s="123"/>
      <c r="K2" s="123"/>
      <c r="L2" s="123"/>
      <c r="M2" s="123"/>
      <c r="N2" s="123"/>
      <c r="O2" s="123"/>
      <c r="P2" s="123"/>
      <c r="Q2" s="123"/>
      <c r="R2" s="123"/>
      <c r="S2" s="123"/>
      <c r="T2" s="123"/>
      <c r="U2" s="123"/>
    </row>
    <row r="4" spans="2:21">
      <c r="B4" s="125"/>
      <c r="C4" s="125"/>
      <c r="D4" s="126" t="s">
        <v>50</v>
      </c>
      <c r="E4" s="126" t="s">
        <v>51</v>
      </c>
      <c r="F4" s="126" t="s">
        <v>52</v>
      </c>
      <c r="G4" s="126" t="s">
        <v>53</v>
      </c>
      <c r="H4" s="126" t="s">
        <v>54</v>
      </c>
      <c r="I4" s="126" t="s">
        <v>55</v>
      </c>
      <c r="J4" s="126" t="s">
        <v>56</v>
      </c>
      <c r="K4" s="126" t="s">
        <v>57</v>
      </c>
      <c r="L4" s="126" t="s">
        <v>58</v>
      </c>
      <c r="M4" s="126" t="s">
        <v>59</v>
      </c>
      <c r="N4" s="126" t="s">
        <v>60</v>
      </c>
      <c r="O4" s="126" t="s">
        <v>61</v>
      </c>
      <c r="P4" s="126" t="s">
        <v>87</v>
      </c>
      <c r="Q4" s="126" t="s">
        <v>88</v>
      </c>
      <c r="R4" s="126" t="s">
        <v>89</v>
      </c>
      <c r="S4" s="126" t="s">
        <v>90</v>
      </c>
      <c r="T4" s="126" t="s">
        <v>91</v>
      </c>
      <c r="U4" s="126" t="s">
        <v>92</v>
      </c>
    </row>
    <row r="5" spans="2:21" ht="63.75">
      <c r="B5" s="126" t="s">
        <v>1</v>
      </c>
      <c r="C5" s="126" t="s">
        <v>0</v>
      </c>
      <c r="D5" s="292" t="s">
        <v>1121</v>
      </c>
      <c r="E5" s="292" t="s">
        <v>1122</v>
      </c>
      <c r="F5" s="127" t="s">
        <v>93</v>
      </c>
      <c r="G5" s="292" t="s">
        <v>1123</v>
      </c>
      <c r="H5" s="127" t="s">
        <v>94</v>
      </c>
      <c r="I5" s="128" t="s">
        <v>95</v>
      </c>
      <c r="J5" s="292" t="s">
        <v>96</v>
      </c>
      <c r="K5" s="292" t="s">
        <v>1124</v>
      </c>
      <c r="L5" s="127" t="s">
        <v>97</v>
      </c>
      <c r="M5" s="292" t="s">
        <v>1125</v>
      </c>
      <c r="N5" s="292" t="s">
        <v>1126</v>
      </c>
      <c r="O5" s="292" t="s">
        <v>1188</v>
      </c>
      <c r="P5" s="292" t="s">
        <v>1127</v>
      </c>
      <c r="Q5" s="127" t="s">
        <v>98</v>
      </c>
      <c r="R5" s="127" t="s">
        <v>99</v>
      </c>
      <c r="S5" s="127" t="s">
        <v>100</v>
      </c>
      <c r="T5" s="127" t="s">
        <v>101</v>
      </c>
      <c r="U5" s="127" t="s">
        <v>102</v>
      </c>
    </row>
    <row r="6" spans="2:21">
      <c r="C6" s="129"/>
      <c r="D6" s="130"/>
      <c r="E6" s="130"/>
      <c r="F6" s="131"/>
      <c r="G6" s="130"/>
      <c r="H6" s="131"/>
      <c r="I6" s="131"/>
      <c r="J6" s="132"/>
      <c r="K6" s="132"/>
      <c r="L6" s="133"/>
      <c r="M6" s="132"/>
      <c r="N6" s="132"/>
      <c r="O6" s="133"/>
      <c r="P6" s="132"/>
      <c r="Q6" s="133"/>
      <c r="R6" s="133"/>
      <c r="S6" s="133"/>
      <c r="T6" s="133"/>
      <c r="U6" s="133"/>
    </row>
    <row r="7" spans="2:21" s="266" customFormat="1">
      <c r="B7" s="266" t="str">
        <f>'DEU 2.01R Constant Growth DCF'!B8</f>
        <v>Atmos Energy Corporation</v>
      </c>
      <c r="C7" s="267" t="str">
        <f>'DEU 2.01R Constant Growth DCF'!C8</f>
        <v>ATO</v>
      </c>
      <c r="D7" s="268">
        <v>5.6</v>
      </c>
      <c r="E7" s="268">
        <v>2.7</v>
      </c>
      <c r="F7" s="269">
        <f t="shared" ref="F7:F13" si="0">1-E7/D7</f>
        <v>0.51785714285714279</v>
      </c>
      <c r="G7" s="268">
        <v>56.05</v>
      </c>
      <c r="H7" s="269">
        <f t="shared" ref="H7:H9" si="1">D7/G7</f>
        <v>9.991079393398751E-2</v>
      </c>
      <c r="I7" s="269">
        <f t="shared" ref="I7:I13" si="2">F7*H7</f>
        <v>5.1739518287243526E-2</v>
      </c>
      <c r="J7" s="268">
        <v>120</v>
      </c>
      <c r="K7" s="268">
        <v>145</v>
      </c>
      <c r="L7" s="269">
        <f>((K7/J7)^0.25)-1</f>
        <v>4.8447501398811044E-2</v>
      </c>
      <c r="M7" s="270">
        <v>111.4</v>
      </c>
      <c r="N7" s="270">
        <v>89.2</v>
      </c>
      <c r="O7" s="270">
        <f>AVERAGE(M7:N7)</f>
        <v>100.30000000000001</v>
      </c>
      <c r="P7" s="268">
        <v>47.65</v>
      </c>
      <c r="Q7" s="271">
        <f t="shared" ref="Q7:Q13" si="3">O7/P7</f>
        <v>2.1049317943336834</v>
      </c>
      <c r="R7" s="269">
        <f t="shared" ref="R7:R13" si="4">L7*Q7</f>
        <v>0.10197868605038296</v>
      </c>
      <c r="S7" s="269">
        <f t="shared" ref="S7:S13" si="5">1-(1/Q7)</f>
        <v>0.52492522432701905</v>
      </c>
      <c r="T7" s="269">
        <f>R7*S7</f>
        <v>5.3531184651571924E-2</v>
      </c>
      <c r="U7" s="269">
        <f>I7+T7</f>
        <v>0.10527070293881545</v>
      </c>
    </row>
    <row r="8" spans="2:21" s="266" customFormat="1">
      <c r="B8" s="266" t="str">
        <f>'DEU 2.01R Constant Growth DCF'!B9</f>
        <v>New Jersey Resources Corporation</v>
      </c>
      <c r="C8" s="267" t="str">
        <f>'DEU 2.01R Constant Growth DCF'!C9</f>
        <v>NJR</v>
      </c>
      <c r="D8" s="268">
        <v>2.5</v>
      </c>
      <c r="E8" s="268">
        <v>1.33</v>
      </c>
      <c r="F8" s="269">
        <f t="shared" si="0"/>
        <v>0.46799999999999997</v>
      </c>
      <c r="G8" s="268">
        <v>21.85</v>
      </c>
      <c r="H8" s="269">
        <f t="shared" si="1"/>
        <v>0.11441647597254004</v>
      </c>
      <c r="I8" s="269">
        <f t="shared" si="2"/>
        <v>5.3546910755148731E-2</v>
      </c>
      <c r="J8" s="268">
        <v>88</v>
      </c>
      <c r="K8" s="268">
        <v>89</v>
      </c>
      <c r="L8" s="269">
        <f t="shared" ref="L8:L13" si="6">((K8/J8)^0.25)-1</f>
        <v>2.8288825716431543E-3</v>
      </c>
      <c r="M8" s="270">
        <v>51.2</v>
      </c>
      <c r="N8" s="270">
        <v>43.9</v>
      </c>
      <c r="O8" s="270">
        <f t="shared" ref="O8:O13" si="7">AVERAGE(M8:N8)</f>
        <v>47.55</v>
      </c>
      <c r="P8" s="268">
        <v>17.05</v>
      </c>
      <c r="Q8" s="271">
        <f t="shared" si="3"/>
        <v>2.788856304985337</v>
      </c>
      <c r="R8" s="269">
        <f t="shared" si="4"/>
        <v>7.8893469959901447E-3</v>
      </c>
      <c r="S8" s="269">
        <f t="shared" si="5"/>
        <v>0.64143007360672977</v>
      </c>
      <c r="T8" s="269">
        <f t="shared" ref="T8:T13" si="8">R8*S8</f>
        <v>5.0604644243469913E-3</v>
      </c>
      <c r="U8" s="269">
        <f t="shared" ref="U8:U13" si="9">I8+T8</f>
        <v>5.860737517949572E-2</v>
      </c>
    </row>
    <row r="9" spans="2:21" s="266" customFormat="1">
      <c r="B9" s="266" t="str">
        <f>'DEU 2.01R Constant Growth DCF'!B10</f>
        <v>Northwest Natural Holding Company</v>
      </c>
      <c r="C9" s="267" t="str">
        <f>'DEU 2.01R Constant Growth DCF'!C10</f>
        <v>NWN</v>
      </c>
      <c r="D9" s="268">
        <v>3.5</v>
      </c>
      <c r="E9" s="268">
        <v>2.2000000000000002</v>
      </c>
      <c r="F9" s="269">
        <f t="shared" si="0"/>
        <v>0.37142857142857133</v>
      </c>
      <c r="G9" s="268">
        <v>29.4</v>
      </c>
      <c r="H9" s="269">
        <f t="shared" si="1"/>
        <v>0.11904761904761905</v>
      </c>
      <c r="I9" s="269">
        <f t="shared" si="2"/>
        <v>4.4217687074829926E-2</v>
      </c>
      <c r="J9" s="268">
        <v>30.5</v>
      </c>
      <c r="K9" s="268">
        <v>32</v>
      </c>
      <c r="L9" s="269">
        <f t="shared" si="6"/>
        <v>1.2074621489526205E-2</v>
      </c>
      <c r="M9" s="270">
        <v>73.5</v>
      </c>
      <c r="N9" s="270">
        <v>57.2</v>
      </c>
      <c r="O9" s="270">
        <f t="shared" si="7"/>
        <v>65.349999999999994</v>
      </c>
      <c r="P9" s="268">
        <v>26.55</v>
      </c>
      <c r="Q9" s="271">
        <f t="shared" si="3"/>
        <v>2.461393596986817</v>
      </c>
      <c r="R9" s="269">
        <f t="shared" si="4"/>
        <v>2.9720396020359224E-2</v>
      </c>
      <c r="S9" s="269">
        <f t="shared" si="5"/>
        <v>0.59372609028309098</v>
      </c>
      <c r="T9" s="269">
        <f t="shared" si="8"/>
        <v>1.7645774530833019E-2</v>
      </c>
      <c r="U9" s="269">
        <f t="shared" si="9"/>
        <v>6.1863461605662945E-2</v>
      </c>
    </row>
    <row r="10" spans="2:21" s="266" customFormat="1">
      <c r="B10" s="266" t="str">
        <f>'DEU 2.01R Constant Growth DCF'!B11</f>
        <v>ONE Gas, Inc.</v>
      </c>
      <c r="C10" s="267" t="str">
        <f>'DEU 2.01R Constant Growth DCF'!C11</f>
        <v>OGS</v>
      </c>
      <c r="D10" s="268">
        <v>4.75</v>
      </c>
      <c r="E10" s="268">
        <v>2.65</v>
      </c>
      <c r="F10" s="269">
        <f t="shared" si="0"/>
        <v>0.44210526315789478</v>
      </c>
      <c r="G10" s="268">
        <v>47.9</v>
      </c>
      <c r="H10" s="269">
        <f>D10/G10</f>
        <v>9.916492693110647E-2</v>
      </c>
      <c r="I10" s="269">
        <f>F10*H10</f>
        <v>4.3841336116910233E-2</v>
      </c>
      <c r="J10" s="268">
        <v>53</v>
      </c>
      <c r="K10" s="268">
        <v>55</v>
      </c>
      <c r="L10" s="269">
        <f t="shared" si="6"/>
        <v>9.3033273218088297E-3</v>
      </c>
      <c r="M10" s="270">
        <v>93</v>
      </c>
      <c r="N10" s="270">
        <v>75.8</v>
      </c>
      <c r="O10" s="270">
        <f>AVERAGE(M10:N10)</f>
        <v>84.4</v>
      </c>
      <c r="P10" s="268">
        <v>41.05</v>
      </c>
      <c r="Q10" s="271">
        <f>O10/P10</f>
        <v>2.0560292326431182</v>
      </c>
      <c r="R10" s="269">
        <f>L10*Q10</f>
        <v>1.9127912934486364E-2</v>
      </c>
      <c r="S10" s="269">
        <f>1-(1/Q10)</f>
        <v>0.51362559241706163</v>
      </c>
      <c r="T10" s="269">
        <f>R10*S10</f>
        <v>9.824585612677534E-3</v>
      </c>
      <c r="U10" s="269">
        <f>I10+T10</f>
        <v>5.3665921729587771E-2</v>
      </c>
    </row>
    <row r="11" spans="2:21" s="266" customFormat="1">
      <c r="B11" s="266" t="str">
        <f>'DEU 2.01R Constant Growth DCF'!B12</f>
        <v>South Jersey Industries, Inc.</v>
      </c>
      <c r="C11" s="267" t="str">
        <f>'DEU 2.01R Constant Growth DCF'!C12</f>
        <v>SJI</v>
      </c>
      <c r="D11" s="268">
        <v>2.4</v>
      </c>
      <c r="E11" s="268">
        <v>1.4</v>
      </c>
      <c r="F11" s="269">
        <f t="shared" ref="F11" si="10">1-E11/D11</f>
        <v>0.41666666666666663</v>
      </c>
      <c r="G11" s="268">
        <v>20</v>
      </c>
      <c r="H11" s="269">
        <f>D11/G11</f>
        <v>0.12</v>
      </c>
      <c r="I11" s="269">
        <f>F11*H11</f>
        <v>4.9999999999999996E-2</v>
      </c>
      <c r="J11" s="268">
        <v>94</v>
      </c>
      <c r="K11" s="268">
        <v>100</v>
      </c>
      <c r="L11" s="269">
        <f t="shared" si="6"/>
        <v>1.5589112908755753E-2</v>
      </c>
      <c r="M11" s="270">
        <v>34.5</v>
      </c>
      <c r="N11" s="270">
        <v>26.6</v>
      </c>
      <c r="O11" s="270">
        <f>AVERAGE(M11:N11)</f>
        <v>30.55</v>
      </c>
      <c r="P11" s="268">
        <v>16.5</v>
      </c>
      <c r="Q11" s="271">
        <f>O11/P11</f>
        <v>1.8515151515151516</v>
      </c>
      <c r="R11" s="269">
        <f>L11*Q11</f>
        <v>2.8863478749241715E-2</v>
      </c>
      <c r="S11" s="269">
        <f>1-(1/Q11)</f>
        <v>0.4599018003273323</v>
      </c>
      <c r="T11" s="269">
        <f>R11*S11</f>
        <v>1.3274365840485962E-2</v>
      </c>
      <c r="U11" s="269">
        <f>I11+T11</f>
        <v>6.3274365840485958E-2</v>
      </c>
    </row>
    <row r="12" spans="2:21" s="266" customFormat="1">
      <c r="B12" s="266" t="str">
        <f>'DEU 2.01R Constant Growth DCF'!B13</f>
        <v>Spire Inc.</v>
      </c>
      <c r="C12" s="267" t="str">
        <f>'DEU 2.01R Constant Growth DCF'!C13</f>
        <v>SR</v>
      </c>
      <c r="D12" s="268">
        <v>5</v>
      </c>
      <c r="E12" s="268">
        <v>2.67</v>
      </c>
      <c r="F12" s="269">
        <f t="shared" si="0"/>
        <v>0.46599999999999997</v>
      </c>
      <c r="G12" s="268">
        <v>54.2</v>
      </c>
      <c r="H12" s="269">
        <f>D12/G12</f>
        <v>9.2250922509225092E-2</v>
      </c>
      <c r="I12" s="269">
        <f t="shared" si="2"/>
        <v>4.2988929889298887E-2</v>
      </c>
      <c r="J12" s="268">
        <v>51</v>
      </c>
      <c r="K12" s="268">
        <v>55</v>
      </c>
      <c r="L12" s="269">
        <f t="shared" si="6"/>
        <v>1.9056182979069858E-2</v>
      </c>
      <c r="M12" s="270">
        <v>87.1</v>
      </c>
      <c r="N12" s="270">
        <v>71.7</v>
      </c>
      <c r="O12" s="270">
        <f t="shared" si="7"/>
        <v>79.400000000000006</v>
      </c>
      <c r="P12" s="268">
        <v>49.2</v>
      </c>
      <c r="Q12" s="271">
        <f t="shared" si="3"/>
        <v>1.6138211382113821</v>
      </c>
      <c r="R12" s="269">
        <f t="shared" si="4"/>
        <v>3.0753270905246884E-2</v>
      </c>
      <c r="S12" s="269">
        <f t="shared" si="5"/>
        <v>0.38035264483627207</v>
      </c>
      <c r="T12" s="269">
        <f t="shared" si="8"/>
        <v>1.1697087926177028E-2</v>
      </c>
      <c r="U12" s="269">
        <f t="shared" si="9"/>
        <v>5.4686017815475912E-2</v>
      </c>
    </row>
    <row r="13" spans="2:21" s="277" customFormat="1">
      <c r="B13" s="266" t="str">
        <f>'DEU 2.01R Constant Growth DCF'!B14</f>
        <v>Southwest Gas Holdings, Inc.</v>
      </c>
      <c r="C13" s="267" t="str">
        <f>'DEU 2.01R Constant Growth DCF'!C14</f>
        <v>SWX</v>
      </c>
      <c r="D13" s="272">
        <v>5.8</v>
      </c>
      <c r="E13" s="273">
        <v>2.6</v>
      </c>
      <c r="F13" s="274">
        <f t="shared" si="0"/>
        <v>0.55172413793103448</v>
      </c>
      <c r="G13" s="275">
        <v>58.6</v>
      </c>
      <c r="H13" s="276">
        <f>D13/G13</f>
        <v>9.8976109215017066E-2</v>
      </c>
      <c r="I13" s="276">
        <f t="shared" si="2"/>
        <v>5.4607508532423209E-2</v>
      </c>
      <c r="J13" s="275">
        <v>55</v>
      </c>
      <c r="K13" s="275">
        <v>58</v>
      </c>
      <c r="L13" s="276">
        <f t="shared" si="6"/>
        <v>1.3365993165816104E-2</v>
      </c>
      <c r="M13" s="270">
        <v>91.9</v>
      </c>
      <c r="N13" s="270">
        <v>73.3</v>
      </c>
      <c r="O13" s="270">
        <f t="shared" si="7"/>
        <v>82.6</v>
      </c>
      <c r="P13" s="275">
        <v>45.45</v>
      </c>
      <c r="Q13" s="271">
        <f t="shared" si="3"/>
        <v>1.8173817381738171</v>
      </c>
      <c r="R13" s="269">
        <f t="shared" si="4"/>
        <v>2.429111189211023E-2</v>
      </c>
      <c r="S13" s="269">
        <f t="shared" si="5"/>
        <v>0.44975786924939454</v>
      </c>
      <c r="T13" s="269">
        <f t="shared" si="8"/>
        <v>1.0925118726294125E-2</v>
      </c>
      <c r="U13" s="269">
        <f t="shared" si="9"/>
        <v>6.5532627258717335E-2</v>
      </c>
    </row>
    <row r="14" spans="2:21">
      <c r="B14" s="240"/>
      <c r="C14" s="240"/>
      <c r="D14" s="241"/>
      <c r="E14" s="242"/>
      <c r="F14" s="243"/>
      <c r="G14" s="241"/>
      <c r="H14" s="240"/>
      <c r="I14" s="240"/>
      <c r="J14" s="241"/>
      <c r="K14" s="241"/>
      <c r="L14" s="240"/>
      <c r="M14" s="241"/>
      <c r="N14" s="241"/>
      <c r="O14" s="240"/>
      <c r="P14" s="241"/>
      <c r="Q14" s="240"/>
      <c r="R14" s="240"/>
      <c r="S14" s="240"/>
      <c r="T14" s="240"/>
      <c r="U14" s="240"/>
    </row>
    <row r="15" spans="2:21">
      <c r="D15" s="134"/>
      <c r="E15" s="134"/>
      <c r="G15" s="134"/>
      <c r="J15" s="134"/>
      <c r="K15" s="134"/>
      <c r="M15" s="134"/>
      <c r="N15" s="134"/>
      <c r="P15" s="134"/>
      <c r="T15" s="239" t="s">
        <v>20</v>
      </c>
      <c r="U15" s="238">
        <f>AVERAGE(U7:U13)</f>
        <v>6.6128638909748724E-2</v>
      </c>
    </row>
    <row r="16" spans="2:21">
      <c r="B16" s="125" t="s">
        <v>76</v>
      </c>
      <c r="C16" s="129"/>
      <c r="D16" s="134"/>
      <c r="E16" s="134"/>
      <c r="F16" s="134"/>
      <c r="G16" s="134"/>
      <c r="H16" s="134"/>
      <c r="I16" s="134"/>
      <c r="J16" s="134"/>
      <c r="K16" s="134"/>
      <c r="L16" s="134"/>
      <c r="M16" s="134"/>
      <c r="N16" s="134"/>
      <c r="O16" s="134"/>
      <c r="P16" s="134"/>
      <c r="Q16" s="134"/>
    </row>
    <row r="17" spans="2:17">
      <c r="B17" s="124" t="s">
        <v>103</v>
      </c>
      <c r="C17" s="129"/>
      <c r="D17" s="134"/>
      <c r="E17" s="134"/>
      <c r="G17" s="134"/>
      <c r="J17" s="134"/>
      <c r="K17" s="134"/>
      <c r="M17" s="134"/>
      <c r="N17" s="134"/>
      <c r="O17" s="134"/>
      <c r="P17" s="134"/>
      <c r="Q17" s="134"/>
    </row>
    <row r="18" spans="2:17">
      <c r="B18" s="124" t="s">
        <v>104</v>
      </c>
      <c r="C18" s="4"/>
      <c r="D18" s="134"/>
      <c r="E18" s="134"/>
      <c r="G18" s="134"/>
      <c r="J18" s="134"/>
      <c r="K18" s="134"/>
      <c r="M18" s="134"/>
      <c r="N18" s="134"/>
      <c r="O18" s="134"/>
      <c r="P18" s="134"/>
      <c r="Q18" s="134"/>
    </row>
    <row r="19" spans="2:17">
      <c r="B19" s="124" t="s">
        <v>105</v>
      </c>
      <c r="C19" s="129"/>
      <c r="D19" s="134"/>
      <c r="E19" s="134"/>
      <c r="G19" s="134"/>
      <c r="J19" s="134"/>
      <c r="K19" s="134"/>
      <c r="M19" s="134"/>
      <c r="N19" s="134"/>
      <c r="O19" s="134"/>
      <c r="P19" s="134"/>
      <c r="Q19" s="134"/>
    </row>
    <row r="20" spans="2:17">
      <c r="B20" s="124" t="s">
        <v>106</v>
      </c>
      <c r="C20" s="129"/>
      <c r="D20" s="134"/>
      <c r="E20" s="134"/>
      <c r="G20" s="134"/>
      <c r="J20" s="134"/>
      <c r="K20" s="134"/>
      <c r="M20" s="134"/>
      <c r="N20" s="134"/>
      <c r="O20" s="134"/>
      <c r="P20" s="134"/>
      <c r="Q20" s="134"/>
    </row>
    <row r="21" spans="2:17">
      <c r="B21" s="124" t="s">
        <v>107</v>
      </c>
      <c r="C21" s="129"/>
      <c r="D21" s="134"/>
      <c r="E21" s="134"/>
      <c r="G21" s="134"/>
      <c r="J21" s="134"/>
      <c r="K21" s="134"/>
      <c r="M21" s="134"/>
      <c r="N21" s="134"/>
      <c r="O21" s="134"/>
      <c r="P21" s="134"/>
      <c r="Q21" s="134"/>
    </row>
    <row r="22" spans="2:17">
      <c r="B22" s="124" t="s">
        <v>108</v>
      </c>
      <c r="C22" s="129"/>
      <c r="D22" s="134"/>
      <c r="E22" s="134"/>
      <c r="G22" s="134"/>
      <c r="J22" s="134"/>
      <c r="K22" s="134"/>
      <c r="M22" s="134"/>
      <c r="N22" s="134"/>
      <c r="O22" s="134"/>
      <c r="P22" s="134"/>
      <c r="Q22" s="134"/>
    </row>
    <row r="23" spans="2:17">
      <c r="B23" s="124" t="s">
        <v>82</v>
      </c>
      <c r="C23" s="129"/>
      <c r="D23" s="134"/>
      <c r="E23" s="134"/>
      <c r="G23" s="134"/>
      <c r="J23" s="134"/>
      <c r="K23" s="134"/>
      <c r="M23" s="134"/>
      <c r="N23" s="134"/>
      <c r="O23" s="134"/>
      <c r="P23" s="134"/>
      <c r="Q23" s="134"/>
    </row>
    <row r="24" spans="2:17">
      <c r="B24" s="124" t="s">
        <v>109</v>
      </c>
      <c r="C24" s="129"/>
      <c r="D24" s="134"/>
      <c r="E24" s="134"/>
      <c r="G24" s="134"/>
      <c r="J24" s="134"/>
      <c r="K24" s="134"/>
      <c r="M24" s="134"/>
      <c r="N24" s="134"/>
      <c r="O24" s="134"/>
      <c r="P24" s="134"/>
      <c r="Q24" s="134"/>
    </row>
    <row r="25" spans="2:17">
      <c r="B25" s="124" t="s">
        <v>1128</v>
      </c>
    </row>
    <row r="26" spans="2:17">
      <c r="B26" s="124" t="s">
        <v>110</v>
      </c>
    </row>
    <row r="27" spans="2:17">
      <c r="B27" s="124" t="s">
        <v>111</v>
      </c>
    </row>
    <row r="28" spans="2:17">
      <c r="B28" s="124" t="s">
        <v>112</v>
      </c>
    </row>
    <row r="29" spans="2:17">
      <c r="B29" s="124" t="s">
        <v>113</v>
      </c>
    </row>
    <row r="30" spans="2:17">
      <c r="B30" s="124" t="s">
        <v>114</v>
      </c>
    </row>
    <row r="31" spans="2:17">
      <c r="B31" s="124" t="s">
        <v>115</v>
      </c>
    </row>
    <row r="32" spans="2:17">
      <c r="B32" s="124" t="s">
        <v>116</v>
      </c>
    </row>
    <row r="33" spans="2:2">
      <c r="B33" s="124" t="s">
        <v>117</v>
      </c>
    </row>
    <row r="34" spans="2:2">
      <c r="B34" s="124" t="s">
        <v>118</v>
      </c>
    </row>
  </sheetData>
  <printOptions horizontalCentered="1"/>
  <pageMargins left="0.7" right="0.7" top="0.75" bottom="0.75" header="0.3" footer="0.3"/>
  <pageSetup scale="52" orientation="landscape" useFirstPageNumber="1" r:id="rId1"/>
  <headerFooter scaleWithDoc="0">
    <oddHeader>&amp;R&amp;10DEU Exhibit 2.02R
Page &amp;P of 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2:J523"/>
  <sheetViews>
    <sheetView view="pageLayout" topLeftCell="A4" zoomScale="85" zoomScaleNormal="85" zoomScaleSheetLayoutView="90" zoomScalePageLayoutView="85" workbookViewId="0">
      <selection activeCell="G13" sqref="G13"/>
    </sheetView>
  </sheetViews>
  <sheetFormatPr defaultColWidth="8.375" defaultRowHeight="12.75"/>
  <cols>
    <col min="1" max="1" width="2.25" style="97" customWidth="1"/>
    <col min="2" max="2" width="31.875" style="97" customWidth="1"/>
    <col min="3" max="3" width="8.375" style="97" customWidth="1"/>
    <col min="4" max="4" width="14.25" style="97" customWidth="1"/>
    <col min="5" max="9" width="12.625" style="97" customWidth="1"/>
    <col min="10" max="10" width="2.25" style="2" customWidth="1"/>
    <col min="11" max="16384" width="8.375" style="97"/>
  </cols>
  <sheetData>
    <row r="2" spans="2:9">
      <c r="B2" s="96" t="s">
        <v>119</v>
      </c>
      <c r="C2" s="96"/>
      <c r="D2" s="96"/>
      <c r="E2" s="96"/>
      <c r="F2" s="96"/>
      <c r="G2" s="96"/>
      <c r="H2" s="96"/>
      <c r="I2" s="1"/>
    </row>
    <row r="3" spans="2:9">
      <c r="B3" s="96" t="s">
        <v>120</v>
      </c>
      <c r="C3" s="96"/>
      <c r="D3" s="96"/>
      <c r="E3" s="96"/>
      <c r="F3" s="96"/>
      <c r="G3" s="96"/>
      <c r="H3" s="96"/>
      <c r="I3" s="1"/>
    </row>
    <row r="5" spans="2:9">
      <c r="B5" s="98"/>
      <c r="D5" s="99" t="s">
        <v>50</v>
      </c>
      <c r="E5" s="99" t="s">
        <v>51</v>
      </c>
      <c r="F5" s="99" t="s">
        <v>52</v>
      </c>
    </row>
    <row r="6" spans="2:9" ht="39" customHeight="1">
      <c r="B6" s="98"/>
      <c r="D6" s="100" t="s">
        <v>121</v>
      </c>
      <c r="E6" s="100" t="s">
        <v>122</v>
      </c>
      <c r="F6" s="100" t="s">
        <v>123</v>
      </c>
    </row>
    <row r="7" spans="2:9">
      <c r="B7" s="98"/>
      <c r="D7" s="101">
        <f>I513</f>
        <v>0.14195180335247456</v>
      </c>
      <c r="E7" s="101">
        <f>'DEU 2.05R CAPM'!C10</f>
        <v>2.112E-2</v>
      </c>
      <c r="F7" s="101">
        <f>D7-E7</f>
        <v>0.12083180335247456</v>
      </c>
    </row>
    <row r="8" spans="2:9">
      <c r="B8" s="102"/>
      <c r="C8" s="98"/>
      <c r="D8" s="103"/>
      <c r="E8" s="104"/>
      <c r="F8" s="102"/>
      <c r="G8" s="98"/>
    </row>
    <row r="9" spans="2:9">
      <c r="B9" s="98"/>
      <c r="C9" s="98"/>
      <c r="D9" s="98"/>
      <c r="E9" s="98"/>
      <c r="F9" s="98"/>
      <c r="G9" s="98"/>
      <c r="H9" s="98"/>
    </row>
    <row r="10" spans="2:9">
      <c r="B10" s="98"/>
      <c r="C10" s="98"/>
      <c r="D10" s="99" t="s">
        <v>53</v>
      </c>
      <c r="E10" s="99" t="s">
        <v>54</v>
      </c>
      <c r="F10" s="99" t="s">
        <v>55</v>
      </c>
      <c r="G10" s="99" t="s">
        <v>56</v>
      </c>
      <c r="H10" s="99" t="s">
        <v>57</v>
      </c>
      <c r="I10" s="105" t="s">
        <v>58</v>
      </c>
    </row>
    <row r="11" spans="2:9" ht="25.5">
      <c r="B11" s="100" t="s">
        <v>1</v>
      </c>
      <c r="C11" s="100" t="s">
        <v>0</v>
      </c>
      <c r="D11" s="100" t="s">
        <v>124</v>
      </c>
      <c r="E11" s="100" t="s">
        <v>125</v>
      </c>
      <c r="F11" s="296" t="s">
        <v>126</v>
      </c>
      <c r="G11" s="296" t="s">
        <v>127</v>
      </c>
      <c r="H11" s="100" t="s">
        <v>128</v>
      </c>
      <c r="I11" s="100" t="s">
        <v>129</v>
      </c>
    </row>
    <row r="13" spans="2:9">
      <c r="B13" s="248" t="s">
        <v>613</v>
      </c>
      <c r="C13" s="248" t="s">
        <v>130</v>
      </c>
      <c r="D13" s="106">
        <v>23714.508165139996</v>
      </c>
      <c r="E13" s="107">
        <f t="shared" ref="E13:E76" si="0">IF(OR(H13="N/A",D13="N/A"),"N/A",D13/$D$513)</f>
        <v>9.0180512262857482E-4</v>
      </c>
      <c r="F13" s="265">
        <v>8.5736656661881787E-3</v>
      </c>
      <c r="G13" s="265">
        <v>0.13533000000000001</v>
      </c>
      <c r="H13" s="108">
        <f t="shared" ref="H13:H76" si="1">IFERROR(F13*(1+0.5*G13)+G13,"N/A")</f>
        <v>0.14448380275349082</v>
      </c>
      <c r="I13" s="109">
        <f t="shared" ref="I13:I76" si="2">IF(AND(ISNUMBER(D13),ISNUMBER(H13)),E13*H13,"N/A")</f>
        <v>1.3029623345995462E-4</v>
      </c>
    </row>
    <row r="14" spans="2:9">
      <c r="B14" s="248" t="s">
        <v>614</v>
      </c>
      <c r="C14" s="248" t="s">
        <v>131</v>
      </c>
      <c r="D14" s="106">
        <v>12008.95153416</v>
      </c>
      <c r="E14" s="107">
        <f t="shared" si="0"/>
        <v>4.5667124679496122E-4</v>
      </c>
      <c r="F14" s="265">
        <v>1.7797552836484983E-2</v>
      </c>
      <c r="G14" s="265">
        <v>6.3700000000000007E-2</v>
      </c>
      <c r="H14" s="108">
        <f t="shared" si="1"/>
        <v>8.2064404894327037E-2</v>
      </c>
      <c r="I14" s="109">
        <f t="shared" si="2"/>
        <v>3.7476454100578847E-5</v>
      </c>
    </row>
    <row r="15" spans="2:9">
      <c r="B15" s="248" t="s">
        <v>615</v>
      </c>
      <c r="C15" s="248" t="s">
        <v>132</v>
      </c>
      <c r="D15" s="106">
        <v>11807.408146</v>
      </c>
      <c r="E15" s="107">
        <f t="shared" si="0"/>
        <v>4.4900704146508719E-4</v>
      </c>
      <c r="F15" s="265">
        <v>1.4510278113663844E-3</v>
      </c>
      <c r="G15" s="265">
        <v>0.15313000000000002</v>
      </c>
      <c r="H15" s="108">
        <f t="shared" si="1"/>
        <v>0.15469212575574368</v>
      </c>
      <c r="I15" s="109">
        <f t="shared" si="2"/>
        <v>6.9457853723531684E-5</v>
      </c>
    </row>
    <row r="16" spans="2:9">
      <c r="B16" s="248" t="s">
        <v>616</v>
      </c>
      <c r="C16" s="248" t="s">
        <v>133</v>
      </c>
      <c r="D16" s="106">
        <v>1012160.7446000001</v>
      </c>
      <c r="E16" s="107">
        <f t="shared" si="0"/>
        <v>3.8490013710071151E-2</v>
      </c>
      <c r="F16" s="265">
        <v>1.3390186185649865E-2</v>
      </c>
      <c r="G16" s="265">
        <v>0.105</v>
      </c>
      <c r="H16" s="108">
        <f t="shared" si="1"/>
        <v>0.11909317096039648</v>
      </c>
      <c r="I16" s="109">
        <f t="shared" si="2"/>
        <v>4.5838977830415083E-3</v>
      </c>
    </row>
    <row r="17" spans="2:9">
      <c r="B17" s="248" t="s">
        <v>617</v>
      </c>
      <c r="C17" s="248" t="s">
        <v>134</v>
      </c>
      <c r="D17" s="106">
        <v>111972.72676979999</v>
      </c>
      <c r="E17" s="107">
        <f t="shared" si="0"/>
        <v>4.2580507212091811E-3</v>
      </c>
      <c r="F17" s="265">
        <v>5.688061278394084E-2</v>
      </c>
      <c r="G17" s="265">
        <v>6.0499999999999998E-2</v>
      </c>
      <c r="H17" s="108">
        <f t="shared" si="1"/>
        <v>0.11910125132065505</v>
      </c>
      <c r="I17" s="109">
        <f t="shared" si="2"/>
        <v>5.0713916908283116E-4</v>
      </c>
    </row>
    <row r="18" spans="2:9">
      <c r="B18" s="248" t="s">
        <v>618</v>
      </c>
      <c r="C18" s="248" t="s">
        <v>135</v>
      </c>
      <c r="D18" s="106">
        <v>17151.43849733</v>
      </c>
      <c r="E18" s="107">
        <f t="shared" si="0"/>
        <v>6.5222753049029255E-4</v>
      </c>
      <c r="F18" s="265">
        <v>1.953115510749423E-2</v>
      </c>
      <c r="G18" s="265">
        <v>0.1401</v>
      </c>
      <c r="H18" s="108">
        <f t="shared" si="1"/>
        <v>0.16099931252277419</v>
      </c>
      <c r="I18" s="109">
        <f t="shared" si="2"/>
        <v>1.0500818401736384E-4</v>
      </c>
    </row>
    <row r="19" spans="2:9">
      <c r="B19" s="248" t="s">
        <v>619</v>
      </c>
      <c r="C19" s="248" t="s">
        <v>620</v>
      </c>
      <c r="D19" s="106">
        <v>8072.0634755699994</v>
      </c>
      <c r="E19" s="107">
        <f t="shared" si="0"/>
        <v>3.0696096000644462E-4</v>
      </c>
      <c r="F19" s="265">
        <v>0</v>
      </c>
      <c r="G19" s="265">
        <v>0.24</v>
      </c>
      <c r="H19" s="108">
        <f t="shared" si="1"/>
        <v>0.24</v>
      </c>
      <c r="I19" s="109">
        <f t="shared" si="2"/>
        <v>7.367063040154671E-5</v>
      </c>
    </row>
    <row r="20" spans="2:9">
      <c r="B20" s="248" t="s">
        <v>621</v>
      </c>
      <c r="C20" s="248" t="s">
        <v>136</v>
      </c>
      <c r="D20" s="106">
        <v>147878.15844705002</v>
      </c>
      <c r="E20" s="107">
        <f t="shared" si="0"/>
        <v>5.623447042788058E-3</v>
      </c>
      <c r="F20" s="265">
        <v>1.4939643838890881E-2</v>
      </c>
      <c r="G20" s="265">
        <v>9.5799999999999996E-2</v>
      </c>
      <c r="H20" s="108">
        <f t="shared" si="1"/>
        <v>0.11145525277877374</v>
      </c>
      <c r="I20" s="109">
        <f t="shared" si="2"/>
        <v>6.2676271164199067E-4</v>
      </c>
    </row>
    <row r="21" spans="2:9">
      <c r="B21" s="248" t="s">
        <v>622</v>
      </c>
      <c r="C21" s="248" t="s">
        <v>137</v>
      </c>
      <c r="D21" s="106">
        <v>122738.69080349999</v>
      </c>
      <c r="E21" s="107">
        <f t="shared" si="0"/>
        <v>4.6674541736449974E-3</v>
      </c>
      <c r="F21" s="265">
        <v>1.6703925136469976E-2</v>
      </c>
      <c r="G21" s="265">
        <v>0.10032999999999999</v>
      </c>
      <c r="H21" s="108">
        <f t="shared" si="1"/>
        <v>0.11787187754094097</v>
      </c>
      <c r="I21" s="109">
        <f t="shared" si="2"/>
        <v>5.5016158678383698E-4</v>
      </c>
    </row>
    <row r="22" spans="2:9">
      <c r="B22" s="248" t="s">
        <v>623</v>
      </c>
      <c r="C22" s="248" t="s">
        <v>138</v>
      </c>
      <c r="D22" s="106">
        <v>133726.71573624999</v>
      </c>
      <c r="E22" s="107">
        <f t="shared" si="0"/>
        <v>5.0853020624951912E-3</v>
      </c>
      <c r="F22" s="265">
        <v>0</v>
      </c>
      <c r="G22" s="265">
        <v>0.16</v>
      </c>
      <c r="H22" s="108">
        <f t="shared" si="1"/>
        <v>0.16</v>
      </c>
      <c r="I22" s="109">
        <f t="shared" si="2"/>
        <v>8.1364832999923056E-4</v>
      </c>
    </row>
    <row r="23" spans="2:9">
      <c r="B23" s="248" t="s">
        <v>624</v>
      </c>
      <c r="C23" s="248" t="s">
        <v>139</v>
      </c>
      <c r="D23" s="106">
        <v>41273.747575280002</v>
      </c>
      <c r="E23" s="107">
        <f t="shared" si="0"/>
        <v>1.5695403309346472E-3</v>
      </c>
      <c r="F23" s="265">
        <v>1.863420746442316E-2</v>
      </c>
      <c r="G23" s="265">
        <v>9.7200000000000009E-2</v>
      </c>
      <c r="H23" s="108">
        <f t="shared" si="1"/>
        <v>0.11673982994719413</v>
      </c>
      <c r="I23" s="109">
        <f t="shared" si="2"/>
        <v>1.8322787132857353E-4</v>
      </c>
    </row>
    <row r="24" spans="2:9">
      <c r="B24" s="248" t="s">
        <v>625</v>
      </c>
      <c r="C24" s="248" t="s">
        <v>140</v>
      </c>
      <c r="D24" s="106">
        <v>22874.924603129999</v>
      </c>
      <c r="E24" s="107">
        <f t="shared" si="0"/>
        <v>8.6987779983432227E-4</v>
      </c>
      <c r="F24" s="265">
        <v>3.4404674945215492E-2</v>
      </c>
      <c r="G24" s="265">
        <v>1E-3</v>
      </c>
      <c r="H24" s="108">
        <f t="shared" si="1"/>
        <v>3.54218772826881E-2</v>
      </c>
      <c r="I24" s="109">
        <f t="shared" si="2"/>
        <v>3.0812704676666088E-5</v>
      </c>
    </row>
    <row r="25" spans="2:9">
      <c r="B25" s="248" t="s">
        <v>626</v>
      </c>
      <c r="C25" s="248" t="s">
        <v>141</v>
      </c>
      <c r="D25" s="106">
        <v>70007.707269220002</v>
      </c>
      <c r="E25" s="107">
        <f t="shared" si="0"/>
        <v>2.6622229986481192E-3</v>
      </c>
      <c r="F25" s="265">
        <v>1.9520505513567096E-2</v>
      </c>
      <c r="G25" s="265">
        <v>0.1255</v>
      </c>
      <c r="H25" s="108">
        <f t="shared" si="1"/>
        <v>0.14624541723454343</v>
      </c>
      <c r="I25" s="109">
        <f t="shared" si="2"/>
        <v>3.8933791320869152E-4</v>
      </c>
    </row>
    <row r="26" spans="2:9">
      <c r="B26" s="248" t="s">
        <v>627</v>
      </c>
      <c r="C26" s="248" t="s">
        <v>142</v>
      </c>
      <c r="D26" s="106">
        <v>6547.1366411699992</v>
      </c>
      <c r="E26" s="107">
        <f t="shared" si="0"/>
        <v>2.4897169785015826E-4</v>
      </c>
      <c r="F26" s="265">
        <v>1.9269491922266447E-2</v>
      </c>
      <c r="G26" s="265">
        <v>9.1330000000000008E-2</v>
      </c>
      <c r="H26" s="108">
        <f t="shared" si="1"/>
        <v>0.11147943327089675</v>
      </c>
      <c r="I26" s="109">
        <f t="shared" si="2"/>
        <v>2.7755223776828588E-5</v>
      </c>
    </row>
    <row r="27" spans="2:9">
      <c r="B27" s="248" t="s">
        <v>628</v>
      </c>
      <c r="C27" s="248" t="s">
        <v>143</v>
      </c>
      <c r="D27" s="106">
        <v>32433.089701599994</v>
      </c>
      <c r="E27" s="107">
        <f t="shared" si="0"/>
        <v>1.2333515935434658E-3</v>
      </c>
      <c r="F27" s="265">
        <v>0</v>
      </c>
      <c r="G27" s="265">
        <v>0.47954000000000002</v>
      </c>
      <c r="H27" s="108">
        <f t="shared" si="1"/>
        <v>0.47954000000000002</v>
      </c>
      <c r="I27" s="109">
        <f t="shared" si="2"/>
        <v>5.9144142316783362E-4</v>
      </c>
    </row>
    <row r="28" spans="2:9">
      <c r="B28" s="248" t="s">
        <v>629</v>
      </c>
      <c r="C28" s="248" t="s">
        <v>2</v>
      </c>
      <c r="D28" s="106">
        <v>20280.8698664</v>
      </c>
      <c r="E28" s="107">
        <f t="shared" si="0"/>
        <v>7.712322013816073E-4</v>
      </c>
      <c r="F28" s="265">
        <v>2.4422236102435976E-2</v>
      </c>
      <c r="G28" s="265">
        <v>4.99E-2</v>
      </c>
      <c r="H28" s="108">
        <f t="shared" si="1"/>
        <v>7.493157089319176E-2</v>
      </c>
      <c r="I28" s="109">
        <f t="shared" si="2"/>
        <v>5.7789640372938248E-5</v>
      </c>
    </row>
    <row r="29" spans="2:9">
      <c r="B29" s="248" t="s">
        <v>630</v>
      </c>
      <c r="C29" s="248" t="s">
        <v>144</v>
      </c>
      <c r="D29" s="106">
        <v>46263.663949590002</v>
      </c>
      <c r="E29" s="107">
        <f t="shared" si="0"/>
        <v>1.7592947258605264E-3</v>
      </c>
      <c r="F29" s="265">
        <v>2.8861137794855378E-2</v>
      </c>
      <c r="G29" s="265">
        <v>5.7759999999999999E-2</v>
      </c>
      <c r="H29" s="108">
        <f t="shared" si="1"/>
        <v>8.7454647454370801E-2</v>
      </c>
      <c r="I29" s="109">
        <f t="shared" si="2"/>
        <v>1.5385850001846626E-4</v>
      </c>
    </row>
    <row r="30" spans="2:9">
      <c r="B30" s="248" t="s">
        <v>631</v>
      </c>
      <c r="C30" s="248" t="s">
        <v>3</v>
      </c>
      <c r="D30" s="106">
        <v>10847.30184308</v>
      </c>
      <c r="E30" s="107">
        <f t="shared" si="0"/>
        <v>4.124965316871954E-4</v>
      </c>
      <c r="F30" s="265">
        <v>3.3720930232558143E-2</v>
      </c>
      <c r="G30" s="265">
        <v>8.1229999999999997E-2</v>
      </c>
      <c r="H30" s="108">
        <f t="shared" si="1"/>
        <v>0.11632050581395349</v>
      </c>
      <c r="I30" s="109">
        <f t="shared" si="2"/>
        <v>4.7981805212356061E-5</v>
      </c>
    </row>
    <row r="31" spans="2:9">
      <c r="B31" s="248" t="s">
        <v>632</v>
      </c>
      <c r="C31" s="248" t="s">
        <v>145</v>
      </c>
      <c r="D31" s="106">
        <v>38736.856087200002</v>
      </c>
      <c r="E31" s="107">
        <f t="shared" si="0"/>
        <v>1.4730685119295041E-3</v>
      </c>
      <c r="F31" s="265">
        <v>2.0737767584097858E-2</v>
      </c>
      <c r="G31" s="265">
        <v>4.5200000000000004E-2</v>
      </c>
      <c r="H31" s="108">
        <f t="shared" si="1"/>
        <v>6.6406441131498475E-2</v>
      </c>
      <c r="I31" s="109">
        <f t="shared" si="2"/>
        <v>9.7821237420110668E-5</v>
      </c>
    </row>
    <row r="32" spans="2:9">
      <c r="B32" s="248" t="s">
        <v>633</v>
      </c>
      <c r="C32" s="248" t="s">
        <v>146</v>
      </c>
      <c r="D32" s="106">
        <v>55215.443961709992</v>
      </c>
      <c r="E32" s="107">
        <f t="shared" si="0"/>
        <v>2.0997091681655431E-3</v>
      </c>
      <c r="F32" s="265">
        <v>1.7529264959296454E-2</v>
      </c>
      <c r="G32" s="265">
        <v>0.08</v>
      </c>
      <c r="H32" s="108">
        <f t="shared" si="1"/>
        <v>9.8230435557668319E-2</v>
      </c>
      <c r="I32" s="109">
        <f t="shared" si="2"/>
        <v>2.0625534613333073E-4</v>
      </c>
    </row>
    <row r="33" spans="2:9">
      <c r="B33" s="248" t="s">
        <v>634</v>
      </c>
      <c r="C33" s="248" t="s">
        <v>147</v>
      </c>
      <c r="D33" s="106">
        <v>48453.892421400007</v>
      </c>
      <c r="E33" s="107">
        <f t="shared" si="0"/>
        <v>1.8425837926988882E-3</v>
      </c>
      <c r="F33" s="265">
        <v>2.3249551166965889E-2</v>
      </c>
      <c r="G33" s="265">
        <v>0.11</v>
      </c>
      <c r="H33" s="108">
        <f t="shared" si="1"/>
        <v>0.13452827648114901</v>
      </c>
      <c r="I33" s="109">
        <f t="shared" si="2"/>
        <v>2.4787962190388018E-4</v>
      </c>
    </row>
    <row r="34" spans="2:9">
      <c r="B34" s="248" t="s">
        <v>635</v>
      </c>
      <c r="C34" s="248" t="s">
        <v>148</v>
      </c>
      <c r="D34" s="106">
        <v>7762.8221358599994</v>
      </c>
      <c r="E34" s="107">
        <f t="shared" si="0"/>
        <v>2.9520126326987284E-4</v>
      </c>
      <c r="F34" s="265">
        <v>3.7993862677406988E-2</v>
      </c>
      <c r="G34" s="265">
        <v>3.3700000000000001E-2</v>
      </c>
      <c r="H34" s="108">
        <f t="shared" si="1"/>
        <v>7.2334059263521294E-2</v>
      </c>
      <c r="I34" s="109">
        <f t="shared" si="2"/>
        <v>2.1353105672029334E-5</v>
      </c>
    </row>
    <row r="35" spans="2:9">
      <c r="B35" s="248" t="s">
        <v>636</v>
      </c>
      <c r="C35" s="248" t="s">
        <v>149</v>
      </c>
      <c r="D35" s="106">
        <v>7691.4898379999986</v>
      </c>
      <c r="E35" s="107">
        <f t="shared" si="0"/>
        <v>2.9248866930962463E-4</v>
      </c>
      <c r="F35" s="265">
        <v>1.959147989190908E-2</v>
      </c>
      <c r="G35" s="265">
        <v>0</v>
      </c>
      <c r="H35" s="108">
        <f t="shared" si="1"/>
        <v>1.959147989190908E-2</v>
      </c>
      <c r="I35" s="109">
        <f t="shared" si="2"/>
        <v>5.7302858833907555E-6</v>
      </c>
    </row>
    <row r="36" spans="2:9">
      <c r="B36" s="248" t="s">
        <v>637</v>
      </c>
      <c r="C36" s="248" t="s">
        <v>151</v>
      </c>
      <c r="D36" s="106">
        <v>16666.2899</v>
      </c>
      <c r="E36" s="107">
        <f t="shared" si="0"/>
        <v>6.337785081761214E-4</v>
      </c>
      <c r="F36" s="265">
        <v>1.7952439432845822E-2</v>
      </c>
      <c r="G36" s="265">
        <v>9.8299999999999998E-2</v>
      </c>
      <c r="H36" s="108">
        <f t="shared" si="1"/>
        <v>0.11713480183097019</v>
      </c>
      <c r="I36" s="109">
        <f t="shared" si="2"/>
        <v>7.42375199599379E-5</v>
      </c>
    </row>
    <row r="37" spans="2:9">
      <c r="B37" s="248" t="s">
        <v>638</v>
      </c>
      <c r="C37" s="248" t="s">
        <v>152</v>
      </c>
      <c r="D37" s="106">
        <v>15076.099753439998</v>
      </c>
      <c r="E37" s="107">
        <f t="shared" si="0"/>
        <v>5.7330744083898327E-4</v>
      </c>
      <c r="F37" s="265">
        <v>0</v>
      </c>
      <c r="G37" s="265">
        <v>0.128</v>
      </c>
      <c r="H37" s="108">
        <f t="shared" si="1"/>
        <v>0.128</v>
      </c>
      <c r="I37" s="109">
        <f t="shared" si="2"/>
        <v>7.3383352427389855E-5</v>
      </c>
    </row>
    <row r="38" spans="2:9">
      <c r="B38" s="248" t="s">
        <v>639</v>
      </c>
      <c r="C38" s="248" t="s">
        <v>153</v>
      </c>
      <c r="D38" s="106">
        <v>7368.1650732799999</v>
      </c>
      <c r="E38" s="107">
        <f t="shared" si="0"/>
        <v>2.8019341414064808E-4</v>
      </c>
      <c r="F38" s="265">
        <v>2.0454545454545454E-2</v>
      </c>
      <c r="G38" s="265">
        <v>8.9160000000000003E-2</v>
      </c>
      <c r="H38" s="108">
        <f t="shared" si="1"/>
        <v>0.11052640909090909</v>
      </c>
      <c r="I38" s="109">
        <f t="shared" si="2"/>
        <v>3.0968771915887783E-5</v>
      </c>
    </row>
    <row r="39" spans="2:9">
      <c r="B39" s="248" t="s">
        <v>640</v>
      </c>
      <c r="C39" s="248" t="s">
        <v>154</v>
      </c>
      <c r="D39" s="106">
        <v>14450.239790519998</v>
      </c>
      <c r="E39" s="107">
        <f t="shared" si="0"/>
        <v>5.4950750720008735E-4</v>
      </c>
      <c r="F39" s="265">
        <v>0</v>
      </c>
      <c r="G39" s="265">
        <v>0.20507999999999998</v>
      </c>
      <c r="H39" s="108">
        <f t="shared" si="1"/>
        <v>0.20507999999999998</v>
      </c>
      <c r="I39" s="109">
        <f t="shared" si="2"/>
        <v>1.126929995765939E-4</v>
      </c>
    </row>
    <row r="40" spans="2:9">
      <c r="B40" s="248" t="s">
        <v>641</v>
      </c>
      <c r="C40" s="248" t="s">
        <v>155</v>
      </c>
      <c r="D40" s="106">
        <v>8001.6019422299996</v>
      </c>
      <c r="E40" s="107">
        <f t="shared" si="0"/>
        <v>3.0428147910505776E-4</v>
      </c>
      <c r="F40" s="265">
        <v>2.1260206439685719E-2</v>
      </c>
      <c r="G40" s="265">
        <v>0.2155</v>
      </c>
      <c r="H40" s="108">
        <f t="shared" si="1"/>
        <v>0.23905099368356186</v>
      </c>
      <c r="I40" s="109">
        <f t="shared" si="2"/>
        <v>7.2738789939568029E-5</v>
      </c>
    </row>
    <row r="41" spans="2:9">
      <c r="B41" s="248" t="s">
        <v>642</v>
      </c>
      <c r="C41" s="248" t="s">
        <v>156</v>
      </c>
      <c r="D41" s="106">
        <v>35776.563954560006</v>
      </c>
      <c r="E41" s="107">
        <f t="shared" si="0"/>
        <v>1.3604957952152649E-3</v>
      </c>
      <c r="F41" s="265">
        <v>1.7832167832167831E-2</v>
      </c>
      <c r="G41" s="265">
        <v>6.2330000000000003E-2</v>
      </c>
      <c r="H41" s="108">
        <f t="shared" si="1"/>
        <v>8.0717907342657352E-2</v>
      </c>
      <c r="I41" s="109">
        <f t="shared" si="2"/>
        <v>1.0981637353826069E-4</v>
      </c>
    </row>
    <row r="42" spans="2:9">
      <c r="B42" s="248" t="s">
        <v>643</v>
      </c>
      <c r="C42" s="248" t="s">
        <v>157</v>
      </c>
      <c r="D42" s="106">
        <v>9678.4580556000001</v>
      </c>
      <c r="E42" s="107">
        <f t="shared" si="0"/>
        <v>3.6804824257397159E-4</v>
      </c>
      <c r="F42" s="265">
        <v>1.0400385914134105E-2</v>
      </c>
      <c r="G42" s="265">
        <v>0.10227</v>
      </c>
      <c r="H42" s="108">
        <f t="shared" si="1"/>
        <v>0.11320220964785335</v>
      </c>
      <c r="I42" s="109">
        <f t="shared" si="2"/>
        <v>4.1663874316382718E-5</v>
      </c>
    </row>
    <row r="43" spans="2:9">
      <c r="B43" s="248" t="s">
        <v>644</v>
      </c>
      <c r="C43" s="248" t="s">
        <v>158</v>
      </c>
      <c r="D43" s="106">
        <v>21960.780431319999</v>
      </c>
      <c r="E43" s="107">
        <f t="shared" si="0"/>
        <v>8.3511511822108352E-4</v>
      </c>
      <c r="F43" s="265">
        <v>0</v>
      </c>
      <c r="G43" s="265">
        <v>0.14700000000000002</v>
      </c>
      <c r="H43" s="108">
        <f t="shared" si="1"/>
        <v>0.14700000000000002</v>
      </c>
      <c r="I43" s="109">
        <f t="shared" si="2"/>
        <v>1.227619223784993E-4</v>
      </c>
    </row>
    <row r="44" spans="2:9">
      <c r="B44" s="248" t="s">
        <v>645</v>
      </c>
      <c r="C44" s="248" t="s">
        <v>159</v>
      </c>
      <c r="D44" s="106">
        <v>46095.312424399999</v>
      </c>
      <c r="E44" s="107">
        <f t="shared" si="0"/>
        <v>1.7528927264278816E-3</v>
      </c>
      <c r="F44" s="265">
        <v>1.6673346693386774E-2</v>
      </c>
      <c r="G44" s="265">
        <v>5.5480000000000002E-2</v>
      </c>
      <c r="H44" s="108">
        <f t="shared" si="1"/>
        <v>7.2615865330661333E-2</v>
      </c>
      <c r="I44" s="109">
        <f t="shared" si="2"/>
        <v>1.2728782216138283E-4</v>
      </c>
    </row>
    <row r="45" spans="2:9">
      <c r="B45" s="248" t="s">
        <v>1193</v>
      </c>
      <c r="C45" s="248" t="s">
        <v>1194</v>
      </c>
      <c r="D45" s="106">
        <v>15745.840188</v>
      </c>
      <c r="E45" s="107">
        <f t="shared" si="0"/>
        <v>5.9877604219102528E-4</v>
      </c>
      <c r="F45" s="265">
        <v>5.2307692307692305E-2</v>
      </c>
      <c r="G45" s="265">
        <v>6.5500000000000003E-2</v>
      </c>
      <c r="H45" s="108">
        <f t="shared" si="1"/>
        <v>0.11952076923076924</v>
      </c>
      <c r="I45" s="109">
        <f t="shared" si="2"/>
        <v>7.1566173159626881E-5</v>
      </c>
    </row>
    <row r="46" spans="2:9">
      <c r="B46" s="248" t="s">
        <v>646</v>
      </c>
      <c r="C46" s="248" t="s">
        <v>160</v>
      </c>
      <c r="D46" s="106">
        <v>31469.988947409998</v>
      </c>
      <c r="E46" s="107">
        <f t="shared" si="0"/>
        <v>1.1967272120598682E-3</v>
      </c>
      <c r="F46" s="265">
        <v>0</v>
      </c>
      <c r="G46" s="265">
        <v>0.20033000000000001</v>
      </c>
      <c r="H46" s="108">
        <f t="shared" si="1"/>
        <v>0.20033000000000001</v>
      </c>
      <c r="I46" s="109">
        <f t="shared" si="2"/>
        <v>2.3974036239195342E-4</v>
      </c>
    </row>
    <row r="47" spans="2:9">
      <c r="B47" s="248" t="s">
        <v>647</v>
      </c>
      <c r="C47" s="248" t="s">
        <v>161</v>
      </c>
      <c r="D47" s="106">
        <v>20966.712641479997</v>
      </c>
      <c r="E47" s="107">
        <f t="shared" si="0"/>
        <v>7.9731313561722092E-4</v>
      </c>
      <c r="F47" s="265">
        <v>6.1860161184927043E-3</v>
      </c>
      <c r="G47" s="265">
        <v>9.8420000000000007E-2</v>
      </c>
      <c r="H47" s="108">
        <f t="shared" si="1"/>
        <v>0.10491042997168373</v>
      </c>
      <c r="I47" s="109">
        <f t="shared" si="2"/>
        <v>8.3646463879674031E-5</v>
      </c>
    </row>
    <row r="48" spans="2:9">
      <c r="B48" s="248" t="s">
        <v>648</v>
      </c>
      <c r="C48" s="248" t="s">
        <v>162</v>
      </c>
      <c r="D48" s="106">
        <v>4220.8068258999992</v>
      </c>
      <c r="E48" s="107">
        <f t="shared" si="0"/>
        <v>1.6050702762697604E-4</v>
      </c>
      <c r="F48" s="265">
        <v>1.5356928614277145E-2</v>
      </c>
      <c r="G48" s="265">
        <v>5.8630000000000002E-2</v>
      </c>
      <c r="H48" s="108">
        <f t="shared" si="1"/>
        <v>7.4437116976604684E-2</v>
      </c>
      <c r="I48" s="109">
        <f t="shared" si="2"/>
        <v>1.1947680391036336E-5</v>
      </c>
    </row>
    <row r="49" spans="2:9">
      <c r="B49" s="248" t="s">
        <v>649</v>
      </c>
      <c r="C49" s="248" t="s">
        <v>163</v>
      </c>
      <c r="D49" s="106">
        <v>116048.18346922001</v>
      </c>
      <c r="E49" s="107">
        <f t="shared" si="0"/>
        <v>4.4130304367063179E-3</v>
      </c>
      <c r="F49" s="265">
        <v>2.990543124386337E-2</v>
      </c>
      <c r="G49" s="265">
        <v>6.4670000000000005E-2</v>
      </c>
      <c r="H49" s="108">
        <f t="shared" si="1"/>
        <v>9.5542423363133705E-2</v>
      </c>
      <c r="I49" s="109">
        <f t="shared" si="2"/>
        <v>4.2163162229818987E-4</v>
      </c>
    </row>
    <row r="50" spans="2:9">
      <c r="B50" s="248" t="s">
        <v>650</v>
      </c>
      <c r="C50" s="248" t="s">
        <v>164</v>
      </c>
      <c r="D50" s="106">
        <v>19251.030250199998</v>
      </c>
      <c r="E50" s="107">
        <f t="shared" si="0"/>
        <v>7.3206990314173882E-4</v>
      </c>
      <c r="F50" s="265">
        <v>2.5853161114887831E-2</v>
      </c>
      <c r="G50" s="265">
        <v>3.2000000000000001E-2</v>
      </c>
      <c r="H50" s="108">
        <f t="shared" si="1"/>
        <v>5.8266811692726038E-2</v>
      </c>
      <c r="I50" s="109">
        <f t="shared" si="2"/>
        <v>4.2655379192271886E-5</v>
      </c>
    </row>
    <row r="51" spans="2:9">
      <c r="B51" s="248" t="s">
        <v>651</v>
      </c>
      <c r="C51" s="248" t="s">
        <v>165</v>
      </c>
      <c r="D51" s="106">
        <v>97890.956605259998</v>
      </c>
      <c r="E51" s="107">
        <f t="shared" si="0"/>
        <v>3.7225552185561782E-3</v>
      </c>
      <c r="F51" s="265">
        <v>1.7012617012617012E-2</v>
      </c>
      <c r="G51" s="265">
        <v>0.19952999999999999</v>
      </c>
      <c r="H51" s="108">
        <f t="shared" si="1"/>
        <v>0.21823988074888073</v>
      </c>
      <c r="I51" s="109">
        <f t="shared" si="2"/>
        <v>8.1241000697882394E-4</v>
      </c>
    </row>
    <row r="52" spans="2:9">
      <c r="B52" s="248" t="s">
        <v>652</v>
      </c>
      <c r="C52" s="248" t="s">
        <v>166</v>
      </c>
      <c r="D52" s="106">
        <v>858678.32299865014</v>
      </c>
      <c r="E52" s="107">
        <f t="shared" si="0"/>
        <v>3.2653450157089745E-2</v>
      </c>
      <c r="F52" s="265">
        <v>0</v>
      </c>
      <c r="G52" s="265">
        <v>0.44334000000000001</v>
      </c>
      <c r="H52" s="108">
        <f t="shared" si="1"/>
        <v>0.44334000000000001</v>
      </c>
      <c r="I52" s="109">
        <f t="shared" si="2"/>
        <v>1.4476580592644167E-2</v>
      </c>
    </row>
    <row r="53" spans="2:9">
      <c r="B53" s="248" t="s">
        <v>653</v>
      </c>
      <c r="C53" s="248" t="s">
        <v>654</v>
      </c>
      <c r="D53" s="106">
        <v>18311.856633839998</v>
      </c>
      <c r="E53" s="107">
        <f t="shared" si="0"/>
        <v>6.9635541257026415E-4</v>
      </c>
      <c r="F53" s="265">
        <v>0</v>
      </c>
      <c r="G53" s="265">
        <v>0.21388000000000001</v>
      </c>
      <c r="H53" s="108">
        <f t="shared" si="1"/>
        <v>0.21388000000000001</v>
      </c>
      <c r="I53" s="109">
        <f t="shared" si="2"/>
        <v>1.4893649564052812E-4</v>
      </c>
    </row>
    <row r="54" spans="2:9">
      <c r="B54" s="248" t="s">
        <v>655</v>
      </c>
      <c r="C54" s="248" t="s">
        <v>167</v>
      </c>
      <c r="D54" s="106">
        <v>18616.545783120004</v>
      </c>
      <c r="E54" s="107">
        <f t="shared" si="0"/>
        <v>7.079420005659604E-4</v>
      </c>
      <c r="F54" s="265">
        <v>0</v>
      </c>
      <c r="G54" s="265">
        <v>0.115</v>
      </c>
      <c r="H54" s="108">
        <f t="shared" si="1"/>
        <v>0.115</v>
      </c>
      <c r="I54" s="109">
        <f t="shared" si="2"/>
        <v>8.1413330065085453E-5</v>
      </c>
    </row>
    <row r="55" spans="2:9">
      <c r="B55" s="248" t="s">
        <v>656</v>
      </c>
      <c r="C55" s="248" t="s">
        <v>168</v>
      </c>
      <c r="D55" s="106">
        <v>61421.7106804</v>
      </c>
      <c r="E55" s="107">
        <f t="shared" si="0"/>
        <v>2.3357184111293572E-3</v>
      </c>
      <c r="F55" s="265">
        <v>1.144106622240733E-2</v>
      </c>
      <c r="G55" s="265">
        <v>0.14133000000000001</v>
      </c>
      <c r="H55" s="108">
        <f t="shared" si="1"/>
        <v>0.15357954916701375</v>
      </c>
      <c r="I55" s="109">
        <f t="shared" si="2"/>
        <v>3.5871858056234034E-4</v>
      </c>
    </row>
    <row r="56" spans="2:9">
      <c r="B56" s="248" t="s">
        <v>657</v>
      </c>
      <c r="C56" s="248" t="s">
        <v>169</v>
      </c>
      <c r="D56" s="106">
        <v>45651.913873019999</v>
      </c>
      <c r="E56" s="107">
        <f t="shared" si="0"/>
        <v>1.7360313569144982E-3</v>
      </c>
      <c r="F56" s="265">
        <v>8.9011727023815684E-3</v>
      </c>
      <c r="G56" s="265">
        <v>0.10894999999999999</v>
      </c>
      <c r="H56" s="108">
        <f t="shared" si="1"/>
        <v>0.11833606408534379</v>
      </c>
      <c r="I56" s="109">
        <f t="shared" si="2"/>
        <v>2.0543511790600041E-4</v>
      </c>
    </row>
    <row r="57" spans="2:9">
      <c r="B57" s="248" t="s">
        <v>658</v>
      </c>
      <c r="C57" s="248" t="s">
        <v>170</v>
      </c>
      <c r="D57" s="106">
        <v>7843.6870250700013</v>
      </c>
      <c r="E57" s="107">
        <f t="shared" si="0"/>
        <v>2.9827635851631656E-4</v>
      </c>
      <c r="F57" s="265">
        <v>1.9073569482288829E-2</v>
      </c>
      <c r="G57" s="265">
        <v>0.08</v>
      </c>
      <c r="H57" s="108">
        <f t="shared" si="1"/>
        <v>9.9836512261580385E-2</v>
      </c>
      <c r="I57" s="109">
        <f t="shared" si="2"/>
        <v>2.9778871324353786E-5</v>
      </c>
    </row>
    <row r="58" spans="2:9">
      <c r="B58" s="248" t="s">
        <v>659</v>
      </c>
      <c r="C58" s="248" t="s">
        <v>171</v>
      </c>
      <c r="D58" s="106">
        <v>9624.5498112000005</v>
      </c>
      <c r="E58" s="107">
        <f t="shared" si="0"/>
        <v>3.6599824302882837E-4</v>
      </c>
      <c r="F58" s="265">
        <v>3.9023437500000001E-2</v>
      </c>
      <c r="G58" s="265">
        <v>-8.5699999999999998E-2</v>
      </c>
      <c r="H58" s="108">
        <f t="shared" si="1"/>
        <v>-4.8348716796874996E-2</v>
      </c>
      <c r="I58" s="109">
        <f t="shared" si="2"/>
        <v>-1.7695545400354652E-5</v>
      </c>
    </row>
    <row r="59" spans="2:9">
      <c r="B59" s="248" t="s">
        <v>660</v>
      </c>
      <c r="C59" s="248" t="s">
        <v>172</v>
      </c>
      <c r="D59" s="106">
        <v>48887.991138539997</v>
      </c>
      <c r="E59" s="107">
        <f t="shared" si="0"/>
        <v>1.8590915121134022E-3</v>
      </c>
      <c r="F59" s="265">
        <v>2.0530965473722164E-2</v>
      </c>
      <c r="G59" s="265">
        <v>0.12710000000000002</v>
      </c>
      <c r="H59" s="108">
        <f t="shared" si="1"/>
        <v>0.14893570832957723</v>
      </c>
      <c r="I59" s="109">
        <f t="shared" si="2"/>
        <v>2.7688511120611435E-4</v>
      </c>
    </row>
    <row r="60" spans="2:9">
      <c r="B60" s="248" t="s">
        <v>661</v>
      </c>
      <c r="C60" s="248" t="s">
        <v>173</v>
      </c>
      <c r="D60" s="106">
        <v>28703.749176999998</v>
      </c>
      <c r="E60" s="107">
        <f t="shared" si="0"/>
        <v>1.0915338351615155E-3</v>
      </c>
      <c r="F60" s="265">
        <v>9.5336787564766837E-3</v>
      </c>
      <c r="G60" s="265">
        <v>8.6730000000000002E-2</v>
      </c>
      <c r="H60" s="108">
        <f t="shared" si="1"/>
        <v>9.6677106735751292E-2</v>
      </c>
      <c r="I60" s="109">
        <f t="shared" si="2"/>
        <v>1.0552633308759378E-4</v>
      </c>
    </row>
    <row r="61" spans="2:9">
      <c r="B61" s="248" t="s">
        <v>662</v>
      </c>
      <c r="C61" s="248" t="s">
        <v>174</v>
      </c>
      <c r="D61" s="106">
        <v>22396.370816939998</v>
      </c>
      <c r="E61" s="107">
        <f t="shared" si="0"/>
        <v>8.5167956216334944E-4</v>
      </c>
      <c r="F61" s="265">
        <v>1.0260809883321896E-2</v>
      </c>
      <c r="G61" s="265">
        <v>5.9950000000000003E-2</v>
      </c>
      <c r="H61" s="108">
        <f t="shared" si="1"/>
        <v>7.0518377659574472E-2</v>
      </c>
      <c r="I61" s="109">
        <f t="shared" si="2"/>
        <v>6.005906100957611E-5</v>
      </c>
    </row>
    <row r="62" spans="2:9">
      <c r="B62" s="248" t="s">
        <v>663</v>
      </c>
      <c r="C62" s="248" t="s">
        <v>175</v>
      </c>
      <c r="D62" s="106">
        <v>17470.83339444</v>
      </c>
      <c r="E62" s="107">
        <f t="shared" si="0"/>
        <v>6.6437334234308184E-4</v>
      </c>
      <c r="F62" s="265">
        <v>2.5798493897688915E-2</v>
      </c>
      <c r="G62" s="265">
        <v>4.7700000000000006E-2</v>
      </c>
      <c r="H62" s="108">
        <f t="shared" si="1"/>
        <v>7.4113787977148793E-2</v>
      </c>
      <c r="I62" s="109">
        <f t="shared" si="2"/>
        <v>4.9239225032084859E-5</v>
      </c>
    </row>
    <row r="63" spans="2:9">
      <c r="B63" s="248" t="s">
        <v>664</v>
      </c>
      <c r="C63" s="248" t="s">
        <v>176</v>
      </c>
      <c r="D63" s="106">
        <v>11444.897464</v>
      </c>
      <c r="E63" s="107">
        <f t="shared" si="0"/>
        <v>4.352216410781739E-4</v>
      </c>
      <c r="F63" s="265">
        <v>4.0769230769230769E-3</v>
      </c>
      <c r="G63" s="265">
        <v>0.109</v>
      </c>
      <c r="H63" s="108">
        <f t="shared" si="1"/>
        <v>0.11329911538461539</v>
      </c>
      <c r="I63" s="109">
        <f t="shared" si="2"/>
        <v>4.9310226930397691E-5</v>
      </c>
    </row>
    <row r="64" spans="2:9">
      <c r="B64" s="248" t="s">
        <v>1116</v>
      </c>
      <c r="C64" s="248" t="s">
        <v>34</v>
      </c>
      <c r="D64" s="106">
        <v>13461.87647021</v>
      </c>
      <c r="E64" s="107">
        <f t="shared" si="0"/>
        <v>5.1192245171139891E-4</v>
      </c>
      <c r="F64" s="265">
        <v>1.8438844499078056E-2</v>
      </c>
      <c r="G64" s="265">
        <v>7.4999999999999997E-2</v>
      </c>
      <c r="H64" s="108">
        <f t="shared" si="1"/>
        <v>9.4130301167793487E-2</v>
      </c>
      <c r="I64" s="109">
        <f t="shared" si="2"/>
        <v>4.8187414554149199E-5</v>
      </c>
    </row>
    <row r="65" spans="2:9">
      <c r="B65" s="248" t="s">
        <v>665</v>
      </c>
      <c r="C65" s="248" t="s">
        <v>177</v>
      </c>
      <c r="D65" s="106">
        <v>40591.012744799998</v>
      </c>
      <c r="E65" s="107">
        <f t="shared" si="0"/>
        <v>1.5435775842803066E-3</v>
      </c>
      <c r="F65" s="265">
        <v>6.9160997732426299E-3</v>
      </c>
      <c r="G65" s="265">
        <v>7.0949999999999999E-2</v>
      </c>
      <c r="H65" s="108">
        <f t="shared" si="1"/>
        <v>7.8111448412698417E-2</v>
      </c>
      <c r="I65" s="109">
        <f t="shared" si="2"/>
        <v>1.2057108084550882E-4</v>
      </c>
    </row>
    <row r="66" spans="2:9">
      <c r="B66" s="248" t="s">
        <v>666</v>
      </c>
      <c r="C66" s="248" t="s">
        <v>178</v>
      </c>
      <c r="D66" s="106">
        <v>30072.329536190005</v>
      </c>
      <c r="E66" s="107">
        <f t="shared" si="0"/>
        <v>1.1435776207653278E-3</v>
      </c>
      <c r="F66" s="265">
        <v>2.8175358751683463E-2</v>
      </c>
      <c r="G66" s="265">
        <v>6.6830000000000001E-2</v>
      </c>
      <c r="H66" s="108">
        <f t="shared" si="1"/>
        <v>9.594683836437097E-2</v>
      </c>
      <c r="I66" s="109">
        <f t="shared" si="2"/>
        <v>1.0972265713668283E-4</v>
      </c>
    </row>
    <row r="67" spans="2:9">
      <c r="B67" s="248" t="s">
        <v>667</v>
      </c>
      <c r="C67" s="248" t="s">
        <v>179</v>
      </c>
      <c r="D67" s="106">
        <v>109508.90030210999</v>
      </c>
      <c r="E67" s="107">
        <f t="shared" si="0"/>
        <v>4.1643573873918326E-3</v>
      </c>
      <c r="F67" s="265">
        <v>3.75955373637121E-2</v>
      </c>
      <c r="G67" s="265">
        <v>0.13482000000000002</v>
      </c>
      <c r="H67" s="108">
        <f t="shared" si="1"/>
        <v>0.17494985253739995</v>
      </c>
      <c r="I67" s="109">
        <f t="shared" si="2"/>
        <v>7.2855371083723321E-4</v>
      </c>
    </row>
    <row r="68" spans="2:9">
      <c r="B68" s="248" t="s">
        <v>668</v>
      </c>
      <c r="C68" s="248" t="s">
        <v>180</v>
      </c>
      <c r="D68" s="106">
        <v>9561.7891294099991</v>
      </c>
      <c r="E68" s="107">
        <f t="shared" si="0"/>
        <v>3.6361160679991073E-4</v>
      </c>
      <c r="F68" s="265">
        <v>1.964427225499692E-2</v>
      </c>
      <c r="G68" s="265">
        <v>4.9500000000000002E-2</v>
      </c>
      <c r="H68" s="108">
        <f t="shared" si="1"/>
        <v>6.9630467993308104E-2</v>
      </c>
      <c r="I68" s="109">
        <f t="shared" si="2"/>
        <v>2.5318446349276516E-5</v>
      </c>
    </row>
    <row r="69" spans="2:9">
      <c r="B69" s="248" t="s">
        <v>669</v>
      </c>
      <c r="C69" s="248" t="s">
        <v>181</v>
      </c>
      <c r="D69" s="106">
        <v>22442.48256063</v>
      </c>
      <c r="E69" s="107">
        <f t="shared" si="0"/>
        <v>8.5343307973088261E-4</v>
      </c>
      <c r="F69" s="265">
        <v>1.5873782500201238E-2</v>
      </c>
      <c r="G69" s="265">
        <v>8.7529999999999997E-2</v>
      </c>
      <c r="H69" s="108">
        <f t="shared" si="1"/>
        <v>0.10409849859132254</v>
      </c>
      <c r="I69" s="109">
        <f t="shared" si="2"/>
        <v>8.8841102248153343E-5</v>
      </c>
    </row>
    <row r="70" spans="2:9">
      <c r="B70" s="248" t="s">
        <v>670</v>
      </c>
      <c r="C70" s="248" t="s">
        <v>182</v>
      </c>
      <c r="D70" s="106">
        <v>98133.803698360003</v>
      </c>
      <c r="E70" s="107">
        <f t="shared" si="0"/>
        <v>3.7317901034227751E-3</v>
      </c>
      <c r="F70" s="265">
        <v>1.3823131552248902E-2</v>
      </c>
      <c r="G70" s="265">
        <v>9.3550000000000008E-2</v>
      </c>
      <c r="H70" s="108">
        <f t="shared" si="1"/>
        <v>0.10801970853060536</v>
      </c>
      <c r="I70" s="109">
        <f t="shared" si="2"/>
        <v>4.031068792691258E-4</v>
      </c>
    </row>
    <row r="71" spans="2:9">
      <c r="B71" s="248" t="s">
        <v>671</v>
      </c>
      <c r="C71" s="248" t="s">
        <v>183</v>
      </c>
      <c r="D71" s="106">
        <v>26604.324017099996</v>
      </c>
      <c r="E71" s="107">
        <f t="shared" si="0"/>
        <v>1.0116977976359211E-3</v>
      </c>
      <c r="F71" s="265">
        <v>0</v>
      </c>
      <c r="G71" s="265">
        <v>0.11258000000000001</v>
      </c>
      <c r="H71" s="108">
        <f t="shared" si="1"/>
        <v>0.11258000000000001</v>
      </c>
      <c r="I71" s="109">
        <f t="shared" si="2"/>
        <v>1.1389693805785201E-4</v>
      </c>
    </row>
    <row r="72" spans="2:9">
      <c r="B72" s="248" t="s">
        <v>672</v>
      </c>
      <c r="C72" s="248" t="s">
        <v>184</v>
      </c>
      <c r="D72" s="106">
        <v>214094.27674376001</v>
      </c>
      <c r="E72" s="107">
        <f t="shared" si="0"/>
        <v>8.1414851258351083E-3</v>
      </c>
      <c r="F72" s="265">
        <v>2.1207979604173786E-2</v>
      </c>
      <c r="G72" s="265">
        <v>7.9300000000000009E-2</v>
      </c>
      <c r="H72" s="108">
        <f t="shared" si="1"/>
        <v>0.10134887599547929</v>
      </c>
      <c r="I72" s="109">
        <f t="shared" si="2"/>
        <v>8.2513036643730149E-4</v>
      </c>
    </row>
    <row r="73" spans="2:9">
      <c r="B73" s="248" t="s">
        <v>673</v>
      </c>
      <c r="C73" s="248" t="s">
        <v>185</v>
      </c>
      <c r="D73" s="106">
        <v>271523.12663512002</v>
      </c>
      <c r="E73" s="107">
        <f t="shared" si="0"/>
        <v>1.0325364743242733E-2</v>
      </c>
      <c r="F73" s="265">
        <v>2.2625985601645526E-2</v>
      </c>
      <c r="G73" s="265">
        <v>8.8000000000000009E-2</v>
      </c>
      <c r="H73" s="108">
        <f t="shared" si="1"/>
        <v>0.11162152896811794</v>
      </c>
      <c r="I73" s="109">
        <f t="shared" si="2"/>
        <v>1.1525329997942523E-3</v>
      </c>
    </row>
    <row r="74" spans="2:9">
      <c r="B74" s="248" t="s">
        <v>674</v>
      </c>
      <c r="C74" s="248" t="s">
        <v>186</v>
      </c>
      <c r="D74" s="106">
        <v>44658.321861429999</v>
      </c>
      <c r="E74" s="107">
        <f t="shared" si="0"/>
        <v>1.6982474670014095E-3</v>
      </c>
      <c r="F74" s="265">
        <v>9.5461301017491715E-3</v>
      </c>
      <c r="G74" s="265">
        <v>0.11960000000000001</v>
      </c>
      <c r="H74" s="108">
        <f t="shared" si="1"/>
        <v>0.12971698868183379</v>
      </c>
      <c r="I74" s="109">
        <f t="shared" si="2"/>
        <v>2.2029154745597474E-4</v>
      </c>
    </row>
    <row r="75" spans="2:9">
      <c r="B75" s="248" t="s">
        <v>675</v>
      </c>
      <c r="C75" s="248" t="s">
        <v>187</v>
      </c>
      <c r="D75" s="106">
        <v>40890.172306410001</v>
      </c>
      <c r="E75" s="107">
        <f t="shared" si="0"/>
        <v>1.5549538954930265E-3</v>
      </c>
      <c r="F75" s="265">
        <v>3.1928049465992134E-2</v>
      </c>
      <c r="G75" s="265">
        <v>7.2400000000000006E-2</v>
      </c>
      <c r="H75" s="108">
        <f t="shared" si="1"/>
        <v>0.10548384485666105</v>
      </c>
      <c r="I75" s="109">
        <f t="shared" si="2"/>
        <v>1.6402251547144715E-4</v>
      </c>
    </row>
    <row r="76" spans="2:9">
      <c r="B76" s="248" t="s">
        <v>676</v>
      </c>
      <c r="C76" s="248" t="s">
        <v>188</v>
      </c>
      <c r="D76" s="106">
        <v>18183.919069420001</v>
      </c>
      <c r="E76" s="107">
        <f t="shared" si="0"/>
        <v>6.9149025786550934E-4</v>
      </c>
      <c r="F76" s="265">
        <v>2.8989708653428033E-2</v>
      </c>
      <c r="G76" s="265">
        <v>6.6020000000000009E-2</v>
      </c>
      <c r="H76" s="108">
        <f t="shared" si="1"/>
        <v>9.5966658936077698E-2</v>
      </c>
      <c r="I76" s="109">
        <f t="shared" si="2"/>
        <v>6.6360009734199756E-5</v>
      </c>
    </row>
    <row r="77" spans="2:9">
      <c r="B77" s="248" t="s">
        <v>677</v>
      </c>
      <c r="C77" s="248" t="s">
        <v>189</v>
      </c>
      <c r="D77" s="106">
        <v>68287.599507360006</v>
      </c>
      <c r="E77" s="107">
        <f t="shared" ref="E77:E140" si="3">IF(OR(H77="N/A",D77="N/A"),"N/A",D77/$D$513)</f>
        <v>2.5968114800825029E-3</v>
      </c>
      <c r="F77" s="265">
        <v>1.3559456040480708E-2</v>
      </c>
      <c r="G77" s="265">
        <v>0.12189999999999999</v>
      </c>
      <c r="H77" s="108">
        <f t="shared" ref="H77:H140" si="4">IFERROR(F77*(1+0.5*G77)+G77,"N/A")</f>
        <v>0.136285904886148</v>
      </c>
      <c r="I77" s="109">
        <f t="shared" ref="I77:I140" si="5">IF(AND(ISNUMBER(D77),ISNUMBER(H77)),E77*H77,"N/A")</f>
        <v>3.5390880238178119E-4</v>
      </c>
    </row>
    <row r="78" spans="2:9">
      <c r="B78" s="248" t="s">
        <v>678</v>
      </c>
      <c r="C78" s="248" t="s">
        <v>190</v>
      </c>
      <c r="D78" s="106">
        <v>14535.81758538</v>
      </c>
      <c r="E78" s="107">
        <f t="shared" si="3"/>
        <v>5.5276182279670818E-4</v>
      </c>
      <c r="F78" s="265">
        <v>3.6036036036036036E-2</v>
      </c>
      <c r="G78" s="265">
        <v>0.1</v>
      </c>
      <c r="H78" s="108">
        <f t="shared" si="4"/>
        <v>0.13783783783783785</v>
      </c>
      <c r="I78" s="109">
        <f t="shared" si="5"/>
        <v>7.6191494493600326E-5</v>
      </c>
    </row>
    <row r="79" spans="2:9">
      <c r="B79" s="248" t="s">
        <v>679</v>
      </c>
      <c r="C79" s="248" t="s">
        <v>191</v>
      </c>
      <c r="D79" s="106">
        <v>29467.722618290001</v>
      </c>
      <c r="E79" s="107">
        <f t="shared" si="3"/>
        <v>1.1205858887866572E-3</v>
      </c>
      <c r="F79" s="265">
        <v>1.1054475947754064E-2</v>
      </c>
      <c r="G79" s="265">
        <v>6.4399999999999999E-2</v>
      </c>
      <c r="H79" s="108">
        <f t="shared" si="4"/>
        <v>7.5810430073271748E-2</v>
      </c>
      <c r="I79" s="109">
        <f t="shared" si="5"/>
        <v>8.495209816295595E-5</v>
      </c>
    </row>
    <row r="80" spans="2:9">
      <c r="B80" s="248" t="s">
        <v>680</v>
      </c>
      <c r="C80" s="248" t="s">
        <v>192</v>
      </c>
      <c r="D80" s="106">
        <v>23816.378226399996</v>
      </c>
      <c r="E80" s="107">
        <f t="shared" si="3"/>
        <v>9.0567899352849074E-4</v>
      </c>
      <c r="F80" s="265">
        <v>2.9525862068965517E-2</v>
      </c>
      <c r="G80" s="265">
        <v>0.32286999999999999</v>
      </c>
      <c r="H80" s="108">
        <f t="shared" si="4"/>
        <v>0.35716236961206893</v>
      </c>
      <c r="I80" s="109">
        <f t="shared" si="5"/>
        <v>3.2347445543650939E-4</v>
      </c>
    </row>
    <row r="81" spans="2:9">
      <c r="B81" s="248" t="s">
        <v>681</v>
      </c>
      <c r="C81" s="248" t="s">
        <v>193</v>
      </c>
      <c r="D81" s="106">
        <v>42943.001294759997</v>
      </c>
      <c r="E81" s="107">
        <f t="shared" si="3"/>
        <v>1.6330179938366632E-3</v>
      </c>
      <c r="F81" s="265">
        <v>0</v>
      </c>
      <c r="G81" s="265">
        <v>3.3329999999999999E-2</v>
      </c>
      <c r="H81" s="108">
        <f t="shared" si="4"/>
        <v>3.3329999999999999E-2</v>
      </c>
      <c r="I81" s="109">
        <f t="shared" si="5"/>
        <v>5.442848973457598E-5</v>
      </c>
    </row>
    <row r="82" spans="2:9">
      <c r="B82" s="248" t="s">
        <v>682</v>
      </c>
      <c r="C82" s="248" t="s">
        <v>194</v>
      </c>
      <c r="D82" s="106">
        <v>42617.75024067</v>
      </c>
      <c r="E82" s="107">
        <f t="shared" si="3"/>
        <v>1.6206494865635556E-3</v>
      </c>
      <c r="F82" s="265">
        <v>2.61004202610042E-2</v>
      </c>
      <c r="G82" s="265">
        <v>6.4670000000000005E-2</v>
      </c>
      <c r="H82" s="108">
        <f t="shared" si="4"/>
        <v>9.1614377350143772E-2</v>
      </c>
      <c r="I82" s="109">
        <f t="shared" si="5"/>
        <v>1.4847479361435034E-4</v>
      </c>
    </row>
    <row r="83" spans="2:9">
      <c r="B83" s="248" t="s">
        <v>683</v>
      </c>
      <c r="C83" s="248" t="s">
        <v>195</v>
      </c>
      <c r="D83" s="106">
        <v>83434.285946829987</v>
      </c>
      <c r="E83" s="107">
        <f t="shared" si="3"/>
        <v>3.1728031610755696E-3</v>
      </c>
      <c r="F83" s="265">
        <v>0</v>
      </c>
      <c r="G83" s="265">
        <v>0.19033</v>
      </c>
      <c r="H83" s="108">
        <f t="shared" si="4"/>
        <v>0.19033</v>
      </c>
      <c r="I83" s="109">
        <f t="shared" si="5"/>
        <v>6.0387962564751316E-4</v>
      </c>
    </row>
    <row r="84" spans="2:9">
      <c r="B84" s="248" t="s">
        <v>684</v>
      </c>
      <c r="C84" s="248" t="s">
        <v>196</v>
      </c>
      <c r="D84" s="106">
        <v>69315.036779560003</v>
      </c>
      <c r="E84" s="107">
        <f t="shared" si="3"/>
        <v>2.6358824230174062E-3</v>
      </c>
      <c r="F84" s="265">
        <v>2.9876133201687461E-2</v>
      </c>
      <c r="G84" s="265">
        <v>8.8200000000000001E-2</v>
      </c>
      <c r="H84" s="108">
        <f t="shared" si="4"/>
        <v>0.11939367067588189</v>
      </c>
      <c r="I84" s="109">
        <f t="shared" si="5"/>
        <v>3.1470767795408578E-4</v>
      </c>
    </row>
    <row r="85" spans="2:9">
      <c r="B85" s="248" t="s">
        <v>685</v>
      </c>
      <c r="C85" s="248" t="s">
        <v>197</v>
      </c>
      <c r="D85" s="106">
        <v>24173.23213647</v>
      </c>
      <c r="E85" s="107">
        <f t="shared" si="3"/>
        <v>9.1924928062405982E-4</v>
      </c>
      <c r="F85" s="265">
        <v>6.8534541958522174E-3</v>
      </c>
      <c r="G85" s="265">
        <v>6.7000000000000004E-2</v>
      </c>
      <c r="H85" s="108">
        <f t="shared" si="4"/>
        <v>7.4083044911413265E-2</v>
      </c>
      <c r="I85" s="109">
        <f t="shared" si="5"/>
        <v>6.8100785741256553E-5</v>
      </c>
    </row>
    <row r="86" spans="2:9">
      <c r="B86" s="248" t="s">
        <v>686</v>
      </c>
      <c r="C86" s="248" t="s">
        <v>198</v>
      </c>
      <c r="D86" s="106">
        <v>82949.720736300005</v>
      </c>
      <c r="E86" s="107">
        <f t="shared" si="3"/>
        <v>3.1543763235438562E-3</v>
      </c>
      <c r="F86" s="265">
        <v>3.245908104910275E-2</v>
      </c>
      <c r="G86" s="265">
        <v>7.9600000000000004E-2</v>
      </c>
      <c r="H86" s="108">
        <f t="shared" si="4"/>
        <v>0.11335095247485705</v>
      </c>
      <c r="I86" s="109">
        <f t="shared" si="5"/>
        <v>3.5755156073783394E-4</v>
      </c>
    </row>
    <row r="87" spans="2:9">
      <c r="B87" s="248" t="s">
        <v>687</v>
      </c>
      <c r="C87" s="248" t="s">
        <v>688</v>
      </c>
      <c r="D87" s="106">
        <v>14220.199845040002</v>
      </c>
      <c r="E87" s="107">
        <f t="shared" si="3"/>
        <v>5.4075964703792685E-4</v>
      </c>
      <c r="F87" s="265">
        <v>1.7214498111387928E-2</v>
      </c>
      <c r="G87" s="265">
        <v>7.8E-2</v>
      </c>
      <c r="H87" s="108">
        <f t="shared" si="4"/>
        <v>9.5885863537732055E-2</v>
      </c>
      <c r="I87" s="109">
        <f t="shared" si="5"/>
        <v>5.1851205722590807E-5</v>
      </c>
    </row>
    <row r="88" spans="2:9">
      <c r="B88" s="248" t="s">
        <v>689</v>
      </c>
      <c r="C88" s="248" t="s">
        <v>199</v>
      </c>
      <c r="D88" s="106">
        <v>509730.09216546</v>
      </c>
      <c r="E88" s="107">
        <f t="shared" si="3"/>
        <v>1.9383796833217337E-2</v>
      </c>
      <c r="F88" s="265">
        <v>0</v>
      </c>
      <c r="G88" s="265">
        <v>0.61799999999999999</v>
      </c>
      <c r="H88" s="108">
        <f t="shared" si="4"/>
        <v>0.61799999999999999</v>
      </c>
      <c r="I88" s="109">
        <f t="shared" si="5"/>
        <v>1.1979186442928315E-2</v>
      </c>
    </row>
    <row r="89" spans="2:9">
      <c r="B89" s="248" t="s">
        <v>690</v>
      </c>
      <c r="C89" s="248" t="s">
        <v>200</v>
      </c>
      <c r="D89" s="106">
        <v>56680.088703939997</v>
      </c>
      <c r="E89" s="107">
        <f t="shared" si="3"/>
        <v>2.1554060488335391E-3</v>
      </c>
      <c r="F89" s="265">
        <v>0</v>
      </c>
      <c r="G89" s="265">
        <v>8.8800000000000004E-2</v>
      </c>
      <c r="H89" s="108">
        <f t="shared" si="4"/>
        <v>8.8800000000000004E-2</v>
      </c>
      <c r="I89" s="109">
        <f t="shared" si="5"/>
        <v>1.9140005713641828E-4</v>
      </c>
    </row>
    <row r="90" spans="2:9">
      <c r="B90" s="248" t="s">
        <v>691</v>
      </c>
      <c r="C90" s="248" t="s">
        <v>201</v>
      </c>
      <c r="D90" s="106">
        <v>7574.9552345599996</v>
      </c>
      <c r="E90" s="107">
        <f t="shared" si="3"/>
        <v>2.8805714150336115E-4</v>
      </c>
      <c r="F90" s="265">
        <v>1.8565976008724103E-2</v>
      </c>
      <c r="G90" s="265">
        <v>1.933E-2</v>
      </c>
      <c r="H90" s="108">
        <f t="shared" si="4"/>
        <v>3.8075416166848425E-2</v>
      </c>
      <c r="I90" s="109">
        <f t="shared" si="5"/>
        <v>1.0967895542573221E-5</v>
      </c>
    </row>
    <row r="91" spans="2:9">
      <c r="B91" s="248" t="s">
        <v>692</v>
      </c>
      <c r="C91" s="248" t="s">
        <v>202</v>
      </c>
      <c r="D91" s="106">
        <v>20041.254465000002</v>
      </c>
      <c r="E91" s="107">
        <f t="shared" si="3"/>
        <v>7.6212020989780901E-4</v>
      </c>
      <c r="F91" s="265">
        <v>2.9878142835107209E-2</v>
      </c>
      <c r="G91" s="265">
        <v>2.18E-2</v>
      </c>
      <c r="H91" s="108">
        <f t="shared" si="4"/>
        <v>5.2003814592009874E-2</v>
      </c>
      <c r="I91" s="109">
        <f t="shared" si="5"/>
        <v>3.9633158092349309E-5</v>
      </c>
    </row>
    <row r="92" spans="2:9">
      <c r="B92" s="248" t="s">
        <v>693</v>
      </c>
      <c r="C92" s="248" t="s">
        <v>203</v>
      </c>
      <c r="D92" s="106">
        <v>156055.62067127999</v>
      </c>
      <c r="E92" s="107">
        <f t="shared" si="3"/>
        <v>5.9344160611020293E-3</v>
      </c>
      <c r="F92" s="265">
        <v>2.7779386218876666E-2</v>
      </c>
      <c r="G92" s="265">
        <v>0.11645</v>
      </c>
      <c r="H92" s="108">
        <f t="shared" si="4"/>
        <v>0.14584684098147077</v>
      </c>
      <c r="I92" s="109">
        <f t="shared" si="5"/>
        <v>8.6551583558143377E-4</v>
      </c>
    </row>
    <row r="93" spans="2:9">
      <c r="B93" s="248" t="s">
        <v>694</v>
      </c>
      <c r="C93" s="248" t="s">
        <v>204</v>
      </c>
      <c r="D93" s="106">
        <v>14928.971296199999</v>
      </c>
      <c r="E93" s="107">
        <f t="shared" si="3"/>
        <v>5.6771250311143169E-4</v>
      </c>
      <c r="F93" s="265">
        <v>2.7966101694915254E-2</v>
      </c>
      <c r="G93" s="265">
        <v>7.6000000000000012E-2</v>
      </c>
      <c r="H93" s="108">
        <f t="shared" si="4"/>
        <v>0.10502881355932205</v>
      </c>
      <c r="I93" s="109">
        <f t="shared" si="5"/>
        <v>5.9626170644586597E-5</v>
      </c>
    </row>
    <row r="94" spans="2:9">
      <c r="B94" s="248" t="s">
        <v>695</v>
      </c>
      <c r="C94" s="248" t="s">
        <v>205</v>
      </c>
      <c r="D94" s="106">
        <v>13798.554669899999</v>
      </c>
      <c r="E94" s="107">
        <f t="shared" si="3"/>
        <v>5.2472550556533133E-4</v>
      </c>
      <c r="F94" s="265">
        <v>4.2678533587624502E-2</v>
      </c>
      <c r="G94" s="265">
        <v>2.487E-2</v>
      </c>
      <c r="H94" s="108">
        <f t="shared" si="4"/>
        <v>6.8079241152786615E-2</v>
      </c>
      <c r="I94" s="109">
        <f t="shared" si="5"/>
        <v>3.5722914232400065E-5</v>
      </c>
    </row>
    <row r="95" spans="2:9">
      <c r="B95" s="248" t="s">
        <v>696</v>
      </c>
      <c r="C95" s="248" t="s">
        <v>206</v>
      </c>
      <c r="D95" s="106">
        <v>71060.64071521</v>
      </c>
      <c r="E95" s="107">
        <f t="shared" si="3"/>
        <v>2.70226349912017E-3</v>
      </c>
      <c r="F95" s="265">
        <v>2.9736362916633681E-2</v>
      </c>
      <c r="G95" s="265">
        <v>0.13150000000000001</v>
      </c>
      <c r="H95" s="108">
        <f t="shared" si="4"/>
        <v>0.16319152877840234</v>
      </c>
      <c r="I95" s="109">
        <f t="shared" si="5"/>
        <v>4.4098651158349544E-4</v>
      </c>
    </row>
    <row r="96" spans="2:9">
      <c r="B96" s="248" t="s">
        <v>697</v>
      </c>
      <c r="C96" s="248" t="s">
        <v>207</v>
      </c>
      <c r="D96" s="106">
        <v>73576.195889759998</v>
      </c>
      <c r="E96" s="107">
        <f t="shared" si="3"/>
        <v>2.797923949965983E-3</v>
      </c>
      <c r="F96" s="265">
        <v>1.8706640237859267E-2</v>
      </c>
      <c r="G96" s="265">
        <v>0.10733000000000001</v>
      </c>
      <c r="H96" s="108">
        <f t="shared" si="4"/>
        <v>0.12704053208622398</v>
      </c>
      <c r="I96" s="109">
        <f t="shared" si="5"/>
        <v>3.5544974734046803E-4</v>
      </c>
    </row>
    <row r="97" spans="2:9">
      <c r="B97" s="248" t="s">
        <v>698</v>
      </c>
      <c r="C97" s="248" t="s">
        <v>208</v>
      </c>
      <c r="D97" s="106">
        <v>12833.397695059999</v>
      </c>
      <c r="E97" s="107">
        <f t="shared" si="3"/>
        <v>4.880229310067384E-4</v>
      </c>
      <c r="F97" s="265">
        <v>1.1661300147941868E-2</v>
      </c>
      <c r="G97" s="265">
        <v>0.1</v>
      </c>
      <c r="H97" s="108">
        <f t="shared" si="4"/>
        <v>0.11224436515533896</v>
      </c>
      <c r="I97" s="109">
        <f t="shared" si="5"/>
        <v>5.4777824072099141E-5</v>
      </c>
    </row>
    <row r="98" spans="2:9">
      <c r="B98" s="248" t="s">
        <v>699</v>
      </c>
      <c r="C98" s="248" t="s">
        <v>209</v>
      </c>
      <c r="D98" s="106">
        <v>17829.15434379</v>
      </c>
      <c r="E98" s="107">
        <f t="shared" si="3"/>
        <v>6.7799941737777176E-4</v>
      </c>
      <c r="F98" s="265">
        <v>0</v>
      </c>
      <c r="G98" s="265">
        <v>7.8E-2</v>
      </c>
      <c r="H98" s="108">
        <f t="shared" si="4"/>
        <v>7.8E-2</v>
      </c>
      <c r="I98" s="109">
        <f t="shared" si="5"/>
        <v>5.28839545554662E-5</v>
      </c>
    </row>
    <row r="99" spans="2:9">
      <c r="B99" s="248" t="s">
        <v>700</v>
      </c>
      <c r="C99" s="248" t="s">
        <v>210</v>
      </c>
      <c r="D99" s="106">
        <v>15193.2523482</v>
      </c>
      <c r="E99" s="107">
        <f t="shared" si="3"/>
        <v>5.7776246935351515E-4</v>
      </c>
      <c r="F99" s="265">
        <v>1.8602922962595986E-2</v>
      </c>
      <c r="G99" s="265">
        <v>7.6329999999999995E-2</v>
      </c>
      <c r="H99" s="108">
        <f t="shared" si="4"/>
        <v>9.5642903517463462E-2</v>
      </c>
      <c r="I99" s="109">
        <f t="shared" si="5"/>
        <v>5.5258880112389691E-5</v>
      </c>
    </row>
    <row r="100" spans="2:9">
      <c r="B100" s="248" t="s">
        <v>701</v>
      </c>
      <c r="C100" s="248" t="s">
        <v>211</v>
      </c>
      <c r="D100" s="106">
        <v>57794.139804679995</v>
      </c>
      <c r="E100" s="107">
        <f t="shared" si="3"/>
        <v>2.1977707052084992E-3</v>
      </c>
      <c r="F100" s="265">
        <v>3.2961657434716927E-2</v>
      </c>
      <c r="G100" s="265">
        <v>0.17066999999999999</v>
      </c>
      <c r="H100" s="108">
        <f t="shared" si="4"/>
        <v>0.20644444047190849</v>
      </c>
      <c r="I100" s="109">
        <f t="shared" si="5"/>
        <v>4.5371754352232038E-4</v>
      </c>
    </row>
    <row r="101" spans="2:9">
      <c r="B101" s="248" t="s">
        <v>702</v>
      </c>
      <c r="C101" s="248" t="s">
        <v>212</v>
      </c>
      <c r="D101" s="106">
        <v>29650.5903512191</v>
      </c>
      <c r="E101" s="107">
        <f t="shared" si="3"/>
        <v>1.1275399043272937E-3</v>
      </c>
      <c r="F101" s="265">
        <v>4.5870510180736679E-2</v>
      </c>
      <c r="G101" s="265">
        <v>8.4700000000000011E-2</v>
      </c>
      <c r="H101" s="108">
        <f t="shared" si="4"/>
        <v>0.13251312628689088</v>
      </c>
      <c r="I101" s="109">
        <f t="shared" si="5"/>
        <v>1.4941383773563153E-4</v>
      </c>
    </row>
    <row r="102" spans="2:9">
      <c r="B102" s="248" t="s">
        <v>703</v>
      </c>
      <c r="C102" s="248" t="s">
        <v>213</v>
      </c>
      <c r="D102" s="106">
        <v>18512.51024</v>
      </c>
      <c r="E102" s="107">
        <f t="shared" si="3"/>
        <v>7.0398578165272233E-4</v>
      </c>
      <c r="F102" s="265">
        <v>0</v>
      </c>
      <c r="G102" s="265">
        <v>0.10640000000000001</v>
      </c>
      <c r="H102" s="108">
        <f t="shared" si="4"/>
        <v>0.10640000000000001</v>
      </c>
      <c r="I102" s="109">
        <f t="shared" si="5"/>
        <v>7.4904087167849666E-5</v>
      </c>
    </row>
    <row r="103" spans="2:9">
      <c r="B103" s="248" t="s">
        <v>1195</v>
      </c>
      <c r="C103" s="248" t="s">
        <v>1196</v>
      </c>
      <c r="D103" s="106">
        <v>17834.62311384</v>
      </c>
      <c r="E103" s="107">
        <f t="shared" si="3"/>
        <v>6.7820738141443758E-4</v>
      </c>
      <c r="F103" s="265">
        <v>1.0077896786757547E-2</v>
      </c>
      <c r="G103" s="265">
        <v>0.13550000000000001</v>
      </c>
      <c r="H103" s="108">
        <f t="shared" si="4"/>
        <v>0.14626067429406037</v>
      </c>
      <c r="I103" s="109">
        <f t="shared" si="5"/>
        <v>9.9195068916884625E-5</v>
      </c>
    </row>
    <row r="104" spans="2:9">
      <c r="B104" s="248" t="s">
        <v>1112</v>
      </c>
      <c r="C104" s="248" t="s">
        <v>705</v>
      </c>
      <c r="D104" s="106">
        <v>15132.207279210001</v>
      </c>
      <c r="E104" s="107">
        <f t="shared" si="3"/>
        <v>5.7544107371068588E-4</v>
      </c>
      <c r="F104" s="265">
        <v>1.972360781748303E-2</v>
      </c>
      <c r="G104" s="265">
        <v>6.1330000000000003E-2</v>
      </c>
      <c r="H104" s="108">
        <f t="shared" si="4"/>
        <v>8.1658432251206142E-2</v>
      </c>
      <c r="I104" s="109">
        <f t="shared" si="5"/>
        <v>4.6989615932165365E-5</v>
      </c>
    </row>
    <row r="105" spans="2:9">
      <c r="B105" s="248" t="s">
        <v>704</v>
      </c>
      <c r="C105" s="248" t="s">
        <v>214</v>
      </c>
      <c r="D105" s="106">
        <v>70378.007117999994</v>
      </c>
      <c r="E105" s="107">
        <f t="shared" si="3"/>
        <v>2.6763046021211052E-3</v>
      </c>
      <c r="F105" s="265">
        <v>0</v>
      </c>
      <c r="G105" s="265">
        <v>0.161</v>
      </c>
      <c r="H105" s="108">
        <f t="shared" si="4"/>
        <v>0.161</v>
      </c>
      <c r="I105" s="109">
        <f t="shared" si="5"/>
        <v>4.3088504094149796E-4</v>
      </c>
    </row>
    <row r="106" spans="2:9">
      <c r="B106" s="248" t="s">
        <v>706</v>
      </c>
      <c r="C106" s="248" t="s">
        <v>215</v>
      </c>
      <c r="D106" s="106">
        <v>21704.915503330001</v>
      </c>
      <c r="E106" s="107">
        <f t="shared" si="3"/>
        <v>8.2538519672511264E-4</v>
      </c>
      <c r="F106" s="265">
        <v>2.8164881912864899E-3</v>
      </c>
      <c r="G106" s="265">
        <v>0.13553000000000001</v>
      </c>
      <c r="H106" s="108">
        <f t="shared" si="4"/>
        <v>0.13853734751356903</v>
      </c>
      <c r="I106" s="109">
        <f t="shared" si="5"/>
        <v>1.1434667583126246E-4</v>
      </c>
    </row>
    <row r="107" spans="2:9">
      <c r="B107" s="248" t="s">
        <v>707</v>
      </c>
      <c r="C107" s="248" t="s">
        <v>216</v>
      </c>
      <c r="D107" s="106">
        <v>10741.631278800001</v>
      </c>
      <c r="E107" s="107">
        <f t="shared" si="3"/>
        <v>4.0847813689211227E-4</v>
      </c>
      <c r="F107" s="265">
        <v>2.4410569105691057E-2</v>
      </c>
      <c r="G107" s="265">
        <v>0.19800000000000001</v>
      </c>
      <c r="H107" s="108">
        <f t="shared" si="4"/>
        <v>0.22482721544715448</v>
      </c>
      <c r="I107" s="109">
        <f t="shared" si="5"/>
        <v>9.1837002088495184E-5</v>
      </c>
    </row>
    <row r="108" spans="2:9">
      <c r="B108" s="248" t="s">
        <v>708</v>
      </c>
      <c r="C108" s="248" t="s">
        <v>217</v>
      </c>
      <c r="D108" s="106">
        <v>15813.45014166</v>
      </c>
      <c r="E108" s="107">
        <f t="shared" si="3"/>
        <v>6.0134708444611602E-4</v>
      </c>
      <c r="F108" s="265">
        <v>3.833757421543682E-2</v>
      </c>
      <c r="G108" s="265">
        <v>5.4199999999999998E-2</v>
      </c>
      <c r="H108" s="108">
        <f t="shared" si="4"/>
        <v>9.3576522476675153E-2</v>
      </c>
      <c r="I108" s="109">
        <f t="shared" si="5"/>
        <v>5.6271968963955049E-5</v>
      </c>
    </row>
    <row r="109" spans="2:9">
      <c r="B109" s="248" t="s">
        <v>709</v>
      </c>
      <c r="C109" s="248" t="s">
        <v>218</v>
      </c>
      <c r="D109" s="106">
        <v>18591.52741776</v>
      </c>
      <c r="E109" s="107">
        <f t="shared" si="3"/>
        <v>7.0699061292239926E-4</v>
      </c>
      <c r="F109" s="265">
        <v>1.2240829346092505E-2</v>
      </c>
      <c r="G109" s="265">
        <v>8.2200000000000009E-2</v>
      </c>
      <c r="H109" s="108">
        <f t="shared" si="4"/>
        <v>9.4943927432216912E-2</v>
      </c>
      <c r="I109" s="109">
        <f t="shared" si="5"/>
        <v>6.7124465448562833E-5</v>
      </c>
    </row>
    <row r="110" spans="2:9">
      <c r="B110" s="248" t="s">
        <v>710</v>
      </c>
      <c r="C110" s="248" t="s">
        <v>219</v>
      </c>
      <c r="D110" s="106">
        <v>11477.337005519999</v>
      </c>
      <c r="E110" s="107">
        <f t="shared" si="3"/>
        <v>4.3645523801869414E-4</v>
      </c>
      <c r="F110" s="265">
        <v>2.3767397971219628E-2</v>
      </c>
      <c r="G110" s="265">
        <v>8.6330000000000004E-2</v>
      </c>
      <c r="H110" s="108">
        <f t="shared" si="4"/>
        <v>0.11112331770464733</v>
      </c>
      <c r="I110" s="109">
        <f t="shared" si="5"/>
        <v>4.8500354078208817E-5</v>
      </c>
    </row>
    <row r="111" spans="2:9">
      <c r="B111" s="248" t="s">
        <v>711</v>
      </c>
      <c r="C111" s="248" t="s">
        <v>220</v>
      </c>
      <c r="D111" s="106">
        <v>101912.09585766001</v>
      </c>
      <c r="E111" s="107">
        <f t="shared" si="3"/>
        <v>3.8754693735268365E-3</v>
      </c>
      <c r="F111" s="265">
        <v>2.1595651751916918E-4</v>
      </c>
      <c r="G111" s="265">
        <v>0.29710000000000003</v>
      </c>
      <c r="H111" s="108">
        <f t="shared" si="4"/>
        <v>0.29734803685819666</v>
      </c>
      <c r="I111" s="109">
        <f t="shared" si="5"/>
        <v>1.1523632101222701E-3</v>
      </c>
    </row>
    <row r="112" spans="2:9">
      <c r="B112" s="248" t="s">
        <v>712</v>
      </c>
      <c r="C112" s="248" t="s">
        <v>221</v>
      </c>
      <c r="D112" s="106">
        <v>57317.311396879995</v>
      </c>
      <c r="E112" s="107">
        <f t="shared" si="3"/>
        <v>2.1796380794852732E-3</v>
      </c>
      <c r="F112" s="265">
        <v>3.9528295671651629E-4</v>
      </c>
      <c r="G112" s="265">
        <v>0.1124</v>
      </c>
      <c r="H112" s="108">
        <f t="shared" si="4"/>
        <v>0.11281749785888398</v>
      </c>
      <c r="I112" s="109">
        <f t="shared" si="5"/>
        <v>2.4590131436547178E-4</v>
      </c>
    </row>
    <row r="113" spans="2:9">
      <c r="B113" s="248" t="s">
        <v>713</v>
      </c>
      <c r="C113" s="248" t="s">
        <v>222</v>
      </c>
      <c r="D113" s="106">
        <v>19056.439120800002</v>
      </c>
      <c r="E113" s="107">
        <f t="shared" si="3"/>
        <v>7.2467007531950493E-4</v>
      </c>
      <c r="F113" s="265">
        <v>2.0596554384160456E-2</v>
      </c>
      <c r="G113" s="265">
        <v>0</v>
      </c>
      <c r="H113" s="108">
        <f t="shared" si="4"/>
        <v>2.0596554384160456E-2</v>
      </c>
      <c r="I113" s="109">
        <f t="shared" si="5"/>
        <v>1.4925706616891837E-5</v>
      </c>
    </row>
    <row r="114" spans="2:9">
      <c r="B114" s="248" t="s">
        <v>714</v>
      </c>
      <c r="C114" s="248" t="s">
        <v>223</v>
      </c>
      <c r="D114" s="106">
        <v>63072.053992480003</v>
      </c>
      <c r="E114" s="107">
        <f t="shared" si="3"/>
        <v>2.3984769571875598E-3</v>
      </c>
      <c r="F114" s="265">
        <v>2.3643041763025438E-2</v>
      </c>
      <c r="G114" s="265">
        <v>4.5200000000000004E-2</v>
      </c>
      <c r="H114" s="108">
        <f t="shared" si="4"/>
        <v>6.9377374506869816E-2</v>
      </c>
      <c r="I114" s="109">
        <f t="shared" si="5"/>
        <v>1.664000341048989E-4</v>
      </c>
    </row>
    <row r="115" spans="2:9">
      <c r="B115" s="248" t="s">
        <v>715</v>
      </c>
      <c r="C115" s="248" t="s">
        <v>224</v>
      </c>
      <c r="D115" s="106">
        <v>19054.703664000001</v>
      </c>
      <c r="E115" s="107">
        <f t="shared" si="3"/>
        <v>7.2460408011431482E-4</v>
      </c>
      <c r="F115" s="265">
        <v>2.6753144136432469E-2</v>
      </c>
      <c r="G115" s="265">
        <v>3.9100000000000003E-2</v>
      </c>
      <c r="H115" s="108">
        <f t="shared" si="4"/>
        <v>6.6376168104299721E-2</v>
      </c>
      <c r="I115" s="109">
        <f t="shared" si="5"/>
        <v>4.8096442230729224E-5</v>
      </c>
    </row>
    <row r="116" spans="2:9">
      <c r="B116" s="248" t="s">
        <v>716</v>
      </c>
      <c r="C116" s="248" t="s">
        <v>225</v>
      </c>
      <c r="D116" s="106">
        <v>9856.3413646399986</v>
      </c>
      <c r="E116" s="107">
        <f t="shared" si="3"/>
        <v>3.7481271258554881E-4</v>
      </c>
      <c r="F116" s="265">
        <v>4.1263827852704965E-2</v>
      </c>
      <c r="G116" s="265">
        <v>0.1293</v>
      </c>
      <c r="H116" s="108">
        <f t="shared" si="4"/>
        <v>0.17323153432338234</v>
      </c>
      <c r="I116" s="109">
        <f t="shared" si="5"/>
        <v>6.4929381285103535E-5</v>
      </c>
    </row>
    <row r="117" spans="2:9">
      <c r="B117" s="248" t="s">
        <v>717</v>
      </c>
      <c r="C117" s="248" t="s">
        <v>226</v>
      </c>
      <c r="D117" s="106">
        <v>204887.94039115965</v>
      </c>
      <c r="E117" s="107">
        <f t="shared" si="3"/>
        <v>7.7913905244374306E-3</v>
      </c>
      <c r="F117" s="265">
        <v>1.8478260869565218E-2</v>
      </c>
      <c r="G117" s="265">
        <v>9.9280000000000007E-2</v>
      </c>
      <c r="H117" s="108">
        <f t="shared" si="4"/>
        <v>0.11867552173913044</v>
      </c>
      <c r="I117" s="109">
        <f t="shared" si="5"/>
        <v>9.2464733556092921E-4</v>
      </c>
    </row>
    <row r="118" spans="2:9">
      <c r="B118" s="248" t="s">
        <v>718</v>
      </c>
      <c r="C118" s="248" t="s">
        <v>227</v>
      </c>
      <c r="D118" s="106">
        <v>75679.925160700004</v>
      </c>
      <c r="E118" s="107">
        <f t="shared" si="3"/>
        <v>2.8779236623760495E-3</v>
      </c>
      <c r="F118" s="265">
        <v>2.5854074003974641E-2</v>
      </c>
      <c r="G118" s="265">
        <v>8.2569999999999991E-2</v>
      </c>
      <c r="H118" s="108">
        <f t="shared" si="4"/>
        <v>0.10949145944922872</v>
      </c>
      <c r="I118" s="109">
        <f t="shared" si="5"/>
        <v>3.1510806197702305E-4</v>
      </c>
    </row>
    <row r="119" spans="2:9">
      <c r="B119" s="248" t="s">
        <v>719</v>
      </c>
      <c r="C119" s="248" t="s">
        <v>228</v>
      </c>
      <c r="D119" s="106">
        <v>23300.191801640005</v>
      </c>
      <c r="E119" s="107">
        <f t="shared" si="3"/>
        <v>8.8604967805467596E-4</v>
      </c>
      <c r="F119" s="265">
        <v>0</v>
      </c>
      <c r="G119" s="265">
        <v>0.21865000000000001</v>
      </c>
      <c r="H119" s="108">
        <f t="shared" si="4"/>
        <v>0.21865000000000001</v>
      </c>
      <c r="I119" s="109">
        <f t="shared" si="5"/>
        <v>1.9373476210665492E-4</v>
      </c>
    </row>
    <row r="120" spans="2:9">
      <c r="B120" s="248" t="s">
        <v>720</v>
      </c>
      <c r="C120" s="248" t="s">
        <v>229</v>
      </c>
      <c r="D120" s="106">
        <v>25667.10099974</v>
      </c>
      <c r="E120" s="107">
        <f t="shared" si="3"/>
        <v>9.7605748360473743E-4</v>
      </c>
      <c r="F120" s="265">
        <v>2.9310874777156205E-2</v>
      </c>
      <c r="G120" s="265">
        <v>6.695000000000001E-2</v>
      </c>
      <c r="H120" s="108">
        <f t="shared" si="4"/>
        <v>9.7242056310321512E-2</v>
      </c>
      <c r="I120" s="109">
        <f t="shared" si="5"/>
        <v>9.4913836782802599E-5</v>
      </c>
    </row>
    <row r="121" spans="2:9">
      <c r="B121" s="248" t="s">
        <v>721</v>
      </c>
      <c r="C121" s="248" t="s">
        <v>5</v>
      </c>
      <c r="D121" s="106">
        <v>18148.179033700002</v>
      </c>
      <c r="E121" s="107">
        <f t="shared" si="3"/>
        <v>6.9013115115029602E-4</v>
      </c>
      <c r="F121" s="265">
        <v>2.3893666927286943E-2</v>
      </c>
      <c r="G121" s="265">
        <v>7.2029999999999997E-2</v>
      </c>
      <c r="H121" s="108">
        <f t="shared" si="4"/>
        <v>9.6784197341673178E-2</v>
      </c>
      <c r="I121" s="109">
        <f t="shared" si="5"/>
        <v>6.6793789524566326E-5</v>
      </c>
    </row>
    <row r="122" spans="2:9">
      <c r="B122" s="248" t="s">
        <v>722</v>
      </c>
      <c r="C122" s="248" t="s">
        <v>230</v>
      </c>
      <c r="D122" s="106">
        <v>17892.56860902</v>
      </c>
      <c r="E122" s="107">
        <f t="shared" si="3"/>
        <v>6.8041090779679737E-4</v>
      </c>
      <c r="F122" s="265">
        <v>0</v>
      </c>
      <c r="G122" s="265">
        <v>0.15</v>
      </c>
      <c r="H122" s="108">
        <f t="shared" si="4"/>
        <v>0.15</v>
      </c>
      <c r="I122" s="109">
        <f t="shared" si="5"/>
        <v>1.0206163616951961E-4</v>
      </c>
    </row>
    <row r="123" spans="2:9">
      <c r="B123" s="248" t="s">
        <v>723</v>
      </c>
      <c r="C123" s="248" t="s">
        <v>6</v>
      </c>
      <c r="D123" s="106">
        <v>15125.636815620001</v>
      </c>
      <c r="E123" s="107">
        <f t="shared" si="3"/>
        <v>5.7519121494565293E-4</v>
      </c>
      <c r="F123" s="265">
        <v>3.8137839628893305E-2</v>
      </c>
      <c r="G123" s="265">
        <v>5.8979999999999998E-2</v>
      </c>
      <c r="H123" s="108">
        <f t="shared" si="4"/>
        <v>9.8242524519549373E-2</v>
      </c>
      <c r="I123" s="109">
        <f t="shared" si="5"/>
        <v>5.6508237037727705E-5</v>
      </c>
    </row>
    <row r="124" spans="2:9">
      <c r="B124" s="248" t="s">
        <v>724</v>
      </c>
      <c r="C124" s="248" t="s">
        <v>231</v>
      </c>
      <c r="D124" s="106">
        <v>42790.900070180003</v>
      </c>
      <c r="E124" s="107">
        <f t="shared" si="3"/>
        <v>1.6272339538502911E-3</v>
      </c>
      <c r="F124" s="265">
        <v>1.7586282699494395E-2</v>
      </c>
      <c r="G124" s="265">
        <v>5.1330000000000001E-2</v>
      </c>
      <c r="H124" s="108">
        <f t="shared" si="4"/>
        <v>6.9367634644976917E-2</v>
      </c>
      <c r="I124" s="109">
        <f t="shared" si="5"/>
        <v>1.1287737039258822E-4</v>
      </c>
    </row>
    <row r="125" spans="2:9">
      <c r="B125" s="248" t="s">
        <v>725</v>
      </c>
      <c r="C125" s="248" t="s">
        <v>232</v>
      </c>
      <c r="D125" s="106">
        <v>7351.1230528400001</v>
      </c>
      <c r="E125" s="107">
        <f t="shared" si="3"/>
        <v>2.795453475130077E-4</v>
      </c>
      <c r="F125" s="265">
        <v>1.9237336368810472E-2</v>
      </c>
      <c r="G125" s="265">
        <v>0.34520000000000001</v>
      </c>
      <c r="H125" s="108">
        <f t="shared" si="4"/>
        <v>0.36775770062606716</v>
      </c>
      <c r="I125" s="109">
        <f t="shared" si="5"/>
        <v>1.0280495422209859E-4</v>
      </c>
    </row>
    <row r="126" spans="2:9">
      <c r="B126" s="248" t="s">
        <v>726</v>
      </c>
      <c r="C126" s="248" t="s">
        <v>233</v>
      </c>
      <c r="D126" s="106">
        <v>14723.362764</v>
      </c>
      <c r="E126" s="107">
        <f t="shared" si="3"/>
        <v>5.5989371023143996E-4</v>
      </c>
      <c r="F126" s="265">
        <v>2.5252525252525253E-4</v>
      </c>
      <c r="G126" s="265">
        <v>6.8199999999999997E-2</v>
      </c>
      <c r="H126" s="108">
        <f t="shared" si="4"/>
        <v>6.8461136363636363E-2</v>
      </c>
      <c r="I126" s="109">
        <f t="shared" si="5"/>
        <v>3.8330959645296917E-5</v>
      </c>
    </row>
    <row r="127" spans="2:9">
      <c r="B127" s="248" t="s">
        <v>727</v>
      </c>
      <c r="C127" s="248" t="s">
        <v>234</v>
      </c>
      <c r="D127" s="106">
        <v>63255.868083100002</v>
      </c>
      <c r="E127" s="107">
        <f t="shared" si="3"/>
        <v>2.4054669604116662E-3</v>
      </c>
      <c r="F127" s="265">
        <v>2.1762021762021765E-2</v>
      </c>
      <c r="G127" s="265">
        <v>3.4500000000000003E-2</v>
      </c>
      <c r="H127" s="108">
        <f t="shared" si="4"/>
        <v>5.6637416637416643E-2</v>
      </c>
      <c r="I127" s="109">
        <f t="shared" si="5"/>
        <v>1.3623943444437573E-4</v>
      </c>
    </row>
    <row r="128" spans="2:9">
      <c r="B128" s="248" t="s">
        <v>728</v>
      </c>
      <c r="C128" s="248" t="s">
        <v>235</v>
      </c>
      <c r="D128" s="106">
        <v>126707.66237845999</v>
      </c>
      <c r="E128" s="107">
        <f t="shared" si="3"/>
        <v>4.8183845186026697E-3</v>
      </c>
      <c r="F128" s="265">
        <v>8.4273367810905539E-3</v>
      </c>
      <c r="G128" s="265">
        <v>0.1051</v>
      </c>
      <c r="H128" s="108">
        <f t="shared" si="4"/>
        <v>0.11397019332893686</v>
      </c>
      <c r="I128" s="109">
        <f t="shared" si="5"/>
        <v>5.4915221511830264E-4</v>
      </c>
    </row>
    <row r="129" spans="2:9">
      <c r="B129" s="248" t="s">
        <v>729</v>
      </c>
      <c r="C129" s="248" t="s">
        <v>236</v>
      </c>
      <c r="D129" s="106">
        <v>7927.2386842299993</v>
      </c>
      <c r="E129" s="107">
        <f t="shared" si="3"/>
        <v>3.0145362509548864E-4</v>
      </c>
      <c r="F129" s="265">
        <v>4.0152235965746907E-2</v>
      </c>
      <c r="G129" s="265">
        <v>5.5449999999999999E-2</v>
      </c>
      <c r="H129" s="108">
        <f t="shared" si="4"/>
        <v>9.6715456707897246E-2</v>
      </c>
      <c r="I129" s="109">
        <f t="shared" si="5"/>
        <v>2.9155225027361417E-5</v>
      </c>
    </row>
    <row r="130" spans="2:9">
      <c r="B130" s="248" t="s">
        <v>730</v>
      </c>
      <c r="C130" s="248" t="s">
        <v>237</v>
      </c>
      <c r="D130" s="106">
        <v>14131.677054960001</v>
      </c>
      <c r="E130" s="107">
        <f t="shared" si="3"/>
        <v>5.3739334042901023E-4</v>
      </c>
      <c r="F130" s="265">
        <v>3.0711849957374252E-2</v>
      </c>
      <c r="G130" s="265">
        <v>7.0430000000000006E-2</v>
      </c>
      <c r="H130" s="108">
        <f t="shared" si="4"/>
        <v>0.1022233677536232</v>
      </c>
      <c r="I130" s="109">
        <f t="shared" si="5"/>
        <v>5.4934157067022738E-5</v>
      </c>
    </row>
    <row r="131" spans="2:9">
      <c r="B131" s="248" t="s">
        <v>1113</v>
      </c>
      <c r="C131" s="248" t="s">
        <v>733</v>
      </c>
      <c r="D131" s="106">
        <v>5026.3731361199998</v>
      </c>
      <c r="E131" s="107">
        <f t="shared" si="3"/>
        <v>1.9114075699275257E-4</v>
      </c>
      <c r="F131" s="265">
        <v>0</v>
      </c>
      <c r="G131" s="265">
        <v>5.5160000000000001E-2</v>
      </c>
      <c r="H131" s="108">
        <f t="shared" si="4"/>
        <v>5.5160000000000001E-2</v>
      </c>
      <c r="I131" s="109">
        <f t="shared" si="5"/>
        <v>1.0543324155720231E-5</v>
      </c>
    </row>
    <row r="132" spans="2:9">
      <c r="B132" s="248" t="s">
        <v>731</v>
      </c>
      <c r="C132" s="248" t="s">
        <v>735</v>
      </c>
      <c r="D132" s="106">
        <v>18404.63797172</v>
      </c>
      <c r="E132" s="107">
        <f t="shared" si="3"/>
        <v>6.9988366140434763E-4</v>
      </c>
      <c r="F132" s="265">
        <v>0</v>
      </c>
      <c r="G132" s="265">
        <v>0</v>
      </c>
      <c r="H132" s="108">
        <f t="shared" si="4"/>
        <v>0</v>
      </c>
      <c r="I132" s="109">
        <f t="shared" si="5"/>
        <v>0</v>
      </c>
    </row>
    <row r="133" spans="2:9">
      <c r="B133" s="248" t="s">
        <v>732</v>
      </c>
      <c r="C133" s="248" t="s">
        <v>238</v>
      </c>
      <c r="D133" s="106">
        <v>130181.88</v>
      </c>
      <c r="E133" s="107">
        <f t="shared" si="3"/>
        <v>4.9505005728937221E-3</v>
      </c>
      <c r="F133" s="265">
        <v>0</v>
      </c>
      <c r="G133" s="265">
        <v>0.21632999999999999</v>
      </c>
      <c r="H133" s="108">
        <f t="shared" si="4"/>
        <v>0.21632999999999999</v>
      </c>
      <c r="I133" s="109">
        <f t="shared" si="5"/>
        <v>1.0709417889340988E-3</v>
      </c>
    </row>
    <row r="134" spans="2:9">
      <c r="B134" s="248" t="s">
        <v>734</v>
      </c>
      <c r="C134" s="248" t="s">
        <v>239</v>
      </c>
      <c r="D134" s="106">
        <v>209759.79026429995</v>
      </c>
      <c r="E134" s="107">
        <f t="shared" si="3"/>
        <v>7.9766551372086811E-3</v>
      </c>
      <c r="F134" s="265">
        <v>2.9204614450516093E-2</v>
      </c>
      <c r="G134" s="265">
        <v>6.480000000000001E-2</v>
      </c>
      <c r="H134" s="108">
        <f t="shared" si="4"/>
        <v>9.4950843958712824E-2</v>
      </c>
      <c r="I134" s="109">
        <f t="shared" si="5"/>
        <v>7.5739013724556651E-4</v>
      </c>
    </row>
    <row r="135" spans="2:9">
      <c r="B135" s="248" t="s">
        <v>736</v>
      </c>
      <c r="C135" s="248" t="s">
        <v>240</v>
      </c>
      <c r="D135" s="106">
        <v>55289.638220159992</v>
      </c>
      <c r="E135" s="107">
        <f t="shared" si="3"/>
        <v>2.1025305955328704E-3</v>
      </c>
      <c r="F135" s="265">
        <v>1.3425725422260719E-2</v>
      </c>
      <c r="G135" s="265">
        <v>0.12168000000000001</v>
      </c>
      <c r="H135" s="108">
        <f t="shared" si="4"/>
        <v>0.13592254655695107</v>
      </c>
      <c r="I135" s="109">
        <f t="shared" si="5"/>
        <v>2.8578131275873062E-4</v>
      </c>
    </row>
    <row r="136" spans="2:9">
      <c r="B136" s="248" t="s">
        <v>737</v>
      </c>
      <c r="C136" s="248" t="s">
        <v>241</v>
      </c>
      <c r="D136" s="106">
        <v>28104.1444376</v>
      </c>
      <c r="E136" s="107">
        <f t="shared" si="3"/>
        <v>1.0687323238766156E-3</v>
      </c>
      <c r="F136" s="265">
        <v>8.3812010443864212E-3</v>
      </c>
      <c r="G136" s="265">
        <v>0.11067</v>
      </c>
      <c r="H136" s="108">
        <f t="shared" si="4"/>
        <v>0.11951497480417755</v>
      </c>
      <c r="I136" s="109">
        <f t="shared" si="5"/>
        <v>1.2772951676052384E-4</v>
      </c>
    </row>
    <row r="137" spans="2:9">
      <c r="B137" s="248" t="s">
        <v>738</v>
      </c>
      <c r="C137" s="248" t="s">
        <v>242</v>
      </c>
      <c r="D137" s="106">
        <v>13612.797681600001</v>
      </c>
      <c r="E137" s="107">
        <f t="shared" si="3"/>
        <v>5.1766161866342029E-4</v>
      </c>
      <c r="F137" s="265">
        <v>8.0128205128205121E-2</v>
      </c>
      <c r="G137" s="265">
        <v>5.0570000000000004E-2</v>
      </c>
      <c r="H137" s="108">
        <f t="shared" si="4"/>
        <v>0.1327242467948718</v>
      </c>
      <c r="I137" s="109">
        <f t="shared" si="5"/>
        <v>6.8706248431716607E-5</v>
      </c>
    </row>
    <row r="138" spans="2:9">
      <c r="B138" s="248" t="s">
        <v>739</v>
      </c>
      <c r="C138" s="248" t="s">
        <v>243</v>
      </c>
      <c r="D138" s="106">
        <v>33283.820971959998</v>
      </c>
      <c r="E138" s="107">
        <f t="shared" si="3"/>
        <v>1.2657028365989189E-3</v>
      </c>
      <c r="F138" s="265">
        <v>1.4170745872396912E-2</v>
      </c>
      <c r="G138" s="265">
        <v>0.1105</v>
      </c>
      <c r="H138" s="108">
        <f t="shared" si="4"/>
        <v>0.12545367958184683</v>
      </c>
      <c r="I138" s="109">
        <f t="shared" si="5"/>
        <v>1.5878707810851542E-4</v>
      </c>
    </row>
    <row r="139" spans="2:9">
      <c r="B139" s="248" t="s">
        <v>1197</v>
      </c>
      <c r="C139" s="248" t="s">
        <v>1198</v>
      </c>
      <c r="D139" s="106">
        <v>20966.819159999999</v>
      </c>
      <c r="E139" s="107">
        <f t="shared" si="3"/>
        <v>7.973171862577117E-4</v>
      </c>
      <c r="F139" s="265">
        <v>1.4928571428571426E-2</v>
      </c>
      <c r="G139" s="265">
        <v>0.95196999999999998</v>
      </c>
      <c r="H139" s="108">
        <f t="shared" si="4"/>
        <v>0.97400434749999998</v>
      </c>
      <c r="I139" s="109">
        <f t="shared" si="5"/>
        <v>7.7659040575147839E-4</v>
      </c>
    </row>
    <row r="140" spans="2:9">
      <c r="B140" s="248" t="s">
        <v>740</v>
      </c>
      <c r="C140" s="248" t="s">
        <v>244</v>
      </c>
      <c r="D140" s="106">
        <v>12634.671946760001</v>
      </c>
      <c r="E140" s="107">
        <f t="shared" si="3"/>
        <v>4.8046587367427503E-4</v>
      </c>
      <c r="F140" s="265">
        <v>1.4504765851636967E-2</v>
      </c>
      <c r="G140" s="265">
        <v>0.09</v>
      </c>
      <c r="H140" s="108">
        <f t="shared" si="4"/>
        <v>0.10515748031496062</v>
      </c>
      <c r="I140" s="109">
        <f t="shared" si="5"/>
        <v>5.0524580652912938E-5</v>
      </c>
    </row>
    <row r="141" spans="2:9">
      <c r="B141" s="248" t="s">
        <v>741</v>
      </c>
      <c r="C141" s="248" t="s">
        <v>245</v>
      </c>
      <c r="D141" s="106">
        <v>82022.32825654</v>
      </c>
      <c r="E141" s="107">
        <f t="shared" ref="E141:E204" si="6">IF(OR(H141="N/A",D141="N/A"),"N/A",D141/$D$513)</f>
        <v>3.1191098409707879E-3</v>
      </c>
      <c r="F141" s="265">
        <v>3.1647375931504677E-2</v>
      </c>
      <c r="G141" s="265">
        <v>6.2270000000000006E-2</v>
      </c>
      <c r="H141" s="108">
        <f t="shared" ref="H141:H204" si="7">IFERROR(F141*(1+0.5*G141)+G141,"N/A")</f>
        <v>9.4902716981132076E-2</v>
      </c>
      <c r="I141" s="109">
        <f t="shared" ref="I141:I204" si="8">IF(AND(ISNUMBER(D141),ISNUMBER(H141)),E141*H141,"N/A")</f>
        <v>2.9601199847071458E-4</v>
      </c>
    </row>
    <row r="142" spans="2:9">
      <c r="B142" s="248" t="s">
        <v>742</v>
      </c>
      <c r="C142" s="248" t="s">
        <v>246</v>
      </c>
      <c r="D142" s="106">
        <v>225152.43066059999</v>
      </c>
      <c r="E142" s="107">
        <f t="shared" si="6"/>
        <v>8.56199984954676E-3</v>
      </c>
      <c r="F142" s="265">
        <v>4.0008431703204048E-2</v>
      </c>
      <c r="G142" s="265">
        <v>1.5969999999999998E-2</v>
      </c>
      <c r="H142" s="108">
        <f t="shared" si="7"/>
        <v>5.6297899030354127E-2</v>
      </c>
      <c r="I142" s="109">
        <f t="shared" si="8"/>
        <v>4.8202260302769074E-4</v>
      </c>
    </row>
    <row r="143" spans="2:9">
      <c r="B143" s="248" t="s">
        <v>743</v>
      </c>
      <c r="C143" s="248" t="s">
        <v>247</v>
      </c>
      <c r="D143" s="106">
        <v>13653.251402700002</v>
      </c>
      <c r="E143" s="107">
        <f t="shared" si="6"/>
        <v>5.1919997538004813E-4</v>
      </c>
      <c r="F143" s="265">
        <v>7.3637702503681875E-3</v>
      </c>
      <c r="G143" s="265">
        <v>0.1381</v>
      </c>
      <c r="H143" s="108">
        <f t="shared" si="7"/>
        <v>0.1459722385861561</v>
      </c>
      <c r="I143" s="109">
        <f t="shared" si="8"/>
        <v>7.5788782680102763E-5</v>
      </c>
    </row>
    <row r="144" spans="2:9">
      <c r="B144" s="248" t="s">
        <v>744</v>
      </c>
      <c r="C144" s="248" t="s">
        <v>7</v>
      </c>
      <c r="D144" s="106">
        <v>65106.478914240011</v>
      </c>
      <c r="E144" s="107">
        <f t="shared" si="6"/>
        <v>2.4758411935980507E-3</v>
      </c>
      <c r="F144" s="265">
        <v>4.5113524185587367E-2</v>
      </c>
      <c r="G144" s="265">
        <v>4.5280000000000008E-2</v>
      </c>
      <c r="H144" s="108">
        <f t="shared" si="7"/>
        <v>9.1414894373149064E-2</v>
      </c>
      <c r="I144" s="109">
        <f t="shared" si="8"/>
        <v>2.263287611974571E-4</v>
      </c>
    </row>
    <row r="145" spans="2:9">
      <c r="B145" s="248" t="s">
        <v>745</v>
      </c>
      <c r="C145" s="248" t="s">
        <v>248</v>
      </c>
      <c r="D145" s="106">
        <v>37451.555539200002</v>
      </c>
      <c r="E145" s="107">
        <f t="shared" si="6"/>
        <v>1.4241916551871172E-3</v>
      </c>
      <c r="F145" s="265">
        <v>2.6041666666666664E-2</v>
      </c>
      <c r="G145" s="265">
        <v>0.13830000000000001</v>
      </c>
      <c r="H145" s="108">
        <f t="shared" si="7"/>
        <v>0.16614244791666666</v>
      </c>
      <c r="I145" s="109">
        <f t="shared" si="8"/>
        <v>2.3661868789527692E-4</v>
      </c>
    </row>
    <row r="146" spans="2:9">
      <c r="B146" s="248" t="s">
        <v>1199</v>
      </c>
      <c r="C146" s="248" t="s">
        <v>1200</v>
      </c>
      <c r="D146" s="106">
        <v>53160.34987269</v>
      </c>
      <c r="E146" s="107">
        <f t="shared" si="6"/>
        <v>2.0215589335472999E-3</v>
      </c>
      <c r="F146" s="265">
        <v>1.5621932407796944E-2</v>
      </c>
      <c r="G146" s="265">
        <v>6.5500000000000003E-2</v>
      </c>
      <c r="H146" s="108">
        <f t="shared" si="7"/>
        <v>8.163355069415229E-2</v>
      </c>
      <c r="I146" s="109">
        <f t="shared" si="8"/>
        <v>1.6502703368294995E-4</v>
      </c>
    </row>
    <row r="147" spans="2:9">
      <c r="B147" s="248" t="s">
        <v>746</v>
      </c>
      <c r="C147" s="248" t="s">
        <v>249</v>
      </c>
      <c r="D147" s="106">
        <v>53112.749639120004</v>
      </c>
      <c r="E147" s="107">
        <f t="shared" si="6"/>
        <v>2.0197488123264501E-3</v>
      </c>
      <c r="F147" s="265">
        <v>1.7719943087502962E-2</v>
      </c>
      <c r="G147" s="265">
        <v>6.5049999999999997E-2</v>
      </c>
      <c r="H147" s="108">
        <f t="shared" si="7"/>
        <v>8.3346284236423984E-2</v>
      </c>
      <c r="I147" s="109">
        <f t="shared" si="8"/>
        <v>1.6833855859834006E-4</v>
      </c>
    </row>
    <row r="148" spans="2:9">
      <c r="B148" s="248" t="s">
        <v>747</v>
      </c>
      <c r="C148" s="248" t="s">
        <v>250</v>
      </c>
      <c r="D148" s="106">
        <v>25806.165365970002</v>
      </c>
      <c r="E148" s="107">
        <f t="shared" si="6"/>
        <v>9.8134576354577631E-4</v>
      </c>
      <c r="F148" s="265">
        <v>2.0730053027500306E-2</v>
      </c>
      <c r="G148" s="265">
        <v>8.7000000000000008E-2</v>
      </c>
      <c r="H148" s="108">
        <f t="shared" si="7"/>
        <v>0.10863181033419658</v>
      </c>
      <c r="I148" s="109">
        <f t="shared" si="8"/>
        <v>1.0660536685777209E-4</v>
      </c>
    </row>
    <row r="149" spans="2:9">
      <c r="B149" s="248" t="s">
        <v>748</v>
      </c>
      <c r="C149" s="248" t="s">
        <v>251</v>
      </c>
      <c r="D149" s="106">
        <v>40858.434966239998</v>
      </c>
      <c r="E149" s="107">
        <f t="shared" si="6"/>
        <v>1.553747001563597E-3</v>
      </c>
      <c r="F149" s="265">
        <v>8.0596451491128721E-3</v>
      </c>
      <c r="G149" s="265">
        <v>0.10676000000000001</v>
      </c>
      <c r="H149" s="108">
        <f t="shared" si="7"/>
        <v>0.11524986900717252</v>
      </c>
      <c r="I149" s="109">
        <f t="shared" si="8"/>
        <v>1.7906913840049163E-4</v>
      </c>
    </row>
    <row r="150" spans="2:9">
      <c r="B150" s="248" t="s">
        <v>749</v>
      </c>
      <c r="C150" s="248" t="s">
        <v>252</v>
      </c>
      <c r="D150" s="106">
        <v>14413.735451500001</v>
      </c>
      <c r="E150" s="107">
        <f t="shared" si="6"/>
        <v>5.4811933588752376E-4</v>
      </c>
      <c r="F150" s="265">
        <v>1.9611323927870693E-2</v>
      </c>
      <c r="G150" s="265">
        <v>7.8550000000000009E-2</v>
      </c>
      <c r="H150" s="108">
        <f t="shared" si="7"/>
        <v>9.8931558675137823E-2</v>
      </c>
      <c r="I150" s="109">
        <f t="shared" si="8"/>
        <v>5.4226300239334133E-5</v>
      </c>
    </row>
    <row r="151" spans="2:9">
      <c r="B151" s="248" t="s">
        <v>750</v>
      </c>
      <c r="C151" s="248" t="s">
        <v>253</v>
      </c>
      <c r="D151" s="106">
        <v>19493.207930490003</v>
      </c>
      <c r="E151" s="107">
        <f t="shared" si="6"/>
        <v>7.4127933186574979E-4</v>
      </c>
      <c r="F151" s="265">
        <v>1.1383039271485486E-2</v>
      </c>
      <c r="G151" s="265">
        <v>0.12598000000000001</v>
      </c>
      <c r="H151" s="108">
        <f t="shared" si="7"/>
        <v>0.13808005691519637</v>
      </c>
      <c r="I151" s="109">
        <f t="shared" si="8"/>
        <v>1.0235589233408147E-4</v>
      </c>
    </row>
    <row r="152" spans="2:9">
      <c r="B152" s="248" t="s">
        <v>751</v>
      </c>
      <c r="C152" s="248" t="s">
        <v>254</v>
      </c>
      <c r="D152" s="106">
        <v>103609.40232357003</v>
      </c>
      <c r="E152" s="107">
        <f t="shared" si="6"/>
        <v>3.940013814211391E-3</v>
      </c>
      <c r="F152" s="265">
        <v>4.597382815204598E-3</v>
      </c>
      <c r="G152" s="265">
        <v>0.14950000000000002</v>
      </c>
      <c r="H152" s="108">
        <f t="shared" si="7"/>
        <v>0.15444103718064117</v>
      </c>
      <c r="I152" s="109">
        <f t="shared" si="8"/>
        <v>6.0849981997286129E-4</v>
      </c>
    </row>
    <row r="153" spans="2:9">
      <c r="B153" s="248" t="s">
        <v>752</v>
      </c>
      <c r="C153" s="248" t="s">
        <v>255</v>
      </c>
      <c r="D153" s="106">
        <v>234755.71505927999</v>
      </c>
      <c r="E153" s="107">
        <f t="shared" si="6"/>
        <v>8.9271894206093896E-3</v>
      </c>
      <c r="F153" s="265">
        <v>1.3566605279312463E-2</v>
      </c>
      <c r="G153" s="265">
        <v>2.8500000000000001E-2</v>
      </c>
      <c r="H153" s="108">
        <f t="shared" si="7"/>
        <v>4.2259929404542665E-2</v>
      </c>
      <c r="I153" s="109">
        <f t="shared" si="8"/>
        <v>3.7726239469593295E-4</v>
      </c>
    </row>
    <row r="154" spans="2:9">
      <c r="B154" s="248" t="s">
        <v>753</v>
      </c>
      <c r="C154" s="248" t="s">
        <v>256</v>
      </c>
      <c r="D154" s="106">
        <v>18917.00485525608</v>
      </c>
      <c r="E154" s="107">
        <f t="shared" si="6"/>
        <v>7.1936772900636054E-4</v>
      </c>
      <c r="F154" s="265">
        <v>0</v>
      </c>
      <c r="G154" s="265">
        <v>0.12567</v>
      </c>
      <c r="H154" s="108">
        <f t="shared" si="7"/>
        <v>0.12567</v>
      </c>
      <c r="I154" s="109">
        <f t="shared" si="8"/>
        <v>9.0402942504229331E-5</v>
      </c>
    </row>
    <row r="155" spans="2:9">
      <c r="B155" s="248" t="s">
        <v>754</v>
      </c>
      <c r="C155" s="248" t="s">
        <v>257</v>
      </c>
      <c r="D155" s="106">
        <v>16793.139046060001</v>
      </c>
      <c r="E155" s="107">
        <f t="shared" si="6"/>
        <v>6.3860227297534778E-4</v>
      </c>
      <c r="F155" s="265">
        <v>0</v>
      </c>
      <c r="G155" s="265">
        <v>-8.6099999999999996E-2</v>
      </c>
      <c r="H155" s="108">
        <f t="shared" si="7"/>
        <v>-8.6099999999999996E-2</v>
      </c>
      <c r="I155" s="109">
        <f t="shared" si="8"/>
        <v>-5.4983655703177442E-5</v>
      </c>
    </row>
    <row r="156" spans="2:9">
      <c r="B156" s="248" t="s">
        <v>755</v>
      </c>
      <c r="C156" s="248" t="s">
        <v>258</v>
      </c>
      <c r="D156" s="106">
        <v>28274.760903480001</v>
      </c>
      <c r="E156" s="107">
        <f t="shared" si="6"/>
        <v>1.0752204535002165E-3</v>
      </c>
      <c r="F156" s="265">
        <v>3.3240890532316464E-2</v>
      </c>
      <c r="G156" s="265">
        <v>0.17196999999999998</v>
      </c>
      <c r="H156" s="108">
        <f t="shared" si="7"/>
        <v>0.20806910850473767</v>
      </c>
      <c r="I156" s="109">
        <f t="shared" si="8"/>
        <v>2.2372016120584981E-4</v>
      </c>
    </row>
    <row r="157" spans="2:9">
      <c r="B157" s="248" t="s">
        <v>756</v>
      </c>
      <c r="C157" s="248" t="s">
        <v>259</v>
      </c>
      <c r="D157" s="106">
        <v>27013.078605999999</v>
      </c>
      <c r="E157" s="107">
        <f t="shared" si="6"/>
        <v>1.0272417414361058E-3</v>
      </c>
      <c r="F157" s="265">
        <v>0</v>
      </c>
      <c r="G157" s="265">
        <v>8.3900000000000002E-2</v>
      </c>
      <c r="H157" s="108">
        <f t="shared" si="7"/>
        <v>8.3900000000000002E-2</v>
      </c>
      <c r="I157" s="109">
        <f t="shared" si="8"/>
        <v>8.6185582106489275E-5</v>
      </c>
    </row>
    <row r="158" spans="2:9">
      <c r="B158" s="248" t="s">
        <v>757</v>
      </c>
      <c r="C158" s="248" t="s">
        <v>260</v>
      </c>
      <c r="D158" s="106">
        <v>14479.783883400001</v>
      </c>
      <c r="E158" s="107">
        <f t="shared" si="6"/>
        <v>5.5063099726435809E-4</v>
      </c>
      <c r="F158" s="265">
        <v>1.984732824427481E-2</v>
      </c>
      <c r="G158" s="265">
        <v>0.10967</v>
      </c>
      <c r="H158" s="108">
        <f t="shared" si="7"/>
        <v>0.13060565648854963</v>
      </c>
      <c r="I158" s="109">
        <f t="shared" si="8"/>
        <v>7.1915522880656259E-5</v>
      </c>
    </row>
    <row r="159" spans="2:9">
      <c r="B159" s="248" t="s">
        <v>1176</v>
      </c>
      <c r="C159" s="248" t="s">
        <v>1177</v>
      </c>
      <c r="D159" s="106">
        <v>35414.052085899995</v>
      </c>
      <c r="E159" s="107">
        <f t="shared" si="6"/>
        <v>1.346710349702555E-3</v>
      </c>
      <c r="F159" s="265">
        <v>5.3746065057712497E-2</v>
      </c>
      <c r="G159" s="265">
        <v>0.14410000000000001</v>
      </c>
      <c r="H159" s="108">
        <f t="shared" si="7"/>
        <v>0.2017184690451207</v>
      </c>
      <c r="I159" s="109">
        <f t="shared" si="8"/>
        <v>2.7165634998921849E-4</v>
      </c>
    </row>
    <row r="160" spans="2:9">
      <c r="B160" s="248" t="s">
        <v>758</v>
      </c>
      <c r="C160" s="248" t="s">
        <v>261</v>
      </c>
      <c r="D160" s="106">
        <v>12278.25227236</v>
      </c>
      <c r="E160" s="107">
        <f t="shared" si="6"/>
        <v>4.6691209950610506E-4</v>
      </c>
      <c r="F160" s="265">
        <v>2.5610833088018842E-2</v>
      </c>
      <c r="G160" s="265">
        <v>4.7400000000000005E-2</v>
      </c>
      <c r="H160" s="108">
        <f t="shared" si="7"/>
        <v>7.3617809832204895E-2</v>
      </c>
      <c r="I160" s="109">
        <f t="shared" si="8"/>
        <v>3.4373046149795971E-5</v>
      </c>
    </row>
    <row r="161" spans="2:9">
      <c r="B161" s="248" t="s">
        <v>759</v>
      </c>
      <c r="C161" s="248" t="s">
        <v>262</v>
      </c>
      <c r="D161" s="106">
        <v>14519.27406374</v>
      </c>
      <c r="E161" s="107">
        <f t="shared" si="6"/>
        <v>5.5213271286715039E-4</v>
      </c>
      <c r="F161" s="265">
        <v>2.9901877854846895E-2</v>
      </c>
      <c r="G161" s="265">
        <v>9.3130000000000004E-2</v>
      </c>
      <c r="H161" s="108">
        <f t="shared" si="7"/>
        <v>0.12442425879715785</v>
      </c>
      <c r="I161" s="109">
        <f t="shared" si="8"/>
        <v>6.8698703556159172E-5</v>
      </c>
    </row>
    <row r="162" spans="2:9">
      <c r="B162" s="248" t="s">
        <v>760</v>
      </c>
      <c r="C162" s="248" t="s">
        <v>8</v>
      </c>
      <c r="D162" s="106">
        <v>24371.798286720001</v>
      </c>
      <c r="E162" s="107">
        <f t="shared" si="6"/>
        <v>9.2680026883048237E-4</v>
      </c>
      <c r="F162" s="265">
        <v>2.8655234657039709E-2</v>
      </c>
      <c r="G162" s="265">
        <v>5.525E-2</v>
      </c>
      <c r="H162" s="108">
        <f t="shared" si="7"/>
        <v>8.4696835514440433E-2</v>
      </c>
      <c r="I162" s="109">
        <f t="shared" si="8"/>
        <v>7.8497049923874541E-5</v>
      </c>
    </row>
    <row r="163" spans="2:9">
      <c r="B163" s="248" t="s">
        <v>761</v>
      </c>
      <c r="C163" s="248" t="s">
        <v>9</v>
      </c>
      <c r="D163" s="106">
        <v>69843.697611600001</v>
      </c>
      <c r="E163" s="107">
        <f t="shared" si="6"/>
        <v>2.6559861098890392E-3</v>
      </c>
      <c r="F163" s="265">
        <v>3.9442937617358648E-2</v>
      </c>
      <c r="G163" s="265">
        <v>5.008E-2</v>
      </c>
      <c r="H163" s="108">
        <f t="shared" si="7"/>
        <v>9.0510588775297302E-2</v>
      </c>
      <c r="I163" s="109">
        <f t="shared" si="8"/>
        <v>2.4039486658506841E-4</v>
      </c>
    </row>
    <row r="164" spans="2:9">
      <c r="B164" s="248" t="s">
        <v>762</v>
      </c>
      <c r="C164" s="248" t="s">
        <v>263</v>
      </c>
      <c r="D164" s="106">
        <v>7894.5426367600003</v>
      </c>
      <c r="E164" s="107">
        <f t="shared" si="6"/>
        <v>3.0021027385696301E-4</v>
      </c>
      <c r="F164" s="265">
        <v>0</v>
      </c>
      <c r="G164" s="265">
        <v>0.18234999999999998</v>
      </c>
      <c r="H164" s="108">
        <f t="shared" si="7"/>
        <v>0.18234999999999998</v>
      </c>
      <c r="I164" s="109">
        <f t="shared" si="8"/>
        <v>5.4743343437817201E-5</v>
      </c>
    </row>
    <row r="165" spans="2:9">
      <c r="B165" s="248" t="s">
        <v>763</v>
      </c>
      <c r="C165" s="248" t="s">
        <v>264</v>
      </c>
      <c r="D165" s="106">
        <v>9725.0519999999997</v>
      </c>
      <c r="E165" s="107">
        <f t="shared" si="6"/>
        <v>3.6982009706282656E-4</v>
      </c>
      <c r="F165" s="265">
        <v>1.4131338320864505E-2</v>
      </c>
      <c r="G165" s="265">
        <v>6.633E-2</v>
      </c>
      <c r="H165" s="108">
        <f t="shared" si="7"/>
        <v>8.0930004156275978E-2</v>
      </c>
      <c r="I165" s="109">
        <f t="shared" si="8"/>
        <v>2.9929541992368938E-5</v>
      </c>
    </row>
    <row r="166" spans="2:9">
      <c r="B166" s="248" t="s">
        <v>764</v>
      </c>
      <c r="C166" s="248" t="s">
        <v>265</v>
      </c>
      <c r="D166" s="106">
        <v>7727.8930714999997</v>
      </c>
      <c r="E166" s="107">
        <f t="shared" si="6"/>
        <v>2.9387299582493492E-4</v>
      </c>
      <c r="F166" s="265">
        <v>2.7864406779661018E-2</v>
      </c>
      <c r="G166" s="265">
        <v>3.7699999999999997E-2</v>
      </c>
      <c r="H166" s="108">
        <f t="shared" si="7"/>
        <v>6.6089650847457632E-2</v>
      </c>
      <c r="I166" s="109">
        <f t="shared" si="8"/>
        <v>1.9421963687566323E-5</v>
      </c>
    </row>
    <row r="167" spans="2:9">
      <c r="B167" s="248" t="s">
        <v>765</v>
      </c>
      <c r="C167" s="248" t="s">
        <v>266</v>
      </c>
      <c r="D167" s="106">
        <v>28828.286769619997</v>
      </c>
      <c r="E167" s="107">
        <f t="shared" si="6"/>
        <v>1.0962696972001656E-3</v>
      </c>
      <c r="F167" s="265">
        <v>0</v>
      </c>
      <c r="G167" s="265">
        <v>8.5400000000000004E-2</v>
      </c>
      <c r="H167" s="108">
        <f t="shared" si="7"/>
        <v>8.5400000000000004E-2</v>
      </c>
      <c r="I167" s="109">
        <f t="shared" si="8"/>
        <v>9.3621432140894145E-5</v>
      </c>
    </row>
    <row r="168" spans="2:9">
      <c r="B168" s="248" t="s">
        <v>766</v>
      </c>
      <c r="C168" s="248" t="s">
        <v>267</v>
      </c>
      <c r="D168" s="106">
        <v>32695.005089019996</v>
      </c>
      <c r="E168" s="107">
        <f t="shared" si="6"/>
        <v>1.2433115993098014E-3</v>
      </c>
      <c r="F168" s="265">
        <v>1.4289379168804517E-2</v>
      </c>
      <c r="G168" s="265">
        <v>0.12072000000000001</v>
      </c>
      <c r="H168" s="108">
        <f t="shared" si="7"/>
        <v>0.13587188609543357</v>
      </c>
      <c r="I168" s="109">
        <f t="shared" si="8"/>
        <v>1.689310920025527E-4</v>
      </c>
    </row>
    <row r="169" spans="2:9">
      <c r="B169" s="248" t="s">
        <v>767</v>
      </c>
      <c r="C169" s="248" t="s">
        <v>268</v>
      </c>
      <c r="D169" s="106">
        <v>56986.375581839995</v>
      </c>
      <c r="E169" s="107">
        <f t="shared" si="6"/>
        <v>2.1670533945663999E-3</v>
      </c>
      <c r="F169" s="265">
        <v>9.356695617047061E-3</v>
      </c>
      <c r="G169" s="265">
        <v>0.13133</v>
      </c>
      <c r="H169" s="108">
        <f t="shared" si="7"/>
        <v>0.14130110303474047</v>
      </c>
      <c r="I169" s="109">
        <f t="shared" si="8"/>
        <v>3.0620703498741099E-4</v>
      </c>
    </row>
    <row r="170" spans="2:9">
      <c r="B170" s="248" t="s">
        <v>768</v>
      </c>
      <c r="C170" s="248" t="s">
        <v>10</v>
      </c>
      <c r="D170" s="106">
        <v>31377.663235289998</v>
      </c>
      <c r="E170" s="107">
        <f t="shared" si="6"/>
        <v>1.1932162895663316E-3</v>
      </c>
      <c r="F170" s="265">
        <v>3.1300942098020534E-2</v>
      </c>
      <c r="G170" s="265">
        <v>3.8800000000000001E-2</v>
      </c>
      <c r="H170" s="108">
        <f t="shared" si="7"/>
        <v>7.0708180374722138E-2</v>
      </c>
      <c r="I170" s="109">
        <f t="shared" si="8"/>
        <v>8.4370152628712857E-5</v>
      </c>
    </row>
    <row r="171" spans="2:9">
      <c r="B171" s="248" t="s">
        <v>769</v>
      </c>
      <c r="C171" s="248" t="s">
        <v>269</v>
      </c>
      <c r="D171" s="106">
        <v>17004.798560429997</v>
      </c>
      <c r="E171" s="107">
        <f t="shared" si="6"/>
        <v>6.4665117000423599E-4</v>
      </c>
      <c r="F171" s="265">
        <v>1.1132437619961612E-2</v>
      </c>
      <c r="G171" s="265">
        <v>8.7349999999999997E-2</v>
      </c>
      <c r="H171" s="108">
        <f t="shared" si="7"/>
        <v>9.8968646833013429E-2</v>
      </c>
      <c r="I171" s="109">
        <f t="shared" si="8"/>
        <v>6.3998191268304153E-5</v>
      </c>
    </row>
    <row r="172" spans="2:9">
      <c r="B172" s="248" t="s">
        <v>770</v>
      </c>
      <c r="C172" s="248" t="s">
        <v>270</v>
      </c>
      <c r="D172" s="106">
        <v>27007.114690620001</v>
      </c>
      <c r="E172" s="107">
        <f t="shared" si="6"/>
        <v>1.027014948225673E-3</v>
      </c>
      <c r="F172" s="265">
        <v>3.2564306549986738E-2</v>
      </c>
      <c r="G172" s="265">
        <v>4.8100000000000004E-2</v>
      </c>
      <c r="H172" s="108">
        <f t="shared" si="7"/>
        <v>8.1447478122513919E-2</v>
      </c>
      <c r="I172" s="109">
        <f t="shared" si="8"/>
        <v>8.3647777527105275E-5</v>
      </c>
    </row>
    <row r="173" spans="2:9">
      <c r="B173" s="248" t="s">
        <v>771</v>
      </c>
      <c r="C173" s="248" t="s">
        <v>271</v>
      </c>
      <c r="D173" s="106">
        <v>71845.551759099995</v>
      </c>
      <c r="E173" s="107">
        <f t="shared" si="6"/>
        <v>2.7321117588967841E-3</v>
      </c>
      <c r="F173" s="265">
        <v>9.2787132445338039E-3</v>
      </c>
      <c r="G173" s="265">
        <v>0.11153</v>
      </c>
      <c r="H173" s="108">
        <f t="shared" si="7"/>
        <v>0.12132614068861523</v>
      </c>
      <c r="I173" s="109">
        <f t="shared" si="8"/>
        <v>3.3147657563693128E-4</v>
      </c>
    </row>
    <row r="174" spans="2:9">
      <c r="B174" s="248" t="s">
        <v>772</v>
      </c>
      <c r="C174" s="248" t="s">
        <v>272</v>
      </c>
      <c r="D174" s="106">
        <v>10114.277946839999</v>
      </c>
      <c r="E174" s="107">
        <f t="shared" si="6"/>
        <v>3.8462141405730009E-4</v>
      </c>
      <c r="F174" s="265">
        <v>3.2331030746309088E-2</v>
      </c>
      <c r="G174" s="265">
        <v>5.4370000000000002E-2</v>
      </c>
      <c r="H174" s="108">
        <f t="shared" si="7"/>
        <v>8.7579949817147507E-2</v>
      </c>
      <c r="I174" s="109">
        <f t="shared" si="8"/>
        <v>3.3685124141738657E-5</v>
      </c>
    </row>
    <row r="175" spans="2:9">
      <c r="B175" s="248" t="s">
        <v>773</v>
      </c>
      <c r="C175" s="248" t="s">
        <v>273</v>
      </c>
      <c r="D175" s="106">
        <v>41125.68374932</v>
      </c>
      <c r="E175" s="107">
        <f t="shared" si="6"/>
        <v>1.5639098234074874E-3</v>
      </c>
      <c r="F175" s="265">
        <v>2.9404726293748129E-2</v>
      </c>
      <c r="G175" s="265">
        <v>8.0630000000000007E-2</v>
      </c>
      <c r="H175" s="108">
        <f t="shared" si="7"/>
        <v>0.11122017783428059</v>
      </c>
      <c r="I175" s="109">
        <f t="shared" si="8"/>
        <v>1.739383286761591E-4</v>
      </c>
    </row>
    <row r="176" spans="2:9">
      <c r="B176" s="248" t="s">
        <v>774</v>
      </c>
      <c r="C176" s="248" t="s">
        <v>274</v>
      </c>
      <c r="D176" s="106">
        <v>43096.812387419996</v>
      </c>
      <c r="E176" s="107">
        <f t="shared" si="6"/>
        <v>1.6388670559513809E-3</v>
      </c>
      <c r="F176" s="265">
        <v>1.3783346806790624E-2</v>
      </c>
      <c r="G176" s="265">
        <v>6.5000000000000002E-2</v>
      </c>
      <c r="H176" s="108">
        <f t="shared" si="7"/>
        <v>7.9231305578011321E-2</v>
      </c>
      <c r="I176" s="109">
        <f t="shared" si="8"/>
        <v>1.2984957651181964E-4</v>
      </c>
    </row>
    <row r="177" spans="2:9">
      <c r="B177" s="248" t="s">
        <v>775</v>
      </c>
      <c r="C177" s="248" t="s">
        <v>275</v>
      </c>
      <c r="D177" s="106">
        <v>48923.722058400002</v>
      </c>
      <c r="E177" s="107">
        <f t="shared" si="6"/>
        <v>1.8604502721746101E-3</v>
      </c>
      <c r="F177" s="265">
        <v>1.7068307905686551E-2</v>
      </c>
      <c r="G177" s="265">
        <v>0.19243000000000002</v>
      </c>
      <c r="H177" s="108">
        <f t="shared" si="7"/>
        <v>0.2111405351508322</v>
      </c>
      <c r="I177" s="109">
        <f t="shared" si="8"/>
        <v>3.9281646608845861E-4</v>
      </c>
    </row>
    <row r="178" spans="2:9">
      <c r="B178" s="248" t="s">
        <v>776</v>
      </c>
      <c r="C178" s="248" t="s">
        <v>276</v>
      </c>
      <c r="D178" s="106">
        <v>31989.755454680002</v>
      </c>
      <c r="E178" s="107">
        <f t="shared" si="6"/>
        <v>1.2164926693724459E-3</v>
      </c>
      <c r="F178" s="265">
        <v>2.6338975191282171E-2</v>
      </c>
      <c r="G178" s="265">
        <v>8.5169999999999996E-2</v>
      </c>
      <c r="H178" s="108">
        <f t="shared" si="7"/>
        <v>0.11263062044980292</v>
      </c>
      <c r="I178" s="109">
        <f t="shared" si="8"/>
        <v>1.3701432412405556E-4</v>
      </c>
    </row>
    <row r="179" spans="2:9">
      <c r="B179" s="248" t="s">
        <v>777</v>
      </c>
      <c r="C179" s="248" t="s">
        <v>21</v>
      </c>
      <c r="D179" s="106">
        <v>27658.266786149998</v>
      </c>
      <c r="E179" s="107">
        <f t="shared" si="6"/>
        <v>1.0517766802114316E-3</v>
      </c>
      <c r="F179" s="265">
        <v>2.5049725049725052E-2</v>
      </c>
      <c r="G179" s="265">
        <v>6.4149999999999999E-2</v>
      </c>
      <c r="H179" s="108">
        <f t="shared" si="7"/>
        <v>9.0003194980694978E-2</v>
      </c>
      <c r="I179" s="109">
        <f t="shared" si="8"/>
        <v>9.4663261625217541E-5</v>
      </c>
    </row>
    <row r="180" spans="2:9">
      <c r="B180" s="248" t="s">
        <v>778</v>
      </c>
      <c r="C180" s="248" t="s">
        <v>277</v>
      </c>
      <c r="D180" s="106">
        <v>21469.988483200003</v>
      </c>
      <c r="E180" s="107">
        <f t="shared" si="6"/>
        <v>8.1645149298891081E-4</v>
      </c>
      <c r="F180" s="265">
        <v>2.3838971376090621E-2</v>
      </c>
      <c r="G180" s="265">
        <v>8.3299999999999999E-2</v>
      </c>
      <c r="H180" s="108">
        <f t="shared" si="7"/>
        <v>0.10813186453390479</v>
      </c>
      <c r="I180" s="109">
        <f t="shared" si="8"/>
        <v>8.8284422238381219E-5</v>
      </c>
    </row>
    <row r="181" spans="2:9">
      <c r="B181" s="248" t="s">
        <v>779</v>
      </c>
      <c r="C181" s="248" t="s">
        <v>278</v>
      </c>
      <c r="D181" s="106">
        <v>10477.472917269999</v>
      </c>
      <c r="E181" s="107">
        <f t="shared" si="6"/>
        <v>3.9843283627048244E-4</v>
      </c>
      <c r="F181" s="265">
        <v>1.1421377889677271E-2</v>
      </c>
      <c r="G181" s="265">
        <v>6.0650000000000003E-2</v>
      </c>
      <c r="H181" s="108">
        <f t="shared" si="7"/>
        <v>7.2417731174181738E-2</v>
      </c>
      <c r="I181" s="109">
        <f t="shared" si="8"/>
        <v>2.8853602028002563E-5</v>
      </c>
    </row>
    <row r="182" spans="2:9">
      <c r="B182" s="248" t="s">
        <v>780</v>
      </c>
      <c r="C182" s="248" t="s">
        <v>279</v>
      </c>
      <c r="D182" s="106">
        <v>34923</v>
      </c>
      <c r="E182" s="107">
        <f t="shared" si="6"/>
        <v>1.3280368320627068E-3</v>
      </c>
      <c r="F182" s="265">
        <v>3.4263379434756464E-2</v>
      </c>
      <c r="G182" s="265">
        <v>8.5999999999999993E-2</v>
      </c>
      <c r="H182" s="108">
        <f t="shared" si="7"/>
        <v>0.12173670475045098</v>
      </c>
      <c r="I182" s="109">
        <f t="shared" si="8"/>
        <v>1.61670827722542E-4</v>
      </c>
    </row>
    <row r="183" spans="2:9">
      <c r="B183" s="248" t="s">
        <v>781</v>
      </c>
      <c r="C183" s="248" t="s">
        <v>11</v>
      </c>
      <c r="D183" s="106">
        <v>23334.659577359998</v>
      </c>
      <c r="E183" s="107">
        <f t="shared" si="6"/>
        <v>8.8736040381350045E-4</v>
      </c>
      <c r="F183" s="265">
        <v>3.1186094069529654E-2</v>
      </c>
      <c r="G183" s="265">
        <v>7.7999999999999999E-4</v>
      </c>
      <c r="H183" s="108">
        <f t="shared" si="7"/>
        <v>3.1978256646216771E-2</v>
      </c>
      <c r="I183" s="109">
        <f t="shared" si="8"/>
        <v>2.837623873083867E-5</v>
      </c>
    </row>
    <row r="184" spans="2:9">
      <c r="B184" s="248" t="s">
        <v>782</v>
      </c>
      <c r="C184" s="248" t="s">
        <v>784</v>
      </c>
      <c r="D184" s="106">
        <v>15672.715735040001</v>
      </c>
      <c r="E184" s="107">
        <f t="shared" si="6"/>
        <v>5.9599529692700695E-4</v>
      </c>
      <c r="F184" s="265">
        <v>2.8891225961538463E-2</v>
      </c>
      <c r="G184" s="265">
        <v>7.6200000000000004E-2</v>
      </c>
      <c r="H184" s="108">
        <f t="shared" si="7"/>
        <v>0.10619198167067309</v>
      </c>
      <c r="I184" s="109">
        <f t="shared" si="8"/>
        <v>6.3289921647080089E-5</v>
      </c>
    </row>
    <row r="185" spans="2:9">
      <c r="B185" s="248" t="s">
        <v>783</v>
      </c>
      <c r="C185" s="248" t="s">
        <v>280</v>
      </c>
      <c r="D185" s="106">
        <v>45734.510950290001</v>
      </c>
      <c r="E185" s="107">
        <f t="shared" si="6"/>
        <v>1.7391723230638922E-3</v>
      </c>
      <c r="F185" s="265">
        <v>0</v>
      </c>
      <c r="G185" s="265">
        <v>0.14749999999999999</v>
      </c>
      <c r="H185" s="108">
        <f t="shared" si="7"/>
        <v>0.14749999999999999</v>
      </c>
      <c r="I185" s="109">
        <f t="shared" si="8"/>
        <v>2.5652791765192411E-4</v>
      </c>
    </row>
    <row r="186" spans="2:9">
      <c r="B186" s="248" t="s">
        <v>785</v>
      </c>
      <c r="C186" s="248" t="s">
        <v>12</v>
      </c>
      <c r="D186" s="106">
        <v>46858.389139460007</v>
      </c>
      <c r="E186" s="107">
        <f t="shared" si="6"/>
        <v>1.7819106797334141E-3</v>
      </c>
      <c r="F186" s="265">
        <v>2.9952390809356241E-2</v>
      </c>
      <c r="G186" s="265">
        <v>2.7280000000000002E-2</v>
      </c>
      <c r="H186" s="108">
        <f t="shared" si="7"/>
        <v>5.7640941419995866E-2</v>
      </c>
      <c r="I186" s="109">
        <f t="shared" si="8"/>
        <v>1.0271100910617874E-4</v>
      </c>
    </row>
    <row r="187" spans="2:9">
      <c r="B187" s="248" t="s">
        <v>786</v>
      </c>
      <c r="C187" s="248" t="s">
        <v>281</v>
      </c>
      <c r="D187" s="106">
        <v>12682.799126310001</v>
      </c>
      <c r="E187" s="107">
        <f t="shared" si="6"/>
        <v>4.8229603337034051E-4</v>
      </c>
      <c r="F187" s="265">
        <v>1.3151164355902543E-2</v>
      </c>
      <c r="G187" s="265">
        <v>9.733E-2</v>
      </c>
      <c r="H187" s="108">
        <f t="shared" si="7"/>
        <v>0.11112116576928253</v>
      </c>
      <c r="I187" s="109">
        <f t="shared" si="8"/>
        <v>5.3593297474013026E-5</v>
      </c>
    </row>
    <row r="188" spans="2:9">
      <c r="B188" s="248" t="s">
        <v>787</v>
      </c>
      <c r="C188" s="248" t="s">
        <v>282</v>
      </c>
      <c r="D188" s="106">
        <v>20669.832705959998</v>
      </c>
      <c r="E188" s="107">
        <f t="shared" si="6"/>
        <v>7.8602351304553569E-4</v>
      </c>
      <c r="F188" s="265">
        <v>9.418942043002752E-3</v>
      </c>
      <c r="G188" s="265">
        <v>0.21160000000000001</v>
      </c>
      <c r="H188" s="108">
        <f t="shared" si="7"/>
        <v>0.22201546611115244</v>
      </c>
      <c r="I188" s="109">
        <f t="shared" si="8"/>
        <v>1.7450937662313011E-4</v>
      </c>
    </row>
    <row r="189" spans="2:9">
      <c r="B189" s="248" t="s">
        <v>788</v>
      </c>
      <c r="C189" s="248" t="s">
        <v>283</v>
      </c>
      <c r="D189" s="106">
        <v>15113.932819920001</v>
      </c>
      <c r="E189" s="107">
        <f t="shared" si="6"/>
        <v>5.7474614042823165E-4</v>
      </c>
      <c r="F189" s="265">
        <v>3.0397192261599044E-2</v>
      </c>
      <c r="G189" s="265">
        <v>4.7199999999999999E-2</v>
      </c>
      <c r="H189" s="108">
        <f t="shared" si="7"/>
        <v>7.8314565998972782E-2</v>
      </c>
      <c r="I189" s="109">
        <f t="shared" si="8"/>
        <v>4.5010994547221628E-5</v>
      </c>
    </row>
    <row r="190" spans="2:9">
      <c r="B190" s="248" t="s">
        <v>789</v>
      </c>
      <c r="C190" s="248" t="s">
        <v>25</v>
      </c>
      <c r="D190" s="106">
        <v>36546.964637160003</v>
      </c>
      <c r="E190" s="107">
        <f t="shared" si="6"/>
        <v>1.3897922612101407E-3</v>
      </c>
      <c r="F190" s="265">
        <v>6.5502183406113537E-2</v>
      </c>
      <c r="G190" s="265">
        <v>2.5830000000000002E-2</v>
      </c>
      <c r="H190" s="108">
        <f t="shared" si="7"/>
        <v>9.2178144104803503E-2</v>
      </c>
      <c r="I190" s="109">
        <f t="shared" si="8"/>
        <v>1.2810847132956906E-4</v>
      </c>
    </row>
    <row r="191" spans="2:9">
      <c r="B191" s="248" t="s">
        <v>790</v>
      </c>
      <c r="C191" s="248" t="s">
        <v>792</v>
      </c>
      <c r="D191" s="106">
        <v>14659.23596013</v>
      </c>
      <c r="E191" s="107">
        <f t="shared" si="6"/>
        <v>5.5745512369930297E-4</v>
      </c>
      <c r="F191" s="265">
        <v>7.4852630408185983E-3</v>
      </c>
      <c r="G191" s="265">
        <v>0.1736</v>
      </c>
      <c r="H191" s="108">
        <f t="shared" si="7"/>
        <v>0.18173498387276166</v>
      </c>
      <c r="I191" s="109">
        <f t="shared" si="8"/>
        <v>1.0130909791528118E-4</v>
      </c>
    </row>
    <row r="192" spans="2:9">
      <c r="B192" s="248" t="s">
        <v>791</v>
      </c>
      <c r="C192" s="248" t="s">
        <v>284</v>
      </c>
      <c r="D192" s="106">
        <v>18733.97234412</v>
      </c>
      <c r="E192" s="107">
        <f t="shared" si="6"/>
        <v>7.1240744735090022E-4</v>
      </c>
      <c r="F192" s="265">
        <v>2.6568717477808382E-2</v>
      </c>
      <c r="G192" s="265">
        <v>7.1500000000000008E-2</v>
      </c>
      <c r="H192" s="108">
        <f t="shared" si="7"/>
        <v>9.9018549127640035E-2</v>
      </c>
      <c r="I192" s="109">
        <f t="shared" si="8"/>
        <v>7.0541551824411741E-5</v>
      </c>
    </row>
    <row r="193" spans="2:9">
      <c r="B193" s="248" t="s">
        <v>793</v>
      </c>
      <c r="C193" s="248" t="s">
        <v>285</v>
      </c>
      <c r="D193" s="106">
        <v>508053.42468384007</v>
      </c>
      <c r="E193" s="107">
        <f t="shared" si="6"/>
        <v>1.9320037242955532E-2</v>
      </c>
      <c r="F193" s="265">
        <v>0</v>
      </c>
      <c r="G193" s="265">
        <v>0.19366</v>
      </c>
      <c r="H193" s="108">
        <f t="shared" si="7"/>
        <v>0.19366</v>
      </c>
      <c r="I193" s="109">
        <f t="shared" si="8"/>
        <v>3.7415184124707686E-3</v>
      </c>
    </row>
    <row r="194" spans="2:9">
      <c r="B194" s="248" t="s">
        <v>794</v>
      </c>
      <c r="C194" s="248" t="s">
        <v>286</v>
      </c>
      <c r="D194" s="106">
        <v>7659.0506776000002</v>
      </c>
      <c r="E194" s="107">
        <f t="shared" si="6"/>
        <v>2.91255086862172E-4</v>
      </c>
      <c r="F194" s="265">
        <v>1.5850091407678246E-2</v>
      </c>
      <c r="G194" s="265">
        <v>9.6099999999999991E-2</v>
      </c>
      <c r="H194" s="108">
        <f t="shared" si="7"/>
        <v>0.11271168829981718</v>
      </c>
      <c r="I194" s="109">
        <f t="shared" si="8"/>
        <v>3.2827852566145309E-5</v>
      </c>
    </row>
    <row r="195" spans="2:9">
      <c r="B195" s="248" t="s">
        <v>795</v>
      </c>
      <c r="C195" s="248" t="s">
        <v>287</v>
      </c>
      <c r="D195" s="106">
        <v>13885.02279318</v>
      </c>
      <c r="E195" s="107">
        <f t="shared" si="6"/>
        <v>5.2801367818839295E-4</v>
      </c>
      <c r="F195" s="265">
        <v>2.0898641588296761E-2</v>
      </c>
      <c r="G195" s="265">
        <v>3.8100000000000002E-2</v>
      </c>
      <c r="H195" s="108">
        <f t="shared" si="7"/>
        <v>5.9396760710553817E-2</v>
      </c>
      <c r="I195" s="109">
        <f t="shared" si="8"/>
        <v>3.1362302095255348E-5</v>
      </c>
    </row>
    <row r="196" spans="2:9">
      <c r="B196" s="248" t="s">
        <v>796</v>
      </c>
      <c r="C196" s="248" t="s">
        <v>288</v>
      </c>
      <c r="D196" s="106">
        <v>37980.713681129986</v>
      </c>
      <c r="E196" s="107">
        <f t="shared" si="6"/>
        <v>1.4443142535454736E-3</v>
      </c>
      <c r="F196" s="265">
        <v>1.8176822147420484E-2</v>
      </c>
      <c r="G196" s="265">
        <v>0.2072</v>
      </c>
      <c r="H196" s="108">
        <f t="shared" si="7"/>
        <v>0.22725994092189325</v>
      </c>
      <c r="I196" s="109">
        <f t="shared" si="8"/>
        <v>3.282347719333927E-4</v>
      </c>
    </row>
    <row r="197" spans="2:9">
      <c r="B197" s="248" t="s">
        <v>797</v>
      </c>
      <c r="C197" s="248" t="s">
        <v>289</v>
      </c>
      <c r="D197" s="106">
        <v>26043.567270629999</v>
      </c>
      <c r="E197" s="107">
        <f t="shared" si="6"/>
        <v>9.903735811270355E-4</v>
      </c>
      <c r="F197" s="265">
        <v>3.1515654157163592E-2</v>
      </c>
      <c r="G197" s="265">
        <v>4.8500000000000001E-3</v>
      </c>
      <c r="H197" s="108">
        <f t="shared" si="7"/>
        <v>3.6442079618494709E-2</v>
      </c>
      <c r="I197" s="109">
        <f t="shared" si="8"/>
        <v>3.6091272895485158E-5</v>
      </c>
    </row>
    <row r="198" spans="2:9">
      <c r="B198" s="248" t="s">
        <v>798</v>
      </c>
      <c r="C198" s="248" t="s">
        <v>290</v>
      </c>
      <c r="D198" s="106">
        <v>8443.4575488199989</v>
      </c>
      <c r="E198" s="107">
        <f t="shared" si="6"/>
        <v>3.2108417417721444E-4</v>
      </c>
      <c r="F198" s="265">
        <v>0</v>
      </c>
      <c r="G198" s="265">
        <v>0.10288</v>
      </c>
      <c r="H198" s="108">
        <f t="shared" si="7"/>
        <v>0.10288</v>
      </c>
      <c r="I198" s="109">
        <f t="shared" si="8"/>
        <v>3.3033139839351823E-5</v>
      </c>
    </row>
    <row r="199" spans="2:9">
      <c r="B199" s="248" t="s">
        <v>799</v>
      </c>
      <c r="C199" s="248" t="s">
        <v>291</v>
      </c>
      <c r="D199" s="106">
        <v>81440.862480039999</v>
      </c>
      <c r="E199" s="107">
        <f t="shared" si="6"/>
        <v>3.0969981103698679E-3</v>
      </c>
      <c r="F199" s="265">
        <v>1.0500150647785478E-2</v>
      </c>
      <c r="G199" s="265">
        <v>8.9700000000000002E-2</v>
      </c>
      <c r="H199" s="108">
        <f t="shared" si="7"/>
        <v>0.10067108240433865</v>
      </c>
      <c r="I199" s="109">
        <f t="shared" si="8"/>
        <v>3.1177815197512608E-4</v>
      </c>
    </row>
    <row r="200" spans="2:9">
      <c r="B200" s="248" t="s">
        <v>800</v>
      </c>
      <c r="C200" s="248" t="s">
        <v>292</v>
      </c>
      <c r="D200" s="106">
        <v>70393.749978959997</v>
      </c>
      <c r="E200" s="107">
        <f t="shared" si="6"/>
        <v>2.6769032648704945E-3</v>
      </c>
      <c r="F200" s="265">
        <v>0</v>
      </c>
      <c r="G200" s="265">
        <v>0.14000000000000001</v>
      </c>
      <c r="H200" s="108">
        <f t="shared" si="7"/>
        <v>0.14000000000000001</v>
      </c>
      <c r="I200" s="109">
        <f t="shared" si="8"/>
        <v>3.7476645708186927E-4</v>
      </c>
    </row>
    <row r="201" spans="2:9">
      <c r="B201" s="248" t="s">
        <v>801</v>
      </c>
      <c r="C201" s="248" t="s">
        <v>293</v>
      </c>
      <c r="D201" s="106">
        <v>20000.70183374</v>
      </c>
      <c r="E201" s="107">
        <f t="shared" si="6"/>
        <v>7.6057809186813401E-4</v>
      </c>
      <c r="F201" s="265">
        <v>3.4879474068663263E-2</v>
      </c>
      <c r="G201" s="265">
        <v>4.6500000000000007E-2</v>
      </c>
      <c r="H201" s="108">
        <f t="shared" si="7"/>
        <v>8.2190421840759698E-2</v>
      </c>
      <c r="I201" s="109">
        <f t="shared" si="8"/>
        <v>6.2512234213482024E-5</v>
      </c>
    </row>
    <row r="202" spans="2:9">
      <c r="B202" s="248" t="s">
        <v>802</v>
      </c>
      <c r="C202" s="248" t="s">
        <v>294</v>
      </c>
      <c r="D202" s="106">
        <v>7131.5232738899995</v>
      </c>
      <c r="E202" s="107">
        <f t="shared" si="6"/>
        <v>2.7119450151585884E-4</v>
      </c>
      <c r="F202" s="265">
        <v>1.2892184826012551E-2</v>
      </c>
      <c r="G202" s="265">
        <v>0.13100000000000001</v>
      </c>
      <c r="H202" s="108">
        <f t="shared" si="7"/>
        <v>0.14473662293211637</v>
      </c>
      <c r="I202" s="109">
        <f t="shared" si="8"/>
        <v>3.9251776307164122E-5</v>
      </c>
    </row>
    <row r="203" spans="2:9">
      <c r="B203" s="248" t="s">
        <v>803</v>
      </c>
      <c r="C203" s="248" t="s">
        <v>295</v>
      </c>
      <c r="D203" s="106">
        <v>6126.9555111300006</v>
      </c>
      <c r="E203" s="107">
        <f t="shared" si="6"/>
        <v>2.329932304552939E-4</v>
      </c>
      <c r="F203" s="265">
        <v>1.6591736244915434E-2</v>
      </c>
      <c r="G203" s="265">
        <v>0.15190000000000001</v>
      </c>
      <c r="H203" s="108">
        <f t="shared" si="7"/>
        <v>0.16975187861271676</v>
      </c>
      <c r="I203" s="109">
        <f t="shared" si="8"/>
        <v>3.9551038573831793E-5</v>
      </c>
    </row>
    <row r="204" spans="2:9">
      <c r="B204" s="248" t="s">
        <v>804</v>
      </c>
      <c r="C204" s="248" t="s">
        <v>806</v>
      </c>
      <c r="D204" s="106">
        <v>24825.948384379997</v>
      </c>
      <c r="E204" s="107">
        <f t="shared" si="6"/>
        <v>9.440704935241614E-4</v>
      </c>
      <c r="F204" s="265">
        <v>0</v>
      </c>
      <c r="G204" s="265">
        <v>0.15579999999999999</v>
      </c>
      <c r="H204" s="108">
        <f t="shared" si="7"/>
        <v>0.15579999999999999</v>
      </c>
      <c r="I204" s="109">
        <f t="shared" si="8"/>
        <v>1.4708618289106435E-4</v>
      </c>
    </row>
    <row r="205" spans="2:9">
      <c r="B205" s="248" t="s">
        <v>805</v>
      </c>
      <c r="C205" s="248" t="s">
        <v>296</v>
      </c>
      <c r="D205" s="106">
        <v>11436.332472320002</v>
      </c>
      <c r="E205" s="107">
        <f t="shared" ref="E205:E268" si="9">IF(OR(H205="N/A",D205="N/A"),"N/A",D205/$D$513)</f>
        <v>4.3489593525629871E-4</v>
      </c>
      <c r="F205" s="265">
        <v>1.824817518248175E-2</v>
      </c>
      <c r="G205" s="265">
        <v>0.09</v>
      </c>
      <c r="H205" s="108">
        <f t="shared" ref="H205:H268" si="10">IFERROR(F205*(1+0.5*G205)+G205,"N/A")</f>
        <v>0.10906934306569342</v>
      </c>
      <c r="I205" s="109">
        <f t="shared" ref="I205:I268" si="11">IF(AND(ISNUMBER(D205),ISNUMBER(H205)),E205*H205,"N/A")</f>
        <v>4.7433813960344836E-5</v>
      </c>
    </row>
    <row r="206" spans="2:9">
      <c r="B206" s="248" t="s">
        <v>1178</v>
      </c>
      <c r="C206" s="248" t="s">
        <v>297</v>
      </c>
      <c r="D206" s="106">
        <v>19572.933994295003</v>
      </c>
      <c r="E206" s="107">
        <f t="shared" si="9"/>
        <v>7.4431112034922548E-4</v>
      </c>
      <c r="F206" s="265">
        <v>1.1732995084826383E-2</v>
      </c>
      <c r="G206" s="265">
        <v>3.5700000000000003E-2</v>
      </c>
      <c r="H206" s="108">
        <f t="shared" si="10"/>
        <v>4.764242904709054E-2</v>
      </c>
      <c r="I206" s="109">
        <f t="shared" si="11"/>
        <v>3.5460789740198444E-5</v>
      </c>
    </row>
    <row r="207" spans="2:9">
      <c r="B207" s="248" t="s">
        <v>1114</v>
      </c>
      <c r="C207" s="248" t="s">
        <v>809</v>
      </c>
      <c r="D207" s="106">
        <v>15946.018565</v>
      </c>
      <c r="E207" s="107">
        <f t="shared" si="9"/>
        <v>6.0638833946326806E-4</v>
      </c>
      <c r="F207" s="265">
        <v>7.7662874870734226E-3</v>
      </c>
      <c r="G207" s="265">
        <v>6.9900000000000004E-2</v>
      </c>
      <c r="H207" s="108">
        <f t="shared" si="10"/>
        <v>7.7937719234746641E-2</v>
      </c>
      <c r="I207" s="109">
        <f t="shared" si="11"/>
        <v>4.7260524148312425E-5</v>
      </c>
    </row>
    <row r="208" spans="2:9">
      <c r="B208" s="248" t="s">
        <v>807</v>
      </c>
      <c r="C208" s="248" t="s">
        <v>298</v>
      </c>
      <c r="D208" s="106">
        <v>10204.300456679999</v>
      </c>
      <c r="E208" s="107">
        <f t="shared" si="9"/>
        <v>3.8804475136458322E-4</v>
      </c>
      <c r="F208" s="265">
        <v>3.0475980608197447E-2</v>
      </c>
      <c r="G208" s="265">
        <v>5.7069999999999996E-2</v>
      </c>
      <c r="H208" s="108">
        <f t="shared" si="10"/>
        <v>8.8415612714852349E-2</v>
      </c>
      <c r="I208" s="109">
        <f t="shared" si="11"/>
        <v>3.4309214452682161E-5</v>
      </c>
    </row>
    <row r="209" spans="2:9">
      <c r="B209" s="248" t="s">
        <v>808</v>
      </c>
      <c r="C209" s="248" t="s">
        <v>299</v>
      </c>
      <c r="D209" s="106">
        <v>10778.069517420001</v>
      </c>
      <c r="E209" s="107">
        <f t="shared" si="9"/>
        <v>4.0986379456707858E-4</v>
      </c>
      <c r="F209" s="265">
        <v>2.3322286661143332E-2</v>
      </c>
      <c r="G209" s="265">
        <v>0.23039999999999999</v>
      </c>
      <c r="H209" s="108">
        <f t="shared" si="10"/>
        <v>0.25640901408450706</v>
      </c>
      <c r="I209" s="109">
        <f t="shared" si="11"/>
        <v>1.0509277147387956E-4</v>
      </c>
    </row>
    <row r="210" spans="2:9">
      <c r="B210" s="248" t="s">
        <v>810</v>
      </c>
      <c r="C210" s="248" t="s">
        <v>813</v>
      </c>
      <c r="D210" s="106">
        <v>13125.30270412</v>
      </c>
      <c r="E210" s="107">
        <f t="shared" si="9"/>
        <v>4.9912336921351563E-4</v>
      </c>
      <c r="F210" s="265">
        <v>0</v>
      </c>
      <c r="G210" s="265">
        <v>0.16500000000000001</v>
      </c>
      <c r="H210" s="108">
        <f t="shared" si="10"/>
        <v>0.16500000000000001</v>
      </c>
      <c r="I210" s="109">
        <f t="shared" si="11"/>
        <v>8.235535592023009E-5</v>
      </c>
    </row>
    <row r="211" spans="2:9">
      <c r="B211" s="248" t="s">
        <v>811</v>
      </c>
      <c r="C211" s="248" t="s">
        <v>300</v>
      </c>
      <c r="D211" s="106">
        <v>23004.15907152</v>
      </c>
      <c r="E211" s="107">
        <f t="shared" si="9"/>
        <v>8.747922726457636E-4</v>
      </c>
      <c r="F211" s="265">
        <v>4.4778296382730455E-3</v>
      </c>
      <c r="G211" s="265">
        <v>9.2300000000000007E-2</v>
      </c>
      <c r="H211" s="108">
        <f t="shared" si="10"/>
        <v>9.6984481476079354E-2</v>
      </c>
      <c r="I211" s="109">
        <f t="shared" si="11"/>
        <v>8.4841274961830414E-5</v>
      </c>
    </row>
    <row r="212" spans="2:9">
      <c r="B212" s="248" t="s">
        <v>812</v>
      </c>
      <c r="C212" s="248" t="s">
        <v>301</v>
      </c>
      <c r="D212" s="106">
        <v>52780.486047599996</v>
      </c>
      <c r="E212" s="107">
        <f t="shared" si="9"/>
        <v>2.0071136352943506E-3</v>
      </c>
      <c r="F212" s="265">
        <v>2.2037979532643793E-2</v>
      </c>
      <c r="G212" s="265">
        <v>8.5349999999999995E-2</v>
      </c>
      <c r="H212" s="108">
        <f t="shared" si="10"/>
        <v>0.10832845030919937</v>
      </c>
      <c r="I212" s="109">
        <f t="shared" si="11"/>
        <v>2.1742750970590055E-4</v>
      </c>
    </row>
    <row r="213" spans="2:9">
      <c r="B213" s="248" t="s">
        <v>814</v>
      </c>
      <c r="C213" s="248" t="s">
        <v>302</v>
      </c>
      <c r="D213" s="106">
        <v>78020.023679999998</v>
      </c>
      <c r="E213" s="107">
        <f t="shared" si="9"/>
        <v>2.9669119229574943E-3</v>
      </c>
      <c r="F213" s="265">
        <v>4.6979865771812086E-3</v>
      </c>
      <c r="G213" s="265">
        <v>5.7000000000000002E-2</v>
      </c>
      <c r="H213" s="108">
        <f t="shared" si="10"/>
        <v>6.1831879194630873E-2</v>
      </c>
      <c r="I213" s="109">
        <f t="shared" si="11"/>
        <v>1.8344973960141776E-4</v>
      </c>
    </row>
    <row r="214" spans="2:9">
      <c r="B214" s="248" t="s">
        <v>815</v>
      </c>
      <c r="C214" s="248" t="s">
        <v>303</v>
      </c>
      <c r="D214" s="106">
        <v>80267.948385780008</v>
      </c>
      <c r="E214" s="107">
        <f t="shared" si="9"/>
        <v>3.0523950373800689E-3</v>
      </c>
      <c r="F214" s="265">
        <v>3.9602398232881038E-2</v>
      </c>
      <c r="G214" s="265">
        <v>7.6000000000000012E-2</v>
      </c>
      <c r="H214" s="108">
        <f t="shared" si="10"/>
        <v>0.11710728936573053</v>
      </c>
      <c r="I214" s="109">
        <f t="shared" si="11"/>
        <v>3.574577089009876E-4</v>
      </c>
    </row>
    <row r="215" spans="2:9">
      <c r="B215" s="248" t="s">
        <v>816</v>
      </c>
      <c r="C215" s="248" t="s">
        <v>304</v>
      </c>
      <c r="D215" s="106">
        <v>33314.184547279998</v>
      </c>
      <c r="E215" s="107">
        <f t="shared" si="9"/>
        <v>1.2668574895891565E-3</v>
      </c>
      <c r="F215" s="265">
        <v>3.5885341074020326E-2</v>
      </c>
      <c r="G215" s="265">
        <v>6.5000000000000002E-2</v>
      </c>
      <c r="H215" s="108">
        <f t="shared" si="10"/>
        <v>0.10205161465892598</v>
      </c>
      <c r="I215" s="109">
        <f t="shared" si="11"/>
        <v>1.2928485235532693E-4</v>
      </c>
    </row>
    <row r="216" spans="2:9">
      <c r="B216" s="248" t="s">
        <v>1201</v>
      </c>
      <c r="C216" s="248" t="s">
        <v>1202</v>
      </c>
      <c r="D216" s="106">
        <v>10447.605604800001</v>
      </c>
      <c r="E216" s="107">
        <f t="shared" si="9"/>
        <v>3.9729705495058197E-4</v>
      </c>
      <c r="F216" s="265">
        <v>7.1010860484544691E-3</v>
      </c>
      <c r="G216" s="265">
        <v>7.6000000000000012E-2</v>
      </c>
      <c r="H216" s="108">
        <f t="shared" si="10"/>
        <v>8.3370927318295748E-2</v>
      </c>
      <c r="I216" s="109">
        <f t="shared" si="11"/>
        <v>3.3123023892057923E-5</v>
      </c>
    </row>
    <row r="217" spans="2:9">
      <c r="B217" s="248" t="s">
        <v>817</v>
      </c>
      <c r="C217" s="248" t="s">
        <v>305</v>
      </c>
      <c r="D217" s="106">
        <v>22270.301114959999</v>
      </c>
      <c r="E217" s="107">
        <f t="shared" si="9"/>
        <v>8.4688543772854701E-4</v>
      </c>
      <c r="F217" s="265">
        <v>2.8506311360448809E-2</v>
      </c>
      <c r="G217" s="265">
        <v>9.3399999999999997E-2</v>
      </c>
      <c r="H217" s="108">
        <f t="shared" si="10"/>
        <v>0.12323755610098176</v>
      </c>
      <c r="I217" s="109">
        <f t="shared" si="11"/>
        <v>1.0436809164317631E-4</v>
      </c>
    </row>
    <row r="218" spans="2:9">
      <c r="B218" s="248" t="s">
        <v>818</v>
      </c>
      <c r="C218" s="248" t="s">
        <v>306</v>
      </c>
      <c r="D218" s="106">
        <v>53511.292215040005</v>
      </c>
      <c r="E218" s="107">
        <f t="shared" si="9"/>
        <v>2.0349044180867485E-3</v>
      </c>
      <c r="F218" s="265">
        <v>4.0901814300960515E-2</v>
      </c>
      <c r="G218" s="265">
        <v>0.10455</v>
      </c>
      <c r="H218" s="108">
        <f t="shared" si="10"/>
        <v>0.14758995664354324</v>
      </c>
      <c r="I218" s="109">
        <f t="shared" si="11"/>
        <v>3.003314548391778E-4</v>
      </c>
    </row>
    <row r="219" spans="2:9">
      <c r="B219" s="248" t="s">
        <v>819</v>
      </c>
      <c r="C219" s="248" t="s">
        <v>307</v>
      </c>
      <c r="D219" s="106">
        <v>845943.36508150003</v>
      </c>
      <c r="E219" s="107">
        <f t="shared" si="9"/>
        <v>3.2169170651642216E-2</v>
      </c>
      <c r="F219" s="265">
        <v>0</v>
      </c>
      <c r="G219" s="265">
        <v>0.12868000000000002</v>
      </c>
      <c r="H219" s="108">
        <f t="shared" si="10"/>
        <v>0.12868000000000002</v>
      </c>
      <c r="I219" s="109">
        <f t="shared" si="11"/>
        <v>4.1395288794533209E-3</v>
      </c>
    </row>
    <row r="220" spans="2:9">
      <c r="B220" s="248" t="s">
        <v>820</v>
      </c>
      <c r="C220" s="248" t="s">
        <v>308</v>
      </c>
      <c r="D220" s="106">
        <v>14547.944768710002</v>
      </c>
      <c r="E220" s="107">
        <f t="shared" si="9"/>
        <v>5.5322299011141259E-4</v>
      </c>
      <c r="F220" s="265">
        <v>3.0404659102319508E-2</v>
      </c>
      <c r="G220" s="265">
        <v>4.7700000000000006E-2</v>
      </c>
      <c r="H220" s="108">
        <f t="shared" si="10"/>
        <v>7.8829810221909824E-2</v>
      </c>
      <c r="I220" s="109">
        <f t="shared" si="11"/>
        <v>4.3610463320880147E-5</v>
      </c>
    </row>
    <row r="221" spans="2:9">
      <c r="B221" s="248" t="s">
        <v>821</v>
      </c>
      <c r="C221" s="248" t="s">
        <v>309</v>
      </c>
      <c r="D221" s="106">
        <v>47708.913858</v>
      </c>
      <c r="E221" s="107">
        <f t="shared" si="9"/>
        <v>1.8142540681250435E-3</v>
      </c>
      <c r="F221" s="265">
        <v>2.5157232704402514E-4</v>
      </c>
      <c r="G221" s="265">
        <v>0.17132999999999998</v>
      </c>
      <c r="H221" s="108">
        <f t="shared" si="10"/>
        <v>0.17160312327044022</v>
      </c>
      <c r="I221" s="109">
        <f t="shared" si="11"/>
        <v>3.113316644963595E-4</v>
      </c>
    </row>
    <row r="222" spans="2:9">
      <c r="B222" s="248" t="s">
        <v>822</v>
      </c>
      <c r="C222" s="248" t="s">
        <v>310</v>
      </c>
      <c r="D222" s="106">
        <v>6523.6724755999994</v>
      </c>
      <c r="E222" s="107">
        <f t="shared" si="9"/>
        <v>2.4807941264812586E-4</v>
      </c>
      <c r="F222" s="265">
        <v>5.6163594470046083E-2</v>
      </c>
      <c r="G222" s="265">
        <v>5.0330000000000007E-2</v>
      </c>
      <c r="H222" s="108">
        <f t="shared" si="10"/>
        <v>0.10790695132488481</v>
      </c>
      <c r="I222" s="109">
        <f t="shared" si="11"/>
        <v>2.676949310532733E-5</v>
      </c>
    </row>
    <row r="223" spans="2:9">
      <c r="B223" s="248" t="s">
        <v>823</v>
      </c>
      <c r="C223" s="248" t="s">
        <v>311</v>
      </c>
      <c r="D223" s="106">
        <v>16099.738380000001</v>
      </c>
      <c r="E223" s="107">
        <f t="shared" si="9"/>
        <v>6.1223393051036787E-4</v>
      </c>
      <c r="F223" s="265">
        <v>2.7417640807651439E-2</v>
      </c>
      <c r="G223" s="265">
        <v>6.6600000000000006E-2</v>
      </c>
      <c r="H223" s="108">
        <f t="shared" si="10"/>
        <v>9.4930648246546234E-2</v>
      </c>
      <c r="I223" s="109">
        <f t="shared" si="11"/>
        <v>5.8119763901880164E-5</v>
      </c>
    </row>
    <row r="224" spans="2:9">
      <c r="B224" s="248" t="s">
        <v>824</v>
      </c>
      <c r="C224" s="248" t="s">
        <v>312</v>
      </c>
      <c r="D224" s="106">
        <v>77538.199480049996</v>
      </c>
      <c r="E224" s="107">
        <f t="shared" si="9"/>
        <v>2.9485893193978703E-3</v>
      </c>
      <c r="F224" s="265">
        <v>2.0209429136708007E-2</v>
      </c>
      <c r="G224" s="265">
        <v>6.4000000000000003E-3</v>
      </c>
      <c r="H224" s="108">
        <f t="shared" si="10"/>
        <v>2.6674099309945475E-2</v>
      </c>
      <c r="I224" s="109">
        <f t="shared" si="11"/>
        <v>7.8650964329863332E-5</v>
      </c>
    </row>
    <row r="225" spans="2:9">
      <c r="B225" s="248" t="s">
        <v>825</v>
      </c>
      <c r="C225" s="248" t="s">
        <v>313</v>
      </c>
      <c r="D225" s="106">
        <v>16215.814548149998</v>
      </c>
      <c r="E225" s="107">
        <f t="shared" si="9"/>
        <v>6.1664802513648536E-4</v>
      </c>
      <c r="F225" s="265">
        <v>1.907117617364967E-2</v>
      </c>
      <c r="G225" s="265">
        <v>0.109</v>
      </c>
      <c r="H225" s="108">
        <f t="shared" si="10"/>
        <v>0.12911055527511359</v>
      </c>
      <c r="I225" s="109">
        <f t="shared" si="11"/>
        <v>7.961576893467383E-5</v>
      </c>
    </row>
    <row r="226" spans="2:9">
      <c r="B226" s="248" t="s">
        <v>826</v>
      </c>
      <c r="C226" s="248" t="s">
        <v>314</v>
      </c>
      <c r="D226" s="106">
        <v>16511.323119850003</v>
      </c>
      <c r="E226" s="107">
        <f t="shared" si="9"/>
        <v>6.2788549807431574E-4</v>
      </c>
      <c r="F226" s="265">
        <v>3.8196286472148538E-2</v>
      </c>
      <c r="G226" s="265">
        <v>5.5500000000000001E-2</v>
      </c>
      <c r="H226" s="108">
        <f t="shared" si="10"/>
        <v>9.4756233421750657E-2</v>
      </c>
      <c r="I226" s="109">
        <f t="shared" si="11"/>
        <v>5.9496064817662035E-5</v>
      </c>
    </row>
    <row r="227" spans="2:9">
      <c r="B227" s="248" t="s">
        <v>827</v>
      </c>
      <c r="C227" s="248" t="s">
        <v>315</v>
      </c>
      <c r="D227" s="106">
        <v>14978.777343530001</v>
      </c>
      <c r="E227" s="107">
        <f t="shared" si="9"/>
        <v>5.6960650606976005E-4</v>
      </c>
      <c r="F227" s="265">
        <v>2.28494397169096E-2</v>
      </c>
      <c r="G227" s="265">
        <v>9.3000000000000013E-2</v>
      </c>
      <c r="H227" s="108">
        <f t="shared" si="10"/>
        <v>0.11691193866374591</v>
      </c>
      <c r="I227" s="109">
        <f t="shared" si="11"/>
        <v>6.6593800900098402E-5</v>
      </c>
    </row>
    <row r="228" spans="2:9">
      <c r="B228" s="248" t="s">
        <v>828</v>
      </c>
      <c r="C228" s="248" t="s">
        <v>316</v>
      </c>
      <c r="D228" s="106">
        <v>14809.994894359997</v>
      </c>
      <c r="E228" s="107">
        <f t="shared" si="9"/>
        <v>5.6318811964523995E-4</v>
      </c>
      <c r="F228" s="265">
        <v>4.057463209530484E-2</v>
      </c>
      <c r="G228" s="265">
        <v>4.99E-2</v>
      </c>
      <c r="H228" s="108">
        <f t="shared" si="10"/>
        <v>9.1486969166082704E-2</v>
      </c>
      <c r="I228" s="109">
        <f t="shared" si="11"/>
        <v>5.1524374136688166E-5</v>
      </c>
    </row>
    <row r="229" spans="2:9">
      <c r="B229" s="248" t="s">
        <v>829</v>
      </c>
      <c r="C229" s="248" t="s">
        <v>317</v>
      </c>
      <c r="D229" s="106">
        <v>5538.8428657600007</v>
      </c>
      <c r="E229" s="107">
        <f t="shared" si="9"/>
        <v>2.1062873558219615E-4</v>
      </c>
      <c r="F229" s="265">
        <v>4.0665796344647516E-2</v>
      </c>
      <c r="G229" s="265">
        <v>5.0780000000000006E-2</v>
      </c>
      <c r="H229" s="108">
        <f t="shared" si="10"/>
        <v>9.247830091383813E-2</v>
      </c>
      <c r="I229" s="109">
        <f t="shared" si="11"/>
        <v>1.947858759027158E-5</v>
      </c>
    </row>
    <row r="230" spans="2:9">
      <c r="B230" s="248" t="s">
        <v>830</v>
      </c>
      <c r="C230" s="248" t="s">
        <v>318</v>
      </c>
      <c r="D230" s="106">
        <v>41061.148776000002</v>
      </c>
      <c r="E230" s="107">
        <f t="shared" si="9"/>
        <v>1.5614557151829608E-3</v>
      </c>
      <c r="F230" s="265">
        <v>1.3286829430327187E-2</v>
      </c>
      <c r="G230" s="265">
        <v>0.10200000000000001</v>
      </c>
      <c r="H230" s="108">
        <f t="shared" si="10"/>
        <v>0.11596445773127388</v>
      </c>
      <c r="I230" s="109">
        <f t="shared" si="11"/>
        <v>1.8107336528259049E-4</v>
      </c>
    </row>
    <row r="231" spans="2:9">
      <c r="B231" s="248" t="s">
        <v>831</v>
      </c>
      <c r="C231" s="248" t="s">
        <v>319</v>
      </c>
      <c r="D231" s="106">
        <v>17498.259989000006</v>
      </c>
      <c r="E231" s="107">
        <f t="shared" si="9"/>
        <v>6.6541630909146363E-4</v>
      </c>
      <c r="F231" s="265">
        <v>4.1538029750210495E-2</v>
      </c>
      <c r="G231" s="265">
        <v>2.9399999999999999E-2</v>
      </c>
      <c r="H231" s="108">
        <f t="shared" si="10"/>
        <v>7.1548638787538588E-2</v>
      </c>
      <c r="I231" s="109">
        <f t="shared" si="11"/>
        <v>4.7609631142522262E-5</v>
      </c>
    </row>
    <row r="232" spans="2:9">
      <c r="B232" s="248" t="s">
        <v>832</v>
      </c>
      <c r="C232" s="248" t="s">
        <v>320</v>
      </c>
      <c r="D232" s="106">
        <v>254097.41599745999</v>
      </c>
      <c r="E232" s="107">
        <f t="shared" si="9"/>
        <v>9.6627073096980948E-3</v>
      </c>
      <c r="F232" s="265">
        <v>2.3347125247823463E-2</v>
      </c>
      <c r="G232" s="265">
        <v>9.3729999999999994E-2</v>
      </c>
      <c r="H232" s="108">
        <f t="shared" si="10"/>
        <v>0.11817128827256271</v>
      </c>
      <c r="I232" s="109">
        <f t="shared" si="11"/>
        <v>1.1418545709877324E-3</v>
      </c>
    </row>
    <row r="233" spans="2:9">
      <c r="B233" s="248" t="s">
        <v>833</v>
      </c>
      <c r="C233" s="248" t="s">
        <v>321</v>
      </c>
      <c r="D233" s="106">
        <v>18414.986083199998</v>
      </c>
      <c r="E233" s="107">
        <f t="shared" si="9"/>
        <v>7.0027717493948859E-4</v>
      </c>
      <c r="F233" s="265">
        <v>1.7394179894179896E-2</v>
      </c>
      <c r="G233" s="265">
        <v>-5.4299999999999994E-2</v>
      </c>
      <c r="H233" s="108">
        <f t="shared" si="10"/>
        <v>-3.7378072089947083E-2</v>
      </c>
      <c r="I233" s="109">
        <f t="shared" si="11"/>
        <v>-2.6175010727832687E-5</v>
      </c>
    </row>
    <row r="234" spans="2:9">
      <c r="B234" s="248" t="s">
        <v>834</v>
      </c>
      <c r="C234" s="248" t="s">
        <v>837</v>
      </c>
      <c r="D234" s="106">
        <v>8827.9728778799999</v>
      </c>
      <c r="E234" s="107">
        <f t="shared" si="9"/>
        <v>3.3570635782364784E-4</v>
      </c>
      <c r="F234" s="265">
        <v>2.4944071588366895E-2</v>
      </c>
      <c r="G234" s="265">
        <v>-3.0999999999999999E-3</v>
      </c>
      <c r="H234" s="108">
        <f t="shared" si="10"/>
        <v>2.1805408277404927E-2</v>
      </c>
      <c r="I234" s="109">
        <f t="shared" si="11"/>
        <v>7.3202141936652308E-6</v>
      </c>
    </row>
    <row r="235" spans="2:9">
      <c r="B235" s="248" t="s">
        <v>835</v>
      </c>
      <c r="C235" s="248" t="s">
        <v>322</v>
      </c>
      <c r="D235" s="106">
        <v>21915.448290339998</v>
      </c>
      <c r="E235" s="107">
        <f t="shared" si="9"/>
        <v>8.3339124705028773E-4</v>
      </c>
      <c r="F235" s="265">
        <v>2.0392674476159049E-2</v>
      </c>
      <c r="G235" s="265">
        <v>9.5000000000000001E-2</v>
      </c>
      <c r="H235" s="108">
        <f t="shared" si="10"/>
        <v>0.11636132651377661</v>
      </c>
      <c r="I235" s="109">
        <f t="shared" si="11"/>
        <v>9.6974511011741992E-5</v>
      </c>
    </row>
    <row r="236" spans="2:9">
      <c r="B236" s="248" t="s">
        <v>836</v>
      </c>
      <c r="C236" s="248" t="s">
        <v>323</v>
      </c>
      <c r="D236" s="106">
        <v>8754.2415912299984</v>
      </c>
      <c r="E236" s="107">
        <f t="shared" si="9"/>
        <v>3.3290253614891839E-4</v>
      </c>
      <c r="F236" s="265">
        <v>1.628972094999764E-2</v>
      </c>
      <c r="G236" s="265">
        <v>0.4</v>
      </c>
      <c r="H236" s="108">
        <f t="shared" si="10"/>
        <v>0.41954766513999719</v>
      </c>
      <c r="I236" s="109">
        <f t="shared" si="11"/>
        <v>1.3966848176046222E-4</v>
      </c>
    </row>
    <row r="237" spans="2:9">
      <c r="B237" s="248" t="s">
        <v>838</v>
      </c>
      <c r="C237" s="248" t="s">
        <v>324</v>
      </c>
      <c r="D237" s="106">
        <v>26709.025195190003</v>
      </c>
      <c r="E237" s="107">
        <f t="shared" si="9"/>
        <v>1.0156793290296696E-3</v>
      </c>
      <c r="F237" s="265">
        <v>6.4976909032327355E-3</v>
      </c>
      <c r="G237" s="265">
        <v>0.12280000000000001</v>
      </c>
      <c r="H237" s="108">
        <f t="shared" si="10"/>
        <v>0.12969664912469123</v>
      </c>
      <c r="I237" s="109">
        <f t="shared" si="11"/>
        <v>1.3173020556036288E-4</v>
      </c>
    </row>
    <row r="238" spans="2:9">
      <c r="B238" s="248" t="s">
        <v>839</v>
      </c>
      <c r="C238" s="248" t="s">
        <v>325</v>
      </c>
      <c r="D238" s="106">
        <v>5637.6388892999994</v>
      </c>
      <c r="E238" s="107">
        <f t="shared" si="9"/>
        <v>2.1438570829709615E-4</v>
      </c>
      <c r="F238" s="265">
        <v>4.1951626355296083E-2</v>
      </c>
      <c r="G238" s="265">
        <v>5.9000000000000004E-2</v>
      </c>
      <c r="H238" s="108">
        <f t="shared" si="10"/>
        <v>0.10218919933277733</v>
      </c>
      <c r="I238" s="109">
        <f t="shared" si="11"/>
        <v>2.1907903879270614E-5</v>
      </c>
    </row>
    <row r="239" spans="2:9">
      <c r="B239" s="248" t="s">
        <v>840</v>
      </c>
      <c r="C239" s="248" t="s">
        <v>326</v>
      </c>
      <c r="D239" s="106">
        <v>13496.285039490002</v>
      </c>
      <c r="E239" s="107">
        <f t="shared" si="9"/>
        <v>5.1323092599317379E-4</v>
      </c>
      <c r="F239" s="265">
        <v>0</v>
      </c>
      <c r="G239" s="265">
        <v>8.950000000000001E-2</v>
      </c>
      <c r="H239" s="108">
        <f t="shared" si="10"/>
        <v>8.950000000000001E-2</v>
      </c>
      <c r="I239" s="109">
        <f t="shared" si="11"/>
        <v>4.5934167876389057E-5</v>
      </c>
    </row>
    <row r="240" spans="2:9">
      <c r="B240" s="248" t="s">
        <v>841</v>
      </c>
      <c r="C240" s="248" t="s">
        <v>327</v>
      </c>
      <c r="D240" s="106">
        <v>121740.7608756</v>
      </c>
      <c r="E240" s="107">
        <f t="shared" si="9"/>
        <v>4.629505323315161E-3</v>
      </c>
      <c r="F240" s="265">
        <v>1.9698581560283691E-2</v>
      </c>
      <c r="G240" s="265">
        <v>7.7030000000000001E-2</v>
      </c>
      <c r="H240" s="108">
        <f t="shared" si="10"/>
        <v>9.7487272429078023E-2</v>
      </c>
      <c r="I240" s="109">
        <f t="shared" si="11"/>
        <v>4.5131784666589203E-4</v>
      </c>
    </row>
    <row r="241" spans="2:9">
      <c r="B241" s="248" t="s">
        <v>842</v>
      </c>
      <c r="C241" s="248" t="s">
        <v>328</v>
      </c>
      <c r="D241" s="106">
        <v>4385.0082788600002</v>
      </c>
      <c r="E241" s="107">
        <f t="shared" si="9"/>
        <v>1.667512098968009E-4</v>
      </c>
      <c r="F241" s="265">
        <v>7.1100573995507871E-2</v>
      </c>
      <c r="G241" s="265">
        <v>6.565E-2</v>
      </c>
      <c r="H241" s="108">
        <f t="shared" si="10"/>
        <v>0.13908445033691041</v>
      </c>
      <c r="I241" s="109">
        <f t="shared" si="11"/>
        <v>2.3192500371511329E-5</v>
      </c>
    </row>
    <row r="242" spans="2:9">
      <c r="B242" s="248" t="s">
        <v>843</v>
      </c>
      <c r="C242" s="248" t="s">
        <v>329</v>
      </c>
      <c r="D242" s="106">
        <v>19805.97108386</v>
      </c>
      <c r="E242" s="107">
        <f t="shared" si="9"/>
        <v>7.5317295461830344E-4</v>
      </c>
      <c r="F242" s="265">
        <v>2.992748846407383E-2</v>
      </c>
      <c r="G242" s="265">
        <v>6.0670000000000002E-2</v>
      </c>
      <c r="H242" s="108">
        <f t="shared" si="10"/>
        <v>9.1505338826631505E-2</v>
      </c>
      <c r="I242" s="109">
        <f t="shared" si="11"/>
        <v>6.8919346407403015E-5</v>
      </c>
    </row>
    <row r="243" spans="2:9">
      <c r="B243" s="248" t="s">
        <v>844</v>
      </c>
      <c r="C243" s="248" t="s">
        <v>330</v>
      </c>
      <c r="D243" s="106">
        <v>28037.806049880004</v>
      </c>
      <c r="E243" s="107">
        <f t="shared" si="9"/>
        <v>1.0662096361844983E-3</v>
      </c>
      <c r="F243" s="265">
        <v>3.3562367864693445E-2</v>
      </c>
      <c r="G243" s="265">
        <v>1.66E-2</v>
      </c>
      <c r="H243" s="108">
        <f t="shared" si="10"/>
        <v>5.0440935517970395E-2</v>
      </c>
      <c r="I243" s="109">
        <f t="shared" si="11"/>
        <v>5.3780611507420957E-5</v>
      </c>
    </row>
    <row r="244" spans="2:9">
      <c r="B244" s="248" t="s">
        <v>845</v>
      </c>
      <c r="C244" s="248" t="s">
        <v>331</v>
      </c>
      <c r="D244" s="106">
        <v>4741.0076754800002</v>
      </c>
      <c r="E244" s="107">
        <f t="shared" si="9"/>
        <v>1.802890019222128E-4</v>
      </c>
      <c r="F244" s="265">
        <v>4.3734123624047418E-2</v>
      </c>
      <c r="G244" s="265">
        <v>0.1</v>
      </c>
      <c r="H244" s="108">
        <f t="shared" si="10"/>
        <v>0.14592082980524979</v>
      </c>
      <c r="I244" s="109">
        <f t="shared" si="11"/>
        <v>2.6307920765249566E-5</v>
      </c>
    </row>
    <row r="245" spans="2:9">
      <c r="B245" s="248" t="s">
        <v>846</v>
      </c>
      <c r="C245" s="248" t="s">
        <v>332</v>
      </c>
      <c r="D245" s="106">
        <v>23350.505957230005</v>
      </c>
      <c r="E245" s="107">
        <f t="shared" si="9"/>
        <v>8.8796300313550105E-4</v>
      </c>
      <c r="F245" s="265">
        <v>1.9208781157100389E-2</v>
      </c>
      <c r="G245" s="265">
        <v>5.7000000000000002E-2</v>
      </c>
      <c r="H245" s="108">
        <f t="shared" si="10"/>
        <v>7.6756231420077758E-2</v>
      </c>
      <c r="I245" s="109">
        <f t="shared" si="11"/>
        <v>6.8156693761135755E-5</v>
      </c>
    </row>
    <row r="246" spans="2:9">
      <c r="B246" s="248" t="s">
        <v>847</v>
      </c>
      <c r="C246" s="248" t="s">
        <v>333</v>
      </c>
      <c r="D246" s="106">
        <v>9414.4608510000016</v>
      </c>
      <c r="E246" s="107">
        <f t="shared" si="9"/>
        <v>3.5800907035880131E-4</v>
      </c>
      <c r="F246" s="265">
        <v>0</v>
      </c>
      <c r="G246" s="265">
        <v>1.268E-2</v>
      </c>
      <c r="H246" s="108">
        <f t="shared" si="10"/>
        <v>1.268E-2</v>
      </c>
      <c r="I246" s="109">
        <f t="shared" si="11"/>
        <v>4.5395550121496008E-6</v>
      </c>
    </row>
    <row r="247" spans="2:9">
      <c r="B247" s="248" t="s">
        <v>848</v>
      </c>
      <c r="C247" s="248" t="s">
        <v>334</v>
      </c>
      <c r="D247" s="106">
        <v>12620.032846329999</v>
      </c>
      <c r="E247" s="107">
        <f t="shared" si="9"/>
        <v>4.7990918425585996E-4</v>
      </c>
      <c r="F247" s="265">
        <v>4.8987854251012146E-2</v>
      </c>
      <c r="G247" s="265">
        <v>0.19823000000000002</v>
      </c>
      <c r="H247" s="108">
        <f t="shared" si="10"/>
        <v>0.25207328542510121</v>
      </c>
      <c r="I247" s="109">
        <f t="shared" si="11"/>
        <v>1.2097228478105488E-4</v>
      </c>
    </row>
    <row r="248" spans="2:9">
      <c r="B248" s="248" t="s">
        <v>849</v>
      </c>
      <c r="C248" s="248" t="s">
        <v>335</v>
      </c>
      <c r="D248" s="106">
        <v>32482.636500820001</v>
      </c>
      <c r="E248" s="107">
        <f t="shared" si="9"/>
        <v>1.2352357379261073E-3</v>
      </c>
      <c r="F248" s="265">
        <v>1.9246402993741533E-2</v>
      </c>
      <c r="G248" s="265">
        <v>7.0669999999999997E-2</v>
      </c>
      <c r="H248" s="108">
        <f t="shared" si="10"/>
        <v>9.0596474643525382E-2</v>
      </c>
      <c r="I248" s="109">
        <f t="shared" si="11"/>
        <v>1.1190800320979894E-4</v>
      </c>
    </row>
    <row r="249" spans="2:9">
      <c r="B249" s="248" t="s">
        <v>850</v>
      </c>
      <c r="C249" s="248" t="s">
        <v>336</v>
      </c>
      <c r="D249" s="106">
        <v>34538.278774300001</v>
      </c>
      <c r="E249" s="107">
        <f t="shared" si="9"/>
        <v>1.313406818667354E-3</v>
      </c>
      <c r="F249" s="265">
        <v>8.5383502170767005E-3</v>
      </c>
      <c r="G249" s="265">
        <v>0.1283</v>
      </c>
      <c r="H249" s="108">
        <f t="shared" si="10"/>
        <v>0.13738608538350217</v>
      </c>
      <c r="I249" s="109">
        <f t="shared" si="11"/>
        <v>1.8044382133270705E-4</v>
      </c>
    </row>
    <row r="250" spans="2:9">
      <c r="B250" s="248" t="s">
        <v>851</v>
      </c>
      <c r="C250" s="248" t="s">
        <v>337</v>
      </c>
      <c r="D250" s="106">
        <v>128823.96591262</v>
      </c>
      <c r="E250" s="107">
        <f t="shared" si="9"/>
        <v>4.8988623996893167E-3</v>
      </c>
      <c r="F250" s="265">
        <v>4.4429927107688089E-2</v>
      </c>
      <c r="G250" s="265">
        <v>1.9230000000000001E-2</v>
      </c>
      <c r="H250" s="108">
        <f t="shared" si="10"/>
        <v>6.4087120856828508E-2</v>
      </c>
      <c r="I250" s="109">
        <f t="shared" si="11"/>
        <v>3.1395398666986214E-4</v>
      </c>
    </row>
    <row r="251" spans="2:9">
      <c r="B251" s="248" t="s">
        <v>852</v>
      </c>
      <c r="C251" s="248" t="s">
        <v>338</v>
      </c>
      <c r="D251" s="106">
        <v>51709.469443850001</v>
      </c>
      <c r="E251" s="107">
        <f t="shared" si="9"/>
        <v>1.9663854762721959E-3</v>
      </c>
      <c r="F251" s="265">
        <v>1.1834832556627291E-2</v>
      </c>
      <c r="G251" s="265">
        <v>8.5870000000000002E-2</v>
      </c>
      <c r="H251" s="108">
        <f t="shared" si="10"/>
        <v>9.821296109244608E-2</v>
      </c>
      <c r="I251" s="109">
        <f t="shared" si="11"/>
        <v>1.9312454027387222E-4</v>
      </c>
    </row>
    <row r="252" spans="2:9">
      <c r="B252" s="248" t="s">
        <v>853</v>
      </c>
      <c r="C252" s="248" t="s">
        <v>339</v>
      </c>
      <c r="D252" s="106">
        <v>23410.474638609998</v>
      </c>
      <c r="E252" s="107">
        <f t="shared" si="9"/>
        <v>8.9024346637299099E-4</v>
      </c>
      <c r="F252" s="265">
        <v>0</v>
      </c>
      <c r="G252" s="265">
        <v>0.18844999999999998</v>
      </c>
      <c r="H252" s="108">
        <f t="shared" si="10"/>
        <v>0.18844999999999998</v>
      </c>
      <c r="I252" s="109">
        <f t="shared" si="11"/>
        <v>1.6776638123799014E-4</v>
      </c>
    </row>
    <row r="253" spans="2:9">
      <c r="B253" s="248" t="s">
        <v>1203</v>
      </c>
      <c r="C253" s="248" t="s">
        <v>1204</v>
      </c>
      <c r="D253" s="106">
        <v>12429.833727959998</v>
      </c>
      <c r="E253" s="107">
        <f t="shared" si="9"/>
        <v>4.7267637394113283E-4</v>
      </c>
      <c r="F253" s="265">
        <v>1.1728093727117403E-2</v>
      </c>
      <c r="G253" s="265">
        <v>0.11200000000000002</v>
      </c>
      <c r="H253" s="108">
        <f t="shared" si="10"/>
        <v>0.12438486697583599</v>
      </c>
      <c r="I253" s="109">
        <f t="shared" si="11"/>
        <v>5.8793787895288317E-5</v>
      </c>
    </row>
    <row r="254" spans="2:9">
      <c r="B254" s="248" t="s">
        <v>854</v>
      </c>
      <c r="C254" s="248" t="s">
        <v>340</v>
      </c>
      <c r="D254" s="106">
        <v>13100.218247429999</v>
      </c>
      <c r="E254" s="107">
        <f t="shared" si="9"/>
        <v>4.9816946827726714E-4</v>
      </c>
      <c r="F254" s="265">
        <v>2.3824272556850601E-2</v>
      </c>
      <c r="G254" s="265">
        <v>0.1265</v>
      </c>
      <c r="H254" s="108">
        <f t="shared" si="10"/>
        <v>0.1518311577960714</v>
      </c>
      <c r="I254" s="109">
        <f t="shared" si="11"/>
        <v>7.5637647147190729E-5</v>
      </c>
    </row>
    <row r="255" spans="2:9">
      <c r="B255" s="248" t="s">
        <v>855</v>
      </c>
      <c r="C255" s="248" t="s">
        <v>341</v>
      </c>
      <c r="D255" s="106">
        <v>44720.34</v>
      </c>
      <c r="E255" s="107">
        <f t="shared" si="9"/>
        <v>1.700605866115945E-3</v>
      </c>
      <c r="F255" s="265">
        <v>0</v>
      </c>
      <c r="G255" s="265">
        <v>0.16143000000000002</v>
      </c>
      <c r="H255" s="108">
        <f t="shared" si="10"/>
        <v>0.16143000000000002</v>
      </c>
      <c r="I255" s="109">
        <f t="shared" si="11"/>
        <v>2.7452880496709706E-4</v>
      </c>
    </row>
    <row r="256" spans="2:9">
      <c r="B256" s="248" t="s">
        <v>856</v>
      </c>
      <c r="C256" s="248" t="s">
        <v>342</v>
      </c>
      <c r="D256" s="106">
        <v>15964.395870670001</v>
      </c>
      <c r="E256" s="107">
        <f t="shared" si="9"/>
        <v>6.0708718374365167E-4</v>
      </c>
      <c r="F256" s="265">
        <v>0</v>
      </c>
      <c r="G256" s="265">
        <v>0.43149999999999999</v>
      </c>
      <c r="H256" s="108">
        <f t="shared" si="10"/>
        <v>0.43149999999999999</v>
      </c>
      <c r="I256" s="109">
        <f t="shared" si="11"/>
        <v>2.6195811978538567E-4</v>
      </c>
    </row>
    <row r="257" spans="2:9">
      <c r="B257" s="248" t="s">
        <v>857</v>
      </c>
      <c r="C257" s="248" t="s">
        <v>343</v>
      </c>
      <c r="D257" s="106">
        <v>26818.080516479997</v>
      </c>
      <c r="E257" s="107">
        <f t="shared" si="9"/>
        <v>1.0198264379093634E-3</v>
      </c>
      <c r="F257" s="265">
        <v>0</v>
      </c>
      <c r="G257" s="265">
        <v>0.12733</v>
      </c>
      <c r="H257" s="108">
        <f t="shared" si="10"/>
        <v>0.12733</v>
      </c>
      <c r="I257" s="109">
        <f t="shared" si="11"/>
        <v>1.2985450033899926E-4</v>
      </c>
    </row>
    <row r="258" spans="2:9">
      <c r="B258" s="248" t="s">
        <v>858</v>
      </c>
      <c r="C258" s="248" t="s">
        <v>344</v>
      </c>
      <c r="D258" s="106">
        <v>228277.9</v>
      </c>
      <c r="E258" s="107">
        <f t="shared" si="9"/>
        <v>8.6808538540768948E-3</v>
      </c>
      <c r="F258" s="265">
        <v>2.4180089268387345E-2</v>
      </c>
      <c r="G258" s="265">
        <v>5.9830000000000008E-2</v>
      </c>
      <c r="H258" s="108">
        <f t="shared" si="10"/>
        <v>8.4733436638851162E-2</v>
      </c>
      <c r="I258" s="109">
        <f t="shared" si="11"/>
        <v>7.3555858001555152E-4</v>
      </c>
    </row>
    <row r="259" spans="2:9">
      <c r="B259" s="248" t="s">
        <v>859</v>
      </c>
      <c r="C259" s="248" t="s">
        <v>345</v>
      </c>
      <c r="D259" s="106">
        <v>69163.984353480002</v>
      </c>
      <c r="E259" s="107">
        <f t="shared" si="9"/>
        <v>2.6301382662895574E-3</v>
      </c>
      <c r="F259" s="265">
        <v>7.7197864179890194E-3</v>
      </c>
      <c r="G259" s="265">
        <v>0.15685000000000002</v>
      </c>
      <c r="H259" s="108">
        <f t="shared" si="10"/>
        <v>0.16517521066781982</v>
      </c>
      <c r="I259" s="109">
        <f t="shared" si="11"/>
        <v>4.3443364221987203E-4</v>
      </c>
    </row>
    <row r="260" spans="2:9">
      <c r="B260" s="248" t="s">
        <v>860</v>
      </c>
      <c r="C260" s="248" t="s">
        <v>346</v>
      </c>
      <c r="D260" s="106">
        <v>16428.416533380001</v>
      </c>
      <c r="E260" s="107">
        <f t="shared" si="9"/>
        <v>6.2473276204210902E-4</v>
      </c>
      <c r="F260" s="265">
        <v>4.8134863701578191E-2</v>
      </c>
      <c r="G260" s="265">
        <v>4.5499999999999999E-2</v>
      </c>
      <c r="H260" s="108">
        <f t="shared" si="10"/>
        <v>9.4729931850789095E-2</v>
      </c>
      <c r="I260" s="109">
        <f t="shared" si="11"/>
        <v>5.9180891973204227E-5</v>
      </c>
    </row>
    <row r="261" spans="2:9">
      <c r="B261" s="248" t="s">
        <v>861</v>
      </c>
      <c r="C261" s="248" t="s">
        <v>347</v>
      </c>
      <c r="D261" s="106">
        <v>8348.5323644799992</v>
      </c>
      <c r="E261" s="107">
        <f t="shared" si="9"/>
        <v>3.1747440007150012E-4</v>
      </c>
      <c r="F261" s="265">
        <v>4.3599257884972174E-2</v>
      </c>
      <c r="G261" s="265">
        <v>5.8500000000000003E-2</v>
      </c>
      <c r="H261" s="108">
        <f t="shared" si="10"/>
        <v>0.10337453617810761</v>
      </c>
      <c r="I261" s="109">
        <f t="shared" si="11"/>
        <v>3.2818768855814298E-5</v>
      </c>
    </row>
    <row r="262" spans="2:9">
      <c r="B262" s="248" t="s">
        <v>862</v>
      </c>
      <c r="C262" s="248" t="s">
        <v>348</v>
      </c>
      <c r="D262" s="106">
        <v>7213.9656972000002</v>
      </c>
      <c r="E262" s="107">
        <f t="shared" si="9"/>
        <v>2.7432958655094136E-4</v>
      </c>
      <c r="F262" s="265">
        <v>0</v>
      </c>
      <c r="G262" s="265">
        <v>6.1249999999999999E-2</v>
      </c>
      <c r="H262" s="108">
        <f t="shared" si="10"/>
        <v>6.1249999999999999E-2</v>
      </c>
      <c r="I262" s="109">
        <f t="shared" si="11"/>
        <v>1.6802687176245159E-5</v>
      </c>
    </row>
    <row r="263" spans="2:9">
      <c r="B263" s="248" t="s">
        <v>863</v>
      </c>
      <c r="C263" s="248" t="s">
        <v>349</v>
      </c>
      <c r="D263" s="106">
        <v>29262.720559379999</v>
      </c>
      <c r="E263" s="107">
        <f t="shared" si="9"/>
        <v>1.1127901586122399E-3</v>
      </c>
      <c r="F263" s="265">
        <v>0</v>
      </c>
      <c r="G263" s="265">
        <v>0.17749999999999999</v>
      </c>
      <c r="H263" s="108">
        <f t="shared" si="10"/>
        <v>0.17749999999999999</v>
      </c>
      <c r="I263" s="109">
        <f t="shared" si="11"/>
        <v>1.9752025315367258E-4</v>
      </c>
    </row>
    <row r="264" spans="2:9">
      <c r="B264" s="248" t="s">
        <v>864</v>
      </c>
      <c r="C264" s="248" t="s">
        <v>350</v>
      </c>
      <c r="D264" s="106">
        <v>29764.664098109999</v>
      </c>
      <c r="E264" s="107">
        <f t="shared" si="9"/>
        <v>1.1318778517385272E-3</v>
      </c>
      <c r="F264" s="265">
        <v>1.7401184968752537E-2</v>
      </c>
      <c r="G264" s="265">
        <v>9.4800000000000009E-2</v>
      </c>
      <c r="H264" s="108">
        <f t="shared" si="10"/>
        <v>0.11302600113627143</v>
      </c>
      <c r="I264" s="109">
        <f t="shared" si="11"/>
        <v>1.2793162735671925E-4</v>
      </c>
    </row>
    <row r="265" spans="2:9">
      <c r="B265" s="248" t="s">
        <v>865</v>
      </c>
      <c r="C265" s="248" t="s">
        <v>351</v>
      </c>
      <c r="D265" s="106">
        <v>9299.3896082899992</v>
      </c>
      <c r="E265" s="107">
        <f t="shared" si="9"/>
        <v>3.5363319060534055E-4</v>
      </c>
      <c r="F265" s="265">
        <v>7.5825872182772452E-2</v>
      </c>
      <c r="G265" s="265">
        <v>3.8100000000000002E-2</v>
      </c>
      <c r="H265" s="108">
        <f t="shared" si="10"/>
        <v>0.11537035504785428</v>
      </c>
      <c r="I265" s="109">
        <f t="shared" si="11"/>
        <v>4.0798786756843666E-5</v>
      </c>
    </row>
    <row r="266" spans="2:9">
      <c r="B266" s="248" t="s">
        <v>866</v>
      </c>
      <c r="C266" s="248" t="s">
        <v>352</v>
      </c>
      <c r="D266" s="106">
        <v>62228.786079689991</v>
      </c>
      <c r="E266" s="107">
        <f t="shared" si="9"/>
        <v>2.3664095274855933E-3</v>
      </c>
      <c r="F266" s="265">
        <v>0</v>
      </c>
      <c r="G266" s="265">
        <v>0.13483000000000001</v>
      </c>
      <c r="H266" s="108">
        <f t="shared" si="10"/>
        <v>0.13483000000000001</v>
      </c>
      <c r="I266" s="109">
        <f t="shared" si="11"/>
        <v>3.1906299659088257E-4</v>
      </c>
    </row>
    <row r="267" spans="2:9">
      <c r="B267" s="248" t="s">
        <v>867</v>
      </c>
      <c r="C267" s="248" t="s">
        <v>353</v>
      </c>
      <c r="D267" s="106">
        <v>12888.719657900001</v>
      </c>
      <c r="E267" s="107">
        <f t="shared" si="9"/>
        <v>4.9012669082901966E-4</v>
      </c>
      <c r="F267" s="265">
        <v>0</v>
      </c>
      <c r="G267" s="265">
        <v>0.1308</v>
      </c>
      <c r="H267" s="108">
        <f t="shared" si="10"/>
        <v>0.1308</v>
      </c>
      <c r="I267" s="109">
        <f t="shared" si="11"/>
        <v>6.4108571160435777E-5</v>
      </c>
    </row>
    <row r="268" spans="2:9">
      <c r="B268" s="248" t="s">
        <v>868</v>
      </c>
      <c r="C268" s="248" t="s">
        <v>354</v>
      </c>
      <c r="D268" s="106">
        <v>50621.097258400005</v>
      </c>
      <c r="E268" s="107">
        <f t="shared" si="9"/>
        <v>1.9249973266495925E-3</v>
      </c>
      <c r="F268" s="265">
        <v>2.5918589047223467E-2</v>
      </c>
      <c r="G268" s="265">
        <v>6.5200000000000008E-2</v>
      </c>
      <c r="H268" s="108">
        <f t="shared" si="10"/>
        <v>9.1963535050162956E-2</v>
      </c>
      <c r="I268" s="109">
        <f t="shared" si="11"/>
        <v>1.7702955912080978E-4</v>
      </c>
    </row>
    <row r="269" spans="2:9">
      <c r="B269" s="248" t="s">
        <v>869</v>
      </c>
      <c r="C269" s="248" t="s">
        <v>355</v>
      </c>
      <c r="D269" s="106">
        <v>7958.3084457800005</v>
      </c>
      <c r="E269" s="107">
        <f t="shared" ref="E269:E332" si="12">IF(OR(H269="N/A",D269="N/A"),"N/A",D269/$D$513)</f>
        <v>3.0263513263212083E-4</v>
      </c>
      <c r="F269" s="265">
        <v>7.3140495867768593E-2</v>
      </c>
      <c r="G269" s="265">
        <v>7.0029999999999995E-2</v>
      </c>
      <c r="H269" s="108">
        <f t="shared" ref="H269:H332" si="13">IFERROR(F269*(1+0.5*G269)+G269,"N/A")</f>
        <v>0.14573151033057852</v>
      </c>
      <c r="I269" s="109">
        <f t="shared" ref="I269:I332" si="14">IF(AND(ISNUMBER(D269),ISNUMBER(H269)),E269*H269,"N/A")</f>
        <v>4.4103474957573916E-5</v>
      </c>
    </row>
    <row r="270" spans="2:9">
      <c r="B270" s="248" t="s">
        <v>870</v>
      </c>
      <c r="C270" s="248" t="s">
        <v>356</v>
      </c>
      <c r="D270" s="106">
        <v>11813.895244250001</v>
      </c>
      <c r="E270" s="107">
        <f t="shared" si="12"/>
        <v>4.4925373004880596E-4</v>
      </c>
      <c r="F270" s="265">
        <v>9.3267058291911439E-3</v>
      </c>
      <c r="G270" s="265">
        <v>0.12032999999999999</v>
      </c>
      <c r="H270" s="108">
        <f t="shared" si="13"/>
        <v>0.13021784708540443</v>
      </c>
      <c r="I270" s="109">
        <f t="shared" si="14"/>
        <v>5.8500853522042979E-5</v>
      </c>
    </row>
    <row r="271" spans="2:9">
      <c r="B271" s="248" t="s">
        <v>871</v>
      </c>
      <c r="C271" s="248" t="s">
        <v>357</v>
      </c>
      <c r="D271" s="106">
        <v>34923.561093960001</v>
      </c>
      <c r="E271" s="107">
        <f t="shared" si="12"/>
        <v>1.3280581691026271E-3</v>
      </c>
      <c r="F271" s="265">
        <v>2.4447482342219183E-2</v>
      </c>
      <c r="G271" s="265">
        <v>7.5670000000000001E-2</v>
      </c>
      <c r="H271" s="108">
        <f t="shared" si="13"/>
        <v>0.10104245283663704</v>
      </c>
      <c r="I271" s="109">
        <f t="shared" si="14"/>
        <v>1.3419025491586274E-4</v>
      </c>
    </row>
    <row r="272" spans="2:9">
      <c r="B272" s="248" t="s">
        <v>872</v>
      </c>
      <c r="C272" s="248" t="s">
        <v>358</v>
      </c>
      <c r="D272" s="106">
        <v>12398.0773395</v>
      </c>
      <c r="E272" s="107">
        <f t="shared" si="12"/>
        <v>4.7146875565151945E-4</v>
      </c>
      <c r="F272" s="265">
        <v>6.7650273224043713E-3</v>
      </c>
      <c r="G272" s="265">
        <v>0.15615000000000001</v>
      </c>
      <c r="H272" s="108">
        <f t="shared" si="13"/>
        <v>0.1634432068306011</v>
      </c>
      <c r="I272" s="109">
        <f t="shared" si="14"/>
        <v>7.7058365344117419E-5</v>
      </c>
    </row>
    <row r="273" spans="2:9">
      <c r="B273" s="248" t="s">
        <v>873</v>
      </c>
      <c r="C273" s="248" t="s">
        <v>876</v>
      </c>
      <c r="D273" s="106">
        <v>11239.73481279</v>
      </c>
      <c r="E273" s="107">
        <f t="shared" si="12"/>
        <v>4.2741980396880435E-4</v>
      </c>
      <c r="F273" s="265">
        <v>1.0878947728985408E-2</v>
      </c>
      <c r="G273" s="265">
        <v>9.2000000000000012E-2</v>
      </c>
      <c r="H273" s="108">
        <f t="shared" si="13"/>
        <v>0.10337937932451875</v>
      </c>
      <c r="I273" s="109">
        <f t="shared" si="14"/>
        <v>4.4186394045302471E-5</v>
      </c>
    </row>
    <row r="274" spans="2:9">
      <c r="B274" s="248" t="s">
        <v>874</v>
      </c>
      <c r="C274" s="248" t="s">
        <v>359</v>
      </c>
      <c r="D274" s="106">
        <v>341455.23588326003</v>
      </c>
      <c r="E274" s="107">
        <f t="shared" si="12"/>
        <v>1.298471293284165E-2</v>
      </c>
      <c r="F274" s="265">
        <v>2.8992116246715102E-2</v>
      </c>
      <c r="G274" s="265">
        <v>6.0929999999999998E-2</v>
      </c>
      <c r="H274" s="108">
        <f t="shared" si="13"/>
        <v>9.0805361068171275E-2</v>
      </c>
      <c r="I274" s="109">
        <f t="shared" si="14"/>
        <v>1.1790815462332392E-3</v>
      </c>
    </row>
    <row r="275" spans="2:9">
      <c r="B275" s="248" t="s">
        <v>875</v>
      </c>
      <c r="C275" s="248" t="s">
        <v>360</v>
      </c>
      <c r="D275" s="106">
        <v>8558.9383027500007</v>
      </c>
      <c r="E275" s="107">
        <f t="shared" si="12"/>
        <v>3.2547562664731757E-4</v>
      </c>
      <c r="F275" s="265">
        <v>3.0464646464646465E-2</v>
      </c>
      <c r="G275" s="265">
        <v>7.7429999999999999E-2</v>
      </c>
      <c r="H275" s="108">
        <f t="shared" si="13"/>
        <v>0.10907408525252525</v>
      </c>
      <c r="I275" s="109">
        <f t="shared" si="14"/>
        <v>3.5500956248548595E-5</v>
      </c>
    </row>
    <row r="276" spans="2:9">
      <c r="B276" s="248" t="s">
        <v>877</v>
      </c>
      <c r="C276" s="248" t="s">
        <v>47</v>
      </c>
      <c r="D276" s="106">
        <v>376312.00835541001</v>
      </c>
      <c r="E276" s="107">
        <f t="shared" si="12"/>
        <v>1.4310231292943723E-2</v>
      </c>
      <c r="F276" s="265">
        <v>2.8829977058373694E-2</v>
      </c>
      <c r="G276" s="265">
        <v>4.6500000000000007E-2</v>
      </c>
      <c r="H276" s="108">
        <f t="shared" si="13"/>
        <v>7.6000274024980885E-2</v>
      </c>
      <c r="I276" s="109">
        <f t="shared" si="14"/>
        <v>1.0875814996245793E-3</v>
      </c>
    </row>
    <row r="277" spans="2:9">
      <c r="B277" s="248" t="s">
        <v>878</v>
      </c>
      <c r="C277" s="248" t="s">
        <v>361</v>
      </c>
      <c r="D277" s="106">
        <v>5215.9817200400003</v>
      </c>
      <c r="E277" s="107">
        <f t="shared" si="12"/>
        <v>1.9835111071726114E-4</v>
      </c>
      <c r="F277" s="265">
        <v>4.5144045144045145E-2</v>
      </c>
      <c r="G277" s="265">
        <v>5.833E-2</v>
      </c>
      <c r="H277" s="108">
        <f t="shared" si="13"/>
        <v>0.10479067122067123</v>
      </c>
      <c r="I277" s="109">
        <f t="shared" si="14"/>
        <v>2.0785346029427471E-5</v>
      </c>
    </row>
    <row r="278" spans="2:9">
      <c r="B278" s="248" t="s">
        <v>879</v>
      </c>
      <c r="C278" s="248" t="s">
        <v>362</v>
      </c>
      <c r="D278" s="106">
        <v>21919.664309399999</v>
      </c>
      <c r="E278" s="107">
        <f t="shared" si="12"/>
        <v>8.3355157201081109E-4</v>
      </c>
      <c r="F278" s="265">
        <v>3.5617715617715623E-2</v>
      </c>
      <c r="G278" s="265">
        <v>2.0899999999999998E-2</v>
      </c>
      <c r="H278" s="108">
        <f t="shared" si="13"/>
        <v>5.6889920745920752E-2</v>
      </c>
      <c r="I278" s="109">
        <f t="shared" si="14"/>
        <v>4.7420682869332698E-5</v>
      </c>
    </row>
    <row r="279" spans="2:9">
      <c r="B279" s="248" t="s">
        <v>880</v>
      </c>
      <c r="C279" s="248" t="s">
        <v>363</v>
      </c>
      <c r="D279" s="106">
        <v>17898.13700984</v>
      </c>
      <c r="E279" s="107">
        <f t="shared" si="12"/>
        <v>6.8062266054955774E-4</v>
      </c>
      <c r="F279" s="265">
        <v>3.9798206278026903E-2</v>
      </c>
      <c r="G279" s="265">
        <v>4.6870000000000002E-2</v>
      </c>
      <c r="H279" s="108">
        <f t="shared" si="13"/>
        <v>8.7600877242152472E-2</v>
      </c>
      <c r="I279" s="109">
        <f t="shared" si="14"/>
        <v>5.9623142135029022E-5</v>
      </c>
    </row>
    <row r="280" spans="2:9">
      <c r="B280" s="248" t="s">
        <v>881</v>
      </c>
      <c r="C280" s="248" t="s">
        <v>884</v>
      </c>
      <c r="D280" s="106">
        <v>18241.955929250002</v>
      </c>
      <c r="E280" s="107">
        <f t="shared" si="12"/>
        <v>6.936972586235056E-4</v>
      </c>
      <c r="F280" s="265">
        <v>0</v>
      </c>
      <c r="G280" s="265">
        <v>0</v>
      </c>
      <c r="H280" s="108">
        <f t="shared" si="13"/>
        <v>0</v>
      </c>
      <c r="I280" s="109">
        <f t="shared" si="14"/>
        <v>0</v>
      </c>
    </row>
    <row r="281" spans="2:9">
      <c r="B281" s="248" t="s">
        <v>882</v>
      </c>
      <c r="C281" s="248" t="s">
        <v>364</v>
      </c>
      <c r="D281" s="106">
        <v>34080.460457374997</v>
      </c>
      <c r="E281" s="107">
        <f t="shared" si="12"/>
        <v>1.2959971005082793E-3</v>
      </c>
      <c r="F281" s="265">
        <v>5.7275818865222837E-2</v>
      </c>
      <c r="G281" s="265">
        <v>-3.3099999999999997E-2</v>
      </c>
      <c r="H281" s="108">
        <f t="shared" si="13"/>
        <v>2.3227904063003402E-2</v>
      </c>
      <c r="I281" s="109">
        <f t="shared" si="14"/>
        <v>3.0103296316536889E-5</v>
      </c>
    </row>
    <row r="282" spans="2:9">
      <c r="B282" s="248" t="s">
        <v>883</v>
      </c>
      <c r="C282" s="248" t="s">
        <v>365</v>
      </c>
      <c r="D282" s="106">
        <v>8815.9016923199997</v>
      </c>
      <c r="E282" s="107">
        <f t="shared" si="12"/>
        <v>3.3524731996806999E-4</v>
      </c>
      <c r="F282" s="265">
        <v>5.4262452107279688E-2</v>
      </c>
      <c r="G282" s="265">
        <v>3.993E-2</v>
      </c>
      <c r="H282" s="108">
        <f t="shared" si="13"/>
        <v>9.5275801963601525E-2</v>
      </c>
      <c r="I282" s="109">
        <f t="shared" si="14"/>
        <v>3.1940957266105992E-5</v>
      </c>
    </row>
    <row r="283" spans="2:9">
      <c r="B283" s="248" t="s">
        <v>1205</v>
      </c>
      <c r="C283" s="248" t="s">
        <v>366</v>
      </c>
      <c r="D283" s="106">
        <v>25266.894097799999</v>
      </c>
      <c r="E283" s="107">
        <f t="shared" si="12"/>
        <v>9.6083858756997444E-4</v>
      </c>
      <c r="F283" s="265">
        <v>2.0702414550015681E-2</v>
      </c>
      <c r="G283" s="265">
        <v>0.13968</v>
      </c>
      <c r="H283" s="108">
        <f t="shared" si="13"/>
        <v>0.16182827118218879</v>
      </c>
      <c r="I283" s="109">
        <f t="shared" si="14"/>
        <v>1.5549084751158507E-4</v>
      </c>
    </row>
    <row r="284" spans="2:9">
      <c r="B284" s="248" t="s">
        <v>885</v>
      </c>
      <c r="C284" s="248" t="s">
        <v>367</v>
      </c>
      <c r="D284" s="106">
        <v>48884.557579649998</v>
      </c>
      <c r="E284" s="107">
        <f t="shared" si="12"/>
        <v>1.8589609422118767E-3</v>
      </c>
      <c r="F284" s="265">
        <v>2.8891235480464624E-2</v>
      </c>
      <c r="G284" s="265">
        <v>4.7830000000000004E-2</v>
      </c>
      <c r="H284" s="108">
        <f t="shared" si="13"/>
        <v>7.7412169376979936E-2</v>
      </c>
      <c r="I284" s="109">
        <f t="shared" si="14"/>
        <v>1.4390619932369602E-4</v>
      </c>
    </row>
    <row r="285" spans="2:9">
      <c r="B285" s="248" t="s">
        <v>886</v>
      </c>
      <c r="C285" s="248" t="s">
        <v>368</v>
      </c>
      <c r="D285" s="106">
        <v>46657.024059060001</v>
      </c>
      <c r="E285" s="107">
        <f t="shared" si="12"/>
        <v>1.77425325501439E-3</v>
      </c>
      <c r="F285" s="265">
        <v>4.8277535177098499E-2</v>
      </c>
      <c r="G285" s="265">
        <v>0.11900000000000001</v>
      </c>
      <c r="H285" s="108">
        <f t="shared" si="13"/>
        <v>0.17015004852013588</v>
      </c>
      <c r="I285" s="109">
        <f t="shared" si="14"/>
        <v>3.0188927742770744E-4</v>
      </c>
    </row>
    <row r="286" spans="2:9">
      <c r="B286" s="248" t="s">
        <v>887</v>
      </c>
      <c r="C286" s="248" t="s">
        <v>369</v>
      </c>
      <c r="D286" s="106">
        <v>14509.937024000001</v>
      </c>
      <c r="E286" s="107">
        <f t="shared" si="12"/>
        <v>5.5177764793352068E-4</v>
      </c>
      <c r="F286" s="265">
        <v>0</v>
      </c>
      <c r="G286" s="265">
        <v>0.10679999999999999</v>
      </c>
      <c r="H286" s="108">
        <f t="shared" si="13"/>
        <v>0.10679999999999999</v>
      </c>
      <c r="I286" s="109">
        <f t="shared" si="14"/>
        <v>5.8929852799300006E-5</v>
      </c>
    </row>
    <row r="287" spans="2:9">
      <c r="B287" s="248" t="s">
        <v>888</v>
      </c>
      <c r="C287" s="248" t="s">
        <v>370</v>
      </c>
      <c r="D287" s="106">
        <v>232786.93367027998</v>
      </c>
      <c r="E287" s="107">
        <f t="shared" si="12"/>
        <v>8.8523214482452862E-3</v>
      </c>
      <c r="F287" s="265">
        <v>2.9573842762674506E-2</v>
      </c>
      <c r="G287" s="265">
        <v>6.9599999999999995E-2</v>
      </c>
      <c r="H287" s="108">
        <f t="shared" si="13"/>
        <v>0.10020301249081558</v>
      </c>
      <c r="I287" s="109">
        <f t="shared" si="14"/>
        <v>8.8702927665123708E-4</v>
      </c>
    </row>
    <row r="288" spans="2:9">
      <c r="B288" s="248" t="s">
        <v>889</v>
      </c>
      <c r="C288" s="248" t="s">
        <v>371</v>
      </c>
      <c r="D288" s="106">
        <v>20665.79964044</v>
      </c>
      <c r="E288" s="107">
        <f t="shared" si="12"/>
        <v>7.8587014536358752E-4</v>
      </c>
      <c r="F288" s="265">
        <v>2.34678044996121E-2</v>
      </c>
      <c r="G288" s="265">
        <v>4.7500000000000001E-2</v>
      </c>
      <c r="H288" s="108">
        <f t="shared" si="13"/>
        <v>7.1525164856477891E-2</v>
      </c>
      <c r="I288" s="109">
        <f t="shared" si="14"/>
        <v>5.6209491702914845E-5</v>
      </c>
    </row>
    <row r="289" spans="2:9">
      <c r="B289" s="248" t="s">
        <v>890</v>
      </c>
      <c r="C289" s="248" t="s">
        <v>372</v>
      </c>
      <c r="D289" s="106">
        <v>7902.2337097599993</v>
      </c>
      <c r="E289" s="107">
        <f t="shared" si="12"/>
        <v>3.0050274667493636E-4</v>
      </c>
      <c r="F289" s="265">
        <v>5.3926701570680635E-2</v>
      </c>
      <c r="G289" s="265">
        <v>6.1669999999999996E-2</v>
      </c>
      <c r="H289" s="108">
        <f t="shared" si="13"/>
        <v>0.11725953141361256</v>
      </c>
      <c r="I289" s="109">
        <f t="shared" si="14"/>
        <v>3.5236811263606558E-5</v>
      </c>
    </row>
    <row r="290" spans="2:9">
      <c r="B290" s="248" t="s">
        <v>891</v>
      </c>
      <c r="C290" s="248" t="s">
        <v>373</v>
      </c>
      <c r="D290" s="106">
        <v>13289.53932636</v>
      </c>
      <c r="E290" s="107">
        <f t="shared" si="12"/>
        <v>5.0536888888560246E-4</v>
      </c>
      <c r="F290" s="265">
        <v>1.1209683482444933E-2</v>
      </c>
      <c r="G290" s="265">
        <v>0.12733</v>
      </c>
      <c r="H290" s="108">
        <f t="shared" si="13"/>
        <v>0.1392533479813548</v>
      </c>
      <c r="I290" s="109">
        <f t="shared" si="14"/>
        <v>7.0374309742937422E-5</v>
      </c>
    </row>
    <row r="291" spans="2:9">
      <c r="B291" s="248" t="s">
        <v>892</v>
      </c>
      <c r="C291" s="248" t="s">
        <v>374</v>
      </c>
      <c r="D291" s="106">
        <v>15566.524356239999</v>
      </c>
      <c r="E291" s="107">
        <f t="shared" si="12"/>
        <v>5.9195709682123348E-4</v>
      </c>
      <c r="F291" s="265">
        <v>4.856254856254856E-3</v>
      </c>
      <c r="G291" s="265">
        <v>0</v>
      </c>
      <c r="H291" s="108">
        <f t="shared" si="13"/>
        <v>4.856254856254856E-3</v>
      </c>
      <c r="I291" s="109">
        <f t="shared" si="14"/>
        <v>2.8746945261326412E-6</v>
      </c>
    </row>
    <row r="292" spans="2:9">
      <c r="B292" s="248" t="s">
        <v>893</v>
      </c>
      <c r="C292" s="248" t="s">
        <v>375</v>
      </c>
      <c r="D292" s="106">
        <v>5414.51156154</v>
      </c>
      <c r="E292" s="107">
        <f t="shared" si="12"/>
        <v>2.0590071819014637E-4</v>
      </c>
      <c r="F292" s="265">
        <v>6.1306789178152118E-2</v>
      </c>
      <c r="G292" s="265">
        <v>9.2249999999999999E-2</v>
      </c>
      <c r="H292" s="108">
        <f t="shared" si="13"/>
        <v>0.15638456482899438</v>
      </c>
      <c r="I292" s="109">
        <f t="shared" si="14"/>
        <v>3.2199694212143447E-5</v>
      </c>
    </row>
    <row r="293" spans="2:9">
      <c r="B293" s="248" t="s">
        <v>1206</v>
      </c>
      <c r="C293" s="248" t="s">
        <v>1207</v>
      </c>
      <c r="D293" s="106">
        <v>12350.21523808</v>
      </c>
      <c r="E293" s="107">
        <f t="shared" si="12"/>
        <v>4.6964867623263556E-4</v>
      </c>
      <c r="F293" s="265">
        <v>1.5638099673963672E-2</v>
      </c>
      <c r="G293" s="265">
        <v>0.1</v>
      </c>
      <c r="H293" s="108">
        <f t="shared" si="13"/>
        <v>0.11642000465766186</v>
      </c>
      <c r="I293" s="109">
        <f t="shared" si="14"/>
        <v>5.4676501074468162E-5</v>
      </c>
    </row>
    <row r="294" spans="2:9">
      <c r="B294" s="248" t="s">
        <v>894</v>
      </c>
      <c r="C294" s="248" t="s">
        <v>376</v>
      </c>
      <c r="D294" s="106">
        <v>5382.3865080999994</v>
      </c>
      <c r="E294" s="107">
        <f t="shared" si="12"/>
        <v>2.0467908046714712E-4</v>
      </c>
      <c r="F294" s="265">
        <v>3.8593063019052271E-2</v>
      </c>
      <c r="G294" s="265">
        <v>0</v>
      </c>
      <c r="H294" s="108">
        <f t="shared" si="13"/>
        <v>3.8593063019052271E-2</v>
      </c>
      <c r="I294" s="109">
        <f t="shared" si="14"/>
        <v>7.89919265115028E-6</v>
      </c>
    </row>
    <row r="295" spans="2:9">
      <c r="B295" s="248" t="s">
        <v>895</v>
      </c>
      <c r="C295" s="248" t="s">
        <v>377</v>
      </c>
      <c r="D295" s="106">
        <v>17558.584649800003</v>
      </c>
      <c r="E295" s="107">
        <f t="shared" si="12"/>
        <v>6.6771030936131691E-4</v>
      </c>
      <c r="F295" s="265">
        <v>2.8648164726947176E-3</v>
      </c>
      <c r="G295" s="265">
        <v>9.4150000000000011E-2</v>
      </c>
      <c r="H295" s="108">
        <f t="shared" si="13"/>
        <v>9.7149677708146837E-2</v>
      </c>
      <c r="I295" s="109">
        <f t="shared" si="14"/>
        <v>6.4867841356858953E-5</v>
      </c>
    </row>
    <row r="296" spans="2:9">
      <c r="B296" s="248" t="s">
        <v>896</v>
      </c>
      <c r="C296" s="248" t="s">
        <v>378</v>
      </c>
      <c r="D296" s="106">
        <v>16413.600000000002</v>
      </c>
      <c r="E296" s="107">
        <f t="shared" si="12"/>
        <v>6.2416932527974253E-4</v>
      </c>
      <c r="F296" s="265">
        <v>0</v>
      </c>
      <c r="G296" s="265">
        <v>7.3599999999999999E-2</v>
      </c>
      <c r="H296" s="108">
        <f t="shared" si="13"/>
        <v>7.3599999999999999E-2</v>
      </c>
      <c r="I296" s="109">
        <f t="shared" si="14"/>
        <v>4.5938862340589052E-5</v>
      </c>
    </row>
    <row r="297" spans="2:9">
      <c r="B297" s="248" t="s">
        <v>1208</v>
      </c>
      <c r="C297" s="248" t="s">
        <v>1209</v>
      </c>
      <c r="D297" s="106">
        <v>46438.024423679992</v>
      </c>
      <c r="E297" s="107">
        <f t="shared" si="12"/>
        <v>1.7659252310189442E-3</v>
      </c>
      <c r="F297" s="265">
        <v>1.5001917177914112E-2</v>
      </c>
      <c r="G297" s="265">
        <v>0</v>
      </c>
      <c r="H297" s="108">
        <f t="shared" si="13"/>
        <v>1.5001917177914112E-2</v>
      </c>
      <c r="I297" s="109">
        <f t="shared" si="14"/>
        <v>2.6492264058135048E-5</v>
      </c>
    </row>
    <row r="298" spans="2:9">
      <c r="B298" s="248" t="s">
        <v>897</v>
      </c>
      <c r="C298" s="248" t="s">
        <v>899</v>
      </c>
      <c r="D298" s="106">
        <v>104723.3834428</v>
      </c>
      <c r="E298" s="107">
        <f t="shared" si="12"/>
        <v>3.9823758093595696E-3</v>
      </c>
      <c r="F298" s="265">
        <v>1.8573198430724757E-2</v>
      </c>
      <c r="G298" s="265">
        <v>0.13950000000000001</v>
      </c>
      <c r="H298" s="108">
        <f t="shared" si="13"/>
        <v>0.15936867902126783</v>
      </c>
      <c r="I298" s="109">
        <f t="shared" si="14"/>
        <v>6.3466597210388694E-4</v>
      </c>
    </row>
    <row r="299" spans="2:9">
      <c r="B299" s="248" t="s">
        <v>898</v>
      </c>
      <c r="C299" s="248" t="s">
        <v>379</v>
      </c>
      <c r="D299" s="106">
        <v>9693.0481935000007</v>
      </c>
      <c r="E299" s="107">
        <f t="shared" si="12"/>
        <v>3.6860307006634266E-4</v>
      </c>
      <c r="F299" s="265">
        <v>0</v>
      </c>
      <c r="G299" s="265">
        <v>0.13500000000000001</v>
      </c>
      <c r="H299" s="108">
        <f t="shared" si="13"/>
        <v>0.13500000000000001</v>
      </c>
      <c r="I299" s="109">
        <f t="shared" si="14"/>
        <v>4.9761414458956264E-5</v>
      </c>
    </row>
    <row r="300" spans="2:9">
      <c r="B300" s="248" t="s">
        <v>900</v>
      </c>
      <c r="C300" s="248" t="s">
        <v>380</v>
      </c>
      <c r="D300" s="106">
        <v>107964.36702216</v>
      </c>
      <c r="E300" s="107">
        <f t="shared" si="12"/>
        <v>4.105622539752162E-3</v>
      </c>
      <c r="F300" s="265">
        <v>2.259679871233122E-2</v>
      </c>
      <c r="G300" s="265">
        <v>9.9250000000000005E-2</v>
      </c>
      <c r="H300" s="108">
        <f t="shared" si="13"/>
        <v>0.12296816484843066</v>
      </c>
      <c r="I300" s="109">
        <f t="shared" si="14"/>
        <v>5.0486086927367647E-4</v>
      </c>
    </row>
    <row r="301" spans="2:9">
      <c r="B301" s="248" t="s">
        <v>901</v>
      </c>
      <c r="C301" s="248" t="s">
        <v>381</v>
      </c>
      <c r="D301" s="106">
        <v>110151.96924005999</v>
      </c>
      <c r="E301" s="107">
        <f t="shared" si="12"/>
        <v>4.1888117365357505E-3</v>
      </c>
      <c r="F301" s="265">
        <v>2.2960570168691991E-2</v>
      </c>
      <c r="G301" s="265">
        <v>0.10102999999999999</v>
      </c>
      <c r="H301" s="108">
        <f t="shared" si="13"/>
        <v>0.12515042337076346</v>
      </c>
      <c r="I301" s="109">
        <f t="shared" si="14"/>
        <v>5.2423156224787207E-4</v>
      </c>
    </row>
    <row r="302" spans="2:9">
      <c r="B302" s="248" t="s">
        <v>902</v>
      </c>
      <c r="C302" s="248" t="s">
        <v>382</v>
      </c>
      <c r="D302" s="106">
        <v>12075.623060800001</v>
      </c>
      <c r="E302" s="107">
        <f t="shared" si="12"/>
        <v>4.5920660295072589E-4</v>
      </c>
      <c r="F302" s="265">
        <v>2.5016578249336868E-2</v>
      </c>
      <c r="G302" s="265">
        <v>0.09</v>
      </c>
      <c r="H302" s="108">
        <f t="shared" si="13"/>
        <v>0.11614232427055703</v>
      </c>
      <c r="I302" s="109">
        <f t="shared" si="14"/>
        <v>5.3333322187084133E-5</v>
      </c>
    </row>
    <row r="303" spans="2:9">
      <c r="B303" s="248" t="s">
        <v>903</v>
      </c>
      <c r="C303" s="248" t="s">
        <v>4</v>
      </c>
      <c r="D303" s="106">
        <v>12809.51152082</v>
      </c>
      <c r="E303" s="107">
        <f t="shared" si="12"/>
        <v>4.871145978404072E-4</v>
      </c>
      <c r="F303" s="265">
        <v>2.6367513443352489E-2</v>
      </c>
      <c r="G303" s="265">
        <v>5.6299999999999996E-2</v>
      </c>
      <c r="H303" s="108">
        <f t="shared" si="13"/>
        <v>8.3409758946782847E-2</v>
      </c>
      <c r="I303" s="109">
        <f t="shared" si="14"/>
        <v>4.0630111185327434E-5</v>
      </c>
    </row>
    <row r="304" spans="2:9">
      <c r="B304" s="248" t="s">
        <v>904</v>
      </c>
      <c r="C304" s="248" t="s">
        <v>383</v>
      </c>
      <c r="D304" s="106">
        <v>84866.97823447999</v>
      </c>
      <c r="E304" s="107">
        <f t="shared" si="12"/>
        <v>3.2272849675358218E-3</v>
      </c>
      <c r="F304" s="265">
        <v>1.9043288468534012E-2</v>
      </c>
      <c r="G304" s="265">
        <v>0.14560000000000001</v>
      </c>
      <c r="H304" s="108">
        <f t="shared" si="13"/>
        <v>0.16602963986904329</v>
      </c>
      <c r="I304" s="109">
        <f t="shared" si="14"/>
        <v>5.3582496091474953E-4</v>
      </c>
    </row>
    <row r="305" spans="2:9">
      <c r="B305" s="248" t="s">
        <v>905</v>
      </c>
      <c r="C305" s="248" t="s">
        <v>384</v>
      </c>
      <c r="D305" s="106">
        <v>33472.596139950001</v>
      </c>
      <c r="E305" s="107">
        <f t="shared" si="12"/>
        <v>1.272881497540692E-3</v>
      </c>
      <c r="F305" s="265">
        <v>1.9224611656786815E-2</v>
      </c>
      <c r="G305" s="265">
        <v>0.16300000000000001</v>
      </c>
      <c r="H305" s="108">
        <f t="shared" si="13"/>
        <v>0.18379141750681494</v>
      </c>
      <c r="I305" s="109">
        <f t="shared" si="14"/>
        <v>2.3394469475120116E-4</v>
      </c>
    </row>
    <row r="306" spans="2:9">
      <c r="B306" s="248" t="s">
        <v>906</v>
      </c>
      <c r="C306" s="248" t="s">
        <v>385</v>
      </c>
      <c r="D306" s="106">
        <v>29031.295330399997</v>
      </c>
      <c r="E306" s="107">
        <f t="shared" si="12"/>
        <v>1.1039896194846167E-3</v>
      </c>
      <c r="F306" s="265">
        <v>1.3349379744491761E-2</v>
      </c>
      <c r="G306" s="265">
        <v>8.4199999999999997E-2</v>
      </c>
      <c r="H306" s="108">
        <f t="shared" si="13"/>
        <v>9.8111388631734867E-2</v>
      </c>
      <c r="I306" s="109">
        <f t="shared" si="14"/>
        <v>1.0831395460265633E-4</v>
      </c>
    </row>
    <row r="307" spans="2:9">
      <c r="B307" s="248" t="s">
        <v>907</v>
      </c>
      <c r="C307" s="248" t="s">
        <v>909</v>
      </c>
      <c r="D307" s="106">
        <v>10593.43146</v>
      </c>
      <c r="E307" s="107">
        <f t="shared" si="12"/>
        <v>4.0284245788769054E-4</v>
      </c>
      <c r="F307" s="265">
        <v>1.1454895489548955E-2</v>
      </c>
      <c r="G307" s="265">
        <v>7.4999999999999997E-2</v>
      </c>
      <c r="H307" s="108">
        <f t="shared" si="13"/>
        <v>8.6884454070407041E-2</v>
      </c>
      <c r="I307" s="109">
        <f t="shared" si="14"/>
        <v>3.5000747029952929E-5</v>
      </c>
    </row>
    <row r="308" spans="2:9">
      <c r="B308" s="248" t="s">
        <v>908</v>
      </c>
      <c r="C308" s="248" t="s">
        <v>386</v>
      </c>
      <c r="D308" s="106">
        <v>29994.434747340001</v>
      </c>
      <c r="E308" s="107">
        <f t="shared" si="12"/>
        <v>1.1406154712186522E-3</v>
      </c>
      <c r="F308" s="265">
        <v>4.7770202302447745E-2</v>
      </c>
      <c r="G308" s="265">
        <v>7.1000000000000008E-2</v>
      </c>
      <c r="H308" s="108">
        <f t="shared" si="13"/>
        <v>0.12046604448418466</v>
      </c>
      <c r="I308" s="109">
        <f t="shared" si="14"/>
        <v>1.3740543409517539E-4</v>
      </c>
    </row>
    <row r="309" spans="2:9">
      <c r="B309" s="248" t="s">
        <v>910</v>
      </c>
      <c r="C309" s="248" t="s">
        <v>387</v>
      </c>
      <c r="D309" s="106">
        <v>4800.5374372199994</v>
      </c>
      <c r="E309" s="107">
        <f t="shared" si="12"/>
        <v>1.8255277411230632E-4</v>
      </c>
      <c r="F309" s="265">
        <v>9.7168597168597173E-2</v>
      </c>
      <c r="G309" s="265">
        <v>3.5000000000000003E-2</v>
      </c>
      <c r="H309" s="108">
        <f t="shared" si="13"/>
        <v>0.13386904761904764</v>
      </c>
      <c r="I309" s="109">
        <f t="shared" si="14"/>
        <v>2.4438166010629582E-5</v>
      </c>
    </row>
    <row r="310" spans="2:9">
      <c r="B310" s="248" t="s">
        <v>911</v>
      </c>
      <c r="C310" s="248" t="s">
        <v>388</v>
      </c>
      <c r="D310" s="106">
        <v>275523.91445318994</v>
      </c>
      <c r="E310" s="107">
        <f t="shared" si="12"/>
        <v>1.0477504982616919E-2</v>
      </c>
      <c r="F310" s="265">
        <v>4.5881356556320653E-3</v>
      </c>
      <c r="G310" s="265">
        <v>0.17143</v>
      </c>
      <c r="H310" s="108">
        <f t="shared" si="13"/>
        <v>0.17641140770335456</v>
      </c>
      <c r="I310" s="109">
        <f t="shared" si="14"/>
        <v>1.8483514032023622E-3</v>
      </c>
    </row>
    <row r="311" spans="2:9">
      <c r="B311" s="248" t="s">
        <v>912</v>
      </c>
      <c r="C311" s="248" t="s">
        <v>389</v>
      </c>
      <c r="D311" s="106">
        <v>14826.924014889999</v>
      </c>
      <c r="E311" s="107">
        <f t="shared" si="12"/>
        <v>5.6383189296363391E-4</v>
      </c>
      <c r="F311" s="265">
        <v>2.9559264671948315E-2</v>
      </c>
      <c r="G311" s="265">
        <v>0</v>
      </c>
      <c r="H311" s="108">
        <f t="shared" si="13"/>
        <v>2.9559264671948315E-2</v>
      </c>
      <c r="I311" s="109">
        <f t="shared" si="14"/>
        <v>1.6666456154597689E-5</v>
      </c>
    </row>
    <row r="312" spans="2:9">
      <c r="B312" s="248" t="s">
        <v>913</v>
      </c>
      <c r="C312" s="248" t="s">
        <v>390</v>
      </c>
      <c r="D312" s="106">
        <v>4462.5734489700017</v>
      </c>
      <c r="E312" s="107">
        <f t="shared" si="12"/>
        <v>1.69700824843721E-4</v>
      </c>
      <c r="F312" s="265">
        <v>9.4966761633428293E-2</v>
      </c>
      <c r="G312" s="265">
        <v>-3.13E-3</v>
      </c>
      <c r="H312" s="108">
        <f t="shared" si="13"/>
        <v>9.1688138651471976E-2</v>
      </c>
      <c r="I312" s="109">
        <f t="shared" si="14"/>
        <v>1.5559552757540252E-5</v>
      </c>
    </row>
    <row r="313" spans="2:9">
      <c r="B313" s="248" t="s">
        <v>914</v>
      </c>
      <c r="C313" s="248" t="s">
        <v>391</v>
      </c>
      <c r="D313" s="106">
        <v>40962.356567769995</v>
      </c>
      <c r="E313" s="107">
        <f t="shared" si="12"/>
        <v>1.557698887555029E-3</v>
      </c>
      <c r="F313" s="265">
        <v>1.4874969848034093E-2</v>
      </c>
      <c r="G313" s="265">
        <v>8.5029999999999994E-2</v>
      </c>
      <c r="H313" s="108">
        <f t="shared" si="13"/>
        <v>0.10053737919112325</v>
      </c>
      <c r="I313" s="109">
        <f t="shared" si="14"/>
        <v>1.566069637237108E-4</v>
      </c>
    </row>
    <row r="314" spans="2:9">
      <c r="B314" s="248" t="s">
        <v>915</v>
      </c>
      <c r="C314" s="248" t="s">
        <v>392</v>
      </c>
      <c r="D314" s="106">
        <v>12064.52633008</v>
      </c>
      <c r="E314" s="107">
        <f t="shared" si="12"/>
        <v>4.5878462124492622E-4</v>
      </c>
      <c r="F314" s="265">
        <v>1.1396353166986563E-2</v>
      </c>
      <c r="G314" s="265">
        <v>9.1880000000000003E-2</v>
      </c>
      <c r="H314" s="108">
        <f t="shared" si="13"/>
        <v>0.10379990163147793</v>
      </c>
      <c r="I314" s="109">
        <f t="shared" si="14"/>
        <v>4.7621798555258198E-5</v>
      </c>
    </row>
    <row r="315" spans="2:9">
      <c r="B315" s="248" t="s">
        <v>916</v>
      </c>
      <c r="C315" s="248" t="s">
        <v>393</v>
      </c>
      <c r="D315" s="106">
        <v>163060.25859954001</v>
      </c>
      <c r="E315" s="107">
        <f t="shared" si="12"/>
        <v>6.2007854212369753E-3</v>
      </c>
      <c r="F315" s="265">
        <v>2.1652461459643238E-2</v>
      </c>
      <c r="G315" s="265">
        <v>8.6680000000000007E-2</v>
      </c>
      <c r="H315" s="108">
        <f t="shared" si="13"/>
        <v>0.10927087913930418</v>
      </c>
      <c r="I315" s="109">
        <f t="shared" si="14"/>
        <v>6.7756527433274487E-4</v>
      </c>
    </row>
    <row r="316" spans="2:9">
      <c r="B316" s="248" t="s">
        <v>917</v>
      </c>
      <c r="C316" s="248" t="s">
        <v>394</v>
      </c>
      <c r="D316" s="106">
        <v>22116.631805099998</v>
      </c>
      <c r="E316" s="107">
        <f t="shared" si="12"/>
        <v>8.4104176726920103E-4</v>
      </c>
      <c r="F316" s="265">
        <v>1.4896136045635562E-2</v>
      </c>
      <c r="G316" s="265">
        <v>7.6499999999999999E-2</v>
      </c>
      <c r="H316" s="108">
        <f t="shared" si="13"/>
        <v>9.1965913249381123E-2</v>
      </c>
      <c r="I316" s="109">
        <f t="shared" si="14"/>
        <v>7.734717420778553E-5</v>
      </c>
    </row>
    <row r="317" spans="2:9">
      <c r="B317" s="248" t="s">
        <v>918</v>
      </c>
      <c r="C317" s="248" t="s">
        <v>395</v>
      </c>
      <c r="D317" s="106">
        <v>25268.9977225</v>
      </c>
      <c r="E317" s="107">
        <f t="shared" si="12"/>
        <v>9.6091858330580584E-4</v>
      </c>
      <c r="F317" s="265">
        <v>1.2220108297965755E-2</v>
      </c>
      <c r="G317" s="265">
        <v>2.3850000000000003E-2</v>
      </c>
      <c r="H317" s="108">
        <f t="shared" si="13"/>
        <v>3.6215833089419003E-2</v>
      </c>
      <c r="I317" s="109">
        <f t="shared" si="14"/>
        <v>3.4800467025524033E-5</v>
      </c>
    </row>
    <row r="318" spans="2:9">
      <c r="B318" s="248" t="s">
        <v>919</v>
      </c>
      <c r="C318" s="248" t="s">
        <v>396</v>
      </c>
      <c r="D318" s="106">
        <v>38753.836000000003</v>
      </c>
      <c r="E318" s="107">
        <f t="shared" si="12"/>
        <v>1.4737142167545081E-3</v>
      </c>
      <c r="F318" s="265">
        <v>1.0130351999218865E-2</v>
      </c>
      <c r="G318" s="265">
        <v>0.11700000000000001</v>
      </c>
      <c r="H318" s="108">
        <f t="shared" si="13"/>
        <v>0.12772297759117318</v>
      </c>
      <c r="I318" s="109">
        <f t="shared" si="14"/>
        <v>1.8822716788232939E-4</v>
      </c>
    </row>
    <row r="319" spans="2:9">
      <c r="B319" s="248" t="s">
        <v>920</v>
      </c>
      <c r="C319" s="248" t="s">
        <v>397</v>
      </c>
      <c r="D319" s="106">
        <v>79779.765715319998</v>
      </c>
      <c r="E319" s="107">
        <f t="shared" si="12"/>
        <v>3.033830636637131E-3</v>
      </c>
      <c r="F319" s="265">
        <v>1.9522776572668113E-2</v>
      </c>
      <c r="G319" s="265">
        <v>8.5449999999999998E-2</v>
      </c>
      <c r="H319" s="108">
        <f t="shared" si="13"/>
        <v>0.10580688720173535</v>
      </c>
      <c r="I319" s="109">
        <f t="shared" si="14"/>
        <v>3.2100017595983389E-4</v>
      </c>
    </row>
    <row r="320" spans="2:9">
      <c r="B320" s="248" t="s">
        <v>921</v>
      </c>
      <c r="C320" s="248" t="s">
        <v>398</v>
      </c>
      <c r="D320" s="106">
        <v>145732.13794002001</v>
      </c>
      <c r="E320" s="107">
        <f t="shared" si="12"/>
        <v>5.541839097431194E-3</v>
      </c>
      <c r="F320" s="265">
        <v>1.937948812373412E-2</v>
      </c>
      <c r="G320" s="265">
        <v>7.2620000000000004E-2</v>
      </c>
      <c r="H320" s="108">
        <f t="shared" si="13"/>
        <v>9.270315733750692E-2</v>
      </c>
      <c r="I320" s="109">
        <f t="shared" si="14"/>
        <v>5.1374598178831126E-4</v>
      </c>
    </row>
    <row r="321" spans="2:9">
      <c r="B321" s="248" t="s">
        <v>922</v>
      </c>
      <c r="C321" s="248" t="s">
        <v>399</v>
      </c>
      <c r="D321" s="106">
        <v>44162.86843871999</v>
      </c>
      <c r="E321" s="107">
        <f t="shared" si="12"/>
        <v>1.6794065772173009E-3</v>
      </c>
      <c r="F321" s="265">
        <v>3.6789652247667518E-2</v>
      </c>
      <c r="G321" s="265">
        <v>9.6930000000000002E-2</v>
      </c>
      <c r="H321" s="108">
        <f t="shared" si="13"/>
        <v>0.13550266274385073</v>
      </c>
      <c r="I321" s="109">
        <f t="shared" si="14"/>
        <v>2.2756406304248064E-4</v>
      </c>
    </row>
    <row r="322" spans="2:9">
      <c r="B322" s="248" t="s">
        <v>923</v>
      </c>
      <c r="C322" s="248" t="s">
        <v>400</v>
      </c>
      <c r="D322" s="106">
        <v>14453.946876599999</v>
      </c>
      <c r="E322" s="107">
        <f t="shared" si="12"/>
        <v>5.4964847867601638E-4</v>
      </c>
      <c r="F322" s="265">
        <v>1.8722943722943725E-2</v>
      </c>
      <c r="G322" s="265">
        <v>0.13807</v>
      </c>
      <c r="H322" s="108">
        <f t="shared" si="13"/>
        <v>0.15808548214285714</v>
      </c>
      <c r="I322" s="109">
        <f t="shared" si="14"/>
        <v>8.6891444760585978E-5</v>
      </c>
    </row>
    <row r="323" spans="2:9">
      <c r="B323" s="248" t="s">
        <v>924</v>
      </c>
      <c r="C323" s="248" t="s">
        <v>401</v>
      </c>
      <c r="D323" s="106">
        <v>8951.9648933799999</v>
      </c>
      <c r="E323" s="107">
        <f t="shared" si="12"/>
        <v>3.4042147289009946E-4</v>
      </c>
      <c r="F323" s="265">
        <v>0</v>
      </c>
      <c r="G323" s="265">
        <v>5.2770000000000004E-2</v>
      </c>
      <c r="H323" s="108">
        <f t="shared" si="13"/>
        <v>5.2770000000000004E-2</v>
      </c>
      <c r="I323" s="109">
        <f t="shared" si="14"/>
        <v>1.7964041124410551E-5</v>
      </c>
    </row>
    <row r="324" spans="2:9">
      <c r="B324" s="248" t="s">
        <v>925</v>
      </c>
      <c r="C324" s="248" t="s">
        <v>402</v>
      </c>
      <c r="D324" s="106">
        <v>20713.369862750005</v>
      </c>
      <c r="E324" s="107">
        <f t="shared" si="12"/>
        <v>7.8767912532914301E-4</v>
      </c>
      <c r="F324" s="265">
        <v>1.4261036468330133E-2</v>
      </c>
      <c r="G324" s="265">
        <v>6.2E-2</v>
      </c>
      <c r="H324" s="108">
        <f t="shared" si="13"/>
        <v>7.6703128598848369E-2</v>
      </c>
      <c r="I324" s="109">
        <f t="shared" si="14"/>
        <v>6.0417453244749655E-5</v>
      </c>
    </row>
    <row r="325" spans="2:9">
      <c r="B325" s="248" t="s">
        <v>1210</v>
      </c>
      <c r="C325" s="248" t="s">
        <v>1211</v>
      </c>
      <c r="D325" s="106">
        <v>12365.30877</v>
      </c>
      <c r="E325" s="107">
        <f t="shared" si="12"/>
        <v>4.7022264657641113E-4</v>
      </c>
      <c r="F325" s="265">
        <v>6.2290076335877863E-3</v>
      </c>
      <c r="G325" s="265">
        <v>0</v>
      </c>
      <c r="H325" s="108">
        <f t="shared" si="13"/>
        <v>6.2290076335877863E-3</v>
      </c>
      <c r="I325" s="109">
        <f t="shared" si="14"/>
        <v>2.9290204550103169E-6</v>
      </c>
    </row>
    <row r="326" spans="2:9">
      <c r="B326" s="248" t="s">
        <v>926</v>
      </c>
      <c r="C326" s="248" t="s">
        <v>403</v>
      </c>
      <c r="D326" s="106">
        <v>17114.672980200001</v>
      </c>
      <c r="E326" s="107">
        <f t="shared" si="12"/>
        <v>6.5082942720883137E-4</v>
      </c>
      <c r="F326" s="265">
        <v>7.2747172564757382E-3</v>
      </c>
      <c r="G326" s="265">
        <v>0.15993000000000002</v>
      </c>
      <c r="H326" s="108">
        <f t="shared" si="13"/>
        <v>0.16778644002188983</v>
      </c>
      <c r="I326" s="109">
        <f t="shared" si="14"/>
        <v>1.092003526528555E-4</v>
      </c>
    </row>
    <row r="327" spans="2:9">
      <c r="B327" s="248" t="s">
        <v>927</v>
      </c>
      <c r="C327" s="248" t="s">
        <v>404</v>
      </c>
      <c r="D327" s="106">
        <v>50656.434559499998</v>
      </c>
      <c r="E327" s="107">
        <f t="shared" si="12"/>
        <v>1.926341118345795E-3</v>
      </c>
      <c r="F327" s="265">
        <v>1.7511244377811094E-2</v>
      </c>
      <c r="G327" s="265">
        <v>0.12576999999999999</v>
      </c>
      <c r="H327" s="108">
        <f t="shared" si="13"/>
        <v>0.14438243898050973</v>
      </c>
      <c r="I327" s="109">
        <f t="shared" si="14"/>
        <v>2.7812982897520863E-4</v>
      </c>
    </row>
    <row r="328" spans="2:9">
      <c r="B328" s="248" t="s">
        <v>928</v>
      </c>
      <c r="C328" s="248" t="s">
        <v>405</v>
      </c>
      <c r="D328" s="106">
        <v>94575.875820000001</v>
      </c>
      <c r="E328" s="107">
        <f t="shared" si="12"/>
        <v>3.5964907514689105E-3</v>
      </c>
      <c r="F328" s="265">
        <v>3.4416058394160592E-2</v>
      </c>
      <c r="G328" s="265">
        <v>6.9500000000000006E-2</v>
      </c>
      <c r="H328" s="108">
        <f t="shared" si="13"/>
        <v>0.10511201642335768</v>
      </c>
      <c r="I328" s="109">
        <f t="shared" si="14"/>
        <v>3.7803439493485415E-4</v>
      </c>
    </row>
    <row r="329" spans="2:9">
      <c r="B329" s="248" t="s">
        <v>929</v>
      </c>
      <c r="C329" s="248" t="s">
        <v>406</v>
      </c>
      <c r="D329" s="106">
        <v>31635.694596519999</v>
      </c>
      <c r="E329" s="107">
        <f t="shared" si="12"/>
        <v>1.2030285952542941E-3</v>
      </c>
      <c r="F329" s="265">
        <v>0</v>
      </c>
      <c r="G329" s="265">
        <v>0.14300000000000002</v>
      </c>
      <c r="H329" s="108">
        <f t="shared" si="13"/>
        <v>0.14300000000000002</v>
      </c>
      <c r="I329" s="109">
        <f t="shared" si="14"/>
        <v>1.7203308912136408E-4</v>
      </c>
    </row>
    <row r="330" spans="2:9">
      <c r="B330" s="248" t="s">
        <v>930</v>
      </c>
      <c r="C330" s="248" t="s">
        <v>407</v>
      </c>
      <c r="D330" s="106">
        <v>76405.1218601</v>
      </c>
      <c r="E330" s="107">
        <f t="shared" si="12"/>
        <v>2.9055011307290977E-3</v>
      </c>
      <c r="F330" s="265">
        <v>8.078239608801957E-2</v>
      </c>
      <c r="G330" s="265">
        <v>7.1000000000000008E-2</v>
      </c>
      <c r="H330" s="108">
        <f t="shared" si="13"/>
        <v>0.15465017114914428</v>
      </c>
      <c r="I330" s="109">
        <f t="shared" si="14"/>
        <v>4.4933624714128719E-4</v>
      </c>
    </row>
    <row r="331" spans="2:9">
      <c r="B331" s="248" t="s">
        <v>931</v>
      </c>
      <c r="C331" s="248" t="s">
        <v>408</v>
      </c>
      <c r="D331" s="106">
        <v>7910.2820485000002</v>
      </c>
      <c r="E331" s="107">
        <f t="shared" si="12"/>
        <v>3.0080880544089682E-4</v>
      </c>
      <c r="F331" s="265">
        <v>9.4634146341463429E-3</v>
      </c>
      <c r="G331" s="265">
        <v>0.12867000000000001</v>
      </c>
      <c r="H331" s="108">
        <f t="shared" si="13"/>
        <v>0.13874224341463415</v>
      </c>
      <c r="I331" s="109">
        <f t="shared" si="14"/>
        <v>4.1734888505746229E-5</v>
      </c>
    </row>
    <row r="332" spans="2:9">
      <c r="B332" s="248" t="s">
        <v>932</v>
      </c>
      <c r="C332" s="248" t="s">
        <v>409</v>
      </c>
      <c r="D332" s="106">
        <v>39992.898933000004</v>
      </c>
      <c r="E332" s="107">
        <f t="shared" si="12"/>
        <v>1.5208327693492923E-3</v>
      </c>
      <c r="F332" s="265">
        <v>3.5144032921810703E-2</v>
      </c>
      <c r="G332" s="265">
        <v>0.10233</v>
      </c>
      <c r="H332" s="108">
        <f t="shared" si="13"/>
        <v>0.13927217736625513</v>
      </c>
      <c r="I332" s="109">
        <f t="shared" si="14"/>
        <v>2.1180969119722763E-4</v>
      </c>
    </row>
    <row r="333" spans="2:9">
      <c r="B333" s="248" t="s">
        <v>933</v>
      </c>
      <c r="C333" s="248" t="s">
        <v>410</v>
      </c>
      <c r="D333" s="106">
        <v>215532.33744774002</v>
      </c>
      <c r="E333" s="107">
        <f t="shared" ref="E333:E396" si="15">IF(OR(H333="N/A",D333="N/A"),"N/A",D333/$D$513)</f>
        <v>8.1961710801239009E-3</v>
      </c>
      <c r="F333" s="265">
        <v>2.6170111665478731E-2</v>
      </c>
      <c r="G333" s="265">
        <v>0.11515</v>
      </c>
      <c r="H333" s="108">
        <f t="shared" ref="H333:H396" si="16">IFERROR(F333*(1+0.5*G333)+G333,"N/A")</f>
        <v>0.14282685584461868</v>
      </c>
      <c r="I333" s="109">
        <f t="shared" ref="I333:I396" si="17">IF(AND(ISNUMBER(D333),ISNUMBER(H333)),E333*H333,"N/A")</f>
        <v>1.170633345338689E-3</v>
      </c>
    </row>
    <row r="334" spans="2:9">
      <c r="B334" s="248" t="s">
        <v>934</v>
      </c>
      <c r="C334" s="248" t="s">
        <v>411</v>
      </c>
      <c r="D334" s="106">
        <v>9865.5971927699993</v>
      </c>
      <c r="E334" s="107">
        <f t="shared" si="15"/>
        <v>3.7516468923898304E-4</v>
      </c>
      <c r="F334" s="265">
        <v>1.6299918500407497E-2</v>
      </c>
      <c r="G334" s="265">
        <v>1.55E-2</v>
      </c>
      <c r="H334" s="108">
        <f t="shared" si="16"/>
        <v>3.1926242868785655E-2</v>
      </c>
      <c r="I334" s="109">
        <f t="shared" si="17"/>
        <v>1.1977598984436269E-5</v>
      </c>
    </row>
    <row r="335" spans="2:9">
      <c r="B335" s="248" t="s">
        <v>935</v>
      </c>
      <c r="C335" s="248" t="s">
        <v>24</v>
      </c>
      <c r="D335" s="106">
        <v>70523.607530430003</v>
      </c>
      <c r="E335" s="107">
        <f t="shared" si="15"/>
        <v>2.6818414320174647E-3</v>
      </c>
      <c r="F335" s="265">
        <v>3.0747597843918447E-2</v>
      </c>
      <c r="G335" s="265">
        <v>8.2599999999999993E-2</v>
      </c>
      <c r="H335" s="108">
        <f t="shared" si="16"/>
        <v>0.11461747363487226</v>
      </c>
      <c r="I335" s="109">
        <f t="shared" si="17"/>
        <v>3.0738588962716981E-4</v>
      </c>
    </row>
    <row r="336" spans="2:9">
      <c r="B336" s="248" t="s">
        <v>936</v>
      </c>
      <c r="C336" s="248" t="s">
        <v>938</v>
      </c>
      <c r="D336" s="106">
        <v>18443.126682499998</v>
      </c>
      <c r="E336" s="107">
        <f t="shared" si="15"/>
        <v>7.0134729355320221E-4</v>
      </c>
      <c r="F336" s="265">
        <v>1.1481056257175659E-2</v>
      </c>
      <c r="G336" s="265">
        <v>0.11433</v>
      </c>
      <c r="H336" s="108">
        <f t="shared" si="16"/>
        <v>0.1264673708381171</v>
      </c>
      <c r="I336" s="109">
        <f t="shared" si="17"/>
        <v>8.8697548260102595E-5</v>
      </c>
    </row>
    <row r="337" spans="2:9">
      <c r="B337" s="248" t="s">
        <v>937</v>
      </c>
      <c r="C337" s="248" t="s">
        <v>412</v>
      </c>
      <c r="D337" s="106">
        <v>1061550.9688819998</v>
      </c>
      <c r="E337" s="107">
        <f t="shared" si="15"/>
        <v>4.0368203928275011E-2</v>
      </c>
      <c r="F337" s="265">
        <v>1.4219952528231319E-2</v>
      </c>
      <c r="G337" s="265">
        <v>0.10506</v>
      </c>
      <c r="H337" s="108">
        <f t="shared" si="16"/>
        <v>0.12002692663453932</v>
      </c>
      <c r="I337" s="109">
        <f t="shared" si="17"/>
        <v>4.8452714512671868E-3</v>
      </c>
    </row>
    <row r="338" spans="2:9">
      <c r="B338" s="248" t="s">
        <v>939</v>
      </c>
      <c r="C338" s="248" t="s">
        <v>413</v>
      </c>
      <c r="D338" s="106">
        <v>28382.757859459998</v>
      </c>
      <c r="E338" s="107">
        <f t="shared" si="15"/>
        <v>1.0793273153188487E-3</v>
      </c>
      <c r="F338" s="265">
        <v>1.3485124112434717E-2</v>
      </c>
      <c r="G338" s="265">
        <v>7.0499999999999993E-2</v>
      </c>
      <c r="H338" s="108">
        <f t="shared" si="16"/>
        <v>8.4460474737398039E-2</v>
      </c>
      <c r="I338" s="109">
        <f t="shared" si="17"/>
        <v>9.1160497448871267E-5</v>
      </c>
    </row>
    <row r="339" spans="2:9">
      <c r="B339" s="248" t="s">
        <v>940</v>
      </c>
      <c r="C339" s="248" t="s">
        <v>414</v>
      </c>
      <c r="D339" s="106">
        <v>21115.325281629997</v>
      </c>
      <c r="E339" s="107">
        <f t="shared" si="15"/>
        <v>8.0296451321448575E-4</v>
      </c>
      <c r="F339" s="265">
        <v>2.6821548395264926E-2</v>
      </c>
      <c r="G339" s="265">
        <v>5.3330000000000002E-2</v>
      </c>
      <c r="H339" s="108">
        <f t="shared" si="16"/>
        <v>8.0866744983224659E-2</v>
      </c>
      <c r="I339" s="109">
        <f t="shared" si="17"/>
        <v>6.4933126520694945E-5</v>
      </c>
    </row>
    <row r="340" spans="2:9">
      <c r="B340" s="248" t="s">
        <v>941</v>
      </c>
      <c r="C340" s="248" t="s">
        <v>415</v>
      </c>
      <c r="D340" s="106">
        <v>17334.743020799997</v>
      </c>
      <c r="E340" s="107">
        <f t="shared" si="15"/>
        <v>6.5919815611386039E-4</v>
      </c>
      <c r="F340" s="265">
        <v>0</v>
      </c>
      <c r="G340" s="265">
        <v>0.13472000000000001</v>
      </c>
      <c r="H340" s="108">
        <f t="shared" si="16"/>
        <v>0.13472000000000001</v>
      </c>
      <c r="I340" s="109">
        <f t="shared" si="17"/>
        <v>8.8807175591659274E-5</v>
      </c>
    </row>
    <row r="341" spans="2:9">
      <c r="B341" s="248" t="s">
        <v>942</v>
      </c>
      <c r="C341" s="248" t="s">
        <v>416</v>
      </c>
      <c r="D341" s="106">
        <v>47297.974790150001</v>
      </c>
      <c r="E341" s="107">
        <f t="shared" si="15"/>
        <v>1.7986270538983644E-3</v>
      </c>
      <c r="F341" s="265">
        <v>0</v>
      </c>
      <c r="G341" s="265">
        <v>4.0149999999999998E-2</v>
      </c>
      <c r="H341" s="108">
        <f t="shared" si="16"/>
        <v>4.0149999999999998E-2</v>
      </c>
      <c r="I341" s="109">
        <f t="shared" si="17"/>
        <v>7.2214876214019333E-5</v>
      </c>
    </row>
    <row r="342" spans="2:9">
      <c r="B342" s="248" t="s">
        <v>943</v>
      </c>
      <c r="C342" s="248" t="s">
        <v>945</v>
      </c>
      <c r="D342" s="106">
        <v>15699.16136842</v>
      </c>
      <c r="E342" s="107">
        <f t="shared" si="15"/>
        <v>5.9700096010530958E-4</v>
      </c>
      <c r="F342" s="265">
        <v>3.1583491624935248E-2</v>
      </c>
      <c r="G342" s="265">
        <v>6.9500000000000006E-2</v>
      </c>
      <c r="H342" s="108">
        <f t="shared" si="16"/>
        <v>0.10218101795890175</v>
      </c>
      <c r="I342" s="109">
        <f t="shared" si="17"/>
        <v>6.1002165826002225E-5</v>
      </c>
    </row>
    <row r="343" spans="2:9">
      <c r="B343" s="248" t="s">
        <v>944</v>
      </c>
      <c r="C343" s="248" t="s">
        <v>417</v>
      </c>
      <c r="D343" s="106">
        <v>10203.90703738</v>
      </c>
      <c r="E343" s="107">
        <f t="shared" si="15"/>
        <v>3.8802979058455737E-4</v>
      </c>
      <c r="F343" s="265">
        <v>0</v>
      </c>
      <c r="G343" s="265">
        <v>-5.7170000000000006E-2</v>
      </c>
      <c r="H343" s="108">
        <f t="shared" si="16"/>
        <v>-5.7170000000000006E-2</v>
      </c>
      <c r="I343" s="109">
        <f t="shared" si="17"/>
        <v>-2.2183663127719146E-5</v>
      </c>
    </row>
    <row r="344" spans="2:9">
      <c r="B344" s="248" t="s">
        <v>946</v>
      </c>
      <c r="C344" s="248" t="s">
        <v>418</v>
      </c>
      <c r="D344" s="106">
        <v>10741.565097660001</v>
      </c>
      <c r="E344" s="107">
        <f t="shared" si="15"/>
        <v>4.0847562018416883E-4</v>
      </c>
      <c r="F344" s="265">
        <v>2.0658949243098843E-2</v>
      </c>
      <c r="G344" s="265">
        <v>0.16580000000000003</v>
      </c>
      <c r="H344" s="108">
        <f t="shared" si="16"/>
        <v>0.18817157613535176</v>
      </c>
      <c r="I344" s="109">
        <f t="shared" si="17"/>
        <v>7.6863501262920358E-5</v>
      </c>
    </row>
    <row r="345" spans="2:9">
      <c r="B345" s="248" t="s">
        <v>947</v>
      </c>
      <c r="C345" s="248" t="s">
        <v>419</v>
      </c>
      <c r="D345" s="106">
        <v>11161.473463480001</v>
      </c>
      <c r="E345" s="107">
        <f t="shared" si="15"/>
        <v>4.2444371501852501E-4</v>
      </c>
      <c r="F345" s="265">
        <v>1.448715472281244E-3</v>
      </c>
      <c r="G345" s="265">
        <v>8.2729999999999998E-2</v>
      </c>
      <c r="H345" s="108">
        <f t="shared" si="16"/>
        <v>8.4238641587792151E-2</v>
      </c>
      <c r="I345" s="109">
        <f t="shared" si="17"/>
        <v>3.5754561983636524E-5</v>
      </c>
    </row>
    <row r="346" spans="2:9">
      <c r="B346" s="248" t="s">
        <v>948</v>
      </c>
      <c r="C346" s="248" t="s">
        <v>420</v>
      </c>
      <c r="D346" s="106">
        <v>16361.727962499999</v>
      </c>
      <c r="E346" s="107">
        <f t="shared" si="15"/>
        <v>6.221967577353122E-4</v>
      </c>
      <c r="F346" s="265">
        <v>1.8560644187216913E-2</v>
      </c>
      <c r="G346" s="265">
        <v>0.13170000000000001</v>
      </c>
      <c r="H346" s="108">
        <f t="shared" si="16"/>
        <v>0.15148286260694516</v>
      </c>
      <c r="I346" s="109">
        <f t="shared" si="17"/>
        <v>9.4252145966505042E-5</v>
      </c>
    </row>
    <row r="347" spans="2:9">
      <c r="B347" s="248" t="s">
        <v>949</v>
      </c>
      <c r="C347" s="248" t="s">
        <v>421</v>
      </c>
      <c r="D347" s="106">
        <v>113874.14884471001</v>
      </c>
      <c r="E347" s="107">
        <f t="shared" si="15"/>
        <v>4.3303571825320233E-3</v>
      </c>
      <c r="F347" s="265">
        <v>2.1408644147817502E-2</v>
      </c>
      <c r="G347" s="265">
        <v>5.4580000000000004E-2</v>
      </c>
      <c r="H347" s="108">
        <f t="shared" si="16"/>
        <v>7.6572886046611444E-2</v>
      </c>
      <c r="I347" s="109">
        <f t="shared" si="17"/>
        <v>3.3158794707915002E-4</v>
      </c>
    </row>
    <row r="348" spans="2:9">
      <c r="B348" s="248" t="s">
        <v>1179</v>
      </c>
      <c r="C348" s="248" t="s">
        <v>422</v>
      </c>
      <c r="D348" s="106">
        <v>31090.373844000002</v>
      </c>
      <c r="E348" s="107">
        <f t="shared" si="15"/>
        <v>1.1822913720880509E-3</v>
      </c>
      <c r="F348" s="265">
        <v>1.4767932489451479E-2</v>
      </c>
      <c r="G348" s="265">
        <v>5.7500000000000002E-2</v>
      </c>
      <c r="H348" s="108">
        <f t="shared" si="16"/>
        <v>7.2692510548523215E-2</v>
      </c>
      <c r="I348" s="109">
        <f t="shared" si="17"/>
        <v>8.5943728036938624E-5</v>
      </c>
    </row>
    <row r="349" spans="2:9">
      <c r="B349" s="248" t="s">
        <v>950</v>
      </c>
      <c r="C349" s="248" t="s">
        <v>423</v>
      </c>
      <c r="D349" s="106">
        <v>117173.37112084001</v>
      </c>
      <c r="E349" s="107">
        <f t="shared" si="15"/>
        <v>4.4558185890510044E-3</v>
      </c>
      <c r="F349" s="265">
        <v>0</v>
      </c>
      <c r="G349" s="265">
        <v>0.42800000000000005</v>
      </c>
      <c r="H349" s="108">
        <f t="shared" si="16"/>
        <v>0.42800000000000005</v>
      </c>
      <c r="I349" s="109">
        <f t="shared" si="17"/>
        <v>1.90709035611383E-3</v>
      </c>
    </row>
    <row r="350" spans="2:9">
      <c r="B350" s="248" t="s">
        <v>951</v>
      </c>
      <c r="C350" s="248" t="s">
        <v>13</v>
      </c>
      <c r="D350" s="106">
        <v>11170.549331040002</v>
      </c>
      <c r="E350" s="107">
        <f t="shared" si="15"/>
        <v>4.2478884820876082E-4</v>
      </c>
      <c r="F350" s="265">
        <v>2.6871657754010694E-2</v>
      </c>
      <c r="G350" s="265">
        <v>5.28E-2</v>
      </c>
      <c r="H350" s="108">
        <f t="shared" si="16"/>
        <v>8.0381069518716569E-2</v>
      </c>
      <c r="I350" s="109">
        <f t="shared" si="17"/>
        <v>3.4144981938643945E-5</v>
      </c>
    </row>
    <row r="351" spans="2:9">
      <c r="B351" s="248" t="s">
        <v>952</v>
      </c>
      <c r="C351" s="248" t="s">
        <v>424</v>
      </c>
      <c r="D351" s="106">
        <v>147162.15599216</v>
      </c>
      <c r="E351" s="107">
        <f t="shared" si="15"/>
        <v>5.5962192092130136E-3</v>
      </c>
      <c r="F351" s="265">
        <v>9.8488074957410569E-3</v>
      </c>
      <c r="G351" s="265">
        <v>0.13822000000000001</v>
      </c>
      <c r="H351" s="108">
        <f t="shared" si="16"/>
        <v>0.14874945858177174</v>
      </c>
      <c r="I351" s="109">
        <f t="shared" si="17"/>
        <v>8.3243457747534657E-4</v>
      </c>
    </row>
    <row r="352" spans="2:9">
      <c r="B352" s="248" t="s">
        <v>953</v>
      </c>
      <c r="C352" s="248" t="s">
        <v>425</v>
      </c>
      <c r="D352" s="106">
        <v>3192.6241613949996</v>
      </c>
      <c r="E352" s="107">
        <f t="shared" si="15"/>
        <v>1.2140773923391094E-4</v>
      </c>
      <c r="F352" s="265">
        <v>0</v>
      </c>
      <c r="G352" s="265">
        <v>-8.5999999999999993E-2</v>
      </c>
      <c r="H352" s="108">
        <f t="shared" si="16"/>
        <v>-8.5999999999999993E-2</v>
      </c>
      <c r="I352" s="109">
        <f t="shared" si="17"/>
        <v>-1.044106557411634E-5</v>
      </c>
    </row>
    <row r="353" spans="2:9">
      <c r="B353" s="248" t="s">
        <v>954</v>
      </c>
      <c r="C353" s="248" t="s">
        <v>426</v>
      </c>
      <c r="D353" s="106">
        <v>7558.0632987499994</v>
      </c>
      <c r="E353" s="107">
        <f t="shared" si="15"/>
        <v>2.8741478222951526E-4</v>
      </c>
      <c r="F353" s="265">
        <v>6.6352941176470587E-2</v>
      </c>
      <c r="G353" s="265">
        <v>0.12</v>
      </c>
      <c r="H353" s="108">
        <f t="shared" si="16"/>
        <v>0.19033411764705882</v>
      </c>
      <c r="I353" s="109">
        <f t="shared" si="17"/>
        <v>5.4704838974376351E-5</v>
      </c>
    </row>
    <row r="354" spans="2:9">
      <c r="B354" s="248" t="s">
        <v>955</v>
      </c>
      <c r="C354" s="248" t="s">
        <v>427</v>
      </c>
      <c r="D354" s="106">
        <v>63413.782883880005</v>
      </c>
      <c r="E354" s="107">
        <f t="shared" si="15"/>
        <v>2.4114720765747591E-3</v>
      </c>
      <c r="F354" s="265">
        <v>1.3909122441900797E-2</v>
      </c>
      <c r="G354" s="265">
        <v>6.8349999999999994E-2</v>
      </c>
      <c r="H354" s="108">
        <f t="shared" si="16"/>
        <v>8.2734466701352746E-2</v>
      </c>
      <c r="I354" s="109">
        <f t="shared" si="17"/>
        <v>1.9951185622061636E-4</v>
      </c>
    </row>
    <row r="355" spans="2:9">
      <c r="B355" s="248" t="s">
        <v>956</v>
      </c>
      <c r="C355" s="248" t="s">
        <v>428</v>
      </c>
      <c r="D355" s="106">
        <v>8181.0042100000001</v>
      </c>
      <c r="E355" s="107">
        <f t="shared" si="15"/>
        <v>3.1110371142628265E-4</v>
      </c>
      <c r="F355" s="265">
        <v>9.433962264150943E-3</v>
      </c>
      <c r="G355" s="265">
        <v>0.67945000000000011</v>
      </c>
      <c r="H355" s="108">
        <f t="shared" si="16"/>
        <v>0.69208891509433978</v>
      </c>
      <c r="I355" s="109">
        <f t="shared" si="17"/>
        <v>2.1531143012283851E-4</v>
      </c>
    </row>
    <row r="356" spans="2:9">
      <c r="B356" s="248" t="s">
        <v>957</v>
      </c>
      <c r="C356" s="248" t="s">
        <v>429</v>
      </c>
      <c r="D356" s="106">
        <v>10018.320404399999</v>
      </c>
      <c r="E356" s="107">
        <f t="shared" si="15"/>
        <v>3.8097238188152655E-4</v>
      </c>
      <c r="F356" s="265">
        <v>3.0303030303030303E-3</v>
      </c>
      <c r="G356" s="265">
        <v>0.35230000000000006</v>
      </c>
      <c r="H356" s="108">
        <f t="shared" si="16"/>
        <v>0.35586409090909099</v>
      </c>
      <c r="I356" s="109">
        <f t="shared" si="17"/>
        <v>1.355743903397405E-4</v>
      </c>
    </row>
    <row r="357" spans="2:9">
      <c r="B357" s="248" t="s">
        <v>958</v>
      </c>
      <c r="C357" s="248" t="s">
        <v>430</v>
      </c>
      <c r="D357" s="106">
        <v>47323.660837179996</v>
      </c>
      <c r="E357" s="107">
        <f t="shared" si="15"/>
        <v>1.7996038318534636E-3</v>
      </c>
      <c r="F357" s="265">
        <v>1.9614828008460424E-2</v>
      </c>
      <c r="G357" s="265">
        <v>0.1368</v>
      </c>
      <c r="H357" s="108">
        <f t="shared" si="16"/>
        <v>0.15775648224423913</v>
      </c>
      <c r="I357" s="109">
        <f t="shared" si="17"/>
        <v>2.8389916994645562E-4</v>
      </c>
    </row>
    <row r="358" spans="2:9">
      <c r="B358" s="248" t="s">
        <v>959</v>
      </c>
      <c r="C358" s="248" t="s">
        <v>431</v>
      </c>
      <c r="D358" s="106">
        <v>12492.78836807</v>
      </c>
      <c r="E358" s="107">
        <f t="shared" si="15"/>
        <v>4.7507038593366883E-4</v>
      </c>
      <c r="F358" s="265">
        <v>3.6431155970291375E-2</v>
      </c>
      <c r="G358" s="265">
        <v>5.2380000000000003E-2</v>
      </c>
      <c r="H358" s="108">
        <f t="shared" si="16"/>
        <v>8.9765287945153316E-2</v>
      </c>
      <c r="I358" s="109">
        <f t="shared" si="17"/>
        <v>4.2644829987550897E-5</v>
      </c>
    </row>
    <row r="359" spans="2:9">
      <c r="B359" s="248" t="s">
        <v>960</v>
      </c>
      <c r="C359" s="248" t="s">
        <v>432</v>
      </c>
      <c r="D359" s="106">
        <v>20053.604416719998</v>
      </c>
      <c r="E359" s="107">
        <f t="shared" si="15"/>
        <v>7.6258984855308916E-4</v>
      </c>
      <c r="F359" s="265">
        <v>2.7700385769395628E-2</v>
      </c>
      <c r="G359" s="265">
        <v>7.2499999999999995E-2</v>
      </c>
      <c r="H359" s="108">
        <f t="shared" si="16"/>
        <v>0.10120452475353621</v>
      </c>
      <c r="I359" s="109">
        <f t="shared" si="17"/>
        <v>7.7177543204686537E-5</v>
      </c>
    </row>
    <row r="360" spans="2:9">
      <c r="B360" s="248" t="s">
        <v>961</v>
      </c>
      <c r="C360" s="248" t="s">
        <v>433</v>
      </c>
      <c r="D360" s="106">
        <v>15433.722869999998</v>
      </c>
      <c r="E360" s="107">
        <f t="shared" si="15"/>
        <v>5.8690697898830415E-4</v>
      </c>
      <c r="F360" s="265">
        <v>3.1467295226870952E-2</v>
      </c>
      <c r="G360" s="265">
        <v>3.5000000000000005E-3</v>
      </c>
      <c r="H360" s="108">
        <f t="shared" si="16"/>
        <v>3.5022362993517978E-2</v>
      </c>
      <c r="I360" s="109">
        <f t="shared" si="17"/>
        <v>2.0554869261557415E-5</v>
      </c>
    </row>
    <row r="361" spans="2:9">
      <c r="B361" s="248" t="s">
        <v>962</v>
      </c>
      <c r="C361" s="248" t="s">
        <v>434</v>
      </c>
      <c r="D361" s="106">
        <v>106008.62999999999</v>
      </c>
      <c r="E361" s="107">
        <f t="shared" si="15"/>
        <v>4.0312506129630225E-3</v>
      </c>
      <c r="F361" s="265">
        <v>3.7226403171138045E-3</v>
      </c>
      <c r="G361" s="265">
        <v>0.11154</v>
      </c>
      <c r="H361" s="108">
        <f t="shared" si="16"/>
        <v>0.11547025196759925</v>
      </c>
      <c r="I361" s="109">
        <f t="shared" si="17"/>
        <v>4.6548952402337913E-4</v>
      </c>
    </row>
    <row r="362" spans="2:9">
      <c r="B362" s="248" t="s">
        <v>1212</v>
      </c>
      <c r="C362" s="248" t="s">
        <v>1213</v>
      </c>
      <c r="D362" s="106">
        <v>13587.9104998</v>
      </c>
      <c r="E362" s="107">
        <f t="shared" si="15"/>
        <v>5.1671521961188863E-4</v>
      </c>
      <c r="F362" s="265">
        <v>0</v>
      </c>
      <c r="G362" s="265">
        <v>0.10657</v>
      </c>
      <c r="H362" s="108">
        <f t="shared" si="16"/>
        <v>0.10657</v>
      </c>
      <c r="I362" s="109">
        <f t="shared" si="17"/>
        <v>5.5066340954038973E-5</v>
      </c>
    </row>
    <row r="363" spans="2:9">
      <c r="B363" s="248" t="s">
        <v>963</v>
      </c>
      <c r="C363" s="248" t="s">
        <v>435</v>
      </c>
      <c r="D363" s="106">
        <v>7926.0479999999989</v>
      </c>
      <c r="E363" s="107">
        <f t="shared" si="15"/>
        <v>3.0140834626741554E-4</v>
      </c>
      <c r="F363" s="265">
        <v>4.9145299145299151E-2</v>
      </c>
      <c r="G363" s="265">
        <v>-3.4200000000000001E-2</v>
      </c>
      <c r="H363" s="108">
        <f t="shared" si="16"/>
        <v>1.4104914529914532E-2</v>
      </c>
      <c r="I363" s="109">
        <f t="shared" si="17"/>
        <v>4.2513389627047796E-6</v>
      </c>
    </row>
    <row r="364" spans="2:9">
      <c r="B364" s="248" t="s">
        <v>964</v>
      </c>
      <c r="C364" s="248" t="s">
        <v>436</v>
      </c>
      <c r="D364" s="106">
        <v>8221.8986942400006</v>
      </c>
      <c r="E364" s="107">
        <f t="shared" si="15"/>
        <v>3.1265882929413271E-4</v>
      </c>
      <c r="F364" s="265">
        <v>1.3864942528735633E-2</v>
      </c>
      <c r="G364" s="265">
        <v>-0.14230000000000001</v>
      </c>
      <c r="H364" s="108">
        <f t="shared" si="16"/>
        <v>-0.12942154813218393</v>
      </c>
      <c r="I364" s="109">
        <f t="shared" si="17"/>
        <v>-4.0464789724442874E-5</v>
      </c>
    </row>
    <row r="365" spans="2:9">
      <c r="B365" s="248" t="s">
        <v>965</v>
      </c>
      <c r="C365" s="248" t="s">
        <v>437</v>
      </c>
      <c r="D365" s="106">
        <v>24401.708010720002</v>
      </c>
      <c r="E365" s="107">
        <f t="shared" si="15"/>
        <v>9.2793766295781483E-4</v>
      </c>
      <c r="F365" s="265">
        <v>3.5485133020344291E-2</v>
      </c>
      <c r="G365" s="265">
        <v>5.0069999999999996E-2</v>
      </c>
      <c r="H365" s="108">
        <f t="shared" si="16"/>
        <v>8.6443503325508597E-2</v>
      </c>
      <c r="I365" s="109">
        <f t="shared" si="17"/>
        <v>8.0214182453758537E-5</v>
      </c>
    </row>
    <row r="366" spans="2:9">
      <c r="B366" s="248" t="s">
        <v>966</v>
      </c>
      <c r="C366" s="248" t="s">
        <v>438</v>
      </c>
      <c r="D366" s="106">
        <v>30431.632405820001</v>
      </c>
      <c r="E366" s="107">
        <f t="shared" si="15"/>
        <v>1.1572410358423391E-3</v>
      </c>
      <c r="F366" s="265">
        <v>4.8079793730492607E-2</v>
      </c>
      <c r="G366" s="265">
        <v>0.13113</v>
      </c>
      <c r="H366" s="108">
        <f t="shared" si="16"/>
        <v>0.18236214540643236</v>
      </c>
      <c r="I366" s="109">
        <f t="shared" si="17"/>
        <v>2.1103695804857106E-4</v>
      </c>
    </row>
    <row r="367" spans="2:9">
      <c r="B367" s="248" t="s">
        <v>967</v>
      </c>
      <c r="C367" s="248" t="s">
        <v>439</v>
      </c>
      <c r="D367" s="106">
        <v>17032.1050053</v>
      </c>
      <c r="E367" s="107">
        <f t="shared" si="15"/>
        <v>6.4768956775185368E-4</v>
      </c>
      <c r="F367" s="265">
        <v>3.3180076628352498E-2</v>
      </c>
      <c r="G367" s="265">
        <v>3.5769999999999996E-2</v>
      </c>
      <c r="H367" s="108">
        <f t="shared" si="16"/>
        <v>6.9543502298850576E-2</v>
      </c>
      <c r="I367" s="109">
        <f t="shared" si="17"/>
        <v>4.5042600943892576E-5</v>
      </c>
    </row>
    <row r="368" spans="2:9">
      <c r="B368" s="248" t="s">
        <v>968</v>
      </c>
      <c r="C368" s="248" t="s">
        <v>440</v>
      </c>
      <c r="D368" s="106">
        <v>180636.91914971001</v>
      </c>
      <c r="E368" s="107">
        <f t="shared" si="15"/>
        <v>6.8691831131674885E-3</v>
      </c>
      <c r="F368" s="265">
        <v>1.7008904234054153E-2</v>
      </c>
      <c r="G368" s="265">
        <v>8.3830000000000016E-2</v>
      </c>
      <c r="H368" s="108">
        <f t="shared" si="16"/>
        <v>0.10155183245502455</v>
      </c>
      <c r="I368" s="109">
        <f t="shared" si="17"/>
        <v>6.9757813261126878E-4</v>
      </c>
    </row>
    <row r="369" spans="2:9">
      <c r="B369" s="248" t="s">
        <v>969</v>
      </c>
      <c r="C369" s="248" t="s">
        <v>441</v>
      </c>
      <c r="D369" s="106">
        <v>30491.118717569996</v>
      </c>
      <c r="E369" s="107">
        <f t="shared" si="15"/>
        <v>1.1595031557348899E-3</v>
      </c>
      <c r="F369" s="265">
        <v>0</v>
      </c>
      <c r="G369" s="265">
        <v>0.13643</v>
      </c>
      <c r="H369" s="108">
        <f t="shared" si="16"/>
        <v>0.13643</v>
      </c>
      <c r="I369" s="109">
        <f t="shared" si="17"/>
        <v>1.5819101553691102E-4</v>
      </c>
    </row>
    <row r="370" spans="2:9">
      <c r="B370" s="248" t="s">
        <v>970</v>
      </c>
      <c r="C370" s="248" t="s">
        <v>442</v>
      </c>
      <c r="D370" s="106">
        <v>39777.515638719997</v>
      </c>
      <c r="E370" s="107">
        <f t="shared" si="15"/>
        <v>1.5126422660186837E-3</v>
      </c>
      <c r="F370" s="265">
        <v>7.0204632336406558E-2</v>
      </c>
      <c r="G370" s="265">
        <v>6.3E-2</v>
      </c>
      <c r="H370" s="108">
        <f t="shared" si="16"/>
        <v>0.13541607825500337</v>
      </c>
      <c r="I370" s="109">
        <f t="shared" si="17"/>
        <v>2.0483608346701169E-4</v>
      </c>
    </row>
    <row r="371" spans="2:9">
      <c r="B371" s="248" t="s">
        <v>971</v>
      </c>
      <c r="C371" s="248" t="s">
        <v>443</v>
      </c>
      <c r="D371" s="106">
        <v>29643.19697922</v>
      </c>
      <c r="E371" s="107">
        <f t="shared" si="15"/>
        <v>1.1272587523550133E-3</v>
      </c>
      <c r="F371" s="265">
        <v>2.9950465144375982E-2</v>
      </c>
      <c r="G371" s="265">
        <v>7.2499999999999995E-2</v>
      </c>
      <c r="H371" s="108">
        <f t="shared" si="16"/>
        <v>0.1035361695058596</v>
      </c>
      <c r="I371" s="109">
        <f t="shared" si="17"/>
        <v>1.1671205326079247E-4</v>
      </c>
    </row>
    <row r="372" spans="2:9">
      <c r="B372" s="248" t="s">
        <v>972</v>
      </c>
      <c r="C372" s="248" t="s">
        <v>444</v>
      </c>
      <c r="D372" s="106">
        <v>6234.4573444500002</v>
      </c>
      <c r="E372" s="107">
        <f t="shared" si="15"/>
        <v>2.3708126396224422E-4</v>
      </c>
      <c r="F372" s="265">
        <v>4.5155100735529252E-2</v>
      </c>
      <c r="G372" s="265">
        <v>0.02</v>
      </c>
      <c r="H372" s="108">
        <f t="shared" si="16"/>
        <v>6.5606651742884547E-2</v>
      </c>
      <c r="I372" s="109">
        <f t="shared" si="17"/>
        <v>1.5554107919533841E-5</v>
      </c>
    </row>
    <row r="373" spans="2:9">
      <c r="B373" s="248" t="s">
        <v>973</v>
      </c>
      <c r="C373" s="248" t="s">
        <v>445</v>
      </c>
      <c r="D373" s="106">
        <v>24249.304541550002</v>
      </c>
      <c r="E373" s="107">
        <f t="shared" si="15"/>
        <v>9.2214212934409634E-4</v>
      </c>
      <c r="F373" s="265">
        <v>4.8564490787030422E-2</v>
      </c>
      <c r="G373" s="265">
        <v>4.9000000000000002E-2</v>
      </c>
      <c r="H373" s="108">
        <f t="shared" si="16"/>
        <v>9.8754320811312662E-2</v>
      </c>
      <c r="I373" s="109">
        <f t="shared" si="17"/>
        <v>9.1065519674873863E-5</v>
      </c>
    </row>
    <row r="374" spans="2:9">
      <c r="B374" s="248" t="s">
        <v>974</v>
      </c>
      <c r="C374" s="248" t="s">
        <v>14</v>
      </c>
      <c r="D374" s="106">
        <v>31389.910319359999</v>
      </c>
      <c r="E374" s="107">
        <f t="shared" si="15"/>
        <v>1.1936820164148362E-3</v>
      </c>
      <c r="F374" s="265">
        <v>3.0299613402061856E-2</v>
      </c>
      <c r="G374" s="265">
        <v>5.4580000000000004E-2</v>
      </c>
      <c r="H374" s="108">
        <f t="shared" si="16"/>
        <v>8.5706489851804124E-2</v>
      </c>
      <c r="I374" s="109">
        <f t="shared" si="17"/>
        <v>1.0230629562613924E-4</v>
      </c>
    </row>
    <row r="375" spans="2:9">
      <c r="B375" s="248" t="s">
        <v>975</v>
      </c>
      <c r="C375" s="248" t="s">
        <v>446</v>
      </c>
      <c r="D375" s="106">
        <v>191689.03886130001</v>
      </c>
      <c r="E375" s="107">
        <f t="shared" si="15"/>
        <v>7.2894683707157458E-3</v>
      </c>
      <c r="F375" s="265">
        <v>2.762217359591539E-2</v>
      </c>
      <c r="G375" s="265">
        <v>5.5869999999999996E-2</v>
      </c>
      <c r="H375" s="108">
        <f t="shared" si="16"/>
        <v>8.4263799015317276E-2</v>
      </c>
      <c r="I375" s="109">
        <f t="shared" si="17"/>
        <v>6.1423829771850384E-4</v>
      </c>
    </row>
    <row r="376" spans="2:9">
      <c r="B376" s="248" t="s">
        <v>976</v>
      </c>
      <c r="C376" s="248" t="s">
        <v>447</v>
      </c>
      <c r="D376" s="106">
        <v>198730.56732329002</v>
      </c>
      <c r="E376" s="107">
        <f t="shared" si="15"/>
        <v>7.5572405882096778E-3</v>
      </c>
      <c r="F376" s="265">
        <v>3.9827442248817145E-2</v>
      </c>
      <c r="G376" s="265">
        <v>3.875E-2</v>
      </c>
      <c r="H376" s="108">
        <f t="shared" si="16"/>
        <v>7.934909894238798E-2</v>
      </c>
      <c r="I376" s="109">
        <f t="shared" si="17"/>
        <v>5.9966023116528008E-4</v>
      </c>
    </row>
    <row r="377" spans="2:9">
      <c r="B377" s="248" t="s">
        <v>977</v>
      </c>
      <c r="C377" s="248" t="s">
        <v>448</v>
      </c>
      <c r="D377" s="106">
        <v>15930.424181819999</v>
      </c>
      <c r="E377" s="107">
        <f t="shared" si="15"/>
        <v>6.057953229630722E-4</v>
      </c>
      <c r="F377" s="265">
        <v>3.8466923346167303E-2</v>
      </c>
      <c r="G377" s="265">
        <v>6.8699999999999997E-2</v>
      </c>
      <c r="H377" s="108">
        <f t="shared" si="16"/>
        <v>0.10848826216310815</v>
      </c>
      <c r="I377" s="109">
        <f t="shared" si="17"/>
        <v>6.572168181480255E-5</v>
      </c>
    </row>
    <row r="378" spans="2:9">
      <c r="B378" s="248" t="s">
        <v>978</v>
      </c>
      <c r="C378" s="248" t="s">
        <v>449</v>
      </c>
      <c r="D378" s="106">
        <v>311277.50746559998</v>
      </c>
      <c r="E378" s="107">
        <f t="shared" si="15"/>
        <v>1.1837127248718351E-2</v>
      </c>
      <c r="F378" s="265">
        <v>2.415179289274803E-2</v>
      </c>
      <c r="G378" s="265">
        <v>7.417E-2</v>
      </c>
      <c r="H378" s="108">
        <f t="shared" si="16"/>
        <v>9.9217462132175596E-2</v>
      </c>
      <c r="I378" s="109">
        <f t="shared" si="17"/>
        <v>1.1744497245534569E-3</v>
      </c>
    </row>
    <row r="379" spans="2:9">
      <c r="B379" s="248" t="s">
        <v>979</v>
      </c>
      <c r="C379" s="248" t="s">
        <v>450</v>
      </c>
      <c r="D379" s="106">
        <v>45160.35</v>
      </c>
      <c r="E379" s="107">
        <f t="shared" si="15"/>
        <v>1.7173383772540465E-3</v>
      </c>
      <c r="F379" s="265">
        <v>3.5080906148867316E-2</v>
      </c>
      <c r="G379" s="265">
        <v>6.2330000000000003E-2</v>
      </c>
      <c r="H379" s="108">
        <f t="shared" si="16"/>
        <v>9.8504202588996781E-2</v>
      </c>
      <c r="I379" s="109">
        <f t="shared" si="17"/>
        <v>1.6916504742689158E-4</v>
      </c>
    </row>
    <row r="380" spans="2:9">
      <c r="B380" s="248" t="s">
        <v>980</v>
      </c>
      <c r="C380" s="248" t="s">
        <v>451</v>
      </c>
      <c r="D380" s="106">
        <v>23208.166100679999</v>
      </c>
      <c r="E380" s="107">
        <f t="shared" si="15"/>
        <v>8.8255016425656935E-4</v>
      </c>
      <c r="F380" s="265">
        <v>1.8686672941697579E-2</v>
      </c>
      <c r="G380" s="265">
        <v>8.2400000000000001E-2</v>
      </c>
      <c r="H380" s="108">
        <f t="shared" si="16"/>
        <v>0.10185656386689551</v>
      </c>
      <c r="I380" s="109">
        <f t="shared" si="17"/>
        <v>8.9893527171338377E-5</v>
      </c>
    </row>
    <row r="381" spans="2:9">
      <c r="B381" s="248" t="s">
        <v>981</v>
      </c>
      <c r="C381" s="248" t="s">
        <v>452</v>
      </c>
      <c r="D381" s="106">
        <v>10022.69271745</v>
      </c>
      <c r="E381" s="107">
        <f t="shared" si="15"/>
        <v>3.8113865032271744E-4</v>
      </c>
      <c r="F381" s="265">
        <v>1.2120383036935705E-2</v>
      </c>
      <c r="G381" s="265">
        <v>8.2530000000000006E-2</v>
      </c>
      <c r="H381" s="108">
        <f t="shared" si="16"/>
        <v>9.5150530642954867E-2</v>
      </c>
      <c r="I381" s="109">
        <f t="shared" si="17"/>
        <v>3.6265544826746184E-5</v>
      </c>
    </row>
    <row r="382" spans="2:9">
      <c r="B382" s="248" t="s">
        <v>982</v>
      </c>
      <c r="C382" s="248" t="s">
        <v>453</v>
      </c>
      <c r="D382" s="106">
        <v>10043.725308099998</v>
      </c>
      <c r="E382" s="107">
        <f t="shared" si="15"/>
        <v>3.8193846863892439E-4</v>
      </c>
      <c r="F382" s="265">
        <v>3.0131950989632422E-2</v>
      </c>
      <c r="G382" s="265">
        <v>0.1</v>
      </c>
      <c r="H382" s="108">
        <f t="shared" si="16"/>
        <v>0.13163854853911405</v>
      </c>
      <c r="I382" s="109">
        <f t="shared" si="17"/>
        <v>5.0277825642879938E-5</v>
      </c>
    </row>
    <row r="383" spans="2:9">
      <c r="B383" s="248" t="s">
        <v>983</v>
      </c>
      <c r="C383" s="248" t="s">
        <v>454</v>
      </c>
      <c r="D383" s="106">
        <v>9460.3583357700008</v>
      </c>
      <c r="E383" s="107">
        <f t="shared" si="15"/>
        <v>3.5975444018022549E-4</v>
      </c>
      <c r="F383" s="265">
        <v>3.2875425619349539E-3</v>
      </c>
      <c r="G383" s="265">
        <v>0.16839999999999999</v>
      </c>
      <c r="H383" s="108">
        <f t="shared" si="16"/>
        <v>0.17196435364564988</v>
      </c>
      <c r="I383" s="109">
        <f t="shared" si="17"/>
        <v>6.1864939776745087E-5</v>
      </c>
    </row>
    <row r="384" spans="2:9">
      <c r="B384" s="248" t="s">
        <v>984</v>
      </c>
      <c r="C384" s="248" t="s">
        <v>455</v>
      </c>
      <c r="D384" s="106">
        <v>53748.272237079997</v>
      </c>
      <c r="E384" s="107">
        <f t="shared" si="15"/>
        <v>2.043916192497084E-3</v>
      </c>
      <c r="F384" s="265">
        <v>2.4876789486036142E-2</v>
      </c>
      <c r="G384" s="265">
        <v>7.3599999999999999E-2</v>
      </c>
      <c r="H384" s="108">
        <f t="shared" si="16"/>
        <v>9.9392255339122271E-2</v>
      </c>
      <c r="I384" s="109">
        <f t="shared" si="17"/>
        <v>2.0314944009643677E-4</v>
      </c>
    </row>
    <row r="385" spans="2:9">
      <c r="B385" s="248" t="s">
        <v>985</v>
      </c>
      <c r="C385" s="248" t="s">
        <v>456</v>
      </c>
      <c r="D385" s="106">
        <v>118134.91996236001</v>
      </c>
      <c r="E385" s="107">
        <f t="shared" si="15"/>
        <v>4.4923839550666906E-3</v>
      </c>
      <c r="F385" s="265">
        <v>6.0977215856710121E-2</v>
      </c>
      <c r="G385" s="265">
        <v>7.8070000000000001E-2</v>
      </c>
      <c r="H385" s="108">
        <f t="shared" si="16"/>
        <v>0.14142746147767679</v>
      </c>
      <c r="I385" s="109">
        <f t="shared" si="17"/>
        <v>6.3534645874812766E-4</v>
      </c>
    </row>
    <row r="386" spans="2:9">
      <c r="B386" s="248" t="s">
        <v>986</v>
      </c>
      <c r="C386" s="248" t="s">
        <v>457</v>
      </c>
      <c r="D386" s="106">
        <v>62407.207664640002</v>
      </c>
      <c r="E386" s="107">
        <f t="shared" si="15"/>
        <v>2.3731944668220939E-3</v>
      </c>
      <c r="F386" s="265">
        <v>2.9965753424657536E-2</v>
      </c>
      <c r="G386" s="265">
        <v>7.640000000000001E-2</v>
      </c>
      <c r="H386" s="108">
        <f t="shared" si="16"/>
        <v>0.10751044520547946</v>
      </c>
      <c r="I386" s="109">
        <f t="shared" si="17"/>
        <v>2.5514319368722375E-4</v>
      </c>
    </row>
    <row r="387" spans="2:9">
      <c r="B387" s="248" t="s">
        <v>987</v>
      </c>
      <c r="C387" s="248" t="s">
        <v>458</v>
      </c>
      <c r="D387" s="106">
        <v>6352.2571517999995</v>
      </c>
      <c r="E387" s="107">
        <f t="shared" si="15"/>
        <v>2.4156090439893894E-4</v>
      </c>
      <c r="F387" s="265">
        <v>1.9021164021164022E-2</v>
      </c>
      <c r="G387" s="265">
        <v>6.5730000000000011E-2</v>
      </c>
      <c r="H387" s="108">
        <f t="shared" si="16"/>
        <v>8.537629457671958E-2</v>
      </c>
      <c r="I387" s="109">
        <f t="shared" si="17"/>
        <v>2.0623574932182607E-5</v>
      </c>
    </row>
    <row r="388" spans="2:9">
      <c r="B388" s="248" t="s">
        <v>988</v>
      </c>
      <c r="C388" s="248" t="s">
        <v>15</v>
      </c>
      <c r="D388" s="106">
        <v>10901.33510778</v>
      </c>
      <c r="E388" s="107">
        <f t="shared" si="15"/>
        <v>4.1455128545056605E-4</v>
      </c>
      <c r="F388" s="265">
        <v>3.102915421860513E-2</v>
      </c>
      <c r="G388" s="265">
        <v>5.3520000000000005E-2</v>
      </c>
      <c r="H388" s="108">
        <f t="shared" si="16"/>
        <v>8.5379494385494997E-2</v>
      </c>
      <c r="I388" s="109">
        <f t="shared" si="17"/>
        <v>3.539417914862634E-5</v>
      </c>
    </row>
    <row r="389" spans="2:9">
      <c r="B389" s="248" t="s">
        <v>989</v>
      </c>
      <c r="C389" s="248" t="s">
        <v>459</v>
      </c>
      <c r="D389" s="106">
        <v>28003.07027539</v>
      </c>
      <c r="E389" s="107">
        <f t="shared" si="15"/>
        <v>1.0648887190836493E-3</v>
      </c>
      <c r="F389" s="265">
        <v>1.6741203273985317E-2</v>
      </c>
      <c r="G389" s="265">
        <v>6.8199999999999997E-2</v>
      </c>
      <c r="H389" s="108">
        <f t="shared" si="16"/>
        <v>8.5512078305628209E-2</v>
      </c>
      <c r="I389" s="109">
        <f t="shared" si="17"/>
        <v>9.1060847533061147E-5</v>
      </c>
    </row>
    <row r="390" spans="2:9">
      <c r="B390" s="248" t="s">
        <v>990</v>
      </c>
      <c r="C390" s="248" t="s">
        <v>16</v>
      </c>
      <c r="D390" s="106">
        <v>22730.741600000001</v>
      </c>
      <c r="E390" s="107">
        <f t="shared" si="15"/>
        <v>8.6439487056953832E-4</v>
      </c>
      <c r="F390" s="265">
        <v>5.2588123213718647E-2</v>
      </c>
      <c r="G390" s="265">
        <v>1.3500000000000002E-2</v>
      </c>
      <c r="H390" s="108">
        <f t="shared" si="16"/>
        <v>6.6443093045411253E-2</v>
      </c>
      <c r="I390" s="109">
        <f t="shared" si="17"/>
        <v>5.7433068813228049E-5</v>
      </c>
    </row>
    <row r="391" spans="2:9">
      <c r="B391" s="248" t="s">
        <v>991</v>
      </c>
      <c r="C391" s="248" t="s">
        <v>460</v>
      </c>
      <c r="D391" s="106">
        <v>7604.0945002799999</v>
      </c>
      <c r="E391" s="107">
        <f t="shared" si="15"/>
        <v>2.8916523697440952E-4</v>
      </c>
      <c r="F391" s="265">
        <v>1.3830738951511899E-2</v>
      </c>
      <c r="G391" s="265">
        <v>-1.6E-2</v>
      </c>
      <c r="H391" s="108">
        <f t="shared" si="16"/>
        <v>-2.2799069601001972E-3</v>
      </c>
      <c r="I391" s="109">
        <f t="shared" si="17"/>
        <v>-6.5926983639697918E-7</v>
      </c>
    </row>
    <row r="392" spans="2:9">
      <c r="B392" s="248" t="s">
        <v>992</v>
      </c>
      <c r="C392" s="248" t="s">
        <v>461</v>
      </c>
      <c r="D392" s="106">
        <v>36159.9</v>
      </c>
      <c r="E392" s="107">
        <f t="shared" si="15"/>
        <v>1.3750731335711215E-3</v>
      </c>
      <c r="F392" s="265">
        <v>4.4491384102279034E-2</v>
      </c>
      <c r="G392" s="265">
        <v>0.10667</v>
      </c>
      <c r="H392" s="108">
        <f t="shared" si="16"/>
        <v>0.15353433207337408</v>
      </c>
      <c r="I392" s="109">
        <f t="shared" si="17"/>
        <v>2.1112093511488364E-4</v>
      </c>
    </row>
    <row r="393" spans="2:9">
      <c r="B393" s="248" t="s">
        <v>993</v>
      </c>
      <c r="C393" s="248" t="s">
        <v>462</v>
      </c>
      <c r="D393" s="106">
        <v>42823.590878310002</v>
      </c>
      <c r="E393" s="107">
        <f t="shared" si="15"/>
        <v>1.6284771058494472E-3</v>
      </c>
      <c r="F393" s="265">
        <v>3.2816895666000732E-2</v>
      </c>
      <c r="G393" s="265">
        <v>4.1070000000000002E-2</v>
      </c>
      <c r="H393" s="108">
        <f t="shared" si="16"/>
        <v>7.4560790618502057E-2</v>
      </c>
      <c r="I393" s="109">
        <f t="shared" si="17"/>
        <v>1.2142054051626484E-4</v>
      </c>
    </row>
    <row r="394" spans="2:9">
      <c r="B394" s="248" t="s">
        <v>994</v>
      </c>
      <c r="C394" s="248" t="s">
        <v>463</v>
      </c>
      <c r="D394" s="106">
        <v>45930.6697728</v>
      </c>
      <c r="E394" s="107">
        <f t="shared" si="15"/>
        <v>1.7466317664458278E-3</v>
      </c>
      <c r="F394" s="265">
        <v>3.3906249999999999E-2</v>
      </c>
      <c r="G394" s="265">
        <v>2.2029999999999998E-2</v>
      </c>
      <c r="H394" s="108">
        <f t="shared" si="16"/>
        <v>5.6309727343749991E-2</v>
      </c>
      <c r="I394" s="109">
        <f t="shared" si="17"/>
        <v>9.8352358538496984E-5</v>
      </c>
    </row>
    <row r="395" spans="2:9">
      <c r="B395" s="248" t="s">
        <v>995</v>
      </c>
      <c r="C395" s="248" t="s">
        <v>464</v>
      </c>
      <c r="D395" s="106">
        <v>6541.7081798400013</v>
      </c>
      <c r="E395" s="107">
        <f t="shared" si="15"/>
        <v>2.4876526665616961E-4</v>
      </c>
      <c r="F395" s="265">
        <v>1.7001020061203672E-3</v>
      </c>
      <c r="G395" s="265">
        <v>6.5170000000000006E-2</v>
      </c>
      <c r="H395" s="108">
        <f t="shared" si="16"/>
        <v>6.6925499829989799E-2</v>
      </c>
      <c r="I395" s="109">
        <f t="shared" si="17"/>
        <v>1.6648739811304846E-5</v>
      </c>
    </row>
    <row r="396" spans="2:9">
      <c r="B396" s="248" t="s">
        <v>996</v>
      </c>
      <c r="C396" s="248" t="s">
        <v>465</v>
      </c>
      <c r="D396" s="106">
        <v>5392.8566369999999</v>
      </c>
      <c r="E396" s="107">
        <f t="shared" si="15"/>
        <v>2.0507723402828575E-4</v>
      </c>
      <c r="F396" s="265">
        <v>3.174603174603175E-3</v>
      </c>
      <c r="G396" s="265">
        <v>0</v>
      </c>
      <c r="H396" s="108">
        <f t="shared" si="16"/>
        <v>3.174603174603175E-3</v>
      </c>
      <c r="I396" s="109">
        <f t="shared" si="17"/>
        <v>6.5103883818503419E-7</v>
      </c>
    </row>
    <row r="397" spans="2:9">
      <c r="B397" s="248" t="s">
        <v>997</v>
      </c>
      <c r="C397" s="248" t="s">
        <v>466</v>
      </c>
      <c r="D397" s="106">
        <v>21021.654093559999</v>
      </c>
      <c r="E397" s="107">
        <f t="shared" ref="E397:E460" si="18">IF(OR(H397="N/A",D397="N/A"),"N/A",D397/$D$513)</f>
        <v>7.9940242553988648E-4</v>
      </c>
      <c r="F397" s="265">
        <v>7.2910869046672495E-3</v>
      </c>
      <c r="G397" s="265">
        <v>0.23850000000000002</v>
      </c>
      <c r="H397" s="108">
        <f t="shared" ref="H397:H460" si="19">IFERROR(F397*(1+0.5*G397)+G397,"N/A")</f>
        <v>0.24666054901804885</v>
      </c>
      <c r="I397" s="109">
        <f t="shared" ref="I397:I460" si="20">IF(AND(ISNUMBER(D397),ISNUMBER(H397)),E397*H397,"N/A")</f>
        <v>1.9718104117002832E-4</v>
      </c>
    </row>
    <row r="398" spans="2:9">
      <c r="B398" s="248" t="s">
        <v>998</v>
      </c>
      <c r="C398" s="248" t="s">
        <v>467</v>
      </c>
      <c r="D398" s="106">
        <v>121891.80623984999</v>
      </c>
      <c r="E398" s="107">
        <f t="shared" si="18"/>
        <v>4.6352492114987735E-3</v>
      </c>
      <c r="F398" s="265">
        <v>0</v>
      </c>
      <c r="G398" s="265">
        <v>0.19583999999999999</v>
      </c>
      <c r="H398" s="108">
        <f t="shared" si="19"/>
        <v>0.19583999999999999</v>
      </c>
      <c r="I398" s="109">
        <f t="shared" si="20"/>
        <v>9.077672055799197E-4</v>
      </c>
    </row>
    <row r="399" spans="2:9">
      <c r="B399" s="248" t="s">
        <v>999</v>
      </c>
      <c r="C399" s="248" t="s">
        <v>468</v>
      </c>
      <c r="D399" s="106">
        <v>92730.371339279998</v>
      </c>
      <c r="E399" s="107">
        <f t="shared" si="18"/>
        <v>3.5263107003812915E-3</v>
      </c>
      <c r="F399" s="265">
        <v>3.2629785002621918E-2</v>
      </c>
      <c r="G399" s="265">
        <v>0.14370000000000002</v>
      </c>
      <c r="H399" s="108">
        <f t="shared" si="19"/>
        <v>0.17867423505506033</v>
      </c>
      <c r="I399" s="109">
        <f t="shared" si="20"/>
        <v>6.3006086695710126E-4</v>
      </c>
    </row>
    <row r="400" spans="2:9">
      <c r="B400" s="248" t="s">
        <v>1000</v>
      </c>
      <c r="C400" s="248" t="s">
        <v>469</v>
      </c>
      <c r="D400" s="106">
        <v>8732.5544699799993</v>
      </c>
      <c r="E400" s="107">
        <f t="shared" si="18"/>
        <v>3.3207782762440994E-4</v>
      </c>
      <c r="F400" s="265">
        <v>2.6975991367682761E-3</v>
      </c>
      <c r="G400" s="265">
        <v>0.10763</v>
      </c>
      <c r="H400" s="108">
        <f t="shared" si="19"/>
        <v>0.11047277043431346</v>
      </c>
      <c r="I400" s="109">
        <f t="shared" si="20"/>
        <v>3.6685557617476958E-5</v>
      </c>
    </row>
    <row r="401" spans="2:9">
      <c r="B401" s="248" t="s">
        <v>1001</v>
      </c>
      <c r="C401" s="248" t="s">
        <v>470</v>
      </c>
      <c r="D401" s="106">
        <v>22701.75082143</v>
      </c>
      <c r="E401" s="107">
        <f t="shared" si="18"/>
        <v>8.6329242170400168E-4</v>
      </c>
      <c r="F401" s="265">
        <v>2.6640819717529771E-2</v>
      </c>
      <c r="G401" s="265">
        <v>0.11</v>
      </c>
      <c r="H401" s="108">
        <f t="shared" si="19"/>
        <v>0.13810606480199392</v>
      </c>
      <c r="I401" s="109">
        <f t="shared" si="20"/>
        <v>1.1922591913492312E-4</v>
      </c>
    </row>
    <row r="402" spans="2:9">
      <c r="B402" s="248" t="s">
        <v>1002</v>
      </c>
      <c r="C402" s="248" t="s">
        <v>471</v>
      </c>
      <c r="D402" s="106">
        <v>10840.56114845</v>
      </c>
      <c r="E402" s="107">
        <f t="shared" si="18"/>
        <v>4.122401994493485E-4</v>
      </c>
      <c r="F402" s="265">
        <v>2.1395016723664929E-2</v>
      </c>
      <c r="G402" s="265">
        <v>0.1</v>
      </c>
      <c r="H402" s="108">
        <f t="shared" si="19"/>
        <v>0.12246476755984818</v>
      </c>
      <c r="I402" s="109">
        <f t="shared" si="20"/>
        <v>5.0484900204389919E-5</v>
      </c>
    </row>
    <row r="403" spans="2:9">
      <c r="B403" s="248" t="s">
        <v>1003</v>
      </c>
      <c r="C403" s="248" t="s">
        <v>472</v>
      </c>
      <c r="D403" s="106">
        <v>11655.063070179998</v>
      </c>
      <c r="E403" s="107">
        <f t="shared" si="18"/>
        <v>4.4321372840858147E-4</v>
      </c>
      <c r="F403" s="265">
        <v>3.3673909915095696E-2</v>
      </c>
      <c r="G403" s="265">
        <v>4.6170000000000003E-2</v>
      </c>
      <c r="H403" s="108">
        <f t="shared" si="19"/>
        <v>8.0621272125485685E-2</v>
      </c>
      <c r="I403" s="109">
        <f t="shared" si="20"/>
        <v>3.5732454607779355E-5</v>
      </c>
    </row>
    <row r="404" spans="2:9">
      <c r="B404" s="248" t="s">
        <v>1004</v>
      </c>
      <c r="C404" s="248" t="s">
        <v>473</v>
      </c>
      <c r="D404" s="106">
        <v>30467.499715400001</v>
      </c>
      <c r="E404" s="107">
        <f t="shared" si="18"/>
        <v>1.1586049824731908E-3</v>
      </c>
      <c r="F404" s="265">
        <v>0</v>
      </c>
      <c r="G404" s="265">
        <v>0.12575</v>
      </c>
      <c r="H404" s="108">
        <f t="shared" si="19"/>
        <v>0.12575</v>
      </c>
      <c r="I404" s="109">
        <f t="shared" si="20"/>
        <v>1.4569457654600376E-4</v>
      </c>
    </row>
    <row r="405" spans="2:9">
      <c r="B405" s="248" t="s">
        <v>1005</v>
      </c>
      <c r="C405" s="248" t="s">
        <v>474</v>
      </c>
      <c r="D405" s="106">
        <v>15784.75838716</v>
      </c>
      <c r="E405" s="107">
        <f t="shared" si="18"/>
        <v>6.0025600673937541E-4</v>
      </c>
      <c r="F405" s="265">
        <v>3.7863463969658659E-2</v>
      </c>
      <c r="G405" s="265">
        <v>8.2100000000000006E-2</v>
      </c>
      <c r="H405" s="108">
        <f t="shared" si="19"/>
        <v>0.12151775916561315</v>
      </c>
      <c r="I405" s="109">
        <f t="shared" si="20"/>
        <v>7.294176486466808E-5</v>
      </c>
    </row>
    <row r="406" spans="2:9">
      <c r="B406" s="248" t="s">
        <v>1006</v>
      </c>
      <c r="C406" s="248" t="s">
        <v>475</v>
      </c>
      <c r="D406" s="106">
        <v>6543.4454826399997</v>
      </c>
      <c r="E406" s="107">
        <f t="shared" si="18"/>
        <v>2.4883133206025416E-4</v>
      </c>
      <c r="F406" s="265">
        <v>2.1954725116780455E-2</v>
      </c>
      <c r="G406" s="265">
        <v>-1.7899999999999999E-2</v>
      </c>
      <c r="H406" s="108">
        <f t="shared" si="19"/>
        <v>3.8582303269852694E-3</v>
      </c>
      <c r="I406" s="109">
        <f t="shared" si="20"/>
        <v>9.600485916590146E-7</v>
      </c>
    </row>
    <row r="407" spans="2:9">
      <c r="B407" s="248" t="s">
        <v>1007</v>
      </c>
      <c r="C407" s="248" t="s">
        <v>476</v>
      </c>
      <c r="D407" s="106">
        <v>11449.009942160001</v>
      </c>
      <c r="E407" s="107">
        <f t="shared" si="18"/>
        <v>4.3537802862986003E-4</v>
      </c>
      <c r="F407" s="265">
        <v>1.5801600776133882E-2</v>
      </c>
      <c r="G407" s="265">
        <v>0.17</v>
      </c>
      <c r="H407" s="108">
        <f t="shared" si="19"/>
        <v>0.18714473684210528</v>
      </c>
      <c r="I407" s="109">
        <f t="shared" si="20"/>
        <v>8.1478706594769737E-5</v>
      </c>
    </row>
    <row r="408" spans="2:9">
      <c r="B408" s="248" t="s">
        <v>1008</v>
      </c>
      <c r="C408" s="248" t="s">
        <v>477</v>
      </c>
      <c r="D408" s="106">
        <v>7372.3395645700002</v>
      </c>
      <c r="E408" s="107">
        <f t="shared" si="18"/>
        <v>2.8035215990098502E-4</v>
      </c>
      <c r="F408" s="265">
        <v>2.8459201843511049E-2</v>
      </c>
      <c r="G408" s="265">
        <v>6.3500000000000001E-2</v>
      </c>
      <c r="H408" s="108">
        <f t="shared" si="19"/>
        <v>9.2862781502042524E-2</v>
      </c>
      <c r="I408" s="109">
        <f t="shared" si="20"/>
        <v>2.6034281368510859E-5</v>
      </c>
    </row>
    <row r="409" spans="2:9">
      <c r="B409" s="248" t="s">
        <v>1009</v>
      </c>
      <c r="C409" s="248" t="s">
        <v>478</v>
      </c>
      <c r="D409" s="106">
        <v>19411.396241050003</v>
      </c>
      <c r="E409" s="107">
        <f t="shared" si="18"/>
        <v>7.3816823210714956E-4</v>
      </c>
      <c r="F409" s="265">
        <v>1.2323292132336613E-2</v>
      </c>
      <c r="G409" s="265">
        <v>0.11367000000000001</v>
      </c>
      <c r="H409" s="108">
        <f t="shared" si="19"/>
        <v>0.12669368644067797</v>
      </c>
      <c r="I409" s="109">
        <f t="shared" si="20"/>
        <v>9.35212545390528E-5</v>
      </c>
    </row>
    <row r="410" spans="2:9">
      <c r="B410" s="248" t="s">
        <v>1010</v>
      </c>
      <c r="C410" s="248" t="s">
        <v>479</v>
      </c>
      <c r="D410" s="106">
        <v>19282.859071999999</v>
      </c>
      <c r="E410" s="107">
        <f t="shared" si="18"/>
        <v>7.3328027589526985E-4</v>
      </c>
      <c r="F410" s="265">
        <v>2.3222087378640774E-2</v>
      </c>
      <c r="G410" s="265">
        <v>0.11496000000000001</v>
      </c>
      <c r="H410" s="108">
        <f t="shared" si="19"/>
        <v>0.13951689296116504</v>
      </c>
      <c r="I410" s="109">
        <f t="shared" si="20"/>
        <v>1.0230498576261393E-4</v>
      </c>
    </row>
    <row r="411" spans="2:9">
      <c r="B411" s="248" t="s">
        <v>1011</v>
      </c>
      <c r="C411" s="248" t="s">
        <v>1012</v>
      </c>
      <c r="D411" s="106">
        <v>11157.46106881</v>
      </c>
      <c r="E411" s="107">
        <f t="shared" si="18"/>
        <v>4.2429113339877492E-4</v>
      </c>
      <c r="F411" s="265">
        <v>1.6730261226885826E-2</v>
      </c>
      <c r="G411" s="265">
        <v>0</v>
      </c>
      <c r="H411" s="108">
        <f t="shared" si="19"/>
        <v>1.6730261226885826E-2</v>
      </c>
      <c r="I411" s="109">
        <f t="shared" si="20"/>
        <v>7.0985014980129656E-6</v>
      </c>
    </row>
    <row r="412" spans="2:9">
      <c r="B412" s="248" t="s">
        <v>1013</v>
      </c>
      <c r="C412" s="248" t="s">
        <v>480</v>
      </c>
      <c r="D412" s="106">
        <v>37087.048655400002</v>
      </c>
      <c r="E412" s="107">
        <f t="shared" si="18"/>
        <v>1.4103303440962372E-3</v>
      </c>
      <c r="F412" s="265">
        <v>5.39820527201346E-3</v>
      </c>
      <c r="G412" s="265">
        <v>0.13033</v>
      </c>
      <c r="H412" s="108">
        <f t="shared" si="19"/>
        <v>0.13607997931856422</v>
      </c>
      <c r="I412" s="109">
        <f t="shared" si="20"/>
        <v>1.9191772405695952E-4</v>
      </c>
    </row>
    <row r="413" spans="2:9">
      <c r="B413" s="248" t="s">
        <v>1014</v>
      </c>
      <c r="C413" s="248" t="s">
        <v>481</v>
      </c>
      <c r="D413" s="106">
        <v>39736.086636999993</v>
      </c>
      <c r="E413" s="107">
        <f t="shared" si="18"/>
        <v>1.5110668217498706E-3</v>
      </c>
      <c r="F413" s="265">
        <v>9.321802457897134E-3</v>
      </c>
      <c r="G413" s="265">
        <v>9.375E-2</v>
      </c>
      <c r="H413" s="108">
        <f t="shared" si="19"/>
        <v>0.10350876194811107</v>
      </c>
      <c r="I413" s="109">
        <f t="shared" si="20"/>
        <v>1.5640865594019612E-4</v>
      </c>
    </row>
    <row r="414" spans="2:9">
      <c r="B414" s="248" t="s">
        <v>1015</v>
      </c>
      <c r="C414" s="248" t="s">
        <v>482</v>
      </c>
      <c r="D414" s="106">
        <v>27761.022591599998</v>
      </c>
      <c r="E414" s="107">
        <f t="shared" si="18"/>
        <v>1.0556842338106606E-3</v>
      </c>
      <c r="F414" s="265">
        <v>1.807047949162334E-2</v>
      </c>
      <c r="G414" s="265">
        <v>0.12957000000000002</v>
      </c>
      <c r="H414" s="108">
        <f t="shared" si="19"/>
        <v>0.14881117550548817</v>
      </c>
      <c r="I414" s="109">
        <f t="shared" si="20"/>
        <v>1.5709761179597502E-4</v>
      </c>
    </row>
    <row r="415" spans="2:9">
      <c r="B415" s="248" t="s">
        <v>1016</v>
      </c>
      <c r="C415" s="248" t="s">
        <v>483</v>
      </c>
      <c r="D415" s="106">
        <v>54637.640353569994</v>
      </c>
      <c r="E415" s="107">
        <f t="shared" si="18"/>
        <v>2.0777367009288039E-3</v>
      </c>
      <c r="F415" s="265">
        <v>1.9165095060910343E-2</v>
      </c>
      <c r="G415" s="265">
        <v>8.8250000000000009E-2</v>
      </c>
      <c r="H415" s="108">
        <f t="shared" si="19"/>
        <v>0.10826075488047301</v>
      </c>
      <c r="I415" s="109">
        <f t="shared" si="20"/>
        <v>2.2493734368541591E-4</v>
      </c>
    </row>
    <row r="416" spans="2:9">
      <c r="B416" s="248" t="s">
        <v>1017</v>
      </c>
      <c r="C416" s="248" t="s">
        <v>484</v>
      </c>
      <c r="D416" s="106">
        <v>27275.406758600002</v>
      </c>
      <c r="E416" s="107">
        <f t="shared" si="18"/>
        <v>1.037217443659276E-3</v>
      </c>
      <c r="F416" s="265">
        <v>2.7700601285506944E-3</v>
      </c>
      <c r="G416" s="265">
        <v>0.46899999999999997</v>
      </c>
      <c r="H416" s="108">
        <f t="shared" si="19"/>
        <v>0.47241963922869579</v>
      </c>
      <c r="I416" s="109">
        <f t="shared" si="20"/>
        <v>4.9000189053522521E-4</v>
      </c>
    </row>
    <row r="417" spans="2:9">
      <c r="B417" s="248" t="s">
        <v>1018</v>
      </c>
      <c r="C417" s="248" t="s">
        <v>485</v>
      </c>
      <c r="D417" s="106">
        <v>105838.74</v>
      </c>
      <c r="E417" s="107">
        <f t="shared" si="18"/>
        <v>4.0247901090716296E-3</v>
      </c>
      <c r="F417" s="265">
        <v>1.6828771771092516E-2</v>
      </c>
      <c r="G417" s="265">
        <v>0.13171000000000002</v>
      </c>
      <c r="H417" s="108">
        <f t="shared" si="19"/>
        <v>0.14964703053607784</v>
      </c>
      <c r="I417" s="109">
        <f t="shared" si="20"/>
        <v>6.0229788835354623E-4</v>
      </c>
    </row>
    <row r="418" spans="2:9">
      <c r="B418" s="248" t="s">
        <v>1019</v>
      </c>
      <c r="C418" s="248" t="s">
        <v>486</v>
      </c>
      <c r="D418" s="106">
        <v>54679.469574959992</v>
      </c>
      <c r="E418" s="107">
        <f t="shared" si="18"/>
        <v>2.0793273645791895E-3</v>
      </c>
      <c r="F418" s="265">
        <v>1.6112837676308871E-2</v>
      </c>
      <c r="G418" s="265">
        <v>3.9399999999999998E-2</v>
      </c>
      <c r="H418" s="108">
        <f t="shared" si="19"/>
        <v>5.5830260578532159E-2</v>
      </c>
      <c r="I418" s="109">
        <f t="shared" si="20"/>
        <v>1.1608938859252869E-4</v>
      </c>
    </row>
    <row r="419" spans="2:9">
      <c r="B419" s="248" t="s">
        <v>1020</v>
      </c>
      <c r="C419" s="248" t="s">
        <v>487</v>
      </c>
      <c r="D419" s="106">
        <v>6414.37795439</v>
      </c>
      <c r="E419" s="107">
        <f t="shared" si="18"/>
        <v>2.439232075766962E-4</v>
      </c>
      <c r="F419" s="265">
        <v>1.5899783184774755E-2</v>
      </c>
      <c r="G419" s="265">
        <v>5.7170000000000006E-2</v>
      </c>
      <c r="H419" s="108">
        <f t="shared" si="19"/>
        <v>7.3524278487111544E-2</v>
      </c>
      <c r="I419" s="109">
        <f t="shared" si="20"/>
        <v>1.7934277843338527E-5</v>
      </c>
    </row>
    <row r="420" spans="2:9">
      <c r="B420" s="248" t="s">
        <v>1021</v>
      </c>
      <c r="C420" s="248" t="s">
        <v>488</v>
      </c>
      <c r="D420" s="106">
        <v>50728.998074760006</v>
      </c>
      <c r="E420" s="107">
        <f t="shared" si="18"/>
        <v>1.929100532512082E-3</v>
      </c>
      <c r="F420" s="265">
        <v>7.9818866277483781E-3</v>
      </c>
      <c r="G420" s="265">
        <v>0.11333</v>
      </c>
      <c r="H420" s="108">
        <f t="shared" si="19"/>
        <v>0.12176418023350974</v>
      </c>
      <c r="I420" s="109">
        <f t="shared" si="20"/>
        <v>2.3489534492936076E-4</v>
      </c>
    </row>
    <row r="421" spans="2:9">
      <c r="B421" s="248" t="s">
        <v>1022</v>
      </c>
      <c r="C421" s="248" t="s">
        <v>489</v>
      </c>
      <c r="D421" s="106">
        <v>10768.98064935</v>
      </c>
      <c r="E421" s="107">
        <f t="shared" si="18"/>
        <v>4.0951816699903693E-4</v>
      </c>
      <c r="F421" s="265">
        <v>0</v>
      </c>
      <c r="G421" s="265">
        <v>0.11</v>
      </c>
      <c r="H421" s="108">
        <f t="shared" si="19"/>
        <v>0.11</v>
      </c>
      <c r="I421" s="109">
        <f t="shared" si="20"/>
        <v>4.5046998369894062E-5</v>
      </c>
    </row>
    <row r="422" spans="2:9">
      <c r="B422" s="248" t="s">
        <v>1023</v>
      </c>
      <c r="C422" s="248" t="s">
        <v>490</v>
      </c>
      <c r="D422" s="106">
        <v>12547.533124940001</v>
      </c>
      <c r="E422" s="107">
        <f t="shared" si="18"/>
        <v>4.7715219601543956E-4</v>
      </c>
      <c r="F422" s="265">
        <v>3.1821487002363209E-2</v>
      </c>
      <c r="G422" s="265">
        <v>2.9729999999999999E-2</v>
      </c>
      <c r="H422" s="108">
        <f t="shared" si="19"/>
        <v>6.2024513406653332E-2</v>
      </c>
      <c r="I422" s="109">
        <f t="shared" si="20"/>
        <v>2.9595132778773711E-5</v>
      </c>
    </row>
    <row r="423" spans="2:9">
      <c r="B423" s="248" t="s">
        <v>1024</v>
      </c>
      <c r="C423" s="248" t="s">
        <v>491</v>
      </c>
      <c r="D423" s="106">
        <v>47257.283344410003</v>
      </c>
      <c r="E423" s="107">
        <f t="shared" si="18"/>
        <v>1.7970796570913148E-3</v>
      </c>
      <c r="F423" s="265">
        <v>5.8530875036581796E-2</v>
      </c>
      <c r="G423" s="265">
        <v>0.28000000000000003</v>
      </c>
      <c r="H423" s="108">
        <f t="shared" si="19"/>
        <v>0.34672519754170328</v>
      </c>
      <c r="I423" s="109">
        <f t="shared" si="20"/>
        <v>6.2309279910316255E-4</v>
      </c>
    </row>
    <row r="424" spans="2:9">
      <c r="B424" s="248" t="s">
        <v>1025</v>
      </c>
      <c r="C424" s="248" t="s">
        <v>492</v>
      </c>
      <c r="D424" s="106">
        <v>6821.1747104999995</v>
      </c>
      <c r="E424" s="107">
        <f t="shared" si="18"/>
        <v>2.593926997531332E-4</v>
      </c>
      <c r="F424" s="265">
        <v>4.1798165137614689E-2</v>
      </c>
      <c r="G424" s="265">
        <v>6.7970000000000003E-2</v>
      </c>
      <c r="H424" s="108">
        <f t="shared" si="19"/>
        <v>0.11118867577981653</v>
      </c>
      <c r="I424" s="109">
        <f t="shared" si="20"/>
        <v>2.8841530792502423E-5</v>
      </c>
    </row>
    <row r="425" spans="2:9">
      <c r="B425" s="248" t="s">
        <v>1026</v>
      </c>
      <c r="C425" s="248" t="s">
        <v>493</v>
      </c>
      <c r="D425" s="106">
        <v>8642.605490699998</v>
      </c>
      <c r="E425" s="107">
        <f t="shared" si="18"/>
        <v>3.2865728650565475E-4</v>
      </c>
      <c r="F425" s="265">
        <v>2.4294110131595759E-2</v>
      </c>
      <c r="G425" s="265">
        <v>6.9070000000000006E-2</v>
      </c>
      <c r="H425" s="108">
        <f t="shared" si="19"/>
        <v>9.4203107224990423E-2</v>
      </c>
      <c r="I425" s="109">
        <f t="shared" si="20"/>
        <v>3.0960537600966594E-5</v>
      </c>
    </row>
    <row r="426" spans="2:9">
      <c r="B426" s="248" t="s">
        <v>1027</v>
      </c>
      <c r="C426" s="248" t="s">
        <v>494</v>
      </c>
      <c r="D426" s="106">
        <v>20626.8339285</v>
      </c>
      <c r="E426" s="107">
        <f t="shared" si="18"/>
        <v>7.8438837401966323E-4</v>
      </c>
      <c r="F426" s="265">
        <v>0</v>
      </c>
      <c r="G426" s="265">
        <v>0.14380000000000001</v>
      </c>
      <c r="H426" s="108">
        <f t="shared" si="19"/>
        <v>0.14380000000000001</v>
      </c>
      <c r="I426" s="109">
        <f t="shared" si="20"/>
        <v>1.1279504818402758E-4</v>
      </c>
    </row>
    <row r="427" spans="2:9">
      <c r="B427" s="248" t="s">
        <v>1028</v>
      </c>
      <c r="C427" s="248" t="s">
        <v>22</v>
      </c>
      <c r="D427" s="106">
        <v>64841.92377342</v>
      </c>
      <c r="E427" s="107">
        <f t="shared" si="18"/>
        <v>2.4657808044241392E-3</v>
      </c>
      <c r="F427" s="265">
        <v>3.988991419783066E-2</v>
      </c>
      <c r="G427" s="265">
        <v>3.175E-2</v>
      </c>
      <c r="H427" s="108">
        <f t="shared" si="19"/>
        <v>7.2273166585721221E-2</v>
      </c>
      <c r="I427" s="109">
        <f t="shared" si="20"/>
        <v>1.7820978684201949E-4</v>
      </c>
    </row>
    <row r="428" spans="2:9">
      <c r="B428" s="248" t="s">
        <v>1029</v>
      </c>
      <c r="C428" s="248" t="s">
        <v>495</v>
      </c>
      <c r="D428" s="106">
        <v>47943.553167950005</v>
      </c>
      <c r="E428" s="107">
        <f t="shared" si="18"/>
        <v>1.8231768309421952E-3</v>
      </c>
      <c r="F428" s="265">
        <v>5.3331191776421455E-2</v>
      </c>
      <c r="G428" s="265">
        <v>5.083E-2</v>
      </c>
      <c r="H428" s="108">
        <f t="shared" si="19"/>
        <v>0.10551660401541921</v>
      </c>
      <c r="I428" s="109">
        <f t="shared" si="20"/>
        <v>1.9237542772061449E-4</v>
      </c>
    </row>
    <row r="429" spans="2:9">
      <c r="B429" s="248" t="s">
        <v>1030</v>
      </c>
      <c r="C429" s="248" t="s">
        <v>496</v>
      </c>
      <c r="D429" s="106">
        <v>60338.574000000001</v>
      </c>
      <c r="E429" s="107">
        <f t="shared" si="18"/>
        <v>2.2945293550422703E-3</v>
      </c>
      <c r="F429" s="265">
        <v>9.221160911094782E-3</v>
      </c>
      <c r="G429" s="265">
        <v>0.10467</v>
      </c>
      <c r="H429" s="108">
        <f t="shared" si="19"/>
        <v>0.11437375036737693</v>
      </c>
      <c r="I429" s="109">
        <f t="shared" si="20"/>
        <v>2.6243392766422301E-4</v>
      </c>
    </row>
    <row r="430" spans="2:9">
      <c r="B430" s="248" t="s">
        <v>1031</v>
      </c>
      <c r="C430" s="248" t="s">
        <v>17</v>
      </c>
      <c r="D430" s="106">
        <v>40506.156955260005</v>
      </c>
      <c r="E430" s="107">
        <f t="shared" si="18"/>
        <v>1.5403507247916354E-3</v>
      </c>
      <c r="F430" s="265">
        <v>2.6305805839712756E-2</v>
      </c>
      <c r="G430" s="265">
        <v>9.8000000000000004E-2</v>
      </c>
      <c r="H430" s="108">
        <f t="shared" si="19"/>
        <v>0.12559479032585869</v>
      </c>
      <c r="I430" s="109">
        <f t="shared" si="20"/>
        <v>1.934600263084899E-4</v>
      </c>
    </row>
    <row r="431" spans="2:9">
      <c r="B431" s="248" t="s">
        <v>1032</v>
      </c>
      <c r="C431" s="248" t="s">
        <v>497</v>
      </c>
      <c r="D431" s="106">
        <v>30542.941830399999</v>
      </c>
      <c r="E431" s="107">
        <f t="shared" si="18"/>
        <v>1.1614738627930003E-3</v>
      </c>
      <c r="F431" s="265">
        <v>3.0872093023255817E-2</v>
      </c>
      <c r="G431" s="265">
        <v>2.3700000000000002E-2</v>
      </c>
      <c r="H431" s="108">
        <f t="shared" si="19"/>
        <v>5.49379273255814E-2</v>
      </c>
      <c r="I431" s="109">
        <f t="shared" si="20"/>
        <v>6.3808966664684154E-5</v>
      </c>
    </row>
    <row r="432" spans="2:9">
      <c r="B432" s="248" t="s">
        <v>1033</v>
      </c>
      <c r="C432" s="248" t="s">
        <v>498</v>
      </c>
      <c r="D432" s="106">
        <v>22052.980782569997</v>
      </c>
      <c r="E432" s="107">
        <f t="shared" si="18"/>
        <v>8.3862127354534307E-4</v>
      </c>
      <c r="F432" s="265">
        <v>3.3400912316269647E-2</v>
      </c>
      <c r="G432" s="265">
        <v>3.9830000000000004E-2</v>
      </c>
      <c r="H432" s="108">
        <f t="shared" si="19"/>
        <v>7.3896091485048165E-2</v>
      </c>
      <c r="I432" s="109">
        <f t="shared" si="20"/>
        <v>6.1970834351214276E-5</v>
      </c>
    </row>
    <row r="433" spans="2:9">
      <c r="B433" s="248" t="s">
        <v>1034</v>
      </c>
      <c r="C433" s="248" t="s">
        <v>499</v>
      </c>
      <c r="D433" s="106">
        <v>14208.35072844</v>
      </c>
      <c r="E433" s="107">
        <f t="shared" si="18"/>
        <v>5.4030905392530172E-4</v>
      </c>
      <c r="F433" s="265">
        <v>4.7555307678007065E-2</v>
      </c>
      <c r="G433" s="265">
        <v>1.255E-2</v>
      </c>
      <c r="H433" s="108">
        <f t="shared" si="19"/>
        <v>6.0403717233686559E-2</v>
      </c>
      <c r="I433" s="109">
        <f t="shared" si="20"/>
        <v>3.2636675312104628E-5</v>
      </c>
    </row>
    <row r="434" spans="2:9">
      <c r="B434" s="248" t="s">
        <v>1035</v>
      </c>
      <c r="C434" s="248" t="s">
        <v>500</v>
      </c>
      <c r="D434" s="106">
        <v>39714.257216779995</v>
      </c>
      <c r="E434" s="107">
        <f t="shared" si="18"/>
        <v>1.5102367019412994E-3</v>
      </c>
      <c r="F434" s="265">
        <v>1.4497298340409108E-2</v>
      </c>
      <c r="G434" s="265">
        <v>7.8329999999999997E-2</v>
      </c>
      <c r="H434" s="108">
        <f t="shared" si="19"/>
        <v>9.3395085029911229E-2</v>
      </c>
      <c r="I434" s="109">
        <f t="shared" si="20"/>
        <v>1.4104868519310037E-4</v>
      </c>
    </row>
    <row r="435" spans="2:9">
      <c r="B435" s="248" t="s">
        <v>1036</v>
      </c>
      <c r="C435" s="248" t="s">
        <v>501</v>
      </c>
      <c r="D435" s="106">
        <v>21913.251108280001</v>
      </c>
      <c r="E435" s="107">
        <f t="shared" si="18"/>
        <v>8.3330769355538677E-4</v>
      </c>
      <c r="F435" s="265">
        <v>1.8793712346790389E-2</v>
      </c>
      <c r="G435" s="265">
        <v>8.8800000000000004E-2</v>
      </c>
      <c r="H435" s="108">
        <f t="shared" si="19"/>
        <v>0.10842815317498788</v>
      </c>
      <c r="I435" s="109">
        <f t="shared" si="20"/>
        <v>9.0354014238719344E-5</v>
      </c>
    </row>
    <row r="436" spans="2:9">
      <c r="B436" s="248" t="s">
        <v>1037</v>
      </c>
      <c r="C436" s="248" t="s">
        <v>502</v>
      </c>
      <c r="D436" s="106">
        <v>13607.473369500001</v>
      </c>
      <c r="E436" s="107">
        <f t="shared" si="18"/>
        <v>5.1745914801158059E-4</v>
      </c>
      <c r="F436" s="265">
        <v>1.9911671924290223E-2</v>
      </c>
      <c r="G436" s="265">
        <v>0.12928000000000001</v>
      </c>
      <c r="H436" s="108">
        <f t="shared" si="19"/>
        <v>0.15047876239747635</v>
      </c>
      <c r="I436" s="109">
        <f t="shared" si="20"/>
        <v>7.7866612184035184E-5</v>
      </c>
    </row>
    <row r="437" spans="2:9">
      <c r="B437" s="248" t="s">
        <v>1038</v>
      </c>
      <c r="C437" s="248" t="s">
        <v>503</v>
      </c>
      <c r="D437" s="106">
        <v>22616.670827240003</v>
      </c>
      <c r="E437" s="107">
        <f t="shared" si="18"/>
        <v>8.6005703625727616E-4</v>
      </c>
      <c r="F437" s="265">
        <v>2.5550014667057783E-2</v>
      </c>
      <c r="G437" s="265">
        <v>6.5670000000000006E-2</v>
      </c>
      <c r="H437" s="108">
        <f t="shared" si="19"/>
        <v>9.2058949398650627E-2</v>
      </c>
      <c r="I437" s="109">
        <f t="shared" si="20"/>
        <v>7.9175947180762019E-5</v>
      </c>
    </row>
    <row r="438" spans="2:9">
      <c r="B438" s="248" t="s">
        <v>1039</v>
      </c>
      <c r="C438" s="248" t="s">
        <v>504</v>
      </c>
      <c r="D438" s="106">
        <v>80918.610194100009</v>
      </c>
      <c r="E438" s="107">
        <f t="shared" si="18"/>
        <v>3.0771381249345598E-3</v>
      </c>
      <c r="F438" s="265">
        <v>9.6532593619972264E-3</v>
      </c>
      <c r="G438" s="265">
        <v>9.4600000000000004E-2</v>
      </c>
      <c r="H438" s="108">
        <f t="shared" si="19"/>
        <v>0.1047098585298197</v>
      </c>
      <c r="I438" s="109">
        <f t="shared" si="20"/>
        <v>3.2220669773861245E-4</v>
      </c>
    </row>
    <row r="439" spans="2:9">
      <c r="B439" s="248" t="s">
        <v>1040</v>
      </c>
      <c r="C439" s="248" t="s">
        <v>505</v>
      </c>
      <c r="D439" s="106">
        <v>14604.087346009997</v>
      </c>
      <c r="E439" s="107">
        <f t="shared" si="18"/>
        <v>5.5535795590763053E-4</v>
      </c>
      <c r="F439" s="265">
        <v>1.2822683030046552E-2</v>
      </c>
      <c r="G439" s="265">
        <v>3.3500000000000002E-2</v>
      </c>
      <c r="H439" s="108">
        <f t="shared" si="19"/>
        <v>4.6537462970799831E-2</v>
      </c>
      <c r="I439" s="109">
        <f t="shared" si="20"/>
        <v>2.5844950308590441E-5</v>
      </c>
    </row>
    <row r="440" spans="2:9">
      <c r="B440" s="248" t="s">
        <v>1041</v>
      </c>
      <c r="C440" s="248" t="s">
        <v>506</v>
      </c>
      <c r="D440" s="106">
        <v>40746.249512399998</v>
      </c>
      <c r="E440" s="107">
        <f t="shared" si="18"/>
        <v>1.5494808613488048E-3</v>
      </c>
      <c r="F440" s="265">
        <v>2.1032745591939545E-2</v>
      </c>
      <c r="G440" s="265">
        <v>0.11133000000000001</v>
      </c>
      <c r="H440" s="108">
        <f t="shared" si="19"/>
        <v>0.13353353337531487</v>
      </c>
      <c r="I440" s="109">
        <f t="shared" si="20"/>
        <v>2.0690765431333226E-4</v>
      </c>
    </row>
    <row r="441" spans="2:9">
      <c r="B441" s="248" t="s">
        <v>1042</v>
      </c>
      <c r="C441" s="248" t="s">
        <v>507</v>
      </c>
      <c r="D441" s="106">
        <v>276496.88</v>
      </c>
      <c r="E441" s="107">
        <f t="shared" si="18"/>
        <v>1.051450449819381E-2</v>
      </c>
      <c r="F441" s="265">
        <v>5.4069767441860463E-2</v>
      </c>
      <c r="G441" s="265">
        <v>5.6150000000000005E-2</v>
      </c>
      <c r="H441" s="108">
        <f t="shared" si="19"/>
        <v>0.11173777616279071</v>
      </c>
      <c r="I441" s="109">
        <f t="shared" si="20"/>
        <v>1.1748673500818359E-3</v>
      </c>
    </row>
    <row r="442" spans="2:9">
      <c r="B442" s="248" t="s">
        <v>1043</v>
      </c>
      <c r="C442" s="248" t="s">
        <v>508</v>
      </c>
      <c r="D442" s="106">
        <v>12489.21470705</v>
      </c>
      <c r="E442" s="107">
        <f t="shared" si="18"/>
        <v>4.7493448828856772E-4</v>
      </c>
      <c r="F442" s="265">
        <v>3.4417391304347823E-2</v>
      </c>
      <c r="G442" s="265">
        <v>-2.4039999999999999E-2</v>
      </c>
      <c r="H442" s="108">
        <f t="shared" si="19"/>
        <v>9.9636942608695642E-3</v>
      </c>
      <c r="I442" s="109">
        <f t="shared" si="20"/>
        <v>4.7321020352498254E-6</v>
      </c>
    </row>
    <row r="443" spans="2:9">
      <c r="B443" s="248" t="s">
        <v>1044</v>
      </c>
      <c r="C443" s="248" t="s">
        <v>509</v>
      </c>
      <c r="D443" s="106">
        <v>27790.6258758</v>
      </c>
      <c r="E443" s="107">
        <f t="shared" si="18"/>
        <v>1.0568099747770043E-3</v>
      </c>
      <c r="F443" s="265">
        <v>0</v>
      </c>
      <c r="G443" s="265">
        <v>0.14400000000000002</v>
      </c>
      <c r="H443" s="108">
        <f t="shared" si="19"/>
        <v>0.14400000000000002</v>
      </c>
      <c r="I443" s="109">
        <f t="shared" si="20"/>
        <v>1.5218063636788864E-4</v>
      </c>
    </row>
    <row r="444" spans="2:9">
      <c r="B444" s="248" t="s">
        <v>1045</v>
      </c>
      <c r="C444" s="248" t="s">
        <v>510</v>
      </c>
      <c r="D444" s="106">
        <v>31302.447340440001</v>
      </c>
      <c r="E444" s="107">
        <f t="shared" si="18"/>
        <v>1.1903560118491437E-3</v>
      </c>
      <c r="F444" s="265">
        <v>1.9177935179223008E-2</v>
      </c>
      <c r="G444" s="265">
        <v>9.2079999999999995E-2</v>
      </c>
      <c r="H444" s="108">
        <f t="shared" si="19"/>
        <v>0.11214088731487443</v>
      </c>
      <c r="I444" s="109">
        <f t="shared" si="20"/>
        <v>1.3348757938935814E-4</v>
      </c>
    </row>
    <row r="445" spans="2:9">
      <c r="B445" s="248" t="s">
        <v>1115</v>
      </c>
      <c r="C445" s="248" t="s">
        <v>1046</v>
      </c>
      <c r="D445" s="106">
        <v>15707.6094285</v>
      </c>
      <c r="E445" s="107">
        <f t="shared" si="18"/>
        <v>5.9732221930256413E-4</v>
      </c>
      <c r="F445" s="265">
        <v>4.0029433406916851E-3</v>
      </c>
      <c r="G445" s="265">
        <v>0.13233</v>
      </c>
      <c r="H445" s="108">
        <f t="shared" si="19"/>
        <v>0.13659779808682856</v>
      </c>
      <c r="I445" s="109">
        <f t="shared" si="20"/>
        <v>8.1592899905067986E-5</v>
      </c>
    </row>
    <row r="446" spans="2:9">
      <c r="B446" s="248" t="s">
        <v>1047</v>
      </c>
      <c r="C446" s="248" t="s">
        <v>511</v>
      </c>
      <c r="D446" s="106">
        <v>54623.367752469996</v>
      </c>
      <c r="E446" s="107">
        <f t="shared" si="18"/>
        <v>2.0771939485893674E-3</v>
      </c>
      <c r="F446" s="265">
        <v>2.4487887007763543E-2</v>
      </c>
      <c r="G446" s="265">
        <v>8.224999999999999E-2</v>
      </c>
      <c r="H446" s="108">
        <f t="shared" si="19"/>
        <v>0.10774495136095781</v>
      </c>
      <c r="I446" s="109">
        <f t="shared" si="20"/>
        <v>2.2380716095803728E-4</v>
      </c>
    </row>
    <row r="447" spans="2:9">
      <c r="B447" s="248" t="s">
        <v>1048</v>
      </c>
      <c r="C447" s="248" t="s">
        <v>512</v>
      </c>
      <c r="D447" s="106">
        <v>11189.58015369</v>
      </c>
      <c r="E447" s="107">
        <f t="shared" si="18"/>
        <v>4.255125441519401E-4</v>
      </c>
      <c r="F447" s="265">
        <v>2.5153837849508798E-2</v>
      </c>
      <c r="G447" s="265">
        <v>8.4169999999999995E-2</v>
      </c>
      <c r="H447" s="108">
        <f t="shared" si="19"/>
        <v>0.11038243711540537</v>
      </c>
      <c r="I447" s="109">
        <f t="shared" si="20"/>
        <v>4.6969111646667677E-5</v>
      </c>
    </row>
    <row r="448" spans="2:9">
      <c r="B448" s="248" t="s">
        <v>1049</v>
      </c>
      <c r="C448" s="248" t="s">
        <v>513</v>
      </c>
      <c r="D448" s="106">
        <v>67385.906858579998</v>
      </c>
      <c r="E448" s="107">
        <f t="shared" si="18"/>
        <v>2.5625222996346593E-3</v>
      </c>
      <c r="F448" s="265">
        <v>1.6541083602439898E-2</v>
      </c>
      <c r="G448" s="265">
        <v>0.11067</v>
      </c>
      <c r="H448" s="108">
        <f t="shared" si="19"/>
        <v>0.12812638446358091</v>
      </c>
      <c r="I448" s="109">
        <f t="shared" si="20"/>
        <v>3.2832671735948983E-4</v>
      </c>
    </row>
    <row r="449" spans="2:9">
      <c r="B449" s="248" t="s">
        <v>1050</v>
      </c>
      <c r="C449" s="248" t="s">
        <v>514</v>
      </c>
      <c r="D449" s="106">
        <v>116646.56995488</v>
      </c>
      <c r="E449" s="107">
        <f t="shared" si="18"/>
        <v>4.4357856207616689E-3</v>
      </c>
      <c r="F449" s="265">
        <v>2.4787997390737118E-3</v>
      </c>
      <c r="G449" s="265">
        <v>0.11</v>
      </c>
      <c r="H449" s="108">
        <f t="shared" si="19"/>
        <v>0.11261513372472276</v>
      </c>
      <c r="I449" s="109">
        <f t="shared" si="20"/>
        <v>4.9953659085627772E-4</v>
      </c>
    </row>
    <row r="450" spans="2:9">
      <c r="B450" s="248" t="s">
        <v>1214</v>
      </c>
      <c r="C450" s="248" t="s">
        <v>1215</v>
      </c>
      <c r="D450" s="106">
        <v>67305.581670959989</v>
      </c>
      <c r="E450" s="107">
        <f t="shared" si="18"/>
        <v>2.5594677279282851E-3</v>
      </c>
      <c r="F450" s="265">
        <v>0</v>
      </c>
      <c r="G450" s="265">
        <v>0.11266999999999999</v>
      </c>
      <c r="H450" s="108">
        <f t="shared" si="19"/>
        <v>0.11266999999999999</v>
      </c>
      <c r="I450" s="109">
        <f t="shared" si="20"/>
        <v>2.8837522890567984E-4</v>
      </c>
    </row>
    <row r="451" spans="2:9">
      <c r="B451" s="248" t="s">
        <v>1051</v>
      </c>
      <c r="C451" s="248" t="s">
        <v>515</v>
      </c>
      <c r="D451" s="106">
        <v>7497.9632942500002</v>
      </c>
      <c r="E451" s="107">
        <f t="shared" si="18"/>
        <v>2.8512932509286795E-4</v>
      </c>
      <c r="F451" s="265">
        <v>5.2360844529750476E-2</v>
      </c>
      <c r="G451" s="265">
        <v>8.8330000000000006E-2</v>
      </c>
      <c r="H451" s="108">
        <f t="shared" si="19"/>
        <v>0.1430033612284069</v>
      </c>
      <c r="I451" s="109">
        <f t="shared" si="20"/>
        <v>4.0774451873067257E-5</v>
      </c>
    </row>
    <row r="452" spans="2:9">
      <c r="B452" s="248" t="s">
        <v>1052</v>
      </c>
      <c r="C452" s="248" t="s">
        <v>516</v>
      </c>
      <c r="D452" s="106">
        <v>5388.1292991600003</v>
      </c>
      <c r="E452" s="107">
        <f t="shared" si="18"/>
        <v>2.0489746485699109E-4</v>
      </c>
      <c r="F452" s="265">
        <v>0</v>
      </c>
      <c r="G452" s="265">
        <v>0.14278000000000002</v>
      </c>
      <c r="H452" s="108">
        <f t="shared" si="19"/>
        <v>0.14278000000000002</v>
      </c>
      <c r="I452" s="109">
        <f t="shared" si="20"/>
        <v>2.9255260032281193E-5</v>
      </c>
    </row>
    <row r="453" spans="2:9">
      <c r="B453" s="248" t="s">
        <v>1053</v>
      </c>
      <c r="C453" s="248" t="s">
        <v>517</v>
      </c>
      <c r="D453" s="106">
        <v>26913.30456325</v>
      </c>
      <c r="E453" s="107">
        <f t="shared" si="18"/>
        <v>1.0234475770270974E-3</v>
      </c>
      <c r="F453" s="265">
        <v>2.6310722100656457E-2</v>
      </c>
      <c r="G453" s="265">
        <v>8.1970000000000015E-2</v>
      </c>
      <c r="H453" s="108">
        <f t="shared" si="19"/>
        <v>0.10935906704595189</v>
      </c>
      <c r="I453" s="109">
        <f t="shared" si="20"/>
        <v>1.1192327219412335E-4</v>
      </c>
    </row>
    <row r="454" spans="2:9">
      <c r="B454" s="248" t="s">
        <v>1054</v>
      </c>
      <c r="C454" s="248" t="s">
        <v>518</v>
      </c>
      <c r="D454" s="106">
        <v>38716.753004179998</v>
      </c>
      <c r="E454" s="107">
        <f t="shared" si="18"/>
        <v>1.4723040405298941E-3</v>
      </c>
      <c r="F454" s="265">
        <v>2.1736498755800665E-2</v>
      </c>
      <c r="G454" s="265">
        <v>0.12383000000000001</v>
      </c>
      <c r="H454" s="108">
        <f t="shared" si="19"/>
        <v>0.14691231407626607</v>
      </c>
      <c r="I454" s="109">
        <f t="shared" si="20"/>
        <v>2.1629959361808336E-4</v>
      </c>
    </row>
    <row r="455" spans="2:9">
      <c r="B455" s="248" t="s">
        <v>1055</v>
      </c>
      <c r="C455" s="248" t="s">
        <v>519</v>
      </c>
      <c r="D455" s="106">
        <v>10786.322891960001</v>
      </c>
      <c r="E455" s="107">
        <f t="shared" si="18"/>
        <v>4.1017765034630514E-4</v>
      </c>
      <c r="F455" s="265">
        <v>1.4750110570544008E-2</v>
      </c>
      <c r="G455" s="265">
        <v>0.1082</v>
      </c>
      <c r="H455" s="108">
        <f t="shared" si="19"/>
        <v>0.12374809155241044</v>
      </c>
      <c r="I455" s="109">
        <f t="shared" si="20"/>
        <v>5.0758701427807165E-5</v>
      </c>
    </row>
    <row r="456" spans="2:9">
      <c r="B456" s="248" t="s">
        <v>1056</v>
      </c>
      <c r="C456" s="248" t="s">
        <v>520</v>
      </c>
      <c r="D456" s="106">
        <v>31414.075470080003</v>
      </c>
      <c r="E456" s="107">
        <f t="shared" si="18"/>
        <v>1.1946009583788289E-3</v>
      </c>
      <c r="F456" s="265">
        <v>1.7413512885999537E-2</v>
      </c>
      <c r="G456" s="265">
        <v>4.9000000000000002E-2</v>
      </c>
      <c r="H456" s="108">
        <f t="shared" si="19"/>
        <v>6.6840143951706524E-2</v>
      </c>
      <c r="I456" s="109">
        <f t="shared" si="20"/>
        <v>7.9847300022887498E-5</v>
      </c>
    </row>
    <row r="457" spans="2:9">
      <c r="B457" s="248" t="s">
        <v>1057</v>
      </c>
      <c r="C457" s="248" t="s">
        <v>521</v>
      </c>
      <c r="D457" s="106">
        <v>14185.734029519999</v>
      </c>
      <c r="E457" s="107">
        <f t="shared" si="18"/>
        <v>5.3944899582074497E-4</v>
      </c>
      <c r="F457" s="265">
        <v>0</v>
      </c>
      <c r="G457" s="265">
        <v>9.8599999999999993E-2</v>
      </c>
      <c r="H457" s="108">
        <f t="shared" si="19"/>
        <v>9.8599999999999993E-2</v>
      </c>
      <c r="I457" s="109">
        <f t="shared" si="20"/>
        <v>5.3189670987925448E-5</v>
      </c>
    </row>
    <row r="458" spans="2:9">
      <c r="B458" s="248" t="s">
        <v>1058</v>
      </c>
      <c r="C458" s="248" t="s">
        <v>1059</v>
      </c>
      <c r="D458" s="106">
        <v>31848.327468400003</v>
      </c>
      <c r="E458" s="107">
        <f t="shared" si="18"/>
        <v>1.2111145067041672E-3</v>
      </c>
      <c r="F458" s="265">
        <v>0</v>
      </c>
      <c r="G458" s="265">
        <v>0.318</v>
      </c>
      <c r="H458" s="108">
        <f t="shared" si="19"/>
        <v>0.318</v>
      </c>
      <c r="I458" s="109">
        <f t="shared" si="20"/>
        <v>3.8513441313192518E-4</v>
      </c>
    </row>
    <row r="459" spans="2:9">
      <c r="B459" s="248" t="s">
        <v>1060</v>
      </c>
      <c r="C459" s="248" t="s">
        <v>522</v>
      </c>
      <c r="D459" s="106">
        <v>120661.04065788002</v>
      </c>
      <c r="E459" s="107">
        <f t="shared" si="18"/>
        <v>4.5884461870022751E-3</v>
      </c>
      <c r="F459" s="265">
        <v>2.4257195914577531E-2</v>
      </c>
      <c r="G459" s="265">
        <v>8.3499999999999991E-2</v>
      </c>
      <c r="H459" s="108">
        <f t="shared" si="19"/>
        <v>0.10876993384401112</v>
      </c>
      <c r="I459" s="109">
        <f t="shared" si="20"/>
        <v>4.9908498820704257E-4</v>
      </c>
    </row>
    <row r="460" spans="2:9">
      <c r="B460" s="248" t="s">
        <v>1061</v>
      </c>
      <c r="C460" s="248" t="s">
        <v>523</v>
      </c>
      <c r="D460" s="106">
        <v>11266.8504768</v>
      </c>
      <c r="E460" s="107">
        <f t="shared" si="18"/>
        <v>4.2845094678388657E-4</v>
      </c>
      <c r="F460" s="265">
        <v>1.5727124183006536E-3</v>
      </c>
      <c r="G460" s="265">
        <v>0.1186</v>
      </c>
      <c r="H460" s="108">
        <f t="shared" si="19"/>
        <v>0.12026597426470588</v>
      </c>
      <c r="I460" s="109">
        <f t="shared" si="20"/>
        <v>5.1528070539599768E-5</v>
      </c>
    </row>
    <row r="461" spans="2:9">
      <c r="B461" s="248" t="s">
        <v>1062</v>
      </c>
      <c r="C461" s="248" t="s">
        <v>524</v>
      </c>
      <c r="D461" s="106">
        <v>8552.82791593</v>
      </c>
      <c r="E461" s="107">
        <f t="shared" ref="E461:E512" si="21">IF(OR(H461="N/A",D461="N/A"),"N/A",D461/$D$513)</f>
        <v>3.2524326348392637E-4</v>
      </c>
      <c r="F461" s="265">
        <v>0</v>
      </c>
      <c r="G461" s="265">
        <v>0.30965999999999999</v>
      </c>
      <c r="H461" s="108">
        <f t="shared" ref="H461:H512" si="22">IFERROR(F461*(1+0.5*G461)+G461,"N/A")</f>
        <v>0.30965999999999999</v>
      </c>
      <c r="I461" s="109">
        <f t="shared" ref="I461:I512" si="23">IF(AND(ISNUMBER(D461),ISNUMBER(H461)),E461*H461,"N/A")</f>
        <v>1.0071482897043263E-4</v>
      </c>
    </row>
    <row r="462" spans="2:9">
      <c r="B462" s="248" t="s">
        <v>1216</v>
      </c>
      <c r="C462" s="248" t="s">
        <v>525</v>
      </c>
      <c r="D462" s="106">
        <v>22714.427074290001</v>
      </c>
      <c r="E462" s="107">
        <f t="shared" si="21"/>
        <v>8.6377446879877084E-4</v>
      </c>
      <c r="F462" s="265">
        <v>1.8097500282773443E-4</v>
      </c>
      <c r="G462" s="265">
        <v>0.12795000000000001</v>
      </c>
      <c r="H462" s="108">
        <f t="shared" si="22"/>
        <v>0.12814255287863366</v>
      </c>
      <c r="I462" s="109">
        <f t="shared" si="23"/>
        <v>1.106862655432602E-4</v>
      </c>
    </row>
    <row r="463" spans="2:9">
      <c r="B463" s="248" t="s">
        <v>1063</v>
      </c>
      <c r="C463" s="248" t="s">
        <v>526</v>
      </c>
      <c r="D463" s="106">
        <v>14196.996643199998</v>
      </c>
      <c r="E463" s="107">
        <f t="shared" si="21"/>
        <v>5.3987728565244139E-4</v>
      </c>
      <c r="F463" s="265">
        <v>2.8217821782178222E-2</v>
      </c>
      <c r="G463" s="265">
        <v>6.3700000000000007E-2</v>
      </c>
      <c r="H463" s="108">
        <f t="shared" si="22"/>
        <v>9.2816559405940607E-2</v>
      </c>
      <c r="I463" s="109">
        <f t="shared" si="23"/>
        <v>5.0109552155677792E-5</v>
      </c>
    </row>
    <row r="464" spans="2:9">
      <c r="B464" s="248" t="s">
        <v>1064</v>
      </c>
      <c r="C464" s="248" t="s">
        <v>527</v>
      </c>
      <c r="D464" s="106">
        <v>13162.718371249999</v>
      </c>
      <c r="E464" s="107">
        <f t="shared" si="21"/>
        <v>5.005461961197045E-4</v>
      </c>
      <c r="F464" s="265">
        <v>3.1596638655462185E-3</v>
      </c>
      <c r="G464" s="265">
        <v>8.0749999999999988E-2</v>
      </c>
      <c r="H464" s="108">
        <f t="shared" si="22"/>
        <v>8.4037235294117635E-2</v>
      </c>
      <c r="I464" s="109">
        <f t="shared" si="23"/>
        <v>4.2064518458887159E-5</v>
      </c>
    </row>
    <row r="465" spans="2:9">
      <c r="B465" s="248" t="s">
        <v>1065</v>
      </c>
      <c r="C465" s="248" t="s">
        <v>528</v>
      </c>
      <c r="D465" s="106">
        <v>14750.489317500002</v>
      </c>
      <c r="E465" s="107">
        <f t="shared" si="21"/>
        <v>5.6092526714736715E-4</v>
      </c>
      <c r="F465" s="265">
        <v>0</v>
      </c>
      <c r="G465" s="265">
        <v>0.1925</v>
      </c>
      <c r="H465" s="108">
        <f t="shared" si="22"/>
        <v>0.1925</v>
      </c>
      <c r="I465" s="109">
        <f t="shared" si="23"/>
        <v>1.0797811392586819E-4</v>
      </c>
    </row>
    <row r="466" spans="2:9">
      <c r="B466" s="248" t="s">
        <v>1066</v>
      </c>
      <c r="C466" s="248" t="s">
        <v>529</v>
      </c>
      <c r="D466" s="106">
        <v>205949.94994788</v>
      </c>
      <c r="E466" s="107">
        <f t="shared" si="21"/>
        <v>7.8317761673468954E-3</v>
      </c>
      <c r="F466" s="265">
        <v>1.8930609239830663E-2</v>
      </c>
      <c r="G466" s="265">
        <v>0.12278</v>
      </c>
      <c r="H466" s="108">
        <f t="shared" si="22"/>
        <v>0.14287275934106386</v>
      </c>
      <c r="I466" s="109">
        <f t="shared" si="23"/>
        <v>1.1189474715704324E-3</v>
      </c>
    </row>
    <row r="467" spans="2:9">
      <c r="B467" s="248" t="s">
        <v>1067</v>
      </c>
      <c r="C467" s="248" t="s">
        <v>530</v>
      </c>
      <c r="D467" s="106">
        <v>6200.5107046399989</v>
      </c>
      <c r="E467" s="107">
        <f t="shared" si="21"/>
        <v>2.3579035573579037E-4</v>
      </c>
      <c r="F467" s="265">
        <v>3.6440107671601614E-2</v>
      </c>
      <c r="G467" s="265">
        <v>0.09</v>
      </c>
      <c r="H467" s="108">
        <f t="shared" si="22"/>
        <v>0.12807991251682369</v>
      </c>
      <c r="I467" s="109">
        <f t="shared" si="23"/>
        <v>3.0200008134950767E-5</v>
      </c>
    </row>
    <row r="468" spans="2:9">
      <c r="B468" s="248" t="s">
        <v>1068</v>
      </c>
      <c r="C468" s="248" t="s">
        <v>531</v>
      </c>
      <c r="D468" s="106">
        <v>114119.728905</v>
      </c>
      <c r="E468" s="107">
        <f t="shared" si="21"/>
        <v>4.3396959955001322E-3</v>
      </c>
      <c r="F468" s="265">
        <v>2.2416347697246576E-2</v>
      </c>
      <c r="G468" s="265">
        <v>0.129</v>
      </c>
      <c r="H468" s="108">
        <f t="shared" si="22"/>
        <v>0.15286220212371898</v>
      </c>
      <c r="I468" s="109">
        <f t="shared" si="23"/>
        <v>6.6337548641963505E-4</v>
      </c>
    </row>
    <row r="469" spans="2:9">
      <c r="B469" s="248" t="s">
        <v>1069</v>
      </c>
      <c r="C469" s="248" t="s">
        <v>532</v>
      </c>
      <c r="D469" s="106">
        <v>102890.03034413999</v>
      </c>
      <c r="E469" s="107">
        <f t="shared" si="21"/>
        <v>3.9126578458055566E-3</v>
      </c>
      <c r="F469" s="265">
        <v>3.2014688699716243E-2</v>
      </c>
      <c r="G469" s="265">
        <v>8.9340000000000017E-2</v>
      </c>
      <c r="H469" s="108">
        <f t="shared" si="22"/>
        <v>0.12278478484393258</v>
      </c>
      <c r="I469" s="109">
        <f t="shared" si="23"/>
        <v>4.8041485176516E-4</v>
      </c>
    </row>
    <row r="470" spans="2:9">
      <c r="B470" s="248" t="s">
        <v>1070</v>
      </c>
      <c r="C470" s="248" t="s">
        <v>533</v>
      </c>
      <c r="D470" s="106">
        <v>9617.5706441600014</v>
      </c>
      <c r="E470" s="107">
        <f t="shared" si="21"/>
        <v>3.6573284226468331E-4</v>
      </c>
      <c r="F470" s="265">
        <v>0</v>
      </c>
      <c r="G470" s="265">
        <v>0.12</v>
      </c>
      <c r="H470" s="108">
        <f t="shared" si="22"/>
        <v>0.12</v>
      </c>
      <c r="I470" s="109">
        <f t="shared" si="23"/>
        <v>4.3887941071761996E-5</v>
      </c>
    </row>
    <row r="471" spans="2:9">
      <c r="B471" s="248" t="s">
        <v>1071</v>
      </c>
      <c r="C471" s="248" t="s">
        <v>534</v>
      </c>
      <c r="D471" s="106">
        <v>87206.247309060011</v>
      </c>
      <c r="E471" s="107">
        <f t="shared" si="21"/>
        <v>3.3162416863499991E-3</v>
      </c>
      <c r="F471" s="265">
        <v>2.8550777014817494E-2</v>
      </c>
      <c r="G471" s="265">
        <v>6.3329999999999997E-2</v>
      </c>
      <c r="H471" s="108">
        <f t="shared" si="22"/>
        <v>9.2784837368991693E-2</v>
      </c>
      <c r="I471" s="109">
        <f t="shared" si="23"/>
        <v>3.076969455442554E-4</v>
      </c>
    </row>
    <row r="472" spans="2:9">
      <c r="B472" s="248" t="s">
        <v>1072</v>
      </c>
      <c r="C472" s="248" t="s">
        <v>535</v>
      </c>
      <c r="D472" s="106">
        <v>117805.66338136001</v>
      </c>
      <c r="E472" s="107">
        <f t="shared" si="21"/>
        <v>4.4798631273380574E-3</v>
      </c>
      <c r="F472" s="265">
        <v>2.1652505127453852E-2</v>
      </c>
      <c r="G472" s="265">
        <v>9.7500000000000003E-2</v>
      </c>
      <c r="H472" s="108">
        <f t="shared" si="22"/>
        <v>0.12020806475241723</v>
      </c>
      <c r="I472" s="109">
        <f t="shared" si="23"/>
        <v>5.3851567689301954E-4</v>
      </c>
    </row>
    <row r="473" spans="2:9">
      <c r="B473" s="248" t="s">
        <v>1073</v>
      </c>
      <c r="C473" s="248" t="s">
        <v>536</v>
      </c>
      <c r="D473" s="106">
        <v>341253.19094035996</v>
      </c>
      <c r="E473" s="107">
        <f t="shared" si="21"/>
        <v>1.2977029654603719E-2</v>
      </c>
      <c r="F473" s="265">
        <v>5.8484971803964879E-3</v>
      </c>
      <c r="G473" s="265">
        <v>0.15588000000000002</v>
      </c>
      <c r="H473" s="108">
        <f t="shared" si="22"/>
        <v>0.16218432905063662</v>
      </c>
      <c r="I473" s="109">
        <f t="shared" si="23"/>
        <v>2.104670847602119E-3</v>
      </c>
    </row>
    <row r="474" spans="2:9">
      <c r="B474" s="248" t="s">
        <v>1074</v>
      </c>
      <c r="C474" s="248" t="s">
        <v>537</v>
      </c>
      <c r="D474" s="106">
        <v>10844.42078753</v>
      </c>
      <c r="E474" s="107">
        <f t="shared" si="21"/>
        <v>4.1238697214518531E-4</v>
      </c>
      <c r="F474" s="265">
        <v>0</v>
      </c>
      <c r="G474" s="265">
        <v>8.4000000000000005E-2</v>
      </c>
      <c r="H474" s="108">
        <f t="shared" si="22"/>
        <v>8.4000000000000005E-2</v>
      </c>
      <c r="I474" s="109">
        <f t="shared" si="23"/>
        <v>3.4640505660195567E-5</v>
      </c>
    </row>
    <row r="475" spans="2:9">
      <c r="B475" s="248" t="s">
        <v>1075</v>
      </c>
      <c r="C475" s="248" t="s">
        <v>538</v>
      </c>
      <c r="D475" s="106">
        <v>35433.728069849996</v>
      </c>
      <c r="E475" s="107">
        <f t="shared" si="21"/>
        <v>1.347458579562323E-3</v>
      </c>
      <c r="F475" s="265">
        <v>2.0103382402517141E-2</v>
      </c>
      <c r="G475" s="265">
        <v>0.1042</v>
      </c>
      <c r="H475" s="108">
        <f t="shared" si="22"/>
        <v>0.12535076862568828</v>
      </c>
      <c r="I475" s="109">
        <f t="shared" si="23"/>
        <v>1.6890496863941534E-4</v>
      </c>
    </row>
    <row r="476" spans="2:9">
      <c r="B476" s="248" t="s">
        <v>1076</v>
      </c>
      <c r="C476" s="248" t="s">
        <v>539</v>
      </c>
      <c r="D476" s="106">
        <v>9803.820617379999</v>
      </c>
      <c r="E476" s="107">
        <f t="shared" si="21"/>
        <v>3.7281547618521851E-4</v>
      </c>
      <c r="F476" s="265">
        <v>3.349979192675822E-2</v>
      </c>
      <c r="G476" s="265">
        <v>3.3599999999999998E-2</v>
      </c>
      <c r="H476" s="108">
        <f t="shared" si="22"/>
        <v>6.7662588431127754E-2</v>
      </c>
      <c r="I476" s="109">
        <f t="shared" si="23"/>
        <v>2.5225660125875349E-5</v>
      </c>
    </row>
    <row r="477" spans="2:9">
      <c r="B477" s="248" t="s">
        <v>1077</v>
      </c>
      <c r="C477" s="248" t="s">
        <v>540</v>
      </c>
      <c r="D477" s="106">
        <v>35323.749225599997</v>
      </c>
      <c r="E477" s="107">
        <f t="shared" si="21"/>
        <v>1.34327635134849E-3</v>
      </c>
      <c r="F477" s="265">
        <v>4.2304082590333171E-2</v>
      </c>
      <c r="G477" s="265">
        <v>9.7500000000000003E-2</v>
      </c>
      <c r="H477" s="108">
        <f t="shared" si="22"/>
        <v>0.14186640661661193</v>
      </c>
      <c r="I477" s="109">
        <f t="shared" si="23"/>
        <v>1.9056578905888376E-4</v>
      </c>
    </row>
    <row r="478" spans="2:9">
      <c r="B478" s="248" t="s">
        <v>1078</v>
      </c>
      <c r="C478" s="248" t="s">
        <v>541</v>
      </c>
      <c r="D478" s="106">
        <v>20007.064101440003</v>
      </c>
      <c r="E478" s="107">
        <f t="shared" si="21"/>
        <v>7.6082003344935683E-4</v>
      </c>
      <c r="F478" s="265">
        <v>8.1129330864850562E-3</v>
      </c>
      <c r="G478" s="265">
        <v>0.18115999999999999</v>
      </c>
      <c r="H478" s="108">
        <f t="shared" si="22"/>
        <v>0.19000780256545885</v>
      </c>
      <c r="I478" s="109">
        <f t="shared" si="23"/>
        <v>1.4456174270349118E-4</v>
      </c>
    </row>
    <row r="479" spans="2:9">
      <c r="B479" s="248" t="s">
        <v>1079</v>
      </c>
      <c r="C479" s="248" t="s">
        <v>542</v>
      </c>
      <c r="D479" s="106">
        <v>12149.0936349</v>
      </c>
      <c r="E479" s="107">
        <f t="shared" si="21"/>
        <v>4.6200051036067327E-4</v>
      </c>
      <c r="F479" s="265">
        <v>4.1196795979268098E-2</v>
      </c>
      <c r="G479" s="265">
        <v>5.4600000000000003E-2</v>
      </c>
      <c r="H479" s="108">
        <f t="shared" si="22"/>
        <v>9.6921468509502118E-2</v>
      </c>
      <c r="I479" s="109">
        <f t="shared" si="23"/>
        <v>4.4777767916295902E-5</v>
      </c>
    </row>
    <row r="480" spans="2:9">
      <c r="B480" s="248" t="s">
        <v>1080</v>
      </c>
      <c r="C480" s="248" t="s">
        <v>543</v>
      </c>
      <c r="D480" s="106">
        <v>25856.848486539995</v>
      </c>
      <c r="E480" s="107">
        <f t="shared" si="21"/>
        <v>9.8327311946825799E-4</v>
      </c>
      <c r="F480" s="265">
        <v>5.4002782344757805E-3</v>
      </c>
      <c r="G480" s="265">
        <v>0.18472999999999998</v>
      </c>
      <c r="H480" s="108">
        <f t="shared" si="22"/>
        <v>0.19062907493360312</v>
      </c>
      <c r="I480" s="109">
        <f t="shared" si="23"/>
        <v>1.8744044517131226E-4</v>
      </c>
    </row>
    <row r="481" spans="2:9">
      <c r="B481" s="248" t="s">
        <v>1081</v>
      </c>
      <c r="C481" s="248" t="s">
        <v>544</v>
      </c>
      <c r="D481" s="106">
        <v>22328.481688240001</v>
      </c>
      <c r="E481" s="107">
        <f t="shared" si="21"/>
        <v>8.4909790355984342E-4</v>
      </c>
      <c r="F481" s="265">
        <v>0</v>
      </c>
      <c r="G481" s="265">
        <v>9.7000000000000017E-2</v>
      </c>
      <c r="H481" s="108">
        <f t="shared" si="22"/>
        <v>9.7000000000000017E-2</v>
      </c>
      <c r="I481" s="109">
        <f t="shared" si="23"/>
        <v>8.2362496645304819E-5</v>
      </c>
    </row>
    <row r="482" spans="2:9">
      <c r="B482" s="248" t="s">
        <v>1082</v>
      </c>
      <c r="C482" s="248" t="s">
        <v>545</v>
      </c>
      <c r="D482" s="106">
        <v>43546.944753059986</v>
      </c>
      <c r="E482" s="107">
        <f t="shared" si="21"/>
        <v>1.6559844960588582E-3</v>
      </c>
      <c r="F482" s="265">
        <v>0</v>
      </c>
      <c r="G482" s="265">
        <v>0.24600000000000002</v>
      </c>
      <c r="H482" s="108">
        <f t="shared" si="22"/>
        <v>0.24600000000000002</v>
      </c>
      <c r="I482" s="109">
        <f t="shared" si="23"/>
        <v>4.0737218603047914E-4</v>
      </c>
    </row>
    <row r="483" spans="2:9">
      <c r="B483" s="248" t="s">
        <v>1083</v>
      </c>
      <c r="C483" s="248" t="s">
        <v>546</v>
      </c>
      <c r="D483" s="106">
        <v>27209.847568630001</v>
      </c>
      <c r="E483" s="107">
        <f t="shared" si="21"/>
        <v>1.0347243869642509E-3</v>
      </c>
      <c r="F483" s="265">
        <v>4.3530056141311793E-2</v>
      </c>
      <c r="G483" s="265">
        <v>4.8470000000000006E-2</v>
      </c>
      <c r="H483" s="108">
        <f t="shared" si="22"/>
        <v>9.3055007051896482E-2</v>
      </c>
      <c r="I483" s="109">
        <f t="shared" si="23"/>
        <v>9.6286285125727627E-5</v>
      </c>
    </row>
    <row r="484" spans="2:9">
      <c r="B484" s="248" t="s">
        <v>1084</v>
      </c>
      <c r="C484" s="248" t="s">
        <v>547</v>
      </c>
      <c r="D484" s="106">
        <v>249634.76387124002</v>
      </c>
      <c r="E484" s="107">
        <f t="shared" si="21"/>
        <v>9.4930034929497312E-3</v>
      </c>
      <c r="F484" s="265">
        <v>4.0357852882703778E-2</v>
      </c>
      <c r="G484" s="265">
        <v>2.564E-2</v>
      </c>
      <c r="H484" s="108">
        <f t="shared" si="22"/>
        <v>6.6515240556660041E-2</v>
      </c>
      <c r="I484" s="109">
        <f t="shared" si="23"/>
        <v>6.3142941093876541E-4</v>
      </c>
    </row>
    <row r="485" spans="2:9">
      <c r="B485" s="248" t="s">
        <v>1117</v>
      </c>
      <c r="C485" s="248" t="s">
        <v>1118</v>
      </c>
      <c r="D485" s="106">
        <v>13775.459240200002</v>
      </c>
      <c r="E485" s="107">
        <f t="shared" si="21"/>
        <v>5.2384724249245919E-4</v>
      </c>
      <c r="F485" s="265">
        <v>5.9838575006957969E-3</v>
      </c>
      <c r="G485" s="265">
        <v>0.76</v>
      </c>
      <c r="H485" s="108">
        <f t="shared" si="22"/>
        <v>0.76825772335096021</v>
      </c>
      <c r="I485" s="109">
        <f t="shared" si="23"/>
        <v>4.0244968990093508E-4</v>
      </c>
    </row>
    <row r="486" spans="2:9">
      <c r="B486" s="248" t="s">
        <v>1085</v>
      </c>
      <c r="C486" s="248" t="s">
        <v>548</v>
      </c>
      <c r="D486" s="106">
        <v>14902.71068412</v>
      </c>
      <c r="E486" s="107">
        <f t="shared" si="21"/>
        <v>5.6671387584359247E-4</v>
      </c>
      <c r="F486" s="265">
        <v>0</v>
      </c>
      <c r="G486" s="265">
        <v>0.11255000000000001</v>
      </c>
      <c r="H486" s="108">
        <f t="shared" si="22"/>
        <v>0.11255000000000001</v>
      </c>
      <c r="I486" s="109">
        <f t="shared" si="23"/>
        <v>6.3783646726196341E-5</v>
      </c>
    </row>
    <row r="487" spans="2:9">
      <c r="B487" s="248" t="s">
        <v>1086</v>
      </c>
      <c r="C487" s="248" t="s">
        <v>549</v>
      </c>
      <c r="D487" s="106">
        <v>49952.864938530001</v>
      </c>
      <c r="E487" s="107">
        <f t="shared" si="21"/>
        <v>1.8995860752347063E-3</v>
      </c>
      <c r="F487" s="265">
        <v>3.2381124570602063E-2</v>
      </c>
      <c r="G487" s="265">
        <v>5.4730000000000001E-2</v>
      </c>
      <c r="H487" s="108">
        <f t="shared" si="22"/>
        <v>8.7997234044476597E-2</v>
      </c>
      <c r="I487" s="109">
        <f t="shared" si="23"/>
        <v>1.6715832045005718E-4</v>
      </c>
    </row>
    <row r="488" spans="2:9">
      <c r="B488" s="248" t="s">
        <v>1087</v>
      </c>
      <c r="C488" s="248" t="s">
        <v>1088</v>
      </c>
      <c r="D488" s="106">
        <v>13039.380996090002</v>
      </c>
      <c r="E488" s="107">
        <f t="shared" si="21"/>
        <v>4.9585597543470004E-4</v>
      </c>
      <c r="F488" s="265">
        <v>0</v>
      </c>
      <c r="G488" s="265">
        <v>0.1583</v>
      </c>
      <c r="H488" s="108">
        <f t="shared" si="22"/>
        <v>0.1583</v>
      </c>
      <c r="I488" s="109">
        <f t="shared" si="23"/>
        <v>7.8494000911313015E-5</v>
      </c>
    </row>
    <row r="489" spans="2:9">
      <c r="B489" s="248" t="s">
        <v>1089</v>
      </c>
      <c r="C489" s="248" t="s">
        <v>550</v>
      </c>
      <c r="D489" s="106">
        <v>17653.671105000001</v>
      </c>
      <c r="E489" s="107">
        <f t="shared" si="21"/>
        <v>6.7132621620597161E-4</v>
      </c>
      <c r="F489" s="265">
        <v>3.3735747820254861E-2</v>
      </c>
      <c r="G489" s="265">
        <v>3.073E-2</v>
      </c>
      <c r="H489" s="108">
        <f t="shared" si="22"/>
        <v>6.4984097585513073E-2</v>
      </c>
      <c r="I489" s="109">
        <f t="shared" si="23"/>
        <v>4.3625528345642109E-5</v>
      </c>
    </row>
    <row r="490" spans="2:9">
      <c r="B490" s="248" t="s">
        <v>1090</v>
      </c>
      <c r="C490" s="248" t="s">
        <v>18</v>
      </c>
      <c r="D490" s="106">
        <v>29997.946481999996</v>
      </c>
      <c r="E490" s="107">
        <f t="shared" si="21"/>
        <v>1.1407490139547546E-3</v>
      </c>
      <c r="F490" s="265">
        <v>2.4805467928496319E-2</v>
      </c>
      <c r="G490" s="265">
        <v>6.4430000000000001E-2</v>
      </c>
      <c r="H490" s="108">
        <f t="shared" si="22"/>
        <v>9.0034576077812831E-2</v>
      </c>
      <c r="I490" s="109">
        <f t="shared" si="23"/>
        <v>1.0270685388259933E-4</v>
      </c>
    </row>
    <row r="491" spans="2:9">
      <c r="B491" s="248" t="s">
        <v>1091</v>
      </c>
      <c r="C491" s="248" t="s">
        <v>551</v>
      </c>
      <c r="D491" s="106">
        <v>36735.623870400006</v>
      </c>
      <c r="E491" s="107">
        <f t="shared" si="21"/>
        <v>1.3969665134350765E-3</v>
      </c>
      <c r="F491" s="265">
        <v>3.8444567015995586E-2</v>
      </c>
      <c r="G491" s="265">
        <v>6.3369999999999996E-2</v>
      </c>
      <c r="H491" s="108">
        <f t="shared" si="22"/>
        <v>0.10303268312189739</v>
      </c>
      <c r="I491" s="109">
        <f t="shared" si="23"/>
        <v>1.4393320811065805E-4</v>
      </c>
    </row>
    <row r="492" spans="2:9">
      <c r="B492" s="248" t="s">
        <v>1092</v>
      </c>
      <c r="C492" s="248" t="s">
        <v>552</v>
      </c>
      <c r="D492" s="106">
        <v>222244.03818968</v>
      </c>
      <c r="E492" s="107">
        <f t="shared" si="21"/>
        <v>8.4514007508589145E-3</v>
      </c>
      <c r="F492" s="265">
        <v>3.7906423473433787E-2</v>
      </c>
      <c r="G492" s="265">
        <v>9.8549999999999999E-2</v>
      </c>
      <c r="H492" s="108">
        <f t="shared" si="22"/>
        <v>0.13832426249008722</v>
      </c>
      <c r="I492" s="109">
        <f t="shared" si="23"/>
        <v>1.1690337758707287E-3</v>
      </c>
    </row>
    <row r="493" spans="2:9">
      <c r="B493" s="248" t="s">
        <v>1093</v>
      </c>
      <c r="C493" s="248" t="s">
        <v>553</v>
      </c>
      <c r="D493" s="106">
        <v>10060.20048924</v>
      </c>
      <c r="E493" s="107">
        <f t="shared" si="21"/>
        <v>3.8256497974532497E-4</v>
      </c>
      <c r="F493" s="265">
        <v>3.015281636776964E-2</v>
      </c>
      <c r="G493" s="265">
        <v>4.6100000000000002E-2</v>
      </c>
      <c r="H493" s="108">
        <f t="shared" si="22"/>
        <v>7.694783878504674E-2</v>
      </c>
      <c r="I493" s="109">
        <f t="shared" si="23"/>
        <v>2.9437548386247937E-5</v>
      </c>
    </row>
    <row r="494" spans="2:9">
      <c r="B494" s="248" t="s">
        <v>1094</v>
      </c>
      <c r="C494" s="248" t="s">
        <v>554</v>
      </c>
      <c r="D494" s="106">
        <v>24892.061718080004</v>
      </c>
      <c r="E494" s="107">
        <f t="shared" si="21"/>
        <v>9.4658462295874784E-4</v>
      </c>
      <c r="F494" s="265">
        <v>1.3100481940197958E-2</v>
      </c>
      <c r="G494" s="265">
        <v>0.14400000000000002</v>
      </c>
      <c r="H494" s="108">
        <f t="shared" si="22"/>
        <v>0.15804371663989222</v>
      </c>
      <c r="I494" s="109">
        <f t="shared" si="23"/>
        <v>1.4960175192657156E-4</v>
      </c>
    </row>
    <row r="495" spans="2:9">
      <c r="B495" s="248" t="s">
        <v>1095</v>
      </c>
      <c r="C495" s="248" t="s">
        <v>555</v>
      </c>
      <c r="D495" s="106">
        <v>48786.700814999997</v>
      </c>
      <c r="E495" s="107">
        <f t="shared" si="21"/>
        <v>1.8552396872302975E-3</v>
      </c>
      <c r="F495" s="265">
        <v>1.7826086956521735E-2</v>
      </c>
      <c r="G495" s="265">
        <v>7.7399999999999997E-2</v>
      </c>
      <c r="H495" s="108">
        <f t="shared" si="22"/>
        <v>9.5915956521739121E-2</v>
      </c>
      <c r="I495" s="109">
        <f t="shared" si="23"/>
        <v>1.7794708917778611E-4</v>
      </c>
    </row>
    <row r="496" spans="2:9">
      <c r="B496" s="248" t="s">
        <v>1096</v>
      </c>
      <c r="C496" s="248" t="s">
        <v>556</v>
      </c>
      <c r="D496" s="106">
        <v>29161.258895880001</v>
      </c>
      <c r="E496" s="107">
        <f t="shared" si="21"/>
        <v>1.1089318180867883E-3</v>
      </c>
      <c r="F496" s="265">
        <v>6.3133832086450556E-2</v>
      </c>
      <c r="G496" s="265">
        <v>0.08</v>
      </c>
      <c r="H496" s="108">
        <f t="shared" si="22"/>
        <v>0.14565918536990857</v>
      </c>
      <c r="I496" s="109">
        <f t="shared" si="23"/>
        <v>1.6152610525329322E-4</v>
      </c>
    </row>
    <row r="497" spans="2:9">
      <c r="B497" s="248" t="s">
        <v>1097</v>
      </c>
      <c r="C497" s="248" t="s">
        <v>557</v>
      </c>
      <c r="D497" s="106">
        <v>337559.63461439998</v>
      </c>
      <c r="E497" s="107">
        <f t="shared" si="21"/>
        <v>1.2836572682345521E-2</v>
      </c>
      <c r="F497" s="265">
        <v>1.7922143579373103E-2</v>
      </c>
      <c r="G497" s="265">
        <v>7.9729999999999995E-2</v>
      </c>
      <c r="H497" s="108">
        <f t="shared" si="22"/>
        <v>9.8366609833164809E-2</v>
      </c>
      <c r="I497" s="109">
        <f t="shared" si="23"/>
        <v>1.2626901366393436E-3</v>
      </c>
    </row>
    <row r="498" spans="2:9">
      <c r="B498" s="248" t="s">
        <v>1098</v>
      </c>
      <c r="C498" s="248" t="s">
        <v>558</v>
      </c>
      <c r="D498" s="106">
        <v>9380.0997162000021</v>
      </c>
      <c r="E498" s="107">
        <f t="shared" si="21"/>
        <v>3.5670239989504186E-4</v>
      </c>
      <c r="F498" s="265">
        <v>4.9629629629629628E-2</v>
      </c>
      <c r="G498" s="265">
        <v>1.8000000000000002E-2</v>
      </c>
      <c r="H498" s="108">
        <f t="shared" si="22"/>
        <v>6.8076296296296301E-2</v>
      </c>
      <c r="I498" s="109">
        <f t="shared" si="23"/>
        <v>2.428297826485484E-5</v>
      </c>
    </row>
    <row r="499" spans="2:9">
      <c r="B499" s="248" t="s">
        <v>1099</v>
      </c>
      <c r="C499" s="248" t="s">
        <v>559</v>
      </c>
      <c r="D499" s="106">
        <v>9821.5547712099997</v>
      </c>
      <c r="E499" s="107">
        <f t="shared" si="21"/>
        <v>3.7348986296389464E-4</v>
      </c>
      <c r="F499" s="265">
        <v>3.4095813552006901E-2</v>
      </c>
      <c r="G499" s="265">
        <v>3.6130000000000002E-2</v>
      </c>
      <c r="H499" s="108">
        <f t="shared" si="22"/>
        <v>7.0841754423823899E-2</v>
      </c>
      <c r="I499" s="109">
        <f t="shared" si="23"/>
        <v>2.6458677151875865E-5</v>
      </c>
    </row>
    <row r="500" spans="2:9">
      <c r="B500" s="248" t="s">
        <v>1100</v>
      </c>
      <c r="C500" s="248" t="s">
        <v>560</v>
      </c>
      <c r="D500" s="106">
        <v>20634.547122299999</v>
      </c>
      <c r="E500" s="107">
        <f t="shared" si="21"/>
        <v>7.8468168803791014E-4</v>
      </c>
      <c r="F500" s="265">
        <v>4.9169675090252711E-2</v>
      </c>
      <c r="G500" s="265">
        <v>2.4E-2</v>
      </c>
      <c r="H500" s="108">
        <f t="shared" si="22"/>
        <v>7.3759711191335744E-2</v>
      </c>
      <c r="I500" s="109">
        <f t="shared" si="23"/>
        <v>5.7877894686806061E-5</v>
      </c>
    </row>
    <row r="501" spans="2:9">
      <c r="B501" s="248" t="s">
        <v>1101</v>
      </c>
      <c r="C501" s="248" t="s">
        <v>561</v>
      </c>
      <c r="D501" s="106">
        <v>11700.004344479999</v>
      </c>
      <c r="E501" s="107">
        <f t="shared" si="21"/>
        <v>4.4492273586928748E-4</v>
      </c>
      <c r="F501" s="265">
        <v>3.5126931567328913E-2</v>
      </c>
      <c r="G501" s="265">
        <v>0.13500000000000001</v>
      </c>
      <c r="H501" s="108">
        <f t="shared" si="22"/>
        <v>0.17249799944812361</v>
      </c>
      <c r="I501" s="109">
        <f t="shared" si="23"/>
        <v>7.6748281846437998E-5</v>
      </c>
    </row>
    <row r="502" spans="2:9">
      <c r="B502" s="248" t="s">
        <v>1102</v>
      </c>
      <c r="C502" s="248" t="s">
        <v>562</v>
      </c>
      <c r="D502" s="106">
        <v>4863.8490114599999</v>
      </c>
      <c r="E502" s="107">
        <f t="shared" si="21"/>
        <v>1.8496035944250686E-4</v>
      </c>
      <c r="F502" s="265">
        <v>1.5936587400917815E-2</v>
      </c>
      <c r="G502" s="265">
        <v>0.26164999999999999</v>
      </c>
      <c r="H502" s="108">
        <f t="shared" si="22"/>
        <v>0.27967149144764286</v>
      </c>
      <c r="I502" s="109">
        <f t="shared" si="23"/>
        <v>5.1728139583978006E-5</v>
      </c>
    </row>
    <row r="503" spans="2:9">
      <c r="B503" s="248" t="s">
        <v>1103</v>
      </c>
      <c r="C503" s="248" t="s">
        <v>19</v>
      </c>
      <c r="D503" s="106">
        <v>33419.04321987</v>
      </c>
      <c r="E503" s="107">
        <f t="shared" si="21"/>
        <v>1.2708450101160506E-3</v>
      </c>
      <c r="F503" s="265">
        <v>2.4980736631222068E-2</v>
      </c>
      <c r="G503" s="265">
        <v>5.5300000000000002E-2</v>
      </c>
      <c r="H503" s="108">
        <f t="shared" si="22"/>
        <v>8.0971453999075363E-2</v>
      </c>
      <c r="I503" s="109">
        <f t="shared" si="23"/>
        <v>1.0290216827656626E-4</v>
      </c>
    </row>
    <row r="504" spans="2:9">
      <c r="B504" s="248" t="s">
        <v>1104</v>
      </c>
      <c r="C504" s="248" t="s">
        <v>563</v>
      </c>
      <c r="D504" s="106">
        <v>24224.794853700001</v>
      </c>
      <c r="E504" s="107">
        <f t="shared" si="21"/>
        <v>9.2121008547022638E-4</v>
      </c>
      <c r="F504" s="265">
        <v>1.5349322210636077E-2</v>
      </c>
      <c r="G504" s="265">
        <v>9.4500000000000015E-2</v>
      </c>
      <c r="H504" s="108">
        <f t="shared" si="22"/>
        <v>0.11057457768508865</v>
      </c>
      <c r="I504" s="109">
        <f t="shared" si="23"/>
        <v>1.0186241616011469E-4</v>
      </c>
    </row>
    <row r="505" spans="2:9">
      <c r="B505" s="248" t="s">
        <v>1105</v>
      </c>
      <c r="C505" s="248" t="s">
        <v>564</v>
      </c>
      <c r="D505" s="106">
        <v>298758.41541934002</v>
      </c>
      <c r="E505" s="107">
        <f t="shared" si="21"/>
        <v>1.1361056597817326E-2</v>
      </c>
      <c r="F505" s="265">
        <v>4.8619175754142478E-2</v>
      </c>
      <c r="G505" s="265">
        <v>8.5199999999999998E-2</v>
      </c>
      <c r="H505" s="108">
        <f t="shared" si="22"/>
        <v>0.13589035264126895</v>
      </c>
      <c r="I505" s="109">
        <f t="shared" si="23"/>
        <v>1.5438579874548118E-3</v>
      </c>
    </row>
    <row r="506" spans="2:9">
      <c r="B506" s="248" t="s">
        <v>1106</v>
      </c>
      <c r="C506" s="248" t="s">
        <v>565</v>
      </c>
      <c r="D506" s="106">
        <v>11951.220465840001</v>
      </c>
      <c r="E506" s="107">
        <f t="shared" si="21"/>
        <v>4.5447587454506037E-4</v>
      </c>
      <c r="F506" s="265">
        <v>6.6966797974113666E-3</v>
      </c>
      <c r="G506" s="265">
        <v>0.13143000000000002</v>
      </c>
      <c r="H506" s="108">
        <f t="shared" si="22"/>
        <v>0.13856675211029829</v>
      </c>
      <c r="I506" s="109">
        <f t="shared" si="23"/>
        <v>6.2975245848196401E-5</v>
      </c>
    </row>
    <row r="507" spans="2:9">
      <c r="B507" s="248" t="s">
        <v>1217</v>
      </c>
      <c r="C507" s="248" t="s">
        <v>566</v>
      </c>
      <c r="D507" s="106">
        <v>6618.6024360299998</v>
      </c>
      <c r="E507" s="107">
        <f t="shared" si="21"/>
        <v>2.5168936837693771E-4</v>
      </c>
      <c r="F507" s="265">
        <v>3.3868271481110004E-2</v>
      </c>
      <c r="G507" s="265">
        <v>6.2E-2</v>
      </c>
      <c r="H507" s="108">
        <f t="shared" si="22"/>
        <v>9.6918187897024416E-2</v>
      </c>
      <c r="I507" s="109">
        <f t="shared" si="23"/>
        <v>2.4393277496039444E-5</v>
      </c>
    </row>
    <row r="508" spans="2:9">
      <c r="B508" s="248" t="s">
        <v>1107</v>
      </c>
      <c r="C508" s="248" t="s">
        <v>567</v>
      </c>
      <c r="D508" s="106">
        <v>14333.917419720003</v>
      </c>
      <c r="E508" s="107">
        <f t="shared" si="21"/>
        <v>5.4508405008542803E-4</v>
      </c>
      <c r="F508" s="265">
        <v>1.2120070334086913E-2</v>
      </c>
      <c r="G508" s="265">
        <v>0.14066999999999999</v>
      </c>
      <c r="H508" s="108">
        <f t="shared" si="22"/>
        <v>0.1536425354810349</v>
      </c>
      <c r="I508" s="109">
        <f t="shared" si="23"/>
        <v>8.3748095505396586E-5</v>
      </c>
    </row>
    <row r="509" spans="2:9">
      <c r="B509" s="248" t="s">
        <v>1108</v>
      </c>
      <c r="C509" s="248" t="s">
        <v>568</v>
      </c>
      <c r="D509" s="106">
        <v>34515.131488199993</v>
      </c>
      <c r="E509" s="107">
        <f t="shared" si="21"/>
        <v>1.3125265836215932E-3</v>
      </c>
      <c r="F509" s="265">
        <v>1.4810896588204179E-2</v>
      </c>
      <c r="G509" s="265">
        <v>0.125</v>
      </c>
      <c r="H509" s="108">
        <f t="shared" si="22"/>
        <v>0.14073657762496694</v>
      </c>
      <c r="I509" s="109">
        <f t="shared" si="23"/>
        <v>1.8472049942069301E-4</v>
      </c>
    </row>
    <row r="510" spans="2:9">
      <c r="B510" s="248" t="s">
        <v>1109</v>
      </c>
      <c r="C510" s="248" t="s">
        <v>569</v>
      </c>
      <c r="D510" s="106">
        <v>28183.52512129</v>
      </c>
      <c r="E510" s="107">
        <f t="shared" si="21"/>
        <v>1.0717509783935426E-3</v>
      </c>
      <c r="F510" s="265">
        <v>7.1173599475486257E-3</v>
      </c>
      <c r="G510" s="265">
        <v>6.0229999999999999E-2</v>
      </c>
      <c r="H510" s="108">
        <f t="shared" si="22"/>
        <v>6.7561699242369044E-2</v>
      </c>
      <c r="I510" s="109">
        <f t="shared" si="23"/>
        <v>7.2409317264939286E-5</v>
      </c>
    </row>
    <row r="511" spans="2:9">
      <c r="B511" s="248" t="s">
        <v>1110</v>
      </c>
      <c r="C511" s="248" t="s">
        <v>570</v>
      </c>
      <c r="D511" s="106">
        <v>7878.3925819200003</v>
      </c>
      <c r="E511" s="107">
        <f t="shared" si="21"/>
        <v>2.9959612651374074E-4</v>
      </c>
      <c r="F511" s="265">
        <v>2.8930817610062897E-2</v>
      </c>
      <c r="G511" s="265">
        <v>6.2400000000000004E-2</v>
      </c>
      <c r="H511" s="108">
        <f t="shared" si="22"/>
        <v>9.2233459119496861E-2</v>
      </c>
      <c r="I511" s="109">
        <f t="shared" si="23"/>
        <v>2.7632787087164717E-5</v>
      </c>
    </row>
    <row r="512" spans="2:9">
      <c r="B512" s="248" t="s">
        <v>1111</v>
      </c>
      <c r="C512" s="248" t="s">
        <v>571</v>
      </c>
      <c r="D512" s="106">
        <v>59498.943993780005</v>
      </c>
      <c r="E512" s="107">
        <f t="shared" si="21"/>
        <v>2.2626002660875648E-3</v>
      </c>
      <c r="F512" s="265">
        <v>5.2331647804799743E-3</v>
      </c>
      <c r="G512" s="265">
        <v>0.1023</v>
      </c>
      <c r="H512" s="108">
        <f t="shared" si="22"/>
        <v>0.10780084115900153</v>
      </c>
      <c r="I512" s="109">
        <f t="shared" si="23"/>
        <v>2.4391021189082017E-4</v>
      </c>
    </row>
    <row r="513" spans="2:9">
      <c r="B513" s="104"/>
      <c r="C513" s="110" t="s">
        <v>572</v>
      </c>
      <c r="D513" s="295">
        <v>26296710.420115076</v>
      </c>
      <c r="E513" s="111"/>
      <c r="F513" s="111"/>
      <c r="G513" s="111"/>
      <c r="H513" s="112"/>
      <c r="I513" s="113">
        <f>SUM(I13:I512)</f>
        <v>0.14195180335247456</v>
      </c>
    </row>
    <row r="514" spans="2:9">
      <c r="B514" s="114" t="s">
        <v>76</v>
      </c>
      <c r="C514" s="98"/>
      <c r="D514" s="115"/>
      <c r="E514" s="98"/>
      <c r="G514" s="116"/>
      <c r="H514" s="116"/>
      <c r="I514" s="117"/>
    </row>
    <row r="515" spans="2:9">
      <c r="B515" s="98" t="s">
        <v>573</v>
      </c>
      <c r="C515" s="98"/>
      <c r="D515" s="98"/>
      <c r="E515" s="98"/>
      <c r="G515" s="98"/>
      <c r="H515" s="98"/>
    </row>
    <row r="516" spans="2:9">
      <c r="B516" s="98" t="s">
        <v>574</v>
      </c>
      <c r="C516" s="98"/>
      <c r="D516" s="98"/>
      <c r="E516" s="98"/>
      <c r="F516" s="98"/>
      <c r="G516" s="98"/>
      <c r="H516" s="98"/>
    </row>
    <row r="517" spans="2:9">
      <c r="B517" s="98" t="s">
        <v>575</v>
      </c>
      <c r="C517" s="98"/>
      <c r="D517" s="98"/>
      <c r="E517" s="98"/>
      <c r="F517" s="98"/>
      <c r="G517" s="98"/>
      <c r="H517" s="98"/>
    </row>
    <row r="518" spans="2:9">
      <c r="B518" s="98" t="s">
        <v>576</v>
      </c>
      <c r="C518" s="98"/>
      <c r="D518" s="98"/>
      <c r="E518" s="98"/>
      <c r="F518" s="98"/>
      <c r="G518" s="98"/>
      <c r="H518" s="98"/>
    </row>
    <row r="519" spans="2:9">
      <c r="B519" s="98" t="s">
        <v>577</v>
      </c>
      <c r="C519" s="98"/>
      <c r="D519" s="98"/>
      <c r="E519" s="98"/>
      <c r="F519" s="98"/>
      <c r="G519" s="98"/>
      <c r="H519" s="98"/>
    </row>
    <row r="520" spans="2:9">
      <c r="B520" s="98" t="s">
        <v>578</v>
      </c>
      <c r="C520" s="98"/>
      <c r="D520" s="98"/>
      <c r="E520" s="98"/>
      <c r="F520" s="98"/>
      <c r="G520" s="98"/>
      <c r="H520" s="98"/>
    </row>
    <row r="521" spans="2:9">
      <c r="B521" s="98" t="s">
        <v>579</v>
      </c>
      <c r="C521" s="98"/>
      <c r="D521" s="98"/>
      <c r="E521" s="98"/>
      <c r="F521" s="98"/>
      <c r="G521" s="98"/>
      <c r="H521" s="98"/>
    </row>
    <row r="522" spans="2:9">
      <c r="B522" s="98" t="s">
        <v>580</v>
      </c>
      <c r="C522" s="98"/>
      <c r="D522" s="98"/>
      <c r="E522" s="98"/>
      <c r="F522" s="98"/>
      <c r="G522" s="98"/>
      <c r="H522" s="98"/>
    </row>
    <row r="523" spans="2:9">
      <c r="B523" s="98" t="s">
        <v>581</v>
      </c>
      <c r="C523" s="98"/>
      <c r="D523" s="98"/>
      <c r="E523" s="98"/>
      <c r="F523" s="98"/>
      <c r="G523" s="98"/>
      <c r="H523" s="98"/>
    </row>
  </sheetData>
  <printOptions horizontalCentered="1"/>
  <pageMargins left="0.7" right="0.7" top="1" bottom="0.75" header="0.3" footer="0.3"/>
  <pageSetup scale="69" fitToHeight="7" orientation="portrait" useFirstPageNumber="1" r:id="rId1"/>
  <headerFooter scaleWithDoc="0">
    <oddHeader>&amp;R&amp;10DEU Exhibit 2.03R
Page &amp;P of 14</oddHeader>
  </headerFooter>
  <rowBreaks count="1" manualBreakCount="1">
    <brk id="427" max="9"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2:I524"/>
  <sheetViews>
    <sheetView view="pageLayout" zoomScale="85" zoomScaleNormal="85" zoomScaleSheetLayoutView="85" zoomScalePageLayoutView="85" workbookViewId="0">
      <selection activeCell="B2" sqref="B2:I2"/>
    </sheetView>
  </sheetViews>
  <sheetFormatPr defaultColWidth="8.375" defaultRowHeight="12.75"/>
  <cols>
    <col min="1" max="1" width="2.25" style="2" customWidth="1"/>
    <col min="2" max="2" width="31.875" style="2" customWidth="1"/>
    <col min="3" max="3" width="8.375" style="4" customWidth="1"/>
    <col min="4" max="9" width="12.625" style="2" customWidth="1"/>
    <col min="10" max="10" width="2.25" style="2" customWidth="1"/>
    <col min="11" max="16384" width="8.375" style="2"/>
  </cols>
  <sheetData>
    <row r="2" spans="2:9">
      <c r="B2" s="823" t="s">
        <v>119</v>
      </c>
      <c r="C2" s="823"/>
      <c r="D2" s="823"/>
      <c r="E2" s="823"/>
      <c r="F2" s="823"/>
      <c r="G2" s="823"/>
      <c r="H2" s="823"/>
      <c r="I2" s="823"/>
    </row>
    <row r="3" spans="2:9">
      <c r="B3" s="823" t="s">
        <v>582</v>
      </c>
      <c r="C3" s="823"/>
      <c r="D3" s="823"/>
      <c r="E3" s="823"/>
      <c r="F3" s="823"/>
      <c r="G3" s="823"/>
      <c r="H3" s="823"/>
      <c r="I3" s="823"/>
    </row>
    <row r="5" spans="2:9">
      <c r="B5" s="12"/>
      <c r="C5" s="78"/>
      <c r="D5" s="79" t="s">
        <v>50</v>
      </c>
      <c r="E5" s="79" t="s">
        <v>51</v>
      </c>
      <c r="F5" s="79" t="s">
        <v>52</v>
      </c>
    </row>
    <row r="6" spans="2:9" ht="39" customHeight="1">
      <c r="B6" s="12"/>
      <c r="C6" s="78"/>
      <c r="D6" s="80" t="s">
        <v>121</v>
      </c>
      <c r="E6" s="80" t="s">
        <v>122</v>
      </c>
      <c r="F6" s="80" t="s">
        <v>583</v>
      </c>
    </row>
    <row r="7" spans="2:9">
      <c r="B7" s="12"/>
      <c r="C7" s="78"/>
      <c r="D7" s="81">
        <f>I513</f>
        <v>0.14471742480220678</v>
      </c>
      <c r="E7" s="81">
        <f>'DEU 2.03R MRP Bloomberg'!E7</f>
        <v>2.112E-2</v>
      </c>
      <c r="F7" s="81">
        <f>D7-E7</f>
        <v>0.12359742480220678</v>
      </c>
    </row>
    <row r="8" spans="2:9">
      <c r="B8" s="82"/>
      <c r="C8" s="13"/>
      <c r="D8" s="12"/>
      <c r="E8" s="83" t="s">
        <v>29</v>
      </c>
      <c r="F8" s="84"/>
      <c r="G8" s="82"/>
      <c r="H8" s="82"/>
      <c r="I8" s="12"/>
    </row>
    <row r="9" spans="2:9">
      <c r="B9" s="12"/>
      <c r="C9" s="78"/>
      <c r="D9" s="12"/>
      <c r="E9" s="12"/>
      <c r="F9" s="12"/>
      <c r="G9" s="12"/>
      <c r="H9" s="12"/>
    </row>
    <row r="10" spans="2:9">
      <c r="B10" s="12"/>
      <c r="C10" s="78"/>
      <c r="D10" s="79" t="s">
        <v>53</v>
      </c>
      <c r="E10" s="79" t="s">
        <v>54</v>
      </c>
      <c r="F10" s="79" t="s">
        <v>55</v>
      </c>
      <c r="G10" s="79" t="s">
        <v>56</v>
      </c>
      <c r="H10" s="79" t="s">
        <v>57</v>
      </c>
      <c r="I10" s="85" t="s">
        <v>58</v>
      </c>
    </row>
    <row r="11" spans="2:9" ht="25.5">
      <c r="B11" s="86" t="s">
        <v>1</v>
      </c>
      <c r="C11" s="86" t="s">
        <v>0</v>
      </c>
      <c r="D11" s="80" t="s">
        <v>124</v>
      </c>
      <c r="E11" s="80" t="s">
        <v>125</v>
      </c>
      <c r="F11" s="297" t="s">
        <v>584</v>
      </c>
      <c r="G11" s="297" t="s">
        <v>585</v>
      </c>
      <c r="H11" s="80" t="s">
        <v>128</v>
      </c>
      <c r="I11" s="80" t="s">
        <v>129</v>
      </c>
    </row>
    <row r="13" spans="2:9">
      <c r="B13" s="248" t="s">
        <v>613</v>
      </c>
      <c r="C13" s="248" t="s">
        <v>130</v>
      </c>
      <c r="D13" s="298">
        <v>23690.36</v>
      </c>
      <c r="E13" s="87">
        <f>IF(H13="N/A","N/A",D13/$D$513)</f>
        <v>9.7808655274864414E-4</v>
      </c>
      <c r="F13" s="265">
        <v>8.6E-3</v>
      </c>
      <c r="G13" s="265">
        <v>9.5000000000000001E-2</v>
      </c>
      <c r="H13" s="87">
        <f t="shared" ref="H13:H76" si="0">IFERROR(F13*(1+0.5*G13)+G13,"N/A")</f>
        <v>0.1040085</v>
      </c>
      <c r="I13" s="88">
        <f t="shared" ref="I13:I76" si="1">IF(ISNUMBER(E13),H13*E13,"N/A")</f>
        <v>1.0172931522155735E-4</v>
      </c>
    </row>
    <row r="14" spans="2:9">
      <c r="B14" s="248" t="s">
        <v>614</v>
      </c>
      <c r="C14" s="248" t="s">
        <v>131</v>
      </c>
      <c r="D14" s="298">
        <v>12106.67</v>
      </c>
      <c r="E14" s="87">
        <f t="shared" ref="E14:E77" si="2">IF(H14="N/A","N/A",D14/$D$513)</f>
        <v>4.9983922260216508E-4</v>
      </c>
      <c r="F14" s="265">
        <v>1.47E-2</v>
      </c>
      <c r="G14" s="265">
        <v>7.4999999999999997E-2</v>
      </c>
      <c r="H14" s="87">
        <f t="shared" si="0"/>
        <v>9.0251250000000005E-2</v>
      </c>
      <c r="I14" s="88">
        <f t="shared" si="1"/>
        <v>4.5111114638873653E-5</v>
      </c>
    </row>
    <row r="15" spans="2:9">
      <c r="B15" s="248" t="s">
        <v>615</v>
      </c>
      <c r="C15" s="248" t="s">
        <v>132</v>
      </c>
      <c r="D15" s="298">
        <v>11449.05</v>
      </c>
      <c r="E15" s="87">
        <f t="shared" si="2"/>
        <v>4.7268854701857055E-4</v>
      </c>
      <c r="F15" s="265">
        <v>1.5E-3</v>
      </c>
      <c r="G15" s="265">
        <v>0.14000000000000001</v>
      </c>
      <c r="H15" s="87">
        <f t="shared" si="0"/>
        <v>0.14160500000000001</v>
      </c>
      <c r="I15" s="88">
        <f t="shared" si="1"/>
        <v>6.6935061700564683E-5</v>
      </c>
    </row>
    <row r="16" spans="2:9">
      <c r="B16" s="248" t="s">
        <v>616</v>
      </c>
      <c r="C16" s="248" t="s">
        <v>133</v>
      </c>
      <c r="D16" s="298">
        <v>996408.5</v>
      </c>
      <c r="E16" s="87">
        <f t="shared" si="2"/>
        <v>4.1137988400954957E-2</v>
      </c>
      <c r="F16" s="265">
        <v>1.4499999999999999E-2</v>
      </c>
      <c r="G16" s="265">
        <v>0.125</v>
      </c>
      <c r="H16" s="87">
        <f t="shared" si="0"/>
        <v>0.14040625000000001</v>
      </c>
      <c r="I16" s="88">
        <f t="shared" si="1"/>
        <v>5.7760306839215823E-3</v>
      </c>
    </row>
    <row r="17" spans="2:9">
      <c r="B17" s="248" t="s">
        <v>617</v>
      </c>
      <c r="C17" s="248" t="s">
        <v>134</v>
      </c>
      <c r="D17" s="298">
        <v>109443.8</v>
      </c>
      <c r="E17" s="87">
        <f t="shared" si="2"/>
        <v>4.5185260613056135E-3</v>
      </c>
      <c r="F17" s="265">
        <v>5.7800000000000004E-2</v>
      </c>
      <c r="G17" s="265">
        <v>0.105</v>
      </c>
      <c r="H17" s="87">
        <f t="shared" si="0"/>
        <v>0.1658345</v>
      </c>
      <c r="I17" s="88">
        <f t="shared" si="1"/>
        <v>7.4932751011358575E-4</v>
      </c>
    </row>
    <row r="18" spans="2:9">
      <c r="B18" s="248" t="s">
        <v>618</v>
      </c>
      <c r="C18" s="248" t="s">
        <v>135</v>
      </c>
      <c r="D18" s="298">
        <v>17087.16</v>
      </c>
      <c r="E18" s="87">
        <f t="shared" si="2"/>
        <v>7.0546506767581922E-4</v>
      </c>
      <c r="F18" s="265">
        <v>2.0199999999999999E-2</v>
      </c>
      <c r="G18" s="265">
        <v>0.08</v>
      </c>
      <c r="H18" s="87">
        <f t="shared" si="0"/>
        <v>0.101008</v>
      </c>
      <c r="I18" s="88">
        <f t="shared" si="1"/>
        <v>7.1257615555799149E-5</v>
      </c>
    </row>
    <row r="19" spans="2:9">
      <c r="B19" s="248" t="s">
        <v>619</v>
      </c>
      <c r="C19" s="248" t="s">
        <v>620</v>
      </c>
      <c r="D19" s="298">
        <v>8060.69</v>
      </c>
      <c r="E19" s="87">
        <f t="shared" si="2"/>
        <v>3.3279580786765031E-4</v>
      </c>
      <c r="F19" s="265">
        <v>0</v>
      </c>
      <c r="G19" s="265">
        <v>0.15</v>
      </c>
      <c r="H19" s="87">
        <f t="shared" si="0"/>
        <v>0.15</v>
      </c>
      <c r="I19" s="88">
        <f t="shared" si="1"/>
        <v>4.9919371180147546E-5</v>
      </c>
    </row>
    <row r="20" spans="2:9">
      <c r="B20" s="248" t="s">
        <v>621</v>
      </c>
      <c r="C20" s="248" t="s">
        <v>136</v>
      </c>
      <c r="D20" s="298">
        <v>146093.1</v>
      </c>
      <c r="E20" s="87">
        <f t="shared" si="2"/>
        <v>6.0316388843125622E-3</v>
      </c>
      <c r="F20" s="265">
        <v>1.55E-2</v>
      </c>
      <c r="G20" s="265">
        <v>0.1</v>
      </c>
      <c r="H20" s="87">
        <f t="shared" si="0"/>
        <v>0.116275</v>
      </c>
      <c r="I20" s="88">
        <f t="shared" si="1"/>
        <v>7.0132881127344315E-4</v>
      </c>
    </row>
    <row r="21" spans="2:9">
      <c r="B21" s="248" t="s">
        <v>622</v>
      </c>
      <c r="C21" s="248" t="s">
        <v>137</v>
      </c>
      <c r="D21" s="298">
        <v>122540.5</v>
      </c>
      <c r="E21" s="87">
        <f t="shared" si="2"/>
        <v>5.0592399278480875E-3</v>
      </c>
      <c r="F21" s="265">
        <v>1.67E-2</v>
      </c>
      <c r="G21" s="265">
        <v>0.09</v>
      </c>
      <c r="H21" s="87">
        <f t="shared" si="0"/>
        <v>0.10745149999999999</v>
      </c>
      <c r="I21" s="88">
        <f t="shared" si="1"/>
        <v>5.4362291910716874E-4</v>
      </c>
    </row>
    <row r="22" spans="2:9">
      <c r="B22" s="248" t="s">
        <v>623</v>
      </c>
      <c r="C22" s="248" t="s">
        <v>138</v>
      </c>
      <c r="D22" s="298">
        <v>137620.29999999999</v>
      </c>
      <c r="E22" s="87">
        <f t="shared" si="2"/>
        <v>5.6818285925259986E-3</v>
      </c>
      <c r="F22" s="265">
        <v>0</v>
      </c>
      <c r="G22" s="265">
        <v>0.20499999999999999</v>
      </c>
      <c r="H22" s="87">
        <f t="shared" si="0"/>
        <v>0.20499999999999999</v>
      </c>
      <c r="I22" s="88">
        <f t="shared" si="1"/>
        <v>1.1647748614678297E-3</v>
      </c>
    </row>
    <row r="23" spans="2:9">
      <c r="B23" s="248" t="s">
        <v>624</v>
      </c>
      <c r="C23" s="248" t="s">
        <v>139</v>
      </c>
      <c r="D23" s="298">
        <v>41794.589999999997</v>
      </c>
      <c r="E23" s="87">
        <f t="shared" si="2"/>
        <v>1.7255426450523735E-3</v>
      </c>
      <c r="F23" s="265">
        <v>1.9099999999999999E-2</v>
      </c>
      <c r="G23" s="265">
        <v>0.1</v>
      </c>
      <c r="H23" s="87">
        <f t="shared" si="0"/>
        <v>0.12005500000000001</v>
      </c>
      <c r="I23" s="88">
        <f t="shared" si="1"/>
        <v>2.0716002225176273E-4</v>
      </c>
    </row>
    <row r="24" spans="2:9">
      <c r="B24" s="248" t="s">
        <v>625</v>
      </c>
      <c r="C24" s="248" t="s">
        <v>140</v>
      </c>
      <c r="D24" s="298">
        <v>22799.88</v>
      </c>
      <c r="E24" s="87">
        <f t="shared" si="2"/>
        <v>9.4132195679097984E-4</v>
      </c>
      <c r="F24" s="265">
        <v>3.4300000000000004E-2</v>
      </c>
      <c r="G24" s="265">
        <v>9.5000000000000001E-2</v>
      </c>
      <c r="H24" s="87">
        <f t="shared" si="0"/>
        <v>0.13092925</v>
      </c>
      <c r="I24" s="88">
        <f t="shared" si="1"/>
        <v>1.232465778111754E-4</v>
      </c>
    </row>
    <row r="25" spans="2:9">
      <c r="B25" s="248" t="s">
        <v>626</v>
      </c>
      <c r="C25" s="248" t="s">
        <v>141</v>
      </c>
      <c r="D25" s="298">
        <v>71104.08</v>
      </c>
      <c r="E25" s="87">
        <f t="shared" si="2"/>
        <v>2.9356221050910081E-3</v>
      </c>
      <c r="F25" s="265">
        <v>2.12E-2</v>
      </c>
      <c r="G25" s="265">
        <v>0.14499999999999999</v>
      </c>
      <c r="H25" s="87">
        <f t="shared" si="0"/>
        <v>0.167737</v>
      </c>
      <c r="I25" s="88">
        <f t="shared" si="1"/>
        <v>4.9241244504165047E-4</v>
      </c>
    </row>
    <row r="26" spans="2:9">
      <c r="B26" s="248" t="s">
        <v>627</v>
      </c>
      <c r="C26" s="248" t="s">
        <v>142</v>
      </c>
      <c r="D26" s="298">
        <v>6504</v>
      </c>
      <c r="E26" s="87">
        <f t="shared" si="2"/>
        <v>2.6852588728399154E-4</v>
      </c>
      <c r="F26" s="265">
        <v>1.9699999999999999E-2</v>
      </c>
      <c r="G26" s="265">
        <v>9.5000000000000001E-2</v>
      </c>
      <c r="H26" s="87">
        <f t="shared" si="0"/>
        <v>0.11563575000000001</v>
      </c>
      <c r="I26" s="88">
        <f t="shared" si="1"/>
        <v>3.1051192370499824E-5</v>
      </c>
    </row>
    <row r="27" spans="2:9">
      <c r="B27" s="248" t="s">
        <v>628</v>
      </c>
      <c r="C27" s="248" t="s">
        <v>143</v>
      </c>
      <c r="D27" s="298">
        <v>32720.87</v>
      </c>
      <c r="E27" s="87" t="str">
        <f t="shared" si="2"/>
        <v>N/A</v>
      </c>
      <c r="F27" s="265">
        <v>0</v>
      </c>
      <c r="G27" s="265" t="s">
        <v>150</v>
      </c>
      <c r="H27" s="87" t="str">
        <f t="shared" si="0"/>
        <v>N/A</v>
      </c>
      <c r="I27" s="88" t="str">
        <f t="shared" si="1"/>
        <v>N/A</v>
      </c>
    </row>
    <row r="28" spans="2:9">
      <c r="B28" s="248" t="s">
        <v>629</v>
      </c>
      <c r="C28" s="248" t="s">
        <v>2</v>
      </c>
      <c r="D28" s="298">
        <v>19757.400000000001</v>
      </c>
      <c r="E28" s="87">
        <f t="shared" si="2"/>
        <v>8.1570931202717316E-4</v>
      </c>
      <c r="F28" s="265">
        <v>2.5099999999999997E-2</v>
      </c>
      <c r="G28" s="265">
        <v>6.5000000000000002E-2</v>
      </c>
      <c r="H28" s="87">
        <f t="shared" si="0"/>
        <v>9.0915750000000004E-2</v>
      </c>
      <c r="I28" s="88">
        <f t="shared" si="1"/>
        <v>7.4160823884934473E-5</v>
      </c>
    </row>
    <row r="29" spans="2:9">
      <c r="B29" s="248" t="s">
        <v>630</v>
      </c>
      <c r="C29" s="248" t="s">
        <v>144</v>
      </c>
      <c r="D29" s="298">
        <v>46556.44</v>
      </c>
      <c r="E29" s="87">
        <f t="shared" si="2"/>
        <v>1.9221416604833818E-3</v>
      </c>
      <c r="F29" s="265">
        <v>3.0099999999999998E-2</v>
      </c>
      <c r="G29" s="265">
        <v>0.04</v>
      </c>
      <c r="H29" s="87">
        <f t="shared" si="0"/>
        <v>7.0702000000000001E-2</v>
      </c>
      <c r="I29" s="88">
        <f t="shared" si="1"/>
        <v>1.3589925967949607E-4</v>
      </c>
    </row>
    <row r="30" spans="2:9">
      <c r="B30" s="248" t="s">
        <v>631</v>
      </c>
      <c r="C30" s="248" t="s">
        <v>3</v>
      </c>
      <c r="D30" s="298">
        <v>10766.8</v>
      </c>
      <c r="E30" s="87" t="str">
        <f t="shared" si="2"/>
        <v>N/A</v>
      </c>
      <c r="F30" s="265">
        <v>3.39E-2</v>
      </c>
      <c r="G30" s="265" t="s">
        <v>150</v>
      </c>
      <c r="H30" s="87" t="str">
        <f t="shared" si="0"/>
        <v>N/A</v>
      </c>
      <c r="I30" s="88" t="str">
        <f t="shared" si="1"/>
        <v>N/A</v>
      </c>
    </row>
    <row r="31" spans="2:9">
      <c r="B31" s="248" t="s">
        <v>632</v>
      </c>
      <c r="C31" s="248" t="s">
        <v>145</v>
      </c>
      <c r="D31" s="298">
        <v>38437.54</v>
      </c>
      <c r="E31" s="87">
        <f t="shared" si="2"/>
        <v>1.586942578953554E-3</v>
      </c>
      <c r="F31" s="265">
        <v>2.1400000000000002E-2</v>
      </c>
      <c r="G31" s="265">
        <v>7.4999999999999997E-2</v>
      </c>
      <c r="H31" s="87">
        <f t="shared" si="0"/>
        <v>9.7202499999999997E-2</v>
      </c>
      <c r="I31" s="88">
        <f t="shared" si="1"/>
        <v>1.5425478603073282E-4</v>
      </c>
    </row>
    <row r="32" spans="2:9">
      <c r="B32" s="248" t="s">
        <v>633</v>
      </c>
      <c r="C32" s="248" t="s">
        <v>146</v>
      </c>
      <c r="D32" s="298">
        <v>54723.23</v>
      </c>
      <c r="E32" s="87">
        <f t="shared" si="2"/>
        <v>2.2593179413892901E-3</v>
      </c>
      <c r="F32" s="265">
        <v>1.77E-2</v>
      </c>
      <c r="G32" s="265">
        <v>3.5000000000000003E-2</v>
      </c>
      <c r="H32" s="87">
        <f t="shared" si="0"/>
        <v>5.3009750000000008E-2</v>
      </c>
      <c r="I32" s="88">
        <f t="shared" si="1"/>
        <v>1.1976587924356094E-4</v>
      </c>
    </row>
    <row r="33" spans="2:9">
      <c r="B33" s="248" t="s">
        <v>634</v>
      </c>
      <c r="C33" s="248" t="s">
        <v>147</v>
      </c>
      <c r="D33" s="298">
        <v>48610.12</v>
      </c>
      <c r="E33" s="87" t="str">
        <f t="shared" si="2"/>
        <v>N/A</v>
      </c>
      <c r="F33" s="265">
        <v>2.29E-2</v>
      </c>
      <c r="G33" s="265" t="s">
        <v>150</v>
      </c>
      <c r="H33" s="87" t="str">
        <f t="shared" si="0"/>
        <v>N/A</v>
      </c>
      <c r="I33" s="88" t="str">
        <f t="shared" si="1"/>
        <v>N/A</v>
      </c>
    </row>
    <row r="34" spans="2:9">
      <c r="B34" s="248" t="s">
        <v>635</v>
      </c>
      <c r="C34" s="248" t="s">
        <v>148</v>
      </c>
      <c r="D34" s="298">
        <v>7956.51</v>
      </c>
      <c r="E34" s="87">
        <f t="shared" si="2"/>
        <v>3.2849460446401468E-4</v>
      </c>
      <c r="F34" s="265">
        <v>2.9900000000000003E-2</v>
      </c>
      <c r="G34" s="265">
        <v>-0.03</v>
      </c>
      <c r="H34" s="87">
        <f t="shared" si="0"/>
        <v>-5.4849999999999691E-4</v>
      </c>
      <c r="I34" s="88">
        <f t="shared" si="1"/>
        <v>-1.8017929054851104E-7</v>
      </c>
    </row>
    <row r="35" spans="2:9">
      <c r="B35" s="248" t="s">
        <v>636</v>
      </c>
      <c r="C35" s="248" t="s">
        <v>149</v>
      </c>
      <c r="D35" s="298">
        <v>7761.18</v>
      </c>
      <c r="E35" s="87">
        <f t="shared" si="2"/>
        <v>3.2043015772920808E-4</v>
      </c>
      <c r="F35" s="265">
        <v>1.89E-2</v>
      </c>
      <c r="G35" s="265">
        <v>6.5000000000000002E-2</v>
      </c>
      <c r="H35" s="87">
        <f t="shared" si="0"/>
        <v>8.4514249999999999E-2</v>
      </c>
      <c r="I35" s="88">
        <f t="shared" si="1"/>
        <v>2.7080914457865725E-5</v>
      </c>
    </row>
    <row r="36" spans="2:9">
      <c r="B36" s="248" t="s">
        <v>637</v>
      </c>
      <c r="C36" s="248" t="s">
        <v>151</v>
      </c>
      <c r="D36" s="298">
        <v>16709.09</v>
      </c>
      <c r="E36" s="87">
        <f t="shared" si="2"/>
        <v>6.8985596832073649E-4</v>
      </c>
      <c r="F36" s="265">
        <v>1.9199999999999998E-2</v>
      </c>
      <c r="G36" s="265">
        <v>0.14499999999999999</v>
      </c>
      <c r="H36" s="87">
        <f t="shared" si="0"/>
        <v>0.16559199999999999</v>
      </c>
      <c r="I36" s="88">
        <f t="shared" si="1"/>
        <v>1.1423462950616739E-4</v>
      </c>
    </row>
    <row r="37" spans="2:9">
      <c r="B37" s="248" t="s">
        <v>638</v>
      </c>
      <c r="C37" s="248" t="s">
        <v>152</v>
      </c>
      <c r="D37" s="298">
        <v>14797.06</v>
      </c>
      <c r="E37" s="87">
        <f t="shared" si="2"/>
        <v>6.1091538525437567E-4</v>
      </c>
      <c r="F37" s="265">
        <v>0</v>
      </c>
      <c r="G37" s="265">
        <v>0.18</v>
      </c>
      <c r="H37" s="87">
        <f t="shared" si="0"/>
        <v>0.18</v>
      </c>
      <c r="I37" s="88">
        <f t="shared" si="1"/>
        <v>1.0996476934578762E-4</v>
      </c>
    </row>
    <row r="38" spans="2:9">
      <c r="B38" s="248" t="s">
        <v>639</v>
      </c>
      <c r="C38" s="248" t="s">
        <v>153</v>
      </c>
      <c r="D38" s="298">
        <v>7120.19</v>
      </c>
      <c r="E38" s="87">
        <f t="shared" si="2"/>
        <v>2.9396607278299561E-4</v>
      </c>
      <c r="F38" s="265">
        <v>2.1899999999999999E-2</v>
      </c>
      <c r="G38" s="265">
        <v>5.5E-2</v>
      </c>
      <c r="H38" s="87">
        <f t="shared" si="0"/>
        <v>7.7502249999999995E-2</v>
      </c>
      <c r="I38" s="88">
        <f t="shared" si="1"/>
        <v>2.2783032064345921E-5</v>
      </c>
    </row>
    <row r="39" spans="2:9">
      <c r="B39" s="248" t="s">
        <v>640</v>
      </c>
      <c r="C39" s="248" t="s">
        <v>154</v>
      </c>
      <c r="D39" s="298">
        <v>14295.04</v>
      </c>
      <c r="E39" s="87">
        <f t="shared" si="2"/>
        <v>5.9018885297665291E-4</v>
      </c>
      <c r="F39" s="265">
        <v>0</v>
      </c>
      <c r="G39" s="265">
        <v>0.25</v>
      </c>
      <c r="H39" s="87">
        <f t="shared" si="0"/>
        <v>0.25</v>
      </c>
      <c r="I39" s="88">
        <f t="shared" si="1"/>
        <v>1.4754721324416323E-4</v>
      </c>
    </row>
    <row r="40" spans="2:9">
      <c r="B40" s="248" t="s">
        <v>641</v>
      </c>
      <c r="C40" s="248" t="s">
        <v>155</v>
      </c>
      <c r="D40" s="298">
        <v>7963.94</v>
      </c>
      <c r="E40" s="87">
        <f t="shared" si="2"/>
        <v>3.2880136143549681E-4</v>
      </c>
      <c r="F40" s="265">
        <v>2.1700000000000001E-2</v>
      </c>
      <c r="G40" s="265">
        <v>5.5E-2</v>
      </c>
      <c r="H40" s="87">
        <f t="shared" si="0"/>
        <v>7.7296749999999997E-2</v>
      </c>
      <c r="I40" s="88">
        <f t="shared" si="1"/>
        <v>2.5415276634539237E-5</v>
      </c>
    </row>
    <row r="41" spans="2:9">
      <c r="B41" s="248" t="s">
        <v>642</v>
      </c>
      <c r="C41" s="248" t="s">
        <v>156</v>
      </c>
      <c r="D41" s="298">
        <v>32433</v>
      </c>
      <c r="E41" s="87">
        <f t="shared" si="2"/>
        <v>1.3390375311011218E-3</v>
      </c>
      <c r="F41" s="265">
        <v>1.8500000000000003E-2</v>
      </c>
      <c r="G41" s="265">
        <v>0.105</v>
      </c>
      <c r="H41" s="87">
        <f t="shared" si="0"/>
        <v>0.12447125000000001</v>
      </c>
      <c r="I41" s="88">
        <f t="shared" si="1"/>
        <v>1.666716752930705E-4</v>
      </c>
    </row>
    <row r="42" spans="2:9">
      <c r="B42" s="248" t="s">
        <v>643</v>
      </c>
      <c r="C42" s="248" t="s">
        <v>157</v>
      </c>
      <c r="D42" s="298">
        <v>9593.68</v>
      </c>
      <c r="E42" s="87">
        <f t="shared" si="2"/>
        <v>3.9608724389893663E-4</v>
      </c>
      <c r="F42" s="265">
        <v>1.0500000000000001E-2</v>
      </c>
      <c r="G42" s="265">
        <v>8.5000000000000006E-2</v>
      </c>
      <c r="H42" s="87">
        <f t="shared" si="0"/>
        <v>9.5946250000000011E-2</v>
      </c>
      <c r="I42" s="88">
        <f t="shared" si="1"/>
        <v>3.8003085724938353E-5</v>
      </c>
    </row>
    <row r="43" spans="2:9">
      <c r="B43" s="248" t="s">
        <v>644</v>
      </c>
      <c r="C43" s="248" t="s">
        <v>158</v>
      </c>
      <c r="D43" s="298">
        <v>22128.54</v>
      </c>
      <c r="E43" s="87">
        <f t="shared" si="2"/>
        <v>9.1360483360997818E-4</v>
      </c>
      <c r="F43" s="265">
        <v>0</v>
      </c>
      <c r="G43" s="265">
        <v>0.42</v>
      </c>
      <c r="H43" s="87">
        <f t="shared" si="0"/>
        <v>0.42</v>
      </c>
      <c r="I43" s="88">
        <f t="shared" si="1"/>
        <v>3.837140301161908E-4</v>
      </c>
    </row>
    <row r="44" spans="2:9">
      <c r="B44" s="248" t="s">
        <v>645</v>
      </c>
      <c r="C44" s="248" t="s">
        <v>159</v>
      </c>
      <c r="D44" s="298">
        <v>48186.6</v>
      </c>
      <c r="E44" s="87">
        <f t="shared" si="2"/>
        <v>1.989444883179395E-3</v>
      </c>
      <c r="F44" s="265">
        <v>1.6299999999999999E-2</v>
      </c>
      <c r="G44" s="265">
        <v>8.5000000000000006E-2</v>
      </c>
      <c r="H44" s="87">
        <f t="shared" si="0"/>
        <v>0.10199275000000001</v>
      </c>
      <c r="I44" s="88">
        <f t="shared" si="1"/>
        <v>2.0290895460889526E-4</v>
      </c>
    </row>
    <row r="45" spans="2:9">
      <c r="B45" s="248" t="s">
        <v>1193</v>
      </c>
      <c r="C45" s="248" t="s">
        <v>1194</v>
      </c>
      <c r="D45" s="298" t="s">
        <v>150</v>
      </c>
      <c r="E45" s="87" t="str">
        <f t="shared" si="2"/>
        <v>N/A</v>
      </c>
      <c r="F45" s="265">
        <v>0</v>
      </c>
      <c r="G45" s="265" t="s">
        <v>150</v>
      </c>
      <c r="H45" s="87" t="str">
        <f t="shared" si="0"/>
        <v>N/A</v>
      </c>
      <c r="I45" s="88" t="str">
        <f t="shared" si="1"/>
        <v>N/A</v>
      </c>
    </row>
    <row r="46" spans="2:9">
      <c r="B46" s="248" t="s">
        <v>646</v>
      </c>
      <c r="C46" s="248" t="s">
        <v>160</v>
      </c>
      <c r="D46" s="298">
        <v>32151.77</v>
      </c>
      <c r="E46" s="87">
        <f t="shared" si="2"/>
        <v>1.3274265939423155E-3</v>
      </c>
      <c r="F46" s="265">
        <v>0</v>
      </c>
      <c r="G46" s="265">
        <v>0.27500000000000002</v>
      </c>
      <c r="H46" s="87">
        <f t="shared" si="0"/>
        <v>0.27500000000000002</v>
      </c>
      <c r="I46" s="88">
        <f t="shared" si="1"/>
        <v>3.6504231333413679E-4</v>
      </c>
    </row>
    <row r="47" spans="2:9">
      <c r="B47" s="248" t="s">
        <v>647</v>
      </c>
      <c r="C47" s="248" t="s">
        <v>161</v>
      </c>
      <c r="D47" s="298">
        <v>20589.96</v>
      </c>
      <c r="E47" s="87">
        <f t="shared" si="2"/>
        <v>8.5008260734038951E-4</v>
      </c>
      <c r="F47" s="265">
        <v>6.1999999999999998E-3</v>
      </c>
      <c r="G47" s="265">
        <v>0.155</v>
      </c>
      <c r="H47" s="87">
        <f t="shared" si="0"/>
        <v>0.1616805</v>
      </c>
      <c r="I47" s="88">
        <f t="shared" si="1"/>
        <v>1.3744178099609785E-4</v>
      </c>
    </row>
    <row r="48" spans="2:9">
      <c r="B48" s="248" t="s">
        <v>648</v>
      </c>
      <c r="C48" s="248" t="s">
        <v>162</v>
      </c>
      <c r="D48" s="298">
        <v>4206.58</v>
      </c>
      <c r="E48" s="87">
        <f t="shared" si="2"/>
        <v>1.7367398938054936E-4</v>
      </c>
      <c r="F48" s="265">
        <v>1.6200000000000003E-2</v>
      </c>
      <c r="G48" s="265">
        <v>0.1</v>
      </c>
      <c r="H48" s="87">
        <f t="shared" si="0"/>
        <v>0.11701</v>
      </c>
      <c r="I48" s="88">
        <f t="shared" si="1"/>
        <v>2.0321593497418082E-5</v>
      </c>
    </row>
    <row r="49" spans="2:9">
      <c r="B49" s="248" t="s">
        <v>649</v>
      </c>
      <c r="C49" s="248" t="s">
        <v>163</v>
      </c>
      <c r="D49" s="298">
        <v>117638.3</v>
      </c>
      <c r="E49" s="87">
        <f t="shared" si="2"/>
        <v>4.8568463846987058E-3</v>
      </c>
      <c r="F49" s="265">
        <v>3.0499999999999999E-2</v>
      </c>
      <c r="G49" s="265">
        <v>7.0000000000000007E-2</v>
      </c>
      <c r="H49" s="87">
        <f t="shared" si="0"/>
        <v>0.10156750000000001</v>
      </c>
      <c r="I49" s="88">
        <f t="shared" si="1"/>
        <v>4.9329774517788583E-4</v>
      </c>
    </row>
    <row r="50" spans="2:9">
      <c r="B50" s="248" t="s">
        <v>650</v>
      </c>
      <c r="C50" s="248" t="s">
        <v>164</v>
      </c>
      <c r="D50" s="298">
        <v>19184.53</v>
      </c>
      <c r="E50" s="87">
        <f t="shared" si="2"/>
        <v>7.9205764765934096E-4</v>
      </c>
      <c r="F50" s="265">
        <v>2.6600000000000002E-2</v>
      </c>
      <c r="G50" s="265">
        <v>0.125</v>
      </c>
      <c r="H50" s="87">
        <f t="shared" si="0"/>
        <v>0.1532625</v>
      </c>
      <c r="I50" s="88">
        <f t="shared" si="1"/>
        <v>1.2139273522438974E-4</v>
      </c>
    </row>
    <row r="51" spans="2:9">
      <c r="B51" s="248" t="s">
        <v>651</v>
      </c>
      <c r="C51" s="248" t="s">
        <v>165</v>
      </c>
      <c r="D51" s="298">
        <v>98652.08</v>
      </c>
      <c r="E51" s="87">
        <f t="shared" si="2"/>
        <v>4.0729762168529079E-3</v>
      </c>
      <c r="F51" s="265">
        <v>1.9099999999999999E-2</v>
      </c>
      <c r="G51" s="265">
        <v>7.4999999999999997E-2</v>
      </c>
      <c r="H51" s="87">
        <f t="shared" si="0"/>
        <v>9.4816249999999991E-2</v>
      </c>
      <c r="I51" s="88">
        <f t="shared" si="1"/>
        <v>3.8618433122117947E-4</v>
      </c>
    </row>
    <row r="52" spans="2:9">
      <c r="B52" s="248" t="s">
        <v>652</v>
      </c>
      <c r="C52" s="248" t="s">
        <v>166</v>
      </c>
      <c r="D52" s="298">
        <v>859481</v>
      </c>
      <c r="E52" s="87">
        <f t="shared" si="2"/>
        <v>3.5484762934921942E-2</v>
      </c>
      <c r="F52" s="265">
        <v>0</v>
      </c>
      <c r="G52" s="265">
        <v>0.39</v>
      </c>
      <c r="H52" s="87">
        <f t="shared" si="0"/>
        <v>0.39</v>
      </c>
      <c r="I52" s="88">
        <f t="shared" si="1"/>
        <v>1.3839057544619558E-2</v>
      </c>
    </row>
    <row r="53" spans="2:9">
      <c r="B53" s="248" t="s">
        <v>653</v>
      </c>
      <c r="C53" s="248" t="s">
        <v>654</v>
      </c>
      <c r="D53" s="298">
        <v>18680.189999999999</v>
      </c>
      <c r="E53" s="87">
        <f t="shared" si="2"/>
        <v>7.7123533123978245E-4</v>
      </c>
      <c r="F53" s="265">
        <v>0</v>
      </c>
      <c r="G53" s="265">
        <v>0.115</v>
      </c>
      <c r="H53" s="87">
        <f t="shared" si="0"/>
        <v>0.115</v>
      </c>
      <c r="I53" s="88">
        <f t="shared" si="1"/>
        <v>8.8692063092574985E-5</v>
      </c>
    </row>
    <row r="54" spans="2:9">
      <c r="B54" s="248" t="s">
        <v>655</v>
      </c>
      <c r="C54" s="248" t="s">
        <v>167</v>
      </c>
      <c r="D54" s="298">
        <v>18495.3</v>
      </c>
      <c r="E54" s="87">
        <f t="shared" si="2"/>
        <v>7.6360191314323619E-4</v>
      </c>
      <c r="F54" s="265">
        <v>0</v>
      </c>
      <c r="G54" s="265">
        <v>0.115</v>
      </c>
      <c r="H54" s="87">
        <f t="shared" si="0"/>
        <v>0.115</v>
      </c>
      <c r="I54" s="88">
        <f t="shared" si="1"/>
        <v>8.7814220011472172E-5</v>
      </c>
    </row>
    <row r="55" spans="2:9">
      <c r="B55" s="248" t="s">
        <v>656</v>
      </c>
      <c r="C55" s="248" t="s">
        <v>168</v>
      </c>
      <c r="D55" s="298">
        <v>61103.19</v>
      </c>
      <c r="E55" s="87">
        <f t="shared" si="2"/>
        <v>2.5227226799865187E-3</v>
      </c>
      <c r="F55" s="265">
        <v>1.34E-2</v>
      </c>
      <c r="G55" s="265">
        <v>0.19500000000000001</v>
      </c>
      <c r="H55" s="87">
        <f t="shared" si="0"/>
        <v>0.20970650000000002</v>
      </c>
      <c r="I55" s="88">
        <f t="shared" si="1"/>
        <v>5.2903134369059292E-4</v>
      </c>
    </row>
    <row r="56" spans="2:9">
      <c r="B56" s="248" t="s">
        <v>657</v>
      </c>
      <c r="C56" s="248" t="s">
        <v>169</v>
      </c>
      <c r="D56" s="298">
        <v>45897.86</v>
      </c>
      <c r="E56" s="87">
        <f t="shared" si="2"/>
        <v>1.8949513500824758E-3</v>
      </c>
      <c r="F56" s="265">
        <v>9.0000000000000011E-3</v>
      </c>
      <c r="G56" s="265">
        <v>0.1</v>
      </c>
      <c r="H56" s="87">
        <f t="shared" si="0"/>
        <v>0.10945000000000001</v>
      </c>
      <c r="I56" s="88">
        <f t="shared" si="1"/>
        <v>2.0740242526652699E-4</v>
      </c>
    </row>
    <row r="57" spans="2:9">
      <c r="B57" s="248" t="s">
        <v>658</v>
      </c>
      <c r="C57" s="248" t="s">
        <v>170</v>
      </c>
      <c r="D57" s="298">
        <v>7807.5</v>
      </c>
      <c r="E57" s="87">
        <f t="shared" si="2"/>
        <v>3.2234253766447781E-4</v>
      </c>
      <c r="F57" s="265">
        <v>1.8500000000000003E-2</v>
      </c>
      <c r="G57" s="265">
        <v>9.5000000000000001E-2</v>
      </c>
      <c r="H57" s="87">
        <f t="shared" si="0"/>
        <v>0.11437875</v>
      </c>
      <c r="I57" s="88">
        <f t="shared" si="1"/>
        <v>3.686913652989089E-5</v>
      </c>
    </row>
    <row r="58" spans="2:9">
      <c r="B58" s="248" t="s">
        <v>659</v>
      </c>
      <c r="C58" s="248" t="s">
        <v>171</v>
      </c>
      <c r="D58" s="298">
        <v>9500.41</v>
      </c>
      <c r="E58" s="87">
        <f t="shared" si="2"/>
        <v>3.9223647367953658E-4</v>
      </c>
      <c r="F58" s="265">
        <v>3.9599999999999996E-2</v>
      </c>
      <c r="G58" s="265">
        <v>0.5</v>
      </c>
      <c r="H58" s="87">
        <f t="shared" si="0"/>
        <v>0.54949999999999999</v>
      </c>
      <c r="I58" s="88">
        <f t="shared" si="1"/>
        <v>2.1553394228690536E-4</v>
      </c>
    </row>
    <row r="59" spans="2:9">
      <c r="B59" s="248" t="s">
        <v>660</v>
      </c>
      <c r="C59" s="248" t="s">
        <v>172</v>
      </c>
      <c r="D59" s="298">
        <v>49203.07</v>
      </c>
      <c r="E59" s="87">
        <f t="shared" si="2"/>
        <v>2.031411136046486E-3</v>
      </c>
      <c r="F59" s="265">
        <v>2.0799999999999999E-2</v>
      </c>
      <c r="G59" s="265">
        <v>9.5000000000000001E-2</v>
      </c>
      <c r="H59" s="87">
        <f t="shared" si="0"/>
        <v>0.116788</v>
      </c>
      <c r="I59" s="88">
        <f t="shared" si="1"/>
        <v>2.3724444375659701E-4</v>
      </c>
    </row>
    <row r="60" spans="2:9">
      <c r="B60" s="248" t="s">
        <v>661</v>
      </c>
      <c r="C60" s="248" t="s">
        <v>173</v>
      </c>
      <c r="D60" s="298">
        <v>28673.98</v>
      </c>
      <c r="E60" s="87">
        <f t="shared" si="2"/>
        <v>1.1838416238412403E-3</v>
      </c>
      <c r="F60" s="265">
        <v>1.04E-2</v>
      </c>
      <c r="G60" s="265">
        <v>9.5000000000000001E-2</v>
      </c>
      <c r="H60" s="87">
        <f t="shared" si="0"/>
        <v>0.105894</v>
      </c>
      <c r="I60" s="88">
        <f t="shared" si="1"/>
        <v>1.253617249150443E-4</v>
      </c>
    </row>
    <row r="61" spans="2:9">
      <c r="B61" s="248" t="s">
        <v>662</v>
      </c>
      <c r="C61" s="248" t="s">
        <v>174</v>
      </c>
      <c r="D61" s="298">
        <v>22470.69</v>
      </c>
      <c r="E61" s="87">
        <f t="shared" si="2"/>
        <v>9.2773093021733012E-4</v>
      </c>
      <c r="F61" s="265">
        <v>0.01</v>
      </c>
      <c r="G61" s="265">
        <v>0.11</v>
      </c>
      <c r="H61" s="87">
        <f t="shared" si="0"/>
        <v>0.12055</v>
      </c>
      <c r="I61" s="88">
        <f t="shared" si="1"/>
        <v>1.1183796363769916E-4</v>
      </c>
    </row>
    <row r="62" spans="2:9">
      <c r="B62" s="248" t="s">
        <v>663</v>
      </c>
      <c r="C62" s="248" t="s">
        <v>175</v>
      </c>
      <c r="D62" s="298">
        <v>17232.39</v>
      </c>
      <c r="E62" s="87" t="str">
        <f t="shared" si="2"/>
        <v>N/A</v>
      </c>
      <c r="F62" s="265">
        <v>2.58E-2</v>
      </c>
      <c r="G62" s="265" t="s">
        <v>150</v>
      </c>
      <c r="H62" s="87" t="str">
        <f t="shared" si="0"/>
        <v>N/A</v>
      </c>
      <c r="I62" s="88" t="str">
        <f t="shared" si="1"/>
        <v>N/A</v>
      </c>
    </row>
    <row r="63" spans="2:9">
      <c r="B63" s="248" t="s">
        <v>664</v>
      </c>
      <c r="C63" s="248" t="s">
        <v>176</v>
      </c>
      <c r="D63" s="298">
        <v>11576.94</v>
      </c>
      <c r="E63" s="87" t="str">
        <f t="shared" si="2"/>
        <v>N/A</v>
      </c>
      <c r="F63" s="265">
        <v>3.0000000000000001E-3</v>
      </c>
      <c r="G63" s="265" t="s">
        <v>150</v>
      </c>
      <c r="H63" s="87" t="str">
        <f t="shared" si="0"/>
        <v>N/A</v>
      </c>
      <c r="I63" s="88" t="str">
        <f t="shared" si="1"/>
        <v>N/A</v>
      </c>
    </row>
    <row r="64" spans="2:9">
      <c r="B64" s="248" t="s">
        <v>1116</v>
      </c>
      <c r="C64" s="248" t="s">
        <v>34</v>
      </c>
      <c r="D64" s="298">
        <v>13551.17</v>
      </c>
      <c r="E64" s="87">
        <f t="shared" si="2"/>
        <v>5.5947723677524715E-4</v>
      </c>
      <c r="F64" s="265">
        <v>1.95E-2</v>
      </c>
      <c r="G64" s="265">
        <v>7.4999999999999997E-2</v>
      </c>
      <c r="H64" s="87">
        <f t="shared" si="0"/>
        <v>9.5231250000000003E-2</v>
      </c>
      <c r="I64" s="88">
        <f t="shared" si="1"/>
        <v>5.3279716604652756E-5</v>
      </c>
    </row>
    <row r="65" spans="2:9">
      <c r="B65" s="248" t="s">
        <v>665</v>
      </c>
      <c r="C65" s="248" t="s">
        <v>177</v>
      </c>
      <c r="D65" s="298">
        <v>41578.120000000003</v>
      </c>
      <c r="E65" s="87">
        <f t="shared" si="2"/>
        <v>1.7166054066113583E-3</v>
      </c>
      <c r="F65" s="265">
        <v>7.4000000000000003E-3</v>
      </c>
      <c r="G65" s="265">
        <v>9.5000000000000001E-2</v>
      </c>
      <c r="H65" s="87">
        <f t="shared" si="0"/>
        <v>0.1027515</v>
      </c>
      <c r="I65" s="88">
        <f t="shared" si="1"/>
        <v>1.7638378043742696E-4</v>
      </c>
    </row>
    <row r="66" spans="2:9">
      <c r="B66" s="248" t="s">
        <v>666</v>
      </c>
      <c r="C66" s="248" t="s">
        <v>178</v>
      </c>
      <c r="D66" s="298">
        <v>29859.55</v>
      </c>
      <c r="E66" s="87">
        <f t="shared" si="2"/>
        <v>1.2327893846326428E-3</v>
      </c>
      <c r="F66" s="265">
        <v>2.9500000000000002E-2</v>
      </c>
      <c r="G66" s="265">
        <v>2.5000000000000001E-2</v>
      </c>
      <c r="H66" s="87">
        <f t="shared" si="0"/>
        <v>5.4868750000000001E-2</v>
      </c>
      <c r="I66" s="88">
        <f t="shared" si="1"/>
        <v>6.764161254806232E-5</v>
      </c>
    </row>
    <row r="67" spans="2:9">
      <c r="B67" s="248" t="s">
        <v>667</v>
      </c>
      <c r="C67" s="248" t="s">
        <v>179</v>
      </c>
      <c r="D67" s="298">
        <v>110210.2</v>
      </c>
      <c r="E67" s="87">
        <f t="shared" si="2"/>
        <v>4.5501678571257939E-3</v>
      </c>
      <c r="F67" s="265">
        <v>3.8300000000000001E-2</v>
      </c>
      <c r="G67" s="265">
        <v>0.33500000000000002</v>
      </c>
      <c r="H67" s="87">
        <f t="shared" si="0"/>
        <v>0.37971525</v>
      </c>
      <c r="I67" s="88">
        <f t="shared" si="1"/>
        <v>1.7277681254104851E-3</v>
      </c>
    </row>
    <row r="68" spans="2:9">
      <c r="B68" s="248" t="s">
        <v>668</v>
      </c>
      <c r="C68" s="248" t="s">
        <v>180</v>
      </c>
      <c r="D68" s="298">
        <v>9480.59</v>
      </c>
      <c r="E68" s="87">
        <f t="shared" si="2"/>
        <v>3.9141817984713055E-4</v>
      </c>
      <c r="F68" s="265">
        <v>2.1700000000000001E-2</v>
      </c>
      <c r="G68" s="265">
        <v>0.11</v>
      </c>
      <c r="H68" s="87">
        <f t="shared" si="0"/>
        <v>0.1328935</v>
      </c>
      <c r="I68" s="88">
        <f t="shared" si="1"/>
        <v>5.2016931883514641E-5</v>
      </c>
    </row>
    <row r="69" spans="2:9">
      <c r="B69" s="248" t="s">
        <v>669</v>
      </c>
      <c r="C69" s="248" t="s">
        <v>181</v>
      </c>
      <c r="D69" s="298">
        <v>22604.99</v>
      </c>
      <c r="E69" s="87">
        <f t="shared" si="2"/>
        <v>9.3327567601410755E-4</v>
      </c>
      <c r="F69" s="265">
        <v>1.6399999999999998E-2</v>
      </c>
      <c r="G69" s="265">
        <v>9.5000000000000001E-2</v>
      </c>
      <c r="H69" s="87">
        <f t="shared" si="0"/>
        <v>0.112179</v>
      </c>
      <c r="I69" s="88">
        <f t="shared" si="1"/>
        <v>1.0469393205958657E-4</v>
      </c>
    </row>
    <row r="70" spans="2:9">
      <c r="B70" s="248" t="s">
        <v>670</v>
      </c>
      <c r="C70" s="248" t="s">
        <v>182</v>
      </c>
      <c r="D70" s="298">
        <v>98933.13</v>
      </c>
      <c r="E70" s="87">
        <f t="shared" si="2"/>
        <v>4.0845797224834685E-3</v>
      </c>
      <c r="F70" s="265">
        <v>1.4499999999999999E-2</v>
      </c>
      <c r="G70" s="265">
        <v>0.1</v>
      </c>
      <c r="H70" s="87">
        <f t="shared" si="0"/>
        <v>0.11522500000000001</v>
      </c>
      <c r="I70" s="88">
        <f t="shared" si="1"/>
        <v>4.7064569852315767E-4</v>
      </c>
    </row>
    <row r="71" spans="2:9">
      <c r="B71" s="248" t="s">
        <v>671</v>
      </c>
      <c r="C71" s="248" t="s">
        <v>183</v>
      </c>
      <c r="D71" s="298">
        <v>26719.91</v>
      </c>
      <c r="E71" s="87">
        <f t="shared" si="2"/>
        <v>1.1031653660667892E-3</v>
      </c>
      <c r="F71" s="265">
        <v>0</v>
      </c>
      <c r="G71" s="265">
        <v>0.13500000000000001</v>
      </c>
      <c r="H71" s="87">
        <f t="shared" si="0"/>
        <v>0.13500000000000001</v>
      </c>
      <c r="I71" s="88">
        <f t="shared" si="1"/>
        <v>1.4892732441901656E-4</v>
      </c>
    </row>
    <row r="72" spans="2:9">
      <c r="B72" s="248" t="s">
        <v>672</v>
      </c>
      <c r="C72" s="248" t="s">
        <v>184</v>
      </c>
      <c r="D72" s="298">
        <v>217704.2</v>
      </c>
      <c r="E72" s="87">
        <f t="shared" si="2"/>
        <v>8.9881939530214554E-3</v>
      </c>
      <c r="F72" s="265">
        <v>2.3199999999999998E-2</v>
      </c>
      <c r="G72" s="265">
        <v>0.155</v>
      </c>
      <c r="H72" s="87">
        <f t="shared" si="0"/>
        <v>0.17999799999999999</v>
      </c>
      <c r="I72" s="88">
        <f t="shared" si="1"/>
        <v>1.6178569351559559E-3</v>
      </c>
    </row>
    <row r="73" spans="2:9">
      <c r="B73" s="248" t="s">
        <v>673</v>
      </c>
      <c r="C73" s="248" t="s">
        <v>185</v>
      </c>
      <c r="D73" s="298">
        <v>272150</v>
      </c>
      <c r="E73" s="87">
        <f t="shared" si="2"/>
        <v>1.1236057845070462E-2</v>
      </c>
      <c r="F73" s="265">
        <v>2.4700000000000003E-2</v>
      </c>
      <c r="G73" s="265">
        <v>0.105</v>
      </c>
      <c r="H73" s="87">
        <f t="shared" si="0"/>
        <v>0.13099675</v>
      </c>
      <c r="I73" s="88">
        <f t="shared" si="1"/>
        <v>1.471887060516234E-3</v>
      </c>
    </row>
    <row r="74" spans="2:9">
      <c r="B74" s="248" t="s">
        <v>674</v>
      </c>
      <c r="C74" s="248" t="s">
        <v>186</v>
      </c>
      <c r="D74" s="298">
        <v>44761.51</v>
      </c>
      <c r="E74" s="87">
        <f t="shared" si="2"/>
        <v>1.8480356994036377E-3</v>
      </c>
      <c r="F74" s="265">
        <v>0.01</v>
      </c>
      <c r="G74" s="265">
        <v>0.105</v>
      </c>
      <c r="H74" s="87">
        <f t="shared" si="0"/>
        <v>0.11552499999999999</v>
      </c>
      <c r="I74" s="88">
        <f t="shared" si="1"/>
        <v>2.1349432417360522E-4</v>
      </c>
    </row>
    <row r="75" spans="2:9">
      <c r="B75" s="248" t="s">
        <v>675</v>
      </c>
      <c r="C75" s="248" t="s">
        <v>187</v>
      </c>
      <c r="D75" s="298">
        <v>40537.25</v>
      </c>
      <c r="E75" s="87">
        <f t="shared" si="2"/>
        <v>1.6736317688042721E-3</v>
      </c>
      <c r="F75" s="265">
        <v>3.4000000000000002E-2</v>
      </c>
      <c r="G75" s="265">
        <v>0.08</v>
      </c>
      <c r="H75" s="87">
        <f t="shared" si="0"/>
        <v>0.11536</v>
      </c>
      <c r="I75" s="88">
        <f t="shared" si="1"/>
        <v>1.9307016084926082E-4</v>
      </c>
    </row>
    <row r="76" spans="2:9">
      <c r="B76" s="248" t="s">
        <v>676</v>
      </c>
      <c r="C76" s="248" t="s">
        <v>188</v>
      </c>
      <c r="D76" s="298">
        <v>17744.400000000001</v>
      </c>
      <c r="E76" s="87">
        <f t="shared" si="2"/>
        <v>7.3260005447756138E-4</v>
      </c>
      <c r="F76" s="265">
        <v>3.1400000000000004E-2</v>
      </c>
      <c r="G76" s="265">
        <v>8.5000000000000006E-2</v>
      </c>
      <c r="H76" s="87">
        <f t="shared" si="0"/>
        <v>0.11773450000000002</v>
      </c>
      <c r="I76" s="88">
        <f t="shared" si="1"/>
        <v>8.6252301113888462E-5</v>
      </c>
    </row>
    <row r="77" spans="2:9">
      <c r="B77" s="248" t="s">
        <v>677</v>
      </c>
      <c r="C77" s="248" t="s">
        <v>189</v>
      </c>
      <c r="D77" s="298">
        <v>67634.27</v>
      </c>
      <c r="E77" s="87">
        <f t="shared" si="2"/>
        <v>2.792366599408833E-3</v>
      </c>
      <c r="F77" s="265">
        <v>1.2500000000000001E-2</v>
      </c>
      <c r="G77" s="265">
        <v>0.1</v>
      </c>
      <c r="H77" s="87">
        <f t="shared" ref="H77:H140" si="3">IFERROR(F77*(1+0.5*G77)+G77,"N/A")</f>
        <v>0.113125</v>
      </c>
      <c r="I77" s="88">
        <f t="shared" ref="I77:I140" si="4">IF(ISNUMBER(E77),H77*E77,"N/A")</f>
        <v>3.1588647155812423E-4</v>
      </c>
    </row>
    <row r="78" spans="2:9">
      <c r="B78" s="248" t="s">
        <v>678</v>
      </c>
      <c r="C78" s="248" t="s">
        <v>190</v>
      </c>
      <c r="D78" s="298">
        <v>14448.08</v>
      </c>
      <c r="E78" s="87">
        <f t="shared" ref="E78:E141" si="5">IF(H78="N/A","N/A",D78/$D$513)</f>
        <v>5.9650730343636103E-4</v>
      </c>
      <c r="F78" s="265">
        <v>3.9399999999999998E-2</v>
      </c>
      <c r="G78" s="265">
        <v>7.4999999999999997E-2</v>
      </c>
      <c r="H78" s="87">
        <f t="shared" si="3"/>
        <v>0.11587749999999999</v>
      </c>
      <c r="I78" s="88">
        <f t="shared" si="4"/>
        <v>6.9121775053946916E-5</v>
      </c>
    </row>
    <row r="79" spans="2:9">
      <c r="B79" s="248" t="s">
        <v>679</v>
      </c>
      <c r="C79" s="248" t="s">
        <v>191</v>
      </c>
      <c r="D79" s="298">
        <v>29941.69</v>
      </c>
      <c r="E79" s="87">
        <f t="shared" si="5"/>
        <v>1.23618063868884E-3</v>
      </c>
      <c r="F79" s="265">
        <v>1.0700000000000001E-2</v>
      </c>
      <c r="G79" s="265">
        <v>0.14499999999999999</v>
      </c>
      <c r="H79" s="87">
        <f t="shared" si="3"/>
        <v>0.15647575</v>
      </c>
      <c r="I79" s="88">
        <f t="shared" si="4"/>
        <v>1.9343229257431525E-4</v>
      </c>
    </row>
    <row r="80" spans="2:9">
      <c r="B80" s="248" t="s">
        <v>680</v>
      </c>
      <c r="C80" s="248" t="s">
        <v>192</v>
      </c>
      <c r="D80" s="298">
        <v>12347.88</v>
      </c>
      <c r="E80" s="87" t="str">
        <f t="shared" si="5"/>
        <v>N/A</v>
      </c>
      <c r="F80" s="265">
        <v>3.0099999999999998E-2</v>
      </c>
      <c r="G80" s="265" t="s">
        <v>150</v>
      </c>
      <c r="H80" s="87" t="str">
        <f t="shared" si="3"/>
        <v>N/A</v>
      </c>
      <c r="I80" s="88" t="str">
        <f t="shared" si="4"/>
        <v>N/A</v>
      </c>
    </row>
    <row r="81" spans="2:9">
      <c r="B81" s="248" t="s">
        <v>681</v>
      </c>
      <c r="C81" s="248" t="s">
        <v>193</v>
      </c>
      <c r="D81" s="298">
        <v>48023.89</v>
      </c>
      <c r="E81" s="87">
        <f t="shared" si="5"/>
        <v>1.9827271945078119E-3</v>
      </c>
      <c r="F81" s="265">
        <v>0</v>
      </c>
      <c r="G81" s="265">
        <v>0.08</v>
      </c>
      <c r="H81" s="87">
        <f t="shared" si="3"/>
        <v>0.08</v>
      </c>
      <c r="I81" s="88">
        <f t="shared" si="4"/>
        <v>1.5861817556062495E-4</v>
      </c>
    </row>
    <row r="82" spans="2:9">
      <c r="B82" s="248" t="s">
        <v>682</v>
      </c>
      <c r="C82" s="248" t="s">
        <v>194</v>
      </c>
      <c r="D82" s="298">
        <v>43956.32</v>
      </c>
      <c r="E82" s="87">
        <f t="shared" si="5"/>
        <v>1.8147924092464733E-3</v>
      </c>
      <c r="F82" s="265">
        <v>2.6600000000000002E-2</v>
      </c>
      <c r="G82" s="265">
        <v>7.0000000000000007E-2</v>
      </c>
      <c r="H82" s="87">
        <f t="shared" si="3"/>
        <v>9.7531000000000007E-2</v>
      </c>
      <c r="I82" s="88">
        <f t="shared" si="4"/>
        <v>1.7699851846621781E-4</v>
      </c>
    </row>
    <row r="83" spans="2:9">
      <c r="B83" s="248" t="s">
        <v>683</v>
      </c>
      <c r="C83" s="248" t="s">
        <v>195</v>
      </c>
      <c r="D83" s="298">
        <v>84608.41</v>
      </c>
      <c r="E83" s="87">
        <f t="shared" si="5"/>
        <v>3.4931654930716086E-3</v>
      </c>
      <c r="F83" s="265">
        <v>0</v>
      </c>
      <c r="G83" s="265">
        <v>0.12</v>
      </c>
      <c r="H83" s="87">
        <f t="shared" si="3"/>
        <v>0.12</v>
      </c>
      <c r="I83" s="88">
        <f t="shared" si="4"/>
        <v>4.1917985916859303E-4</v>
      </c>
    </row>
    <row r="84" spans="2:9">
      <c r="B84" s="248" t="s">
        <v>684</v>
      </c>
      <c r="C84" s="248" t="s">
        <v>196</v>
      </c>
      <c r="D84" s="298">
        <v>68926.63</v>
      </c>
      <c r="E84" s="87">
        <f t="shared" si="5"/>
        <v>2.8457233207634363E-3</v>
      </c>
      <c r="F84" s="265">
        <v>2.9600000000000001E-2</v>
      </c>
      <c r="G84" s="265">
        <v>0.09</v>
      </c>
      <c r="H84" s="87">
        <f t="shared" si="3"/>
        <v>0.120932</v>
      </c>
      <c r="I84" s="88">
        <f t="shared" si="4"/>
        <v>3.4413901262656389E-4</v>
      </c>
    </row>
    <row r="85" spans="2:9">
      <c r="B85" s="248" t="s">
        <v>685</v>
      </c>
      <c r="C85" s="248" t="s">
        <v>197</v>
      </c>
      <c r="D85" s="298">
        <v>24712.13</v>
      </c>
      <c r="E85" s="87">
        <f t="shared" si="5"/>
        <v>1.0202716228363078E-3</v>
      </c>
      <c r="F85" s="265">
        <v>8.1000000000000013E-3</v>
      </c>
      <c r="G85" s="265">
        <v>0.25</v>
      </c>
      <c r="H85" s="87">
        <f t="shared" si="3"/>
        <v>0.25911250000000002</v>
      </c>
      <c r="I85" s="88">
        <f t="shared" si="4"/>
        <v>2.6436513087217282E-4</v>
      </c>
    </row>
    <row r="86" spans="2:9">
      <c r="B86" s="248" t="s">
        <v>686</v>
      </c>
      <c r="C86" s="248" t="s">
        <v>198</v>
      </c>
      <c r="D86" s="298">
        <v>81739.28</v>
      </c>
      <c r="E86" s="87">
        <f t="shared" si="5"/>
        <v>3.3747098228712516E-3</v>
      </c>
      <c r="F86" s="265">
        <v>3.2799999999999996E-2</v>
      </c>
      <c r="G86" s="265">
        <v>0.09</v>
      </c>
      <c r="H86" s="87">
        <f t="shared" si="3"/>
        <v>0.124276</v>
      </c>
      <c r="I86" s="88">
        <f t="shared" si="4"/>
        <v>4.1939543794714765E-4</v>
      </c>
    </row>
    <row r="87" spans="2:9">
      <c r="B87" s="248" t="s">
        <v>687</v>
      </c>
      <c r="C87" s="248" t="s">
        <v>688</v>
      </c>
      <c r="D87" s="298">
        <v>14666.07</v>
      </c>
      <c r="E87" s="87">
        <f t="shared" si="5"/>
        <v>6.0550729700478614E-4</v>
      </c>
      <c r="F87" s="265">
        <v>1.7100000000000001E-2</v>
      </c>
      <c r="G87" s="265">
        <v>0.11</v>
      </c>
      <c r="H87" s="87">
        <f t="shared" si="3"/>
        <v>0.1280405</v>
      </c>
      <c r="I87" s="88">
        <f t="shared" si="4"/>
        <v>7.7529457062141318E-5</v>
      </c>
    </row>
    <row r="88" spans="2:9">
      <c r="B88" s="248" t="s">
        <v>689</v>
      </c>
      <c r="C88" s="248" t="s">
        <v>199</v>
      </c>
      <c r="D88" s="298">
        <v>0</v>
      </c>
      <c r="E88" s="87" t="str">
        <f t="shared" si="5"/>
        <v>N/A</v>
      </c>
      <c r="F88" s="265">
        <v>0</v>
      </c>
      <c r="G88" s="265" t="s">
        <v>150</v>
      </c>
      <c r="H88" s="87" t="str">
        <f t="shared" si="3"/>
        <v>N/A</v>
      </c>
      <c r="I88" s="88" t="str">
        <f t="shared" si="4"/>
        <v>N/A</v>
      </c>
    </row>
    <row r="89" spans="2:9">
      <c r="B89" s="248" t="s">
        <v>690</v>
      </c>
      <c r="C89" s="248" t="s">
        <v>200</v>
      </c>
      <c r="D89" s="298">
        <v>58931.42</v>
      </c>
      <c r="E89" s="87">
        <f t="shared" si="5"/>
        <v>2.4330584016613718E-3</v>
      </c>
      <c r="F89" s="265">
        <v>0</v>
      </c>
      <c r="G89" s="265">
        <v>0.16</v>
      </c>
      <c r="H89" s="87">
        <f t="shared" si="3"/>
        <v>0.16</v>
      </c>
      <c r="I89" s="88">
        <f t="shared" si="4"/>
        <v>3.8928934426581948E-4</v>
      </c>
    </row>
    <row r="90" spans="2:9">
      <c r="B90" s="248" t="s">
        <v>691</v>
      </c>
      <c r="C90" s="248" t="s">
        <v>201</v>
      </c>
      <c r="D90" s="298">
        <v>7552.25</v>
      </c>
      <c r="E90" s="87">
        <f t="shared" si="5"/>
        <v>3.1180421774915822E-4</v>
      </c>
      <c r="F90" s="265">
        <v>1.8600000000000002E-2</v>
      </c>
      <c r="G90" s="265">
        <v>4.4999999999999998E-2</v>
      </c>
      <c r="H90" s="87">
        <f t="shared" si="3"/>
        <v>6.4018500000000006E-2</v>
      </c>
      <c r="I90" s="88">
        <f t="shared" si="4"/>
        <v>1.9961238313974488E-5</v>
      </c>
    </row>
    <row r="91" spans="2:9">
      <c r="B91" s="248" t="s">
        <v>692</v>
      </c>
      <c r="C91" s="248" t="s">
        <v>202</v>
      </c>
      <c r="D91" s="298">
        <v>20479.59</v>
      </c>
      <c r="E91" s="87">
        <f t="shared" si="5"/>
        <v>8.4552584193763221E-4</v>
      </c>
      <c r="F91" s="265">
        <v>2.98E-2</v>
      </c>
      <c r="G91" s="265">
        <v>0.05</v>
      </c>
      <c r="H91" s="87">
        <f t="shared" si="3"/>
        <v>8.0545000000000005E-2</v>
      </c>
      <c r="I91" s="88">
        <f t="shared" si="4"/>
        <v>6.8102878938866587E-5</v>
      </c>
    </row>
    <row r="92" spans="2:9">
      <c r="B92" s="248" t="s">
        <v>693</v>
      </c>
      <c r="C92" s="248" t="s">
        <v>203</v>
      </c>
      <c r="D92" s="298">
        <v>156123.4</v>
      </c>
      <c r="E92" s="87">
        <f t="shared" si="5"/>
        <v>6.4457525385598893E-3</v>
      </c>
      <c r="F92" s="265">
        <v>2.9500000000000002E-2</v>
      </c>
      <c r="G92" s="265">
        <v>0.1</v>
      </c>
      <c r="H92" s="87">
        <f t="shared" si="3"/>
        <v>0.13097500000000001</v>
      </c>
      <c r="I92" s="88">
        <f t="shared" si="4"/>
        <v>8.4423243873788152E-4</v>
      </c>
    </row>
    <row r="93" spans="2:9">
      <c r="B93" s="248" t="s">
        <v>694</v>
      </c>
      <c r="C93" s="248" t="s">
        <v>204</v>
      </c>
      <c r="D93" s="298">
        <v>15068.63</v>
      </c>
      <c r="E93" s="87">
        <f t="shared" si="5"/>
        <v>6.2212749706398718E-4</v>
      </c>
      <c r="F93" s="265">
        <v>2.7400000000000001E-2</v>
      </c>
      <c r="G93" s="265">
        <v>4.4999999999999998E-2</v>
      </c>
      <c r="H93" s="87">
        <f t="shared" si="3"/>
        <v>7.3016499999999998E-2</v>
      </c>
      <c r="I93" s="88">
        <f t="shared" si="4"/>
        <v>4.5425572389372621E-5</v>
      </c>
    </row>
    <row r="94" spans="2:9">
      <c r="B94" s="248" t="s">
        <v>695</v>
      </c>
      <c r="C94" s="248" t="s">
        <v>205</v>
      </c>
      <c r="D94" s="298">
        <v>14095.4</v>
      </c>
      <c r="E94" s="87">
        <f t="shared" si="5"/>
        <v>5.8194646242662571E-4</v>
      </c>
      <c r="F94" s="265">
        <v>4.0599999999999997E-2</v>
      </c>
      <c r="G94" s="265">
        <v>0.105</v>
      </c>
      <c r="H94" s="87">
        <f t="shared" si="3"/>
        <v>0.14773149999999999</v>
      </c>
      <c r="I94" s="88">
        <f t="shared" si="4"/>
        <v>8.597182381397905E-5</v>
      </c>
    </row>
    <row r="95" spans="2:9">
      <c r="B95" s="248" t="s">
        <v>696</v>
      </c>
      <c r="C95" s="248" t="s">
        <v>206</v>
      </c>
      <c r="D95" s="298">
        <v>71105.63</v>
      </c>
      <c r="E95" s="87">
        <f t="shared" si="5"/>
        <v>2.9356860988064585E-3</v>
      </c>
      <c r="F95" s="265">
        <v>3.2599999999999997E-2</v>
      </c>
      <c r="G95" s="265">
        <v>0.13</v>
      </c>
      <c r="H95" s="87">
        <f t="shared" si="3"/>
        <v>0.164719</v>
      </c>
      <c r="I95" s="88">
        <f t="shared" si="4"/>
        <v>4.8356327850930108E-4</v>
      </c>
    </row>
    <row r="96" spans="2:9">
      <c r="B96" s="248" t="s">
        <v>697</v>
      </c>
      <c r="C96" s="248" t="s">
        <v>207</v>
      </c>
      <c r="D96" s="298">
        <v>73182.27</v>
      </c>
      <c r="E96" s="87">
        <f t="shared" si="5"/>
        <v>3.0214228144536648E-3</v>
      </c>
      <c r="F96" s="265">
        <v>1.8700000000000001E-2</v>
      </c>
      <c r="G96" s="265">
        <v>0.1</v>
      </c>
      <c r="H96" s="87">
        <f t="shared" si="3"/>
        <v>0.11963500000000001</v>
      </c>
      <c r="I96" s="88">
        <f t="shared" si="4"/>
        <v>3.614679184071642E-4</v>
      </c>
    </row>
    <row r="97" spans="2:9">
      <c r="B97" s="248" t="s">
        <v>698</v>
      </c>
      <c r="C97" s="248" t="s">
        <v>208</v>
      </c>
      <c r="D97" s="298">
        <v>13151.02</v>
      </c>
      <c r="E97" s="87">
        <f t="shared" si="5"/>
        <v>5.4295653662200468E-4</v>
      </c>
      <c r="F97" s="265">
        <v>1.2199999999999999E-2</v>
      </c>
      <c r="G97" s="265">
        <v>0.14499999999999999</v>
      </c>
      <c r="H97" s="87">
        <f t="shared" si="3"/>
        <v>0.15808449999999999</v>
      </c>
      <c r="I97" s="88">
        <f t="shared" si="4"/>
        <v>8.5833012613621291E-5</v>
      </c>
    </row>
    <row r="98" spans="2:9">
      <c r="B98" s="248" t="s">
        <v>699</v>
      </c>
      <c r="C98" s="248" t="s">
        <v>209</v>
      </c>
      <c r="D98" s="298">
        <v>17906.21</v>
      </c>
      <c r="E98" s="87">
        <f t="shared" si="5"/>
        <v>7.3928058550791541E-4</v>
      </c>
      <c r="F98" s="265">
        <v>0</v>
      </c>
      <c r="G98" s="265">
        <v>0.11</v>
      </c>
      <c r="H98" s="87">
        <f t="shared" si="3"/>
        <v>0.11</v>
      </c>
      <c r="I98" s="88">
        <f t="shared" si="4"/>
        <v>8.1320864405870694E-5</v>
      </c>
    </row>
    <row r="99" spans="2:9">
      <c r="B99" s="248" t="s">
        <v>700</v>
      </c>
      <c r="C99" s="248" t="s">
        <v>210</v>
      </c>
      <c r="D99" s="298">
        <v>15112.5</v>
      </c>
      <c r="E99" s="87">
        <f t="shared" si="5"/>
        <v>6.2393872564257716E-4</v>
      </c>
      <c r="F99" s="265">
        <v>1.9400000000000001E-2</v>
      </c>
      <c r="G99" s="265">
        <v>9.5000000000000001E-2</v>
      </c>
      <c r="H99" s="87">
        <f t="shared" si="3"/>
        <v>0.11532150000000001</v>
      </c>
      <c r="I99" s="88">
        <f t="shared" si="4"/>
        <v>7.1953549749190459E-5</v>
      </c>
    </row>
    <row r="100" spans="2:9">
      <c r="B100" s="248" t="s">
        <v>701</v>
      </c>
      <c r="C100" s="248" t="s">
        <v>211</v>
      </c>
      <c r="D100" s="298">
        <v>59072</v>
      </c>
      <c r="E100" s="87">
        <f t="shared" si="5"/>
        <v>2.4388624252213941E-3</v>
      </c>
      <c r="F100" s="265">
        <v>3.4500000000000003E-2</v>
      </c>
      <c r="G100" s="265">
        <v>0.125</v>
      </c>
      <c r="H100" s="87">
        <f t="shared" si="3"/>
        <v>0.16165625</v>
      </c>
      <c r="I100" s="88">
        <f t="shared" si="4"/>
        <v>3.94257353927196E-4</v>
      </c>
    </row>
    <row r="101" spans="2:9">
      <c r="B101" s="248" t="s">
        <v>702</v>
      </c>
      <c r="C101" s="248" t="s">
        <v>212</v>
      </c>
      <c r="D101" s="298">
        <v>23161.65</v>
      </c>
      <c r="E101" s="87">
        <f t="shared" si="5"/>
        <v>9.5625808997713141E-4</v>
      </c>
      <c r="F101" s="265">
        <v>4.5499999999999999E-2</v>
      </c>
      <c r="G101" s="265">
        <v>0.1</v>
      </c>
      <c r="H101" s="87">
        <f t="shared" si="3"/>
        <v>0.14777499999999999</v>
      </c>
      <c r="I101" s="88">
        <f t="shared" si="4"/>
        <v>1.4131103924637059E-4</v>
      </c>
    </row>
    <row r="102" spans="2:9">
      <c r="B102" s="248" t="s">
        <v>703</v>
      </c>
      <c r="C102" s="248" t="s">
        <v>213</v>
      </c>
      <c r="D102" s="298">
        <v>18652.59</v>
      </c>
      <c r="E102" s="87">
        <f t="shared" si="5"/>
        <v>7.7009583024208292E-4</v>
      </c>
      <c r="F102" s="265">
        <v>0</v>
      </c>
      <c r="G102" s="265">
        <v>0.125</v>
      </c>
      <c r="H102" s="87">
        <f t="shared" si="3"/>
        <v>0.125</v>
      </c>
      <c r="I102" s="88">
        <f t="shared" si="4"/>
        <v>9.6261978780260365E-5</v>
      </c>
    </row>
    <row r="103" spans="2:9">
      <c r="B103" s="248" t="s">
        <v>1195</v>
      </c>
      <c r="C103" s="248" t="s">
        <v>1196</v>
      </c>
      <c r="D103" s="298">
        <v>17893</v>
      </c>
      <c r="E103" s="87">
        <f t="shared" si="5"/>
        <v>7.3873519390720488E-4</v>
      </c>
      <c r="F103" s="265">
        <v>9.5999999999999992E-3</v>
      </c>
      <c r="G103" s="265">
        <v>9.5000000000000001E-2</v>
      </c>
      <c r="H103" s="87">
        <f t="shared" si="3"/>
        <v>0.105056</v>
      </c>
      <c r="I103" s="88">
        <f t="shared" si="4"/>
        <v>7.7608564531115315E-5</v>
      </c>
    </row>
    <row r="104" spans="2:9">
      <c r="B104" s="248" t="s">
        <v>1112</v>
      </c>
      <c r="C104" s="248" t="s">
        <v>705</v>
      </c>
      <c r="D104" s="298">
        <v>15045.55</v>
      </c>
      <c r="E104" s="87">
        <f t="shared" si="5"/>
        <v>6.2117460999779495E-4</v>
      </c>
      <c r="F104" s="265">
        <v>2.0400000000000001E-2</v>
      </c>
      <c r="G104" s="265">
        <v>8.5000000000000006E-2</v>
      </c>
      <c r="H104" s="87">
        <f t="shared" si="3"/>
        <v>0.106267</v>
      </c>
      <c r="I104" s="88">
        <f t="shared" si="4"/>
        <v>6.601036228063568E-5</v>
      </c>
    </row>
    <row r="105" spans="2:9">
      <c r="B105" s="248" t="s">
        <v>704</v>
      </c>
      <c r="C105" s="248" t="s">
        <v>214</v>
      </c>
      <c r="D105" s="298">
        <v>69851.02</v>
      </c>
      <c r="E105" s="87">
        <f t="shared" si="5"/>
        <v>2.8838879340700859E-3</v>
      </c>
      <c r="F105" s="265">
        <v>0</v>
      </c>
      <c r="G105" s="265">
        <v>0.09</v>
      </c>
      <c r="H105" s="87">
        <f t="shared" si="3"/>
        <v>0.09</v>
      </c>
      <c r="I105" s="88">
        <f t="shared" si="4"/>
        <v>2.595499140663077E-4</v>
      </c>
    </row>
    <row r="106" spans="2:9">
      <c r="B106" s="248" t="s">
        <v>706</v>
      </c>
      <c r="C106" s="248" t="s">
        <v>215</v>
      </c>
      <c r="D106" s="298">
        <v>21744.36</v>
      </c>
      <c r="E106" s="87">
        <f t="shared" si="5"/>
        <v>8.977434751572162E-4</v>
      </c>
      <c r="F106" s="265">
        <v>1.0500000000000001E-2</v>
      </c>
      <c r="G106" s="265">
        <v>0.09</v>
      </c>
      <c r="H106" s="87">
        <f t="shared" si="3"/>
        <v>0.10097249999999999</v>
      </c>
      <c r="I106" s="88">
        <f t="shared" si="4"/>
        <v>9.0647403045312011E-5</v>
      </c>
    </row>
    <row r="107" spans="2:9">
      <c r="B107" s="248" t="s">
        <v>707</v>
      </c>
      <c r="C107" s="248" t="s">
        <v>216</v>
      </c>
      <c r="D107" s="298">
        <v>10775.19</v>
      </c>
      <c r="E107" s="87" t="str">
        <f t="shared" si="5"/>
        <v>N/A</v>
      </c>
      <c r="F107" s="265">
        <v>2.5399999999999999E-2</v>
      </c>
      <c r="G107" s="265" t="s">
        <v>150</v>
      </c>
      <c r="H107" s="87" t="str">
        <f t="shared" si="3"/>
        <v>N/A</v>
      </c>
      <c r="I107" s="88" t="str">
        <f t="shared" si="4"/>
        <v>N/A</v>
      </c>
    </row>
    <row r="108" spans="2:9">
      <c r="B108" s="248" t="s">
        <v>708</v>
      </c>
      <c r="C108" s="248" t="s">
        <v>217</v>
      </c>
      <c r="D108" s="298">
        <v>16099.91</v>
      </c>
      <c r="E108" s="87">
        <f t="shared" si="5"/>
        <v>6.6470519956064083E-4</v>
      </c>
      <c r="F108" s="265">
        <v>4.0999999999999995E-2</v>
      </c>
      <c r="G108" s="265">
        <v>9.5000000000000001E-2</v>
      </c>
      <c r="H108" s="87">
        <f t="shared" si="3"/>
        <v>0.1379475</v>
      </c>
      <c r="I108" s="88">
        <f t="shared" si="4"/>
        <v>9.1694420516391504E-5</v>
      </c>
    </row>
    <row r="109" spans="2:9">
      <c r="B109" s="248" t="s">
        <v>709</v>
      </c>
      <c r="C109" s="248" t="s">
        <v>218</v>
      </c>
      <c r="D109" s="298">
        <v>18433.09</v>
      </c>
      <c r="E109" s="87">
        <f t="shared" si="5"/>
        <v>7.6103349440892855E-4</v>
      </c>
      <c r="F109" s="265">
        <v>1.2199999999999999E-2</v>
      </c>
      <c r="G109" s="265">
        <v>0.09</v>
      </c>
      <c r="H109" s="87">
        <f t="shared" si="3"/>
        <v>0.10274899999999999</v>
      </c>
      <c r="I109" s="88">
        <f t="shared" si="4"/>
        <v>7.8195430517022998E-5</v>
      </c>
    </row>
    <row r="110" spans="2:9">
      <c r="B110" s="248" t="s">
        <v>710</v>
      </c>
      <c r="C110" s="248" t="s">
        <v>219</v>
      </c>
      <c r="D110" s="298">
        <v>11413.62</v>
      </c>
      <c r="E110" s="87">
        <f t="shared" si="5"/>
        <v>4.7122577454217581E-4</v>
      </c>
      <c r="F110" s="265">
        <v>2.3799999999999998E-2</v>
      </c>
      <c r="G110" s="265">
        <v>0.09</v>
      </c>
      <c r="H110" s="87">
        <f t="shared" si="3"/>
        <v>0.114871</v>
      </c>
      <c r="I110" s="88">
        <f t="shared" si="4"/>
        <v>5.413017594743428E-5</v>
      </c>
    </row>
    <row r="111" spans="2:9">
      <c r="B111" s="248" t="s">
        <v>711</v>
      </c>
      <c r="C111" s="248" t="s">
        <v>220</v>
      </c>
      <c r="D111" s="298">
        <v>91027.46</v>
      </c>
      <c r="E111" s="87">
        <f t="shared" si="5"/>
        <v>3.7581841118862311E-3</v>
      </c>
      <c r="F111" s="265">
        <v>0</v>
      </c>
      <c r="G111" s="265">
        <v>0.17499999999999999</v>
      </c>
      <c r="H111" s="87">
        <f t="shared" si="3"/>
        <v>0.17499999999999999</v>
      </c>
      <c r="I111" s="88">
        <f t="shared" si="4"/>
        <v>6.5768221958009037E-4</v>
      </c>
    </row>
    <row r="112" spans="2:9">
      <c r="B112" s="248" t="s">
        <v>712</v>
      </c>
      <c r="C112" s="248" t="s">
        <v>221</v>
      </c>
      <c r="D112" s="298">
        <v>56562.05</v>
      </c>
      <c r="E112" s="87">
        <f t="shared" si="5"/>
        <v>2.3352359567729848E-3</v>
      </c>
      <c r="F112" s="265">
        <v>2.9999999999999997E-4</v>
      </c>
      <c r="G112" s="265">
        <v>0.14499999999999999</v>
      </c>
      <c r="H112" s="87">
        <f t="shared" si="3"/>
        <v>0.14532175</v>
      </c>
      <c r="I112" s="88">
        <f t="shared" si="4"/>
        <v>3.3936057590117449E-4</v>
      </c>
    </row>
    <row r="113" spans="2:9">
      <c r="B113" s="248" t="s">
        <v>713</v>
      </c>
      <c r="C113" s="248" t="s">
        <v>222</v>
      </c>
      <c r="D113" s="298">
        <v>19039.150000000001</v>
      </c>
      <c r="E113" s="87">
        <f t="shared" si="5"/>
        <v>7.8605545001276254E-4</v>
      </c>
      <c r="F113" s="265">
        <v>1.9199999999999998E-2</v>
      </c>
      <c r="G113" s="265">
        <v>8.5000000000000006E-2</v>
      </c>
      <c r="H113" s="87">
        <f t="shared" si="3"/>
        <v>0.105016</v>
      </c>
      <c r="I113" s="88">
        <f t="shared" si="4"/>
        <v>8.2548399138540263E-5</v>
      </c>
    </row>
    <row r="114" spans="2:9">
      <c r="B114" s="248" t="s">
        <v>714</v>
      </c>
      <c r="C114" s="248" t="s">
        <v>223</v>
      </c>
      <c r="D114" s="298">
        <v>62394.2</v>
      </c>
      <c r="E114" s="87">
        <f t="shared" si="5"/>
        <v>2.5760236648792777E-3</v>
      </c>
      <c r="F114" s="265">
        <v>2.3700000000000002E-2</v>
      </c>
      <c r="G114" s="265">
        <v>0.06</v>
      </c>
      <c r="H114" s="87">
        <f t="shared" si="3"/>
        <v>8.4411E-2</v>
      </c>
      <c r="I114" s="88">
        <f t="shared" si="4"/>
        <v>2.1744473357612472E-4</v>
      </c>
    </row>
    <row r="115" spans="2:9">
      <c r="B115" s="248" t="s">
        <v>715</v>
      </c>
      <c r="C115" s="248" t="s">
        <v>224</v>
      </c>
      <c r="D115" s="298">
        <v>18927.05</v>
      </c>
      <c r="E115" s="87">
        <f t="shared" si="5"/>
        <v>7.8142725936630861E-4</v>
      </c>
      <c r="F115" s="265">
        <v>2.8199999999999999E-2</v>
      </c>
      <c r="G115" s="265">
        <v>0.05</v>
      </c>
      <c r="H115" s="87">
        <f t="shared" si="3"/>
        <v>7.8905000000000003E-2</v>
      </c>
      <c r="I115" s="88">
        <f t="shared" si="4"/>
        <v>6.1658517900298586E-5</v>
      </c>
    </row>
    <row r="116" spans="2:9">
      <c r="B116" s="248" t="s">
        <v>716</v>
      </c>
      <c r="C116" s="248" t="s">
        <v>225</v>
      </c>
      <c r="D116" s="298">
        <v>9733.81</v>
      </c>
      <c r="E116" s="87">
        <f t="shared" si="5"/>
        <v>4.01872688638344E-4</v>
      </c>
      <c r="F116" s="265">
        <v>4.1200000000000001E-2</v>
      </c>
      <c r="G116" s="265">
        <v>0.11</v>
      </c>
      <c r="H116" s="87">
        <f t="shared" si="3"/>
        <v>0.15346599999999999</v>
      </c>
      <c r="I116" s="88">
        <f t="shared" si="4"/>
        <v>6.1673794034572093E-5</v>
      </c>
    </row>
    <row r="117" spans="2:9">
      <c r="B117" s="248" t="s">
        <v>717</v>
      </c>
      <c r="C117" s="248" t="s">
        <v>226</v>
      </c>
      <c r="D117" s="298">
        <v>204069.8</v>
      </c>
      <c r="E117" s="87">
        <f t="shared" si="5"/>
        <v>8.4252804601578548E-3</v>
      </c>
      <c r="F117" s="265">
        <v>1.8700000000000001E-2</v>
      </c>
      <c r="G117" s="265">
        <v>0.13500000000000001</v>
      </c>
      <c r="H117" s="87">
        <f t="shared" si="3"/>
        <v>0.15496225000000002</v>
      </c>
      <c r="I117" s="88">
        <f t="shared" si="4"/>
        <v>1.3056004169870968E-3</v>
      </c>
    </row>
    <row r="118" spans="2:9">
      <c r="B118" s="248" t="s">
        <v>718</v>
      </c>
      <c r="C118" s="248" t="s">
        <v>227</v>
      </c>
      <c r="D118" s="298">
        <v>77139.960000000006</v>
      </c>
      <c r="E118" s="87">
        <f t="shared" si="5"/>
        <v>3.184821064583582E-3</v>
      </c>
      <c r="F118" s="265">
        <v>1.3899999999999999E-2</v>
      </c>
      <c r="G118" s="265">
        <v>0.03</v>
      </c>
      <c r="H118" s="87">
        <f t="shared" si="3"/>
        <v>4.4108499999999995E-2</v>
      </c>
      <c r="I118" s="88">
        <f t="shared" si="4"/>
        <v>1.4047767992718491E-4</v>
      </c>
    </row>
    <row r="119" spans="2:9">
      <c r="B119" s="248" t="s">
        <v>719</v>
      </c>
      <c r="C119" s="248" t="s">
        <v>228</v>
      </c>
      <c r="D119" s="298">
        <v>22666.31</v>
      </c>
      <c r="E119" s="87">
        <f t="shared" si="5"/>
        <v>9.3580734996986622E-4</v>
      </c>
      <c r="F119" s="265">
        <v>0</v>
      </c>
      <c r="G119" s="265">
        <v>0.26</v>
      </c>
      <c r="H119" s="87">
        <f t="shared" si="3"/>
        <v>0.26</v>
      </c>
      <c r="I119" s="88">
        <f t="shared" si="4"/>
        <v>2.4330991099216523E-4</v>
      </c>
    </row>
    <row r="120" spans="2:9">
      <c r="B120" s="248" t="s">
        <v>720</v>
      </c>
      <c r="C120" s="248" t="s">
        <v>229</v>
      </c>
      <c r="D120" s="298">
        <v>25240.11</v>
      </c>
      <c r="E120" s="87">
        <f t="shared" si="5"/>
        <v>1.0420699466321566E-3</v>
      </c>
      <c r="F120" s="265">
        <v>3.2799999999999996E-2</v>
      </c>
      <c r="G120" s="265">
        <v>0.08</v>
      </c>
      <c r="H120" s="87">
        <f t="shared" si="3"/>
        <v>0.11411199999999999</v>
      </c>
      <c r="I120" s="88">
        <f t="shared" si="4"/>
        <v>1.1891268575008865E-4</v>
      </c>
    </row>
    <row r="121" spans="2:9">
      <c r="B121" s="248" t="s">
        <v>721</v>
      </c>
      <c r="C121" s="248" t="s">
        <v>5</v>
      </c>
      <c r="D121" s="298">
        <v>18458.349999999999</v>
      </c>
      <c r="E121" s="87">
        <f t="shared" si="5"/>
        <v>7.6207638553943175E-4</v>
      </c>
      <c r="F121" s="265">
        <v>2.4799999999999999E-2</v>
      </c>
      <c r="G121" s="265">
        <v>7.0000000000000007E-2</v>
      </c>
      <c r="H121" s="87">
        <f t="shared" si="3"/>
        <v>9.5668000000000003E-2</v>
      </c>
      <c r="I121" s="88">
        <f t="shared" si="4"/>
        <v>7.2906323651786357E-5</v>
      </c>
    </row>
    <row r="122" spans="2:9">
      <c r="B122" s="248" t="s">
        <v>722</v>
      </c>
      <c r="C122" s="248" t="s">
        <v>230</v>
      </c>
      <c r="D122" s="298">
        <v>17835.419999999998</v>
      </c>
      <c r="E122" s="87">
        <f t="shared" si="5"/>
        <v>7.3635793059388796E-4</v>
      </c>
      <c r="F122" s="265">
        <v>0</v>
      </c>
      <c r="G122" s="265">
        <v>0.155</v>
      </c>
      <c r="H122" s="87">
        <f t="shared" si="3"/>
        <v>0.155</v>
      </c>
      <c r="I122" s="88">
        <f t="shared" si="4"/>
        <v>1.1413547924205264E-4</v>
      </c>
    </row>
    <row r="123" spans="2:9">
      <c r="B123" s="248" t="s">
        <v>723</v>
      </c>
      <c r="C123" s="248" t="s">
        <v>6</v>
      </c>
      <c r="D123" s="298">
        <v>15126.68</v>
      </c>
      <c r="E123" s="87">
        <f t="shared" si="5"/>
        <v>6.2452416492327935E-4</v>
      </c>
      <c r="F123" s="265">
        <v>3.9199999999999999E-2</v>
      </c>
      <c r="G123" s="265">
        <v>0.125</v>
      </c>
      <c r="H123" s="87">
        <f t="shared" si="3"/>
        <v>0.16664999999999999</v>
      </c>
      <c r="I123" s="88">
        <f t="shared" si="4"/>
        <v>1.040769520844645E-4</v>
      </c>
    </row>
    <row r="124" spans="2:9">
      <c r="B124" s="248" t="s">
        <v>724</v>
      </c>
      <c r="C124" s="248" t="s">
        <v>231</v>
      </c>
      <c r="D124" s="298">
        <v>42861.45</v>
      </c>
      <c r="E124" s="87">
        <f t="shared" si="5"/>
        <v>1.769589312965627E-3</v>
      </c>
      <c r="F124" s="265">
        <v>1.7600000000000001E-2</v>
      </c>
      <c r="G124" s="265">
        <v>0.06</v>
      </c>
      <c r="H124" s="87">
        <f t="shared" si="3"/>
        <v>7.8128000000000003E-2</v>
      </c>
      <c r="I124" s="88">
        <f t="shared" si="4"/>
        <v>1.382544738433785E-4</v>
      </c>
    </row>
    <row r="125" spans="2:9">
      <c r="B125" s="248" t="s">
        <v>725</v>
      </c>
      <c r="C125" s="248" t="s">
        <v>232</v>
      </c>
      <c r="D125" s="298">
        <v>7183.72</v>
      </c>
      <c r="E125" s="87">
        <f t="shared" si="5"/>
        <v>2.9658898939110634E-4</v>
      </c>
      <c r="F125" s="265">
        <v>2.1000000000000001E-2</v>
      </c>
      <c r="G125" s="265">
        <v>0.46500000000000002</v>
      </c>
      <c r="H125" s="87">
        <f t="shared" si="3"/>
        <v>0.4908825</v>
      </c>
      <c r="I125" s="88">
        <f t="shared" si="4"/>
        <v>1.4559034458477976E-4</v>
      </c>
    </row>
    <row r="126" spans="2:9">
      <c r="B126" s="248" t="s">
        <v>726</v>
      </c>
      <c r="C126" s="248" t="s">
        <v>233</v>
      </c>
      <c r="D126" s="298">
        <v>14764.67</v>
      </c>
      <c r="E126" s="87">
        <f t="shared" si="5"/>
        <v>6.0957812303279993E-4</v>
      </c>
      <c r="F126" s="265">
        <v>2.0000000000000001E-4</v>
      </c>
      <c r="G126" s="265">
        <v>0.14499999999999999</v>
      </c>
      <c r="H126" s="87">
        <f t="shared" si="3"/>
        <v>0.1452145</v>
      </c>
      <c r="I126" s="88">
        <f t="shared" si="4"/>
        <v>8.8519582347146522E-5</v>
      </c>
    </row>
    <row r="127" spans="2:9">
      <c r="B127" s="248" t="s">
        <v>727</v>
      </c>
      <c r="C127" s="248" t="s">
        <v>234</v>
      </c>
      <c r="D127" s="298">
        <v>64032.99</v>
      </c>
      <c r="E127" s="87">
        <f t="shared" si="5"/>
        <v>2.6436831880684124E-3</v>
      </c>
      <c r="F127" s="265">
        <v>2.12E-2</v>
      </c>
      <c r="G127" s="265">
        <v>0.37</v>
      </c>
      <c r="H127" s="87">
        <f t="shared" si="3"/>
        <v>0.39512199999999997</v>
      </c>
      <c r="I127" s="88">
        <f t="shared" si="4"/>
        <v>1.0445773886359673E-3</v>
      </c>
    </row>
    <row r="128" spans="2:9">
      <c r="B128" s="248" t="s">
        <v>728</v>
      </c>
      <c r="C128" s="248" t="s">
        <v>235</v>
      </c>
      <c r="D128" s="298">
        <v>126779.9</v>
      </c>
      <c r="E128" s="87">
        <f t="shared" si="5"/>
        <v>5.2342689325454664E-3</v>
      </c>
      <c r="F128" s="265">
        <v>9.0000000000000011E-3</v>
      </c>
      <c r="G128" s="265">
        <v>8.5000000000000006E-2</v>
      </c>
      <c r="H128" s="87">
        <f t="shared" si="3"/>
        <v>9.4382500000000008E-2</v>
      </c>
      <c r="I128" s="88">
        <f t="shared" si="4"/>
        <v>4.9402338752597248E-4</v>
      </c>
    </row>
    <row r="129" spans="2:9">
      <c r="B129" s="248" t="s">
        <v>729</v>
      </c>
      <c r="C129" s="248" t="s">
        <v>236</v>
      </c>
      <c r="D129" s="298">
        <v>7784.5</v>
      </c>
      <c r="E129" s="87">
        <f t="shared" si="5"/>
        <v>3.2139295349972816E-4</v>
      </c>
      <c r="F129" s="265">
        <v>4.8300000000000003E-2</v>
      </c>
      <c r="G129" s="265">
        <v>0.05</v>
      </c>
      <c r="H129" s="87">
        <f t="shared" si="3"/>
        <v>9.9507499999999999E-2</v>
      </c>
      <c r="I129" s="88">
        <f t="shared" si="4"/>
        <v>3.1981009320374202E-5</v>
      </c>
    </row>
    <row r="130" spans="2:9">
      <c r="B130" s="248" t="s">
        <v>730</v>
      </c>
      <c r="C130" s="248" t="s">
        <v>237</v>
      </c>
      <c r="D130" s="298">
        <v>14056.7</v>
      </c>
      <c r="E130" s="87">
        <f t="shared" si="5"/>
        <v>5.8034868385376437E-4</v>
      </c>
      <c r="F130" s="265">
        <v>0.03</v>
      </c>
      <c r="G130" s="265">
        <v>5.0000000000000001E-3</v>
      </c>
      <c r="H130" s="87">
        <f t="shared" si="3"/>
        <v>3.5074999999999995E-2</v>
      </c>
      <c r="I130" s="88">
        <f t="shared" si="4"/>
        <v>2.0355730086170784E-5</v>
      </c>
    </row>
    <row r="131" spans="2:9">
      <c r="B131" s="248" t="s">
        <v>1113</v>
      </c>
      <c r="C131" s="248" t="s">
        <v>733</v>
      </c>
      <c r="D131" s="298">
        <v>4962.24</v>
      </c>
      <c r="E131" s="87">
        <f t="shared" si="5"/>
        <v>2.0487237068205936E-4</v>
      </c>
      <c r="F131" s="265">
        <v>0</v>
      </c>
      <c r="G131" s="265">
        <v>0.105</v>
      </c>
      <c r="H131" s="87">
        <f t="shared" si="3"/>
        <v>0.105</v>
      </c>
      <c r="I131" s="88">
        <f t="shared" si="4"/>
        <v>2.1511598921616232E-5</v>
      </c>
    </row>
    <row r="132" spans="2:9">
      <c r="B132" s="248" t="s">
        <v>731</v>
      </c>
      <c r="C132" s="248" t="s">
        <v>735</v>
      </c>
      <c r="D132" s="298">
        <v>18513.34</v>
      </c>
      <c r="E132" s="87">
        <f t="shared" si="5"/>
        <v>7.6434671741854423E-4</v>
      </c>
      <c r="F132" s="265">
        <v>0</v>
      </c>
      <c r="G132" s="265">
        <v>0.17499999999999999</v>
      </c>
      <c r="H132" s="87">
        <f t="shared" si="3"/>
        <v>0.17499999999999999</v>
      </c>
      <c r="I132" s="88">
        <f t="shared" si="4"/>
        <v>1.3376067554824524E-4</v>
      </c>
    </row>
    <row r="133" spans="2:9">
      <c r="B133" s="248" t="s">
        <v>732</v>
      </c>
      <c r="C133" s="248" t="s">
        <v>238</v>
      </c>
      <c r="D133" s="298">
        <v>118825.2</v>
      </c>
      <c r="E133" s="87">
        <f t="shared" si="5"/>
        <v>4.9058490562265914E-3</v>
      </c>
      <c r="F133" s="265">
        <v>0</v>
      </c>
      <c r="G133" s="265">
        <v>0.28999999999999998</v>
      </c>
      <c r="H133" s="87">
        <f t="shared" si="3"/>
        <v>0.28999999999999998</v>
      </c>
      <c r="I133" s="88">
        <f t="shared" si="4"/>
        <v>1.4226962263057114E-3</v>
      </c>
    </row>
    <row r="134" spans="2:9">
      <c r="B134" s="248" t="s">
        <v>734</v>
      </c>
      <c r="C134" s="248" t="s">
        <v>239</v>
      </c>
      <c r="D134" s="298">
        <v>210603.8</v>
      </c>
      <c r="E134" s="87">
        <f t="shared" si="5"/>
        <v>8.6950449354828239E-3</v>
      </c>
      <c r="F134" s="265">
        <v>2.87E-2</v>
      </c>
      <c r="G134" s="265">
        <v>0.08</v>
      </c>
      <c r="H134" s="87">
        <f t="shared" si="3"/>
        <v>0.109848</v>
      </c>
      <c r="I134" s="88">
        <f t="shared" si="4"/>
        <v>9.551332960729172E-4</v>
      </c>
    </row>
    <row r="135" spans="2:9">
      <c r="B135" s="248" t="s">
        <v>736</v>
      </c>
      <c r="C135" s="248" t="s">
        <v>240</v>
      </c>
      <c r="D135" s="298">
        <v>55409.38</v>
      </c>
      <c r="E135" s="87">
        <f t="shared" si="5"/>
        <v>2.2876465141998545E-3</v>
      </c>
      <c r="F135" s="265">
        <v>1.38E-2</v>
      </c>
      <c r="G135" s="265">
        <v>0.14499999999999999</v>
      </c>
      <c r="H135" s="87">
        <f t="shared" si="3"/>
        <v>0.15980049999999998</v>
      </c>
      <c r="I135" s="88">
        <f t="shared" si="4"/>
        <v>3.6556705679239383E-4</v>
      </c>
    </row>
    <row r="136" spans="2:9">
      <c r="B136" s="248" t="s">
        <v>737</v>
      </c>
      <c r="C136" s="248" t="s">
        <v>241</v>
      </c>
      <c r="D136" s="298">
        <v>27682.18</v>
      </c>
      <c r="E136" s="87">
        <f t="shared" si="5"/>
        <v>1.1428939032065136E-3</v>
      </c>
      <c r="F136" s="265">
        <v>8.3999999999999995E-3</v>
      </c>
      <c r="G136" s="265">
        <v>0.15</v>
      </c>
      <c r="H136" s="87">
        <f t="shared" si="3"/>
        <v>0.15903</v>
      </c>
      <c r="I136" s="88">
        <f t="shared" si="4"/>
        <v>1.8175441742693187E-4</v>
      </c>
    </row>
    <row r="137" spans="2:9">
      <c r="B137" s="248" t="s">
        <v>738</v>
      </c>
      <c r="C137" s="248" t="s">
        <v>242</v>
      </c>
      <c r="D137" s="298">
        <v>13670.32</v>
      </c>
      <c r="E137" s="87">
        <f t="shared" si="5"/>
        <v>5.6439649561133072E-4</v>
      </c>
      <c r="F137" s="265">
        <v>7.9699999999999993E-2</v>
      </c>
      <c r="G137" s="265">
        <v>0.01</v>
      </c>
      <c r="H137" s="87">
        <f t="shared" si="3"/>
        <v>9.0098499999999984E-2</v>
      </c>
      <c r="I137" s="88">
        <f t="shared" si="4"/>
        <v>5.0851277659837469E-5</v>
      </c>
    </row>
    <row r="138" spans="2:9">
      <c r="B138" s="248" t="s">
        <v>739</v>
      </c>
      <c r="C138" s="248" t="s">
        <v>243</v>
      </c>
      <c r="D138" s="298">
        <v>32932.32</v>
      </c>
      <c r="E138" s="87">
        <f t="shared" si="5"/>
        <v>1.3596525904551568E-3</v>
      </c>
      <c r="F138" s="265">
        <v>1.34E-2</v>
      </c>
      <c r="G138" s="265">
        <v>0.06</v>
      </c>
      <c r="H138" s="87">
        <f t="shared" si="3"/>
        <v>7.3801999999999993E-2</v>
      </c>
      <c r="I138" s="88">
        <f t="shared" si="4"/>
        <v>1.0034508048077148E-4</v>
      </c>
    </row>
    <row r="139" spans="2:9">
      <c r="B139" s="248" t="s">
        <v>1197</v>
      </c>
      <c r="C139" s="248" t="s">
        <v>1198</v>
      </c>
      <c r="D139" s="298">
        <v>20697.25</v>
      </c>
      <c r="E139" s="87" t="str">
        <f t="shared" si="5"/>
        <v>N/A</v>
      </c>
      <c r="F139" s="265">
        <v>1.95E-2</v>
      </c>
      <c r="G139" s="265" t="s">
        <v>150</v>
      </c>
      <c r="H139" s="87" t="str">
        <f t="shared" si="3"/>
        <v>N/A</v>
      </c>
      <c r="I139" s="88" t="str">
        <f t="shared" si="4"/>
        <v>N/A</v>
      </c>
    </row>
    <row r="140" spans="2:9">
      <c r="B140" s="248" t="s">
        <v>740</v>
      </c>
      <c r="C140" s="248" t="s">
        <v>244</v>
      </c>
      <c r="D140" s="298">
        <v>12505.49</v>
      </c>
      <c r="E140" s="87">
        <f t="shared" si="5"/>
        <v>5.1630501201892416E-4</v>
      </c>
      <c r="F140" s="265">
        <v>1.46E-2</v>
      </c>
      <c r="G140" s="265">
        <v>6.5000000000000002E-2</v>
      </c>
      <c r="H140" s="87">
        <f t="shared" si="3"/>
        <v>8.0074500000000007E-2</v>
      </c>
      <c r="I140" s="88">
        <f t="shared" si="4"/>
        <v>4.1342865684909348E-5</v>
      </c>
    </row>
    <row r="141" spans="2:9">
      <c r="B141" s="248" t="s">
        <v>741</v>
      </c>
      <c r="C141" s="248" t="s">
        <v>245</v>
      </c>
      <c r="D141" s="298">
        <v>80005.41</v>
      </c>
      <c r="E141" s="87">
        <f t="shared" si="5"/>
        <v>3.303124801317578E-3</v>
      </c>
      <c r="F141" s="265">
        <v>3.2500000000000001E-2</v>
      </c>
      <c r="G141" s="265">
        <v>6.5000000000000002E-2</v>
      </c>
      <c r="H141" s="87">
        <f t="shared" ref="H141:H204" si="6">IFERROR(F141*(1+0.5*G141)+G141,"N/A")</f>
        <v>9.8556250000000012E-2</v>
      </c>
      <c r="I141" s="88">
        <f t="shared" ref="I141:I204" si="7">IF(ISNUMBER(E141),H141*E141,"N/A")</f>
        <v>3.2554359369985558E-4</v>
      </c>
    </row>
    <row r="142" spans="2:9">
      <c r="B142" s="248" t="s">
        <v>742</v>
      </c>
      <c r="C142" s="248" t="s">
        <v>246</v>
      </c>
      <c r="D142" s="298">
        <v>228113.9</v>
      </c>
      <c r="E142" s="87">
        <f t="shared" ref="E142:E205" si="8">IF(H142="N/A","N/A",D142/$D$513)</f>
        <v>9.4179716173603493E-3</v>
      </c>
      <c r="F142" s="265">
        <v>3.9900000000000005E-2</v>
      </c>
      <c r="G142" s="265">
        <v>0.16500000000000001</v>
      </c>
      <c r="H142" s="87">
        <f t="shared" si="6"/>
        <v>0.20819175000000001</v>
      </c>
      <c r="I142" s="88">
        <f t="shared" si="7"/>
        <v>1.9607439924685817E-3</v>
      </c>
    </row>
    <row r="143" spans="2:9">
      <c r="B143" s="248" t="s">
        <v>743</v>
      </c>
      <c r="C143" s="248" t="s">
        <v>247</v>
      </c>
      <c r="D143" s="298">
        <v>13710.88</v>
      </c>
      <c r="E143" s="87">
        <f t="shared" si="8"/>
        <v>5.660710666427327E-4</v>
      </c>
      <c r="F143" s="265">
        <v>7.3000000000000001E-3</v>
      </c>
      <c r="G143" s="265">
        <v>0.19500000000000001</v>
      </c>
      <c r="H143" s="87">
        <f t="shared" si="6"/>
        <v>0.20301175000000002</v>
      </c>
      <c r="I143" s="88">
        <f t="shared" si="7"/>
        <v>1.149190778635078E-4</v>
      </c>
    </row>
    <row r="144" spans="2:9">
      <c r="B144" s="248" t="s">
        <v>744</v>
      </c>
      <c r="C144" s="248" t="s">
        <v>7</v>
      </c>
      <c r="D144" s="298">
        <v>64850.28</v>
      </c>
      <c r="E144" s="87">
        <f t="shared" si="8"/>
        <v>2.6774260420687713E-3</v>
      </c>
      <c r="F144" s="265">
        <v>4.6100000000000002E-2</v>
      </c>
      <c r="G144" s="265">
        <v>6.5000000000000002E-2</v>
      </c>
      <c r="H144" s="87">
        <f t="shared" si="6"/>
        <v>0.11259825000000001</v>
      </c>
      <c r="I144" s="88">
        <f t="shared" si="7"/>
        <v>3.0147348684137008E-4</v>
      </c>
    </row>
    <row r="145" spans="2:9">
      <c r="B145" s="248" t="s">
        <v>745</v>
      </c>
      <c r="C145" s="248" t="s">
        <v>248</v>
      </c>
      <c r="D145" s="298">
        <v>38218.81</v>
      </c>
      <c r="E145" s="87">
        <f t="shared" si="8"/>
        <v>1.5779120335467846E-3</v>
      </c>
      <c r="F145" s="265">
        <v>2.7400000000000001E-2</v>
      </c>
      <c r="G145" s="265">
        <v>0.1</v>
      </c>
      <c r="H145" s="87">
        <f t="shared" si="6"/>
        <v>0.12877</v>
      </c>
      <c r="I145" s="88">
        <f t="shared" si="7"/>
        <v>2.0318773255981944E-4</v>
      </c>
    </row>
    <row r="146" spans="2:9">
      <c r="B146" s="248" t="s">
        <v>1199</v>
      </c>
      <c r="C146" s="248" t="s">
        <v>1200</v>
      </c>
      <c r="D146" s="298">
        <v>50445.72</v>
      </c>
      <c r="E146" s="87" t="str">
        <f t="shared" si="8"/>
        <v>N/A</v>
      </c>
      <c r="F146" s="265">
        <v>1.78E-2</v>
      </c>
      <c r="G146" s="265" t="s">
        <v>150</v>
      </c>
      <c r="H146" s="87" t="str">
        <f t="shared" si="6"/>
        <v>N/A</v>
      </c>
      <c r="I146" s="88" t="str">
        <f t="shared" si="7"/>
        <v>N/A</v>
      </c>
    </row>
    <row r="147" spans="2:9">
      <c r="B147" s="248" t="s">
        <v>746</v>
      </c>
      <c r="C147" s="248" t="s">
        <v>249</v>
      </c>
      <c r="D147" s="298">
        <v>52398.02</v>
      </c>
      <c r="E147" s="87">
        <f t="shared" si="8"/>
        <v>2.163318698097222E-3</v>
      </c>
      <c r="F147" s="265">
        <v>1.83E-2</v>
      </c>
      <c r="G147" s="265">
        <v>0.14000000000000001</v>
      </c>
      <c r="H147" s="87">
        <f t="shared" si="6"/>
        <v>0.15958100000000003</v>
      </c>
      <c r="I147" s="88">
        <f t="shared" si="7"/>
        <v>3.4522456116105283E-4</v>
      </c>
    </row>
    <row r="148" spans="2:9">
      <c r="B148" s="248" t="s">
        <v>747</v>
      </c>
      <c r="C148" s="248" t="s">
        <v>250</v>
      </c>
      <c r="D148" s="298">
        <v>25989.29</v>
      </c>
      <c r="E148" s="87">
        <f t="shared" si="8"/>
        <v>1.0730007929168155E-3</v>
      </c>
      <c r="F148" s="265">
        <v>2.1600000000000001E-2</v>
      </c>
      <c r="G148" s="265">
        <v>7.4999999999999997E-2</v>
      </c>
      <c r="H148" s="87">
        <f t="shared" si="6"/>
        <v>9.7409999999999997E-2</v>
      </c>
      <c r="I148" s="88">
        <f t="shared" si="7"/>
        <v>1.0452100723802699E-4</v>
      </c>
    </row>
    <row r="149" spans="2:9">
      <c r="B149" s="248" t="s">
        <v>748</v>
      </c>
      <c r="C149" s="248" t="s">
        <v>251</v>
      </c>
      <c r="D149" s="298">
        <v>41002.35</v>
      </c>
      <c r="E149" s="87">
        <f t="shared" si="8"/>
        <v>1.6928340120662315E-3</v>
      </c>
      <c r="F149" s="265">
        <v>8.0000000000000002E-3</v>
      </c>
      <c r="G149" s="265">
        <v>0.12</v>
      </c>
      <c r="H149" s="87">
        <f t="shared" si="6"/>
        <v>0.12847999999999998</v>
      </c>
      <c r="I149" s="88">
        <f t="shared" si="7"/>
        <v>2.1749531387026941E-4</v>
      </c>
    </row>
    <row r="150" spans="2:9">
      <c r="B150" s="248" t="s">
        <v>749</v>
      </c>
      <c r="C150" s="248" t="s">
        <v>252</v>
      </c>
      <c r="D150" s="298">
        <v>14372.1</v>
      </c>
      <c r="E150" s="87">
        <f t="shared" si="8"/>
        <v>5.9337037279124456E-4</v>
      </c>
      <c r="F150" s="265">
        <v>1.9900000000000001E-2</v>
      </c>
      <c r="G150" s="265">
        <v>8.5000000000000006E-2</v>
      </c>
      <c r="H150" s="87">
        <f t="shared" si="6"/>
        <v>0.10574575</v>
      </c>
      <c r="I150" s="88">
        <f t="shared" si="7"/>
        <v>6.2746395098589749E-5</v>
      </c>
    </row>
    <row r="151" spans="2:9">
      <c r="B151" s="248" t="s">
        <v>750</v>
      </c>
      <c r="C151" s="248" t="s">
        <v>253</v>
      </c>
      <c r="D151" s="298">
        <v>19378.490000000002</v>
      </c>
      <c r="E151" s="87">
        <f t="shared" si="8"/>
        <v>8.0006553220694299E-4</v>
      </c>
      <c r="F151" s="265">
        <v>1.18E-2</v>
      </c>
      <c r="G151" s="265">
        <v>7.4999999999999997E-2</v>
      </c>
      <c r="H151" s="87">
        <f t="shared" si="6"/>
        <v>8.7242500000000001E-2</v>
      </c>
      <c r="I151" s="88">
        <f t="shared" si="7"/>
        <v>6.9799717193564222E-5</v>
      </c>
    </row>
    <row r="152" spans="2:9">
      <c r="B152" s="248" t="s">
        <v>751</v>
      </c>
      <c r="C152" s="248" t="s">
        <v>254</v>
      </c>
      <c r="D152" s="298">
        <v>102401.8</v>
      </c>
      <c r="E152" s="87">
        <f t="shared" si="8"/>
        <v>4.2277881618200865E-3</v>
      </c>
      <c r="F152" s="265">
        <v>4.7999999999999996E-3</v>
      </c>
      <c r="G152" s="265">
        <v>0.13500000000000001</v>
      </c>
      <c r="H152" s="87">
        <f t="shared" si="6"/>
        <v>0.140124</v>
      </c>
      <c r="I152" s="88">
        <f t="shared" si="7"/>
        <v>5.9241458838687783E-4</v>
      </c>
    </row>
    <row r="153" spans="2:9">
      <c r="B153" s="248" t="s">
        <v>752</v>
      </c>
      <c r="C153" s="248" t="s">
        <v>255</v>
      </c>
      <c r="D153" s="298">
        <v>233791.8</v>
      </c>
      <c r="E153" s="87">
        <f t="shared" si="8"/>
        <v>9.652390918622614E-3</v>
      </c>
      <c r="F153" s="265">
        <v>1.34E-2</v>
      </c>
      <c r="G153" s="265">
        <v>6.5000000000000002E-2</v>
      </c>
      <c r="H153" s="87">
        <f t="shared" si="6"/>
        <v>7.8835500000000003E-2</v>
      </c>
      <c r="I153" s="88">
        <f t="shared" si="7"/>
        <v>7.6095106426507313E-4</v>
      </c>
    </row>
    <row r="154" spans="2:9">
      <c r="B154" s="248" t="s">
        <v>753</v>
      </c>
      <c r="C154" s="248" t="s">
        <v>256</v>
      </c>
      <c r="D154" s="298">
        <v>13865.04</v>
      </c>
      <c r="E154" s="87">
        <f t="shared" si="8"/>
        <v>5.724357577226375E-4</v>
      </c>
      <c r="F154" s="265">
        <v>0</v>
      </c>
      <c r="G154" s="265">
        <v>0.18</v>
      </c>
      <c r="H154" s="87">
        <f t="shared" si="6"/>
        <v>0.18</v>
      </c>
      <c r="I154" s="88">
        <f t="shared" si="7"/>
        <v>1.0303843639007475E-4</v>
      </c>
    </row>
    <row r="155" spans="2:9">
      <c r="B155" s="248" t="s">
        <v>754</v>
      </c>
      <c r="C155" s="248" t="s">
        <v>257</v>
      </c>
      <c r="D155" s="298">
        <v>15978.67</v>
      </c>
      <c r="E155" s="87">
        <f t="shared" si="8"/>
        <v>6.5969965242436911E-4</v>
      </c>
      <c r="F155" s="265">
        <v>0</v>
      </c>
      <c r="G155" s="265">
        <v>-0.02</v>
      </c>
      <c r="H155" s="87">
        <f t="shared" si="6"/>
        <v>-0.02</v>
      </c>
      <c r="I155" s="88">
        <f t="shared" si="7"/>
        <v>-1.3193993048487383E-5</v>
      </c>
    </row>
    <row r="156" spans="2:9">
      <c r="B156" s="248" t="s">
        <v>755</v>
      </c>
      <c r="C156" s="248" t="s">
        <v>258</v>
      </c>
      <c r="D156" s="298">
        <v>26531.93</v>
      </c>
      <c r="E156" s="87">
        <f t="shared" si="8"/>
        <v>1.0954043734020223E-3</v>
      </c>
      <c r="F156" s="265">
        <v>3.5499999999999997E-2</v>
      </c>
      <c r="G156" s="265">
        <v>7.0000000000000007E-2</v>
      </c>
      <c r="H156" s="87">
        <f t="shared" si="6"/>
        <v>0.10674249999999999</v>
      </c>
      <c r="I156" s="88">
        <f t="shared" si="7"/>
        <v>1.1692620132786536E-4</v>
      </c>
    </row>
    <row r="157" spans="2:9">
      <c r="B157" s="248" t="s">
        <v>756</v>
      </c>
      <c r="C157" s="248" t="s">
        <v>259</v>
      </c>
      <c r="D157" s="298">
        <v>26630.53</v>
      </c>
      <c r="E157" s="87">
        <f t="shared" si="8"/>
        <v>1.099475199430036E-3</v>
      </c>
      <c r="F157" s="265">
        <v>0</v>
      </c>
      <c r="G157" s="265">
        <v>0.115</v>
      </c>
      <c r="H157" s="87">
        <f t="shared" si="6"/>
        <v>0.115</v>
      </c>
      <c r="I157" s="88">
        <f t="shared" si="7"/>
        <v>1.2643964793445414E-4</v>
      </c>
    </row>
    <row r="158" spans="2:9">
      <c r="B158" s="248" t="s">
        <v>757</v>
      </c>
      <c r="C158" s="248" t="s">
        <v>260</v>
      </c>
      <c r="D158" s="298">
        <v>14473.99</v>
      </c>
      <c r="E158" s="87">
        <f t="shared" si="8"/>
        <v>5.9757703064108555E-4</v>
      </c>
      <c r="F158" s="265">
        <v>1.9699999999999999E-2</v>
      </c>
      <c r="G158" s="265">
        <v>0.105</v>
      </c>
      <c r="H158" s="87">
        <f t="shared" si="6"/>
        <v>0.12573424999999999</v>
      </c>
      <c r="I158" s="88">
        <f t="shared" si="7"/>
        <v>7.5135899764883901E-5</v>
      </c>
    </row>
    <row r="159" spans="2:9">
      <c r="B159" s="248" t="s">
        <v>1176</v>
      </c>
      <c r="C159" s="248" t="s">
        <v>1177</v>
      </c>
      <c r="D159" s="298">
        <v>35101.910000000003</v>
      </c>
      <c r="E159" s="87" t="str">
        <f t="shared" si="8"/>
        <v>N/A</v>
      </c>
      <c r="F159" s="265">
        <v>6.1399999999999996E-2</v>
      </c>
      <c r="G159" s="265" t="s">
        <v>150</v>
      </c>
      <c r="H159" s="87" t="str">
        <f t="shared" si="6"/>
        <v>N/A</v>
      </c>
      <c r="I159" s="88" t="str">
        <f t="shared" si="7"/>
        <v>N/A</v>
      </c>
    </row>
    <row r="160" spans="2:9">
      <c r="B160" s="248" t="s">
        <v>758</v>
      </c>
      <c r="C160" s="248" t="s">
        <v>261</v>
      </c>
      <c r="D160" s="298">
        <v>12236.82</v>
      </c>
      <c r="E160" s="87">
        <f t="shared" si="8"/>
        <v>5.0521263038660717E-4</v>
      </c>
      <c r="F160" s="265">
        <v>2.76E-2</v>
      </c>
      <c r="G160" s="265">
        <v>4.4999999999999998E-2</v>
      </c>
      <c r="H160" s="87">
        <f t="shared" si="6"/>
        <v>7.3220999999999994E-2</v>
      </c>
      <c r="I160" s="88">
        <f t="shared" si="7"/>
        <v>3.6992174009537764E-5</v>
      </c>
    </row>
    <row r="161" spans="2:9">
      <c r="B161" s="248" t="s">
        <v>759</v>
      </c>
      <c r="C161" s="248" t="s">
        <v>262</v>
      </c>
      <c r="D161" s="298">
        <v>14333.76</v>
      </c>
      <c r="E161" s="87">
        <f t="shared" si="8"/>
        <v>5.9178745727487484E-4</v>
      </c>
      <c r="F161" s="265">
        <v>3.0600000000000002E-2</v>
      </c>
      <c r="G161" s="265">
        <v>0.11</v>
      </c>
      <c r="H161" s="87">
        <f t="shared" si="6"/>
        <v>0.14228299999999999</v>
      </c>
      <c r="I161" s="88">
        <f t="shared" si="7"/>
        <v>8.4201294783441014E-5</v>
      </c>
    </row>
    <row r="162" spans="2:9">
      <c r="B162" s="248" t="s">
        <v>760</v>
      </c>
      <c r="C162" s="248" t="s">
        <v>8</v>
      </c>
      <c r="D162" s="298">
        <v>24459.82</v>
      </c>
      <c r="E162" s="87">
        <f t="shared" si="8"/>
        <v>1.009854684549004E-3</v>
      </c>
      <c r="F162" s="265">
        <v>3.0299999999999997E-2</v>
      </c>
      <c r="G162" s="265">
        <v>5.5E-2</v>
      </c>
      <c r="H162" s="87">
        <f t="shared" si="6"/>
        <v>8.6133249999999995E-2</v>
      </c>
      <c r="I162" s="88">
        <f t="shared" si="7"/>
        <v>8.6982066007930487E-5</v>
      </c>
    </row>
    <row r="163" spans="2:9">
      <c r="B163" s="248" t="s">
        <v>761</v>
      </c>
      <c r="C163" s="248" t="s">
        <v>9</v>
      </c>
      <c r="D163" s="298">
        <v>70033.600000000006</v>
      </c>
      <c r="E163" s="87">
        <f t="shared" si="8"/>
        <v>2.8914259808874767E-3</v>
      </c>
      <c r="F163" s="265">
        <v>3.95E-2</v>
      </c>
      <c r="G163" s="265">
        <v>0.06</v>
      </c>
      <c r="H163" s="87">
        <f t="shared" si="6"/>
        <v>0.100685</v>
      </c>
      <c r="I163" s="88">
        <f t="shared" si="7"/>
        <v>2.9112322488565557E-4</v>
      </c>
    </row>
    <row r="164" spans="2:9">
      <c r="B164" s="248" t="s">
        <v>762</v>
      </c>
      <c r="C164" s="248" t="s">
        <v>263</v>
      </c>
      <c r="D164" s="298">
        <v>9210.49</v>
      </c>
      <c r="E164" s="87">
        <f t="shared" si="8"/>
        <v>3.802667588515269E-4</v>
      </c>
      <c r="F164" s="265">
        <v>0</v>
      </c>
      <c r="G164" s="265">
        <v>0.115</v>
      </c>
      <c r="H164" s="87">
        <f t="shared" si="6"/>
        <v>0.115</v>
      </c>
      <c r="I164" s="88">
        <f t="shared" si="7"/>
        <v>4.3730677267925596E-5</v>
      </c>
    </row>
    <row r="165" spans="2:9">
      <c r="B165" s="248" t="s">
        <v>763</v>
      </c>
      <c r="C165" s="248" t="s">
        <v>264</v>
      </c>
      <c r="D165" s="298">
        <v>9991.01</v>
      </c>
      <c r="E165" s="87">
        <f t="shared" si="8"/>
        <v>4.1249151677632721E-4</v>
      </c>
      <c r="F165" s="265">
        <v>1.4800000000000001E-2</v>
      </c>
      <c r="G165" s="265">
        <v>0.25</v>
      </c>
      <c r="H165" s="87">
        <f t="shared" si="6"/>
        <v>0.26665</v>
      </c>
      <c r="I165" s="88">
        <f t="shared" si="7"/>
        <v>1.0999086294840765E-4</v>
      </c>
    </row>
    <row r="166" spans="2:9">
      <c r="B166" s="248" t="s">
        <v>764</v>
      </c>
      <c r="C166" s="248" t="s">
        <v>265</v>
      </c>
      <c r="D166" s="298">
        <v>7749.35</v>
      </c>
      <c r="E166" s="87">
        <f t="shared" si="8"/>
        <v>3.1994174117838252E-4</v>
      </c>
      <c r="F166" s="265">
        <v>2.8399999999999998E-2</v>
      </c>
      <c r="G166" s="265">
        <v>0.1</v>
      </c>
      <c r="H166" s="87">
        <f t="shared" si="6"/>
        <v>0.12981999999999999</v>
      </c>
      <c r="I166" s="88">
        <f t="shared" si="7"/>
        <v>4.1534836839777615E-5</v>
      </c>
    </row>
    <row r="167" spans="2:9">
      <c r="B167" s="248" t="s">
        <v>765</v>
      </c>
      <c r="C167" s="248" t="s">
        <v>266</v>
      </c>
      <c r="D167" s="298">
        <v>28599.52</v>
      </c>
      <c r="E167" s="87">
        <f t="shared" si="8"/>
        <v>1.1807674483235333E-3</v>
      </c>
      <c r="F167" s="265">
        <v>0</v>
      </c>
      <c r="G167" s="265">
        <v>0.11</v>
      </c>
      <c r="H167" s="87">
        <f t="shared" si="6"/>
        <v>0.11</v>
      </c>
      <c r="I167" s="88">
        <f t="shared" si="7"/>
        <v>1.2988441931558866E-4</v>
      </c>
    </row>
    <row r="168" spans="2:9">
      <c r="B168" s="248" t="s">
        <v>766</v>
      </c>
      <c r="C168" s="248" t="s">
        <v>267</v>
      </c>
      <c r="D168" s="298">
        <v>32770.639999999999</v>
      </c>
      <c r="E168" s="87">
        <f t="shared" si="8"/>
        <v>1.352977426639647E-3</v>
      </c>
      <c r="F168" s="265">
        <v>1.49E-2</v>
      </c>
      <c r="G168" s="265">
        <v>0.1</v>
      </c>
      <c r="H168" s="87">
        <f t="shared" si="6"/>
        <v>0.115645</v>
      </c>
      <c r="I168" s="88">
        <f t="shared" si="7"/>
        <v>1.5646507450374196E-4</v>
      </c>
    </row>
    <row r="169" spans="2:9">
      <c r="B169" s="248" t="s">
        <v>767</v>
      </c>
      <c r="C169" s="248" t="s">
        <v>268</v>
      </c>
      <c r="D169" s="298">
        <v>57098.63</v>
      </c>
      <c r="E169" s="87">
        <f t="shared" si="8"/>
        <v>2.3573893424739139E-3</v>
      </c>
      <c r="F169" s="265">
        <v>9.300000000000001E-3</v>
      </c>
      <c r="G169" s="265">
        <v>0.1</v>
      </c>
      <c r="H169" s="87">
        <f t="shared" si="6"/>
        <v>0.109765</v>
      </c>
      <c r="I169" s="88">
        <f t="shared" si="7"/>
        <v>2.5875884117664916E-4</v>
      </c>
    </row>
    <row r="170" spans="2:9">
      <c r="B170" s="248" t="s">
        <v>768</v>
      </c>
      <c r="C170" s="248" t="s">
        <v>10</v>
      </c>
      <c r="D170" s="298">
        <v>31423.8</v>
      </c>
      <c r="E170" s="87">
        <f t="shared" si="8"/>
        <v>1.2973714294026279E-3</v>
      </c>
      <c r="F170" s="265">
        <v>3.2099999999999997E-2</v>
      </c>
      <c r="G170" s="265">
        <v>0.03</v>
      </c>
      <c r="H170" s="87">
        <f t="shared" si="6"/>
        <v>6.2581499999999984E-2</v>
      </c>
      <c r="I170" s="88">
        <f t="shared" si="7"/>
        <v>8.1191450109160531E-5</v>
      </c>
    </row>
    <row r="171" spans="2:9">
      <c r="B171" s="248" t="s">
        <v>769</v>
      </c>
      <c r="C171" s="248" t="s">
        <v>269</v>
      </c>
      <c r="D171" s="298">
        <v>17314.09</v>
      </c>
      <c r="E171" s="87">
        <f t="shared" si="8"/>
        <v>7.1483416048045588E-4</v>
      </c>
      <c r="F171" s="265">
        <v>1.09E-2</v>
      </c>
      <c r="G171" s="265">
        <v>7.4999999999999997E-2</v>
      </c>
      <c r="H171" s="87">
        <f t="shared" si="6"/>
        <v>8.6308750000000004E-2</v>
      </c>
      <c r="I171" s="88">
        <f t="shared" si="7"/>
        <v>6.1696442848367555E-5</v>
      </c>
    </row>
    <row r="172" spans="2:9">
      <c r="B172" s="248" t="s">
        <v>770</v>
      </c>
      <c r="C172" s="248" t="s">
        <v>270</v>
      </c>
      <c r="D172" s="298">
        <v>24878.93</v>
      </c>
      <c r="E172" s="87">
        <f t="shared" si="8"/>
        <v>1.0271581723441444E-3</v>
      </c>
      <c r="F172" s="265">
        <v>3.2099999999999997E-2</v>
      </c>
      <c r="G172" s="265">
        <v>0.14000000000000001</v>
      </c>
      <c r="H172" s="87">
        <f t="shared" si="6"/>
        <v>0.174347</v>
      </c>
      <c r="I172" s="88">
        <f t="shared" si="7"/>
        <v>1.7908194587368454E-4</v>
      </c>
    </row>
    <row r="173" spans="2:9">
      <c r="B173" s="248" t="s">
        <v>771</v>
      </c>
      <c r="C173" s="248" t="s">
        <v>271</v>
      </c>
      <c r="D173" s="298">
        <v>70668.73</v>
      </c>
      <c r="E173" s="87">
        <f t="shared" si="8"/>
        <v>2.9176481283030181E-3</v>
      </c>
      <c r="F173" s="265">
        <v>9.7999999999999997E-3</v>
      </c>
      <c r="G173" s="265">
        <v>0.14000000000000001</v>
      </c>
      <c r="H173" s="87">
        <f t="shared" si="6"/>
        <v>0.15048600000000001</v>
      </c>
      <c r="I173" s="88">
        <f t="shared" si="7"/>
        <v>4.3906519623580802E-4</v>
      </c>
    </row>
    <row r="174" spans="2:9">
      <c r="B174" s="248" t="s">
        <v>772</v>
      </c>
      <c r="C174" s="248" t="s">
        <v>272</v>
      </c>
      <c r="D174" s="298">
        <v>9921.52</v>
      </c>
      <c r="E174" s="87">
        <f t="shared" si="8"/>
        <v>4.0962253401074226E-4</v>
      </c>
      <c r="F174" s="265">
        <v>3.4200000000000001E-2</v>
      </c>
      <c r="G174" s="265">
        <v>0.08</v>
      </c>
      <c r="H174" s="87">
        <f t="shared" si="6"/>
        <v>0.115568</v>
      </c>
      <c r="I174" s="88">
        <f t="shared" si="7"/>
        <v>4.7339257010553466E-5</v>
      </c>
    </row>
    <row r="175" spans="2:9">
      <c r="B175" s="248" t="s">
        <v>773</v>
      </c>
      <c r="C175" s="248" t="s">
        <v>273</v>
      </c>
      <c r="D175" s="298">
        <v>39483.269999999997</v>
      </c>
      <c r="E175" s="87">
        <f t="shared" si="8"/>
        <v>1.6301168680232785E-3</v>
      </c>
      <c r="F175" s="265">
        <v>3.1E-2</v>
      </c>
      <c r="G175" s="265">
        <v>0.115</v>
      </c>
      <c r="H175" s="87">
        <f t="shared" si="6"/>
        <v>0.14778250000000001</v>
      </c>
      <c r="I175" s="88">
        <f t="shared" si="7"/>
        <v>2.4090274604865016E-4</v>
      </c>
    </row>
    <row r="176" spans="2:9">
      <c r="B176" s="248" t="s">
        <v>774</v>
      </c>
      <c r="C176" s="248" t="s">
        <v>274</v>
      </c>
      <c r="D176" s="298">
        <v>43599.199999999997</v>
      </c>
      <c r="E176" s="87">
        <f t="shared" si="8"/>
        <v>1.8000482572066731E-3</v>
      </c>
      <c r="F176" s="265">
        <v>1.5300000000000001E-2</v>
      </c>
      <c r="G176" s="265">
        <v>0.33</v>
      </c>
      <c r="H176" s="87">
        <f t="shared" si="6"/>
        <v>0.34782450000000004</v>
      </c>
      <c r="I176" s="88">
        <f t="shared" si="7"/>
        <v>6.2610088503878259E-4</v>
      </c>
    </row>
    <row r="177" spans="2:9">
      <c r="B177" s="248" t="s">
        <v>775</v>
      </c>
      <c r="C177" s="248" t="s">
        <v>275</v>
      </c>
      <c r="D177" s="298">
        <v>49451.18</v>
      </c>
      <c r="E177" s="87">
        <f t="shared" si="8"/>
        <v>2.0416546720080529E-3</v>
      </c>
      <c r="F177" s="265">
        <v>1.7899999999999999E-2</v>
      </c>
      <c r="G177" s="265">
        <v>0.23499999999999999</v>
      </c>
      <c r="H177" s="87">
        <f t="shared" si="6"/>
        <v>0.25500324999999996</v>
      </c>
      <c r="I177" s="88">
        <f t="shared" si="7"/>
        <v>5.2062857673973743E-4</v>
      </c>
    </row>
    <row r="178" spans="2:9">
      <c r="B178" s="248" t="s">
        <v>776</v>
      </c>
      <c r="C178" s="248" t="s">
        <v>276</v>
      </c>
      <c r="D178" s="298">
        <v>32049.58</v>
      </c>
      <c r="E178" s="87">
        <f t="shared" si="8"/>
        <v>1.3232075502120648E-3</v>
      </c>
      <c r="F178" s="265">
        <v>2.69E-2</v>
      </c>
      <c r="G178" s="265">
        <v>-0.13500000000000001</v>
      </c>
      <c r="H178" s="87">
        <f t="shared" si="6"/>
        <v>-0.10991575000000001</v>
      </c>
      <c r="I178" s="88">
        <f t="shared" si="7"/>
        <v>-1.4544135028722176E-4</v>
      </c>
    </row>
    <row r="179" spans="2:9">
      <c r="B179" s="248" t="s">
        <v>777</v>
      </c>
      <c r="C179" s="248" t="s">
        <v>21</v>
      </c>
      <c r="D179" s="298">
        <v>27587.919999999998</v>
      </c>
      <c r="E179" s="87">
        <f t="shared" si="8"/>
        <v>1.1390022595817611E-3</v>
      </c>
      <c r="F179" s="265">
        <v>2.58E-2</v>
      </c>
      <c r="G179" s="265">
        <v>5.5E-2</v>
      </c>
      <c r="H179" s="87">
        <f t="shared" si="6"/>
        <v>8.1509499999999999E-2</v>
      </c>
      <c r="I179" s="88">
        <f t="shared" si="7"/>
        <v>9.2839504677379555E-5</v>
      </c>
    </row>
    <row r="180" spans="2:9">
      <c r="B180" s="248" t="s">
        <v>778</v>
      </c>
      <c r="C180" s="248" t="s">
        <v>277</v>
      </c>
      <c r="D180" s="298">
        <v>21757.54</v>
      </c>
      <c r="E180" s="87">
        <f t="shared" si="8"/>
        <v>8.9828762816988579E-4</v>
      </c>
      <c r="F180" s="265">
        <v>2.4399999999999998E-2</v>
      </c>
      <c r="G180" s="265">
        <v>-5.0000000000000001E-3</v>
      </c>
      <c r="H180" s="87">
        <f t="shared" si="6"/>
        <v>1.9338999999999999E-2</v>
      </c>
      <c r="I180" s="88">
        <f t="shared" si="7"/>
        <v>1.7371984441177421E-5</v>
      </c>
    </row>
    <row r="181" spans="2:9">
      <c r="B181" s="248" t="s">
        <v>779</v>
      </c>
      <c r="C181" s="248" t="s">
        <v>278</v>
      </c>
      <c r="D181" s="298">
        <v>10078.23</v>
      </c>
      <c r="E181" s="87">
        <f t="shared" si="8"/>
        <v>4.1609250507413005E-4</v>
      </c>
      <c r="F181" s="265">
        <v>1.3300000000000001E-2</v>
      </c>
      <c r="G181" s="265">
        <v>0.17499999999999999</v>
      </c>
      <c r="H181" s="87">
        <f t="shared" si="6"/>
        <v>0.18946374999999999</v>
      </c>
      <c r="I181" s="88">
        <f t="shared" si="7"/>
        <v>7.8834446358238698E-5</v>
      </c>
    </row>
    <row r="182" spans="2:9">
      <c r="B182" s="248" t="s">
        <v>780</v>
      </c>
      <c r="C182" s="248" t="s">
        <v>279</v>
      </c>
      <c r="D182" s="298">
        <v>34645.800000000003</v>
      </c>
      <c r="E182" s="87">
        <f t="shared" si="8"/>
        <v>1.4303957850036462E-3</v>
      </c>
      <c r="F182" s="265">
        <v>3.44E-2</v>
      </c>
      <c r="G182" s="265">
        <v>0.09</v>
      </c>
      <c r="H182" s="87">
        <f t="shared" si="6"/>
        <v>0.125948</v>
      </c>
      <c r="I182" s="88">
        <f t="shared" si="7"/>
        <v>1.8015548832963924E-4</v>
      </c>
    </row>
    <row r="183" spans="2:9">
      <c r="B183" s="248" t="s">
        <v>781</v>
      </c>
      <c r="C183" s="248" t="s">
        <v>11</v>
      </c>
      <c r="D183" s="298">
        <v>23355.54</v>
      </c>
      <c r="E183" s="87">
        <f t="shared" si="8"/>
        <v>9.6426308448597099E-4</v>
      </c>
      <c r="F183" s="265">
        <v>3.1699999999999999E-2</v>
      </c>
      <c r="G183" s="265">
        <v>5.0000000000000001E-3</v>
      </c>
      <c r="H183" s="87">
        <f t="shared" si="6"/>
        <v>3.6779249999999993E-2</v>
      </c>
      <c r="I183" s="88">
        <f t="shared" si="7"/>
        <v>3.5464873050080639E-5</v>
      </c>
    </row>
    <row r="184" spans="2:9">
      <c r="B184" s="248" t="s">
        <v>782</v>
      </c>
      <c r="C184" s="248" t="s">
        <v>784</v>
      </c>
      <c r="D184" s="298">
        <v>15849.22</v>
      </c>
      <c r="E184" s="87" t="str">
        <f t="shared" si="8"/>
        <v>N/A</v>
      </c>
      <c r="F184" s="265">
        <v>3.0299999999999997E-2</v>
      </c>
      <c r="G184" s="265" t="s">
        <v>150</v>
      </c>
      <c r="H184" s="87" t="str">
        <f t="shared" si="6"/>
        <v>N/A</v>
      </c>
      <c r="I184" s="88" t="str">
        <f t="shared" si="7"/>
        <v>N/A</v>
      </c>
    </row>
    <row r="185" spans="2:9">
      <c r="B185" s="248" t="s">
        <v>783</v>
      </c>
      <c r="C185" s="248" t="s">
        <v>280</v>
      </c>
      <c r="D185" s="298">
        <v>46070.64</v>
      </c>
      <c r="E185" s="87">
        <f t="shared" si="8"/>
        <v>1.9020847914731475E-3</v>
      </c>
      <c r="F185" s="265">
        <v>0</v>
      </c>
      <c r="G185" s="265">
        <v>0.155</v>
      </c>
      <c r="H185" s="87">
        <f t="shared" si="6"/>
        <v>0.155</v>
      </c>
      <c r="I185" s="88">
        <f t="shared" si="7"/>
        <v>2.9482314267833789E-4</v>
      </c>
    </row>
    <row r="186" spans="2:9">
      <c r="B186" s="248" t="s">
        <v>785</v>
      </c>
      <c r="C186" s="248" t="s">
        <v>12</v>
      </c>
      <c r="D186" s="298">
        <v>47704.6</v>
      </c>
      <c r="E186" s="87">
        <f t="shared" si="8"/>
        <v>1.9695449019876848E-3</v>
      </c>
      <c r="F186" s="265">
        <v>3.0699999999999998E-2</v>
      </c>
      <c r="G186" s="265">
        <v>0.09</v>
      </c>
      <c r="H186" s="87">
        <f t="shared" si="6"/>
        <v>0.1220815</v>
      </c>
      <c r="I186" s="88">
        <f t="shared" si="7"/>
        <v>2.4044499595200953E-4</v>
      </c>
    </row>
    <row r="187" spans="2:9">
      <c r="B187" s="248" t="s">
        <v>786</v>
      </c>
      <c r="C187" s="248" t="s">
        <v>281</v>
      </c>
      <c r="D187" s="298">
        <v>12389.12</v>
      </c>
      <c r="E187" s="87">
        <f t="shared" si="8"/>
        <v>5.1150052900797124E-4</v>
      </c>
      <c r="F187" s="265">
        <v>1.37E-2</v>
      </c>
      <c r="G187" s="265">
        <v>0.09</v>
      </c>
      <c r="H187" s="87">
        <f t="shared" si="6"/>
        <v>0.10431649999999999</v>
      </c>
      <c r="I187" s="88">
        <f t="shared" si="7"/>
        <v>5.3357944934260027E-5</v>
      </c>
    </row>
    <row r="188" spans="2:9">
      <c r="B188" s="248" t="s">
        <v>787</v>
      </c>
      <c r="C188" s="248" t="s">
        <v>282</v>
      </c>
      <c r="D188" s="298">
        <v>19866.46</v>
      </c>
      <c r="E188" s="87">
        <f t="shared" si="8"/>
        <v>8.2021199241880777E-4</v>
      </c>
      <c r="F188" s="265">
        <v>1.0200000000000001E-2</v>
      </c>
      <c r="G188" s="265">
        <v>0.24</v>
      </c>
      <c r="H188" s="87">
        <f t="shared" si="6"/>
        <v>0.25142399999999998</v>
      </c>
      <c r="I188" s="88">
        <f t="shared" si="7"/>
        <v>2.0622097998190632E-4</v>
      </c>
    </row>
    <row r="189" spans="2:9">
      <c r="B189" s="248" t="s">
        <v>788</v>
      </c>
      <c r="C189" s="248" t="s">
        <v>283</v>
      </c>
      <c r="D189" s="298">
        <v>14995.73</v>
      </c>
      <c r="E189" s="87">
        <f t="shared" si="8"/>
        <v>6.1911772812441111E-4</v>
      </c>
      <c r="F189" s="265">
        <v>3.1200000000000002E-2</v>
      </c>
      <c r="G189" s="265">
        <v>0.04</v>
      </c>
      <c r="H189" s="87">
        <f t="shared" si="6"/>
        <v>7.1823999999999999E-2</v>
      </c>
      <c r="I189" s="88">
        <f t="shared" si="7"/>
        <v>4.4467511704807704E-5</v>
      </c>
    </row>
    <row r="190" spans="2:9">
      <c r="B190" s="248" t="s">
        <v>789</v>
      </c>
      <c r="C190" s="248" t="s">
        <v>25</v>
      </c>
      <c r="D190" s="298">
        <v>36467.160000000003</v>
      </c>
      <c r="E190" s="87">
        <f t="shared" si="8"/>
        <v>1.5055929421474916E-3</v>
      </c>
      <c r="F190" s="265">
        <v>6.5700000000000008E-2</v>
      </c>
      <c r="G190" s="265">
        <v>3.5000000000000003E-2</v>
      </c>
      <c r="H190" s="87">
        <f t="shared" si="6"/>
        <v>0.10184975000000002</v>
      </c>
      <c r="I190" s="88">
        <f t="shared" si="7"/>
        <v>1.533442647594865E-4</v>
      </c>
    </row>
    <row r="191" spans="2:9">
      <c r="B191" s="248" t="s">
        <v>790</v>
      </c>
      <c r="C191" s="248" t="s">
        <v>792</v>
      </c>
      <c r="D191" s="298">
        <v>14775.08</v>
      </c>
      <c r="E191" s="87">
        <f t="shared" si="8"/>
        <v>6.1000791308301933E-4</v>
      </c>
      <c r="F191" s="265">
        <v>8.3000000000000001E-3</v>
      </c>
      <c r="G191" s="265">
        <v>0.17</v>
      </c>
      <c r="H191" s="87">
        <f t="shared" si="6"/>
        <v>0.17900550000000001</v>
      </c>
      <c r="I191" s="88">
        <f t="shared" si="7"/>
        <v>1.0919477148538243E-4</v>
      </c>
    </row>
    <row r="192" spans="2:9">
      <c r="B192" s="248" t="s">
        <v>791</v>
      </c>
      <c r="C192" s="248" t="s">
        <v>284</v>
      </c>
      <c r="D192" s="298">
        <v>18342.97</v>
      </c>
      <c r="E192" s="87">
        <f t="shared" si="8"/>
        <v>7.5731277593383119E-4</v>
      </c>
      <c r="F192" s="265">
        <v>2.75E-2</v>
      </c>
      <c r="G192" s="265">
        <v>8.5000000000000006E-2</v>
      </c>
      <c r="H192" s="87">
        <f t="shared" si="6"/>
        <v>0.11366875000000001</v>
      </c>
      <c r="I192" s="88">
        <f t="shared" si="7"/>
        <v>8.608279659942868E-5</v>
      </c>
    </row>
    <row r="193" spans="2:9">
      <c r="B193" s="248" t="s">
        <v>793</v>
      </c>
      <c r="C193" s="248" t="s">
        <v>285</v>
      </c>
      <c r="D193" s="298">
        <v>514033.9</v>
      </c>
      <c r="E193" s="87">
        <f t="shared" si="8"/>
        <v>2.1222541373239635E-2</v>
      </c>
      <c r="F193" s="265">
        <v>0</v>
      </c>
      <c r="G193" s="265">
        <v>0.17499999999999999</v>
      </c>
      <c r="H193" s="87">
        <f t="shared" si="6"/>
        <v>0.17499999999999999</v>
      </c>
      <c r="I193" s="88">
        <f t="shared" si="7"/>
        <v>3.7139447403169356E-3</v>
      </c>
    </row>
    <row r="194" spans="2:9">
      <c r="B194" s="248" t="s">
        <v>794</v>
      </c>
      <c r="C194" s="248" t="s">
        <v>286</v>
      </c>
      <c r="D194" s="298">
        <v>7603.03</v>
      </c>
      <c r="E194" s="87">
        <f t="shared" si="8"/>
        <v>3.1390073443985332E-4</v>
      </c>
      <c r="F194" s="265">
        <v>1.6200000000000003E-2</v>
      </c>
      <c r="G194" s="265">
        <v>0.105</v>
      </c>
      <c r="H194" s="87">
        <f t="shared" si="6"/>
        <v>0.12205050000000001</v>
      </c>
      <c r="I194" s="88">
        <f t="shared" si="7"/>
        <v>3.8311741588751317E-5</v>
      </c>
    </row>
    <row r="195" spans="2:9">
      <c r="B195" s="248" t="s">
        <v>795</v>
      </c>
      <c r="C195" s="248" t="s">
        <v>287</v>
      </c>
      <c r="D195" s="298">
        <v>14219.8</v>
      </c>
      <c r="E195" s="87">
        <f t="shared" si="8"/>
        <v>5.8708247416988039E-4</v>
      </c>
      <c r="F195" s="265">
        <v>2.0400000000000001E-2</v>
      </c>
      <c r="G195" s="265">
        <v>0.22500000000000001</v>
      </c>
      <c r="H195" s="87">
        <f t="shared" si="6"/>
        <v>0.247695</v>
      </c>
      <c r="I195" s="88">
        <f t="shared" si="7"/>
        <v>1.4541739343950852E-4</v>
      </c>
    </row>
    <row r="196" spans="2:9">
      <c r="B196" s="248" t="s">
        <v>796</v>
      </c>
      <c r="C196" s="248" t="s">
        <v>288</v>
      </c>
      <c r="D196" s="298">
        <v>37873.699999999997</v>
      </c>
      <c r="E196" s="87">
        <f t="shared" si="8"/>
        <v>1.5636637295860561E-3</v>
      </c>
      <c r="F196" s="265">
        <v>1.89E-2</v>
      </c>
      <c r="G196" s="265">
        <v>7.4999999999999997E-2</v>
      </c>
      <c r="H196" s="87">
        <f t="shared" si="6"/>
        <v>9.4608749999999991E-2</v>
      </c>
      <c r="I196" s="88">
        <f t="shared" si="7"/>
        <v>1.4793627087647478E-4</v>
      </c>
    </row>
    <row r="197" spans="2:9">
      <c r="B197" s="248" t="s">
        <v>797</v>
      </c>
      <c r="C197" s="248" t="s">
        <v>289</v>
      </c>
      <c r="D197" s="298">
        <v>25928.89</v>
      </c>
      <c r="E197" s="87">
        <f t="shared" si="8"/>
        <v>1.0705071023276468E-3</v>
      </c>
      <c r="F197" s="265">
        <v>3.2400000000000005E-2</v>
      </c>
      <c r="G197" s="265">
        <v>0.08</v>
      </c>
      <c r="H197" s="87">
        <f t="shared" si="6"/>
        <v>0.11369600000000001</v>
      </c>
      <c r="I197" s="88">
        <f t="shared" si="7"/>
        <v>1.2171237550624414E-4</v>
      </c>
    </row>
    <row r="198" spans="2:9">
      <c r="B198" s="248" t="s">
        <v>798</v>
      </c>
      <c r="C198" s="248" t="s">
        <v>290</v>
      </c>
      <c r="D198" s="298">
        <v>8402.43</v>
      </c>
      <c r="E198" s="87">
        <f t="shared" si="8"/>
        <v>3.4690497710510899E-4</v>
      </c>
      <c r="F198" s="265">
        <v>0</v>
      </c>
      <c r="G198" s="265">
        <v>0.12</v>
      </c>
      <c r="H198" s="87">
        <f t="shared" si="6"/>
        <v>0.12</v>
      </c>
      <c r="I198" s="88">
        <f t="shared" si="7"/>
        <v>4.1628597252613077E-5</v>
      </c>
    </row>
    <row r="199" spans="2:9">
      <c r="B199" s="248" t="s">
        <v>799</v>
      </c>
      <c r="C199" s="248" t="s">
        <v>291</v>
      </c>
      <c r="D199" s="298">
        <v>43228.09</v>
      </c>
      <c r="E199" s="87">
        <f t="shared" si="8"/>
        <v>1.7847265102770972E-3</v>
      </c>
      <c r="F199" s="265">
        <v>1.0500000000000001E-2</v>
      </c>
      <c r="G199" s="265">
        <v>0.18</v>
      </c>
      <c r="H199" s="87">
        <f t="shared" si="6"/>
        <v>0.191445</v>
      </c>
      <c r="I199" s="88">
        <f t="shared" si="7"/>
        <v>3.4167696675999889E-4</v>
      </c>
    </row>
    <row r="200" spans="2:9">
      <c r="B200" s="248" t="s">
        <v>800</v>
      </c>
      <c r="C200" s="248" t="s">
        <v>292</v>
      </c>
      <c r="D200" s="298">
        <v>41282.01</v>
      </c>
      <c r="E200" s="87">
        <f t="shared" si="8"/>
        <v>1.7043801297842269E-3</v>
      </c>
      <c r="F200" s="265">
        <v>0</v>
      </c>
      <c r="G200" s="265">
        <v>0.105</v>
      </c>
      <c r="H200" s="87">
        <f t="shared" si="6"/>
        <v>0.105</v>
      </c>
      <c r="I200" s="88">
        <f t="shared" si="7"/>
        <v>1.7895991362734383E-4</v>
      </c>
    </row>
    <row r="201" spans="2:9">
      <c r="B201" s="248" t="s">
        <v>801</v>
      </c>
      <c r="C201" s="248" t="s">
        <v>293</v>
      </c>
      <c r="D201" s="298">
        <v>20035.07</v>
      </c>
      <c r="E201" s="87">
        <f t="shared" si="8"/>
        <v>8.2717327007178346E-4</v>
      </c>
      <c r="F201" s="265">
        <v>3.5099999999999999E-2</v>
      </c>
      <c r="G201" s="265">
        <v>7.0000000000000007E-2</v>
      </c>
      <c r="H201" s="87">
        <f t="shared" si="6"/>
        <v>0.10632850000000001</v>
      </c>
      <c r="I201" s="88">
        <f t="shared" si="7"/>
        <v>8.7952093046827636E-5</v>
      </c>
    </row>
    <row r="202" spans="2:9">
      <c r="B202" s="248" t="s">
        <v>802</v>
      </c>
      <c r="C202" s="248" t="s">
        <v>294</v>
      </c>
      <c r="D202" s="298">
        <v>7259.86</v>
      </c>
      <c r="E202" s="87">
        <f t="shared" si="8"/>
        <v>2.9973252583910802E-4</v>
      </c>
      <c r="F202" s="265">
        <v>1.3300000000000001E-2</v>
      </c>
      <c r="G202" s="265">
        <v>0.12</v>
      </c>
      <c r="H202" s="87">
        <f t="shared" si="6"/>
        <v>0.13409799999999999</v>
      </c>
      <c r="I202" s="88">
        <f t="shared" si="7"/>
        <v>4.0193532249972706E-5</v>
      </c>
    </row>
    <row r="203" spans="2:9">
      <c r="B203" s="248" t="s">
        <v>803</v>
      </c>
      <c r="C203" s="248" t="s">
        <v>295</v>
      </c>
      <c r="D203" s="298">
        <v>6051.81</v>
      </c>
      <c r="E203" s="87">
        <f t="shared" si="8"/>
        <v>2.4985664974233287E-4</v>
      </c>
      <c r="F203" s="265">
        <v>1.6399999999999998E-2</v>
      </c>
      <c r="G203" s="265">
        <v>0.13500000000000001</v>
      </c>
      <c r="H203" s="87">
        <f t="shared" si="6"/>
        <v>0.152507</v>
      </c>
      <c r="I203" s="88">
        <f t="shared" si="7"/>
        <v>3.8104888082253962E-5</v>
      </c>
    </row>
    <row r="204" spans="2:9">
      <c r="B204" s="248" t="s">
        <v>804</v>
      </c>
      <c r="C204" s="248" t="s">
        <v>806</v>
      </c>
      <c r="D204" s="298">
        <v>25328.799999999999</v>
      </c>
      <c r="E204" s="87">
        <f t="shared" si="8"/>
        <v>1.0457316257439673E-3</v>
      </c>
      <c r="F204" s="265">
        <v>0</v>
      </c>
      <c r="G204" s="265">
        <v>0.16500000000000001</v>
      </c>
      <c r="H204" s="87">
        <f t="shared" si="6"/>
        <v>0.16500000000000001</v>
      </c>
      <c r="I204" s="88">
        <f t="shared" si="7"/>
        <v>1.7254571824775462E-4</v>
      </c>
    </row>
    <row r="205" spans="2:9">
      <c r="B205" s="248" t="s">
        <v>805</v>
      </c>
      <c r="C205" s="248" t="s">
        <v>296</v>
      </c>
      <c r="D205" s="298">
        <v>11403.76</v>
      </c>
      <c r="E205" s="87">
        <f t="shared" si="8"/>
        <v>4.7081869193937441E-4</v>
      </c>
      <c r="F205" s="265">
        <v>1.9400000000000001E-2</v>
      </c>
      <c r="G205" s="265">
        <v>0.15</v>
      </c>
      <c r="H205" s="87">
        <f t="shared" ref="H205:H268" si="9">IFERROR(F205*(1+0.5*G205)+G205,"N/A")</f>
        <v>0.17085499999999998</v>
      </c>
      <c r="I205" s="88">
        <f t="shared" ref="I205:I268" si="10">IF(ISNUMBER(E205),H205*E205,"N/A")</f>
        <v>8.0441727611301801E-5</v>
      </c>
    </row>
    <row r="206" spans="2:9">
      <c r="B206" s="248" t="s">
        <v>1178</v>
      </c>
      <c r="C206" s="248" t="s">
        <v>297</v>
      </c>
      <c r="D206" s="298" t="s">
        <v>150</v>
      </c>
      <c r="E206" s="87" t="str">
        <f t="shared" ref="E206:E269" si="11">IF(H206="N/A","N/A",D206/$D$513)</f>
        <v>N/A</v>
      </c>
      <c r="F206" s="265">
        <v>0</v>
      </c>
      <c r="G206" s="265" t="s">
        <v>150</v>
      </c>
      <c r="H206" s="87" t="str">
        <f t="shared" si="9"/>
        <v>N/A</v>
      </c>
      <c r="I206" s="88" t="str">
        <f t="shared" si="10"/>
        <v>N/A</v>
      </c>
    </row>
    <row r="207" spans="2:9">
      <c r="B207" s="248" t="s">
        <v>1114</v>
      </c>
      <c r="C207" s="248" t="s">
        <v>809</v>
      </c>
      <c r="D207" s="298">
        <v>16230.67</v>
      </c>
      <c r="E207" s="87">
        <f t="shared" si="11"/>
        <v>6.7010379196858285E-4</v>
      </c>
      <c r="F207" s="265">
        <v>7.9000000000000008E-3</v>
      </c>
      <c r="G207" s="265">
        <v>0.105</v>
      </c>
      <c r="H207" s="87">
        <f t="shared" si="9"/>
        <v>0.11331474999999999</v>
      </c>
      <c r="I207" s="88">
        <f t="shared" si="10"/>
        <v>7.5932643660971965E-5</v>
      </c>
    </row>
    <row r="208" spans="2:9">
      <c r="B208" s="248" t="s">
        <v>807</v>
      </c>
      <c r="C208" s="248" t="s">
        <v>298</v>
      </c>
      <c r="D208" s="298">
        <v>10107.65</v>
      </c>
      <c r="E208" s="87">
        <f t="shared" si="11"/>
        <v>4.1730714707964892E-4</v>
      </c>
      <c r="F208" s="265">
        <v>3.0899999999999997E-2</v>
      </c>
      <c r="G208" s="265">
        <v>3.5000000000000003E-2</v>
      </c>
      <c r="H208" s="87">
        <f t="shared" si="9"/>
        <v>6.6440749999999993E-2</v>
      </c>
      <c r="I208" s="88">
        <f t="shared" si="10"/>
        <v>2.7726199832332182E-5</v>
      </c>
    </row>
    <row r="209" spans="2:9">
      <c r="B209" s="248" t="s">
        <v>808</v>
      </c>
      <c r="C209" s="248" t="s">
        <v>299</v>
      </c>
      <c r="D209" s="298" t="s">
        <v>150</v>
      </c>
      <c r="E209" s="87" t="str">
        <f t="shared" si="11"/>
        <v>N/A</v>
      </c>
      <c r="F209" s="265">
        <v>0</v>
      </c>
      <c r="G209" s="265" t="s">
        <v>150</v>
      </c>
      <c r="H209" s="87" t="str">
        <f t="shared" si="9"/>
        <v>N/A</v>
      </c>
      <c r="I209" s="88" t="str">
        <f t="shared" si="10"/>
        <v>N/A</v>
      </c>
    </row>
    <row r="210" spans="2:9">
      <c r="B210" s="248" t="s">
        <v>810</v>
      </c>
      <c r="C210" s="248" t="s">
        <v>813</v>
      </c>
      <c r="D210" s="298">
        <v>13485.06</v>
      </c>
      <c r="E210" s="87">
        <f t="shared" si="11"/>
        <v>5.5674780159561228E-4</v>
      </c>
      <c r="F210" s="265">
        <v>0</v>
      </c>
      <c r="G210" s="265">
        <v>0.26</v>
      </c>
      <c r="H210" s="87">
        <f t="shared" si="9"/>
        <v>0.26</v>
      </c>
      <c r="I210" s="88">
        <f t="shared" si="10"/>
        <v>1.447544284148592E-4</v>
      </c>
    </row>
    <row r="211" spans="2:9">
      <c r="B211" s="248" t="s">
        <v>811</v>
      </c>
      <c r="C211" s="248" t="s">
        <v>300</v>
      </c>
      <c r="D211" s="298">
        <v>22800.49</v>
      </c>
      <c r="E211" s="87">
        <f t="shared" si="11"/>
        <v>9.4134714141447977E-4</v>
      </c>
      <c r="F211" s="265">
        <v>4.0999999999999995E-3</v>
      </c>
      <c r="G211" s="265">
        <v>0.1</v>
      </c>
      <c r="H211" s="87">
        <f t="shared" si="9"/>
        <v>0.10430500000000001</v>
      </c>
      <c r="I211" s="88">
        <f t="shared" si="10"/>
        <v>9.818721358523732E-5</v>
      </c>
    </row>
    <row r="212" spans="2:9">
      <c r="B212" s="248" t="s">
        <v>812</v>
      </c>
      <c r="C212" s="248" t="s">
        <v>301</v>
      </c>
      <c r="D212" s="298">
        <v>53724.98</v>
      </c>
      <c r="E212" s="87">
        <f t="shared" si="11"/>
        <v>2.2181039243257534E-3</v>
      </c>
      <c r="F212" s="265">
        <v>2.1899999999999999E-2</v>
      </c>
      <c r="G212" s="265">
        <v>0.06</v>
      </c>
      <c r="H212" s="87">
        <f t="shared" si="9"/>
        <v>8.2556999999999992E-2</v>
      </c>
      <c r="I212" s="88">
        <f t="shared" si="10"/>
        <v>1.8312000568056121E-4</v>
      </c>
    </row>
    <row r="213" spans="2:9">
      <c r="B213" s="248" t="s">
        <v>814</v>
      </c>
      <c r="C213" s="248" t="s">
        <v>302</v>
      </c>
      <c r="D213" s="298">
        <v>78718.2</v>
      </c>
      <c r="E213" s="87">
        <f t="shared" si="11"/>
        <v>3.2499807042433424E-3</v>
      </c>
      <c r="F213" s="265">
        <v>4.4000000000000003E-3</v>
      </c>
      <c r="G213" s="265">
        <v>2.5000000000000001E-2</v>
      </c>
      <c r="H213" s="87">
        <f t="shared" si="9"/>
        <v>2.9455000000000002E-2</v>
      </c>
      <c r="I213" s="88">
        <f t="shared" si="10"/>
        <v>9.5728181643487661E-5</v>
      </c>
    </row>
    <row r="214" spans="2:9">
      <c r="B214" s="248" t="s">
        <v>815</v>
      </c>
      <c r="C214" s="248" t="s">
        <v>303</v>
      </c>
      <c r="D214" s="298">
        <v>80201.100000000006</v>
      </c>
      <c r="E214" s="87">
        <f t="shared" si="11"/>
        <v>3.3112041111088768E-3</v>
      </c>
      <c r="F214" s="265">
        <v>3.9800000000000002E-2</v>
      </c>
      <c r="G214" s="265">
        <v>-1.4999999999999999E-2</v>
      </c>
      <c r="H214" s="87">
        <f t="shared" si="9"/>
        <v>2.4501500000000002E-2</v>
      </c>
      <c r="I214" s="88">
        <f t="shared" si="10"/>
        <v>8.1129467528334151E-5</v>
      </c>
    </row>
    <row r="215" spans="2:9">
      <c r="B215" s="248" t="s">
        <v>816</v>
      </c>
      <c r="C215" s="248" t="s">
        <v>304</v>
      </c>
      <c r="D215" s="298">
        <v>33219.46</v>
      </c>
      <c r="E215" s="87">
        <f t="shared" si="11"/>
        <v>1.3715075294580357E-3</v>
      </c>
      <c r="F215" s="265">
        <v>3.6000000000000004E-2</v>
      </c>
      <c r="G215" s="265">
        <v>0.04</v>
      </c>
      <c r="H215" s="87">
        <f t="shared" si="9"/>
        <v>7.672000000000001E-2</v>
      </c>
      <c r="I215" s="88">
        <f t="shared" si="10"/>
        <v>1.0522205766002051E-4</v>
      </c>
    </row>
    <row r="216" spans="2:9">
      <c r="B216" s="248" t="s">
        <v>1201</v>
      </c>
      <c r="C216" s="248" t="s">
        <v>1202</v>
      </c>
      <c r="D216" s="298">
        <v>10491.96</v>
      </c>
      <c r="E216" s="87">
        <f t="shared" si="11"/>
        <v>4.3317387274725513E-4</v>
      </c>
      <c r="F216" s="265">
        <v>7.1999999999999998E-3</v>
      </c>
      <c r="G216" s="265">
        <v>9.5000000000000001E-2</v>
      </c>
      <c r="H216" s="87">
        <f t="shared" si="9"/>
        <v>0.10254199999999999</v>
      </c>
      <c r="I216" s="88">
        <f t="shared" si="10"/>
        <v>4.4418515259249032E-5</v>
      </c>
    </row>
    <row r="217" spans="2:9">
      <c r="B217" s="248" t="s">
        <v>817</v>
      </c>
      <c r="C217" s="248" t="s">
        <v>305</v>
      </c>
      <c r="D217" s="298">
        <v>21991.17</v>
      </c>
      <c r="E217" s="87">
        <f t="shared" si="11"/>
        <v>9.079333389703406E-4</v>
      </c>
      <c r="F217" s="265">
        <v>2.8300000000000002E-2</v>
      </c>
      <c r="G217" s="265">
        <v>0.15</v>
      </c>
      <c r="H217" s="87">
        <f t="shared" si="9"/>
        <v>0.18042249999999999</v>
      </c>
      <c r="I217" s="88">
        <f t="shared" si="10"/>
        <v>1.6381160285037626E-4</v>
      </c>
    </row>
    <row r="218" spans="2:9">
      <c r="B218" s="248" t="s">
        <v>818</v>
      </c>
      <c r="C218" s="248" t="s">
        <v>306</v>
      </c>
      <c r="D218" s="298">
        <v>53696.89</v>
      </c>
      <c r="E218" s="87">
        <f t="shared" si="11"/>
        <v>2.2169441930567175E-3</v>
      </c>
      <c r="F218" s="265">
        <v>4.1500000000000002E-2</v>
      </c>
      <c r="G218" s="265">
        <v>2.5000000000000001E-2</v>
      </c>
      <c r="H218" s="87">
        <f t="shared" si="9"/>
        <v>6.7018750000000002E-2</v>
      </c>
      <c r="I218" s="88">
        <f t="shared" si="10"/>
        <v>1.4857682863841988E-4</v>
      </c>
    </row>
    <row r="219" spans="2:9">
      <c r="B219" s="248" t="s">
        <v>819</v>
      </c>
      <c r="C219" s="248" t="s">
        <v>307</v>
      </c>
      <c r="D219" s="298" t="s">
        <v>150</v>
      </c>
      <c r="E219" s="87" t="str">
        <f t="shared" si="11"/>
        <v>N/A</v>
      </c>
      <c r="F219" s="265">
        <v>0</v>
      </c>
      <c r="G219" s="265" t="s">
        <v>150</v>
      </c>
      <c r="H219" s="87" t="str">
        <f t="shared" si="9"/>
        <v>N/A</v>
      </c>
      <c r="I219" s="88" t="str">
        <f t="shared" si="10"/>
        <v>N/A</v>
      </c>
    </row>
    <row r="220" spans="2:9">
      <c r="B220" s="248" t="s">
        <v>820</v>
      </c>
      <c r="C220" s="248" t="s">
        <v>308</v>
      </c>
      <c r="D220" s="298">
        <v>14232.38</v>
      </c>
      <c r="E220" s="87">
        <f t="shared" si="11"/>
        <v>5.8760185542173051E-4</v>
      </c>
      <c r="F220" s="265">
        <v>3.1300000000000001E-2</v>
      </c>
      <c r="G220" s="265">
        <v>0.08</v>
      </c>
      <c r="H220" s="87">
        <f t="shared" si="9"/>
        <v>0.11255200000000001</v>
      </c>
      <c r="I220" s="88">
        <f t="shared" si="10"/>
        <v>6.6135764031426616E-5</v>
      </c>
    </row>
    <row r="221" spans="2:9">
      <c r="B221" s="248" t="s">
        <v>821</v>
      </c>
      <c r="C221" s="248" t="s">
        <v>309</v>
      </c>
      <c r="D221" s="298">
        <v>25071.13</v>
      </c>
      <c r="E221" s="87">
        <f t="shared" si="11"/>
        <v>1.035093393060009E-3</v>
      </c>
      <c r="F221" s="265">
        <v>2.9999999999999997E-4</v>
      </c>
      <c r="G221" s="265">
        <v>0.17499999999999999</v>
      </c>
      <c r="H221" s="87">
        <f t="shared" si="9"/>
        <v>0.17532624999999999</v>
      </c>
      <c r="I221" s="88">
        <f t="shared" si="10"/>
        <v>1.8147904300498739E-4</v>
      </c>
    </row>
    <row r="222" spans="2:9">
      <c r="B222" s="248" t="s">
        <v>822</v>
      </c>
      <c r="C222" s="248" t="s">
        <v>310</v>
      </c>
      <c r="D222" s="298">
        <v>6388.24</v>
      </c>
      <c r="E222" s="87">
        <f t="shared" si="11"/>
        <v>2.6374658889653845E-4</v>
      </c>
      <c r="F222" s="265">
        <v>5.7099999999999998E-2</v>
      </c>
      <c r="G222" s="265">
        <v>0.05</v>
      </c>
      <c r="H222" s="87">
        <f t="shared" si="9"/>
        <v>0.1085275</v>
      </c>
      <c r="I222" s="88">
        <f t="shared" si="10"/>
        <v>2.8623757926469077E-5</v>
      </c>
    </row>
    <row r="223" spans="2:9">
      <c r="B223" s="248" t="s">
        <v>823</v>
      </c>
      <c r="C223" s="248" t="s">
        <v>311</v>
      </c>
      <c r="D223" s="298">
        <v>16037</v>
      </c>
      <c r="E223" s="87">
        <f t="shared" si="11"/>
        <v>6.6210788043871032E-4</v>
      </c>
      <c r="F223" s="265">
        <v>2.7000000000000003E-2</v>
      </c>
      <c r="G223" s="265">
        <v>0.105</v>
      </c>
      <c r="H223" s="87">
        <f t="shared" si="9"/>
        <v>0.13341749999999999</v>
      </c>
      <c r="I223" s="88">
        <f t="shared" si="10"/>
        <v>8.8336778138431636E-5</v>
      </c>
    </row>
    <row r="224" spans="2:9">
      <c r="B224" s="248" t="s">
        <v>824</v>
      </c>
      <c r="C224" s="248" t="s">
        <v>312</v>
      </c>
      <c r="D224" s="298">
        <v>75071.429999999993</v>
      </c>
      <c r="E224" s="87">
        <f t="shared" si="11"/>
        <v>3.0994191805701196E-3</v>
      </c>
      <c r="F224" s="265">
        <v>2.4E-2</v>
      </c>
      <c r="G224" s="265">
        <v>8.5000000000000006E-2</v>
      </c>
      <c r="H224" s="87">
        <f t="shared" si="9"/>
        <v>0.11002000000000001</v>
      </c>
      <c r="I224" s="88">
        <f t="shared" si="10"/>
        <v>3.4099809824632456E-4</v>
      </c>
    </row>
    <row r="225" spans="2:9">
      <c r="B225" s="248" t="s">
        <v>825</v>
      </c>
      <c r="C225" s="248" t="s">
        <v>313</v>
      </c>
      <c r="D225" s="298">
        <v>16023.14</v>
      </c>
      <c r="E225" s="87">
        <f t="shared" si="11"/>
        <v>6.6153565276377856E-4</v>
      </c>
      <c r="F225" s="265">
        <v>1.9599999999999999E-2</v>
      </c>
      <c r="G225" s="265">
        <v>8.5000000000000006E-2</v>
      </c>
      <c r="H225" s="87">
        <f t="shared" si="9"/>
        <v>0.105433</v>
      </c>
      <c r="I225" s="88">
        <f t="shared" si="10"/>
        <v>6.974768847784347E-5</v>
      </c>
    </row>
    <row r="226" spans="2:9">
      <c r="B226" s="248" t="s">
        <v>826</v>
      </c>
      <c r="C226" s="248" t="s">
        <v>314</v>
      </c>
      <c r="D226" s="298">
        <v>16841.98</v>
      </c>
      <c r="E226" s="87">
        <f t="shared" si="11"/>
        <v>6.9534250047958784E-4</v>
      </c>
      <c r="F226" s="265">
        <v>3.7400000000000003E-2</v>
      </c>
      <c r="G226" s="265">
        <v>0.245</v>
      </c>
      <c r="H226" s="87">
        <f t="shared" si="9"/>
        <v>0.2869815</v>
      </c>
      <c r="I226" s="88">
        <f t="shared" si="10"/>
        <v>1.9955043380138283E-4</v>
      </c>
    </row>
    <row r="227" spans="2:9">
      <c r="B227" s="248" t="s">
        <v>827</v>
      </c>
      <c r="C227" s="248" t="s">
        <v>315</v>
      </c>
      <c r="D227" s="298">
        <v>14816.7</v>
      </c>
      <c r="E227" s="87">
        <f t="shared" si="11"/>
        <v>6.1172624755853589E-4</v>
      </c>
      <c r="F227" s="265">
        <v>2.3199999999999998E-2</v>
      </c>
      <c r="G227" s="265">
        <v>0.08</v>
      </c>
      <c r="H227" s="87">
        <f t="shared" si="9"/>
        <v>0.104128</v>
      </c>
      <c r="I227" s="88">
        <f t="shared" si="10"/>
        <v>6.3697830705775228E-5</v>
      </c>
    </row>
    <row r="228" spans="2:9">
      <c r="B228" s="248" t="s">
        <v>828</v>
      </c>
      <c r="C228" s="248" t="s">
        <v>316</v>
      </c>
      <c r="D228" s="298">
        <v>14789.23</v>
      </c>
      <c r="E228" s="87">
        <f t="shared" si="11"/>
        <v>6.1059211377568047E-4</v>
      </c>
      <c r="F228" s="265">
        <v>4.2800000000000005E-2</v>
      </c>
      <c r="G228" s="265">
        <v>0.115</v>
      </c>
      <c r="H228" s="87">
        <f t="shared" si="9"/>
        <v>0.16026100000000001</v>
      </c>
      <c r="I228" s="88">
        <f t="shared" si="10"/>
        <v>9.7854102745804339E-5</v>
      </c>
    </row>
    <row r="229" spans="2:9">
      <c r="B229" s="248" t="s">
        <v>829</v>
      </c>
      <c r="C229" s="248" t="s">
        <v>317</v>
      </c>
      <c r="D229" s="298">
        <v>5437.43</v>
      </c>
      <c r="E229" s="87">
        <f t="shared" si="11"/>
        <v>2.2449119238846774E-4</v>
      </c>
      <c r="F229" s="265">
        <v>3.9900000000000005E-2</v>
      </c>
      <c r="G229" s="265">
        <v>0.04</v>
      </c>
      <c r="H229" s="87">
        <f t="shared" si="9"/>
        <v>8.0698000000000006E-2</v>
      </c>
      <c r="I229" s="88">
        <f t="shared" si="10"/>
        <v>1.811599024336457E-5</v>
      </c>
    </row>
    <row r="230" spans="2:9">
      <c r="B230" s="248" t="s">
        <v>830</v>
      </c>
      <c r="C230" s="248" t="s">
        <v>318</v>
      </c>
      <c r="D230" s="298">
        <v>40343.410000000003</v>
      </c>
      <c r="E230" s="87">
        <f t="shared" si="11"/>
        <v>1.665628838608834E-3</v>
      </c>
      <c r="F230" s="265">
        <v>1.3500000000000002E-2</v>
      </c>
      <c r="G230" s="265">
        <v>0.12</v>
      </c>
      <c r="H230" s="87">
        <f t="shared" si="9"/>
        <v>0.13430999999999998</v>
      </c>
      <c r="I230" s="88">
        <f t="shared" si="10"/>
        <v>2.2371060931355248E-4</v>
      </c>
    </row>
    <row r="231" spans="2:9">
      <c r="B231" s="248" t="s">
        <v>831</v>
      </c>
      <c r="C231" s="248" t="s">
        <v>319</v>
      </c>
      <c r="D231" s="298">
        <v>16893.810000000001</v>
      </c>
      <c r="E231" s="87">
        <f t="shared" si="11"/>
        <v>6.9748236775171724E-4</v>
      </c>
      <c r="F231" s="265">
        <v>4.1799999999999997E-2</v>
      </c>
      <c r="G231" s="265">
        <v>-3.5000000000000003E-2</v>
      </c>
      <c r="H231" s="87">
        <f t="shared" si="9"/>
        <v>6.0684999999999975E-3</v>
      </c>
      <c r="I231" s="88">
        <f t="shared" si="10"/>
        <v>4.2326717487012939E-6</v>
      </c>
    </row>
    <row r="232" spans="2:9">
      <c r="B232" s="248" t="s">
        <v>832</v>
      </c>
      <c r="C232" s="248" t="s">
        <v>320</v>
      </c>
      <c r="D232" s="298">
        <v>251849.8</v>
      </c>
      <c r="E232" s="87">
        <f t="shared" si="11"/>
        <v>1.0397938346755198E-2</v>
      </c>
      <c r="F232" s="265">
        <v>2.6800000000000001E-2</v>
      </c>
      <c r="G232" s="265">
        <v>0.09</v>
      </c>
      <c r="H232" s="87">
        <f t="shared" si="9"/>
        <v>0.118006</v>
      </c>
      <c r="I232" s="88">
        <f t="shared" si="10"/>
        <v>1.227019112547194E-3</v>
      </c>
    </row>
    <row r="233" spans="2:9">
      <c r="B233" s="248" t="s">
        <v>833</v>
      </c>
      <c r="C233" s="248" t="s">
        <v>321</v>
      </c>
      <c r="D233" s="298">
        <v>18780.39</v>
      </c>
      <c r="E233" s="87" t="str">
        <f t="shared" si="11"/>
        <v>N/A</v>
      </c>
      <c r="F233" s="265">
        <v>1.6200000000000003E-2</v>
      </c>
      <c r="G233" s="265" t="s">
        <v>150</v>
      </c>
      <c r="H233" s="87" t="str">
        <f t="shared" si="9"/>
        <v>N/A</v>
      </c>
      <c r="I233" s="88" t="str">
        <f t="shared" si="10"/>
        <v>N/A</v>
      </c>
    </row>
    <row r="234" spans="2:9">
      <c r="B234" s="248" t="s">
        <v>834</v>
      </c>
      <c r="C234" s="248" t="s">
        <v>837</v>
      </c>
      <c r="D234" s="298">
        <v>8877.26</v>
      </c>
      <c r="E234" s="87">
        <f t="shared" si="11"/>
        <v>3.6650893575502564E-4</v>
      </c>
      <c r="F234" s="265">
        <v>2.52E-2</v>
      </c>
      <c r="G234" s="265">
        <v>0.18</v>
      </c>
      <c r="H234" s="87">
        <f t="shared" si="9"/>
        <v>0.20746799999999999</v>
      </c>
      <c r="I234" s="88">
        <f t="shared" si="10"/>
        <v>7.6038875883223649E-5</v>
      </c>
    </row>
    <row r="235" spans="2:9">
      <c r="B235" s="248" t="s">
        <v>835</v>
      </c>
      <c r="C235" s="248" t="s">
        <v>322</v>
      </c>
      <c r="D235" s="298">
        <v>21916.880000000001</v>
      </c>
      <c r="E235" s="87">
        <f t="shared" si="11"/>
        <v>9.0486618211819926E-4</v>
      </c>
      <c r="F235" s="265">
        <v>2.0099999999999996E-2</v>
      </c>
      <c r="G235" s="265">
        <v>0.125</v>
      </c>
      <c r="H235" s="87">
        <f t="shared" si="9"/>
        <v>0.14635624999999999</v>
      </c>
      <c r="I235" s="88">
        <f t="shared" si="10"/>
        <v>1.324328211666367E-4</v>
      </c>
    </row>
    <row r="236" spans="2:9">
      <c r="B236" s="248" t="s">
        <v>836</v>
      </c>
      <c r="C236" s="248" t="s">
        <v>323</v>
      </c>
      <c r="D236" s="298">
        <v>8870.36</v>
      </c>
      <c r="E236" s="87">
        <f t="shared" si="11"/>
        <v>3.6622406050560076E-4</v>
      </c>
      <c r="F236" s="265">
        <v>1.61E-2</v>
      </c>
      <c r="G236" s="265">
        <v>7.0000000000000007E-2</v>
      </c>
      <c r="H236" s="87">
        <f t="shared" si="9"/>
        <v>8.6663500000000004E-2</v>
      </c>
      <c r="I236" s="88">
        <f t="shared" si="10"/>
        <v>3.1738258867627129E-5</v>
      </c>
    </row>
    <row r="237" spans="2:9">
      <c r="B237" s="248" t="s">
        <v>838</v>
      </c>
      <c r="C237" s="248" t="s">
        <v>324</v>
      </c>
      <c r="D237" s="298">
        <v>26470.63</v>
      </c>
      <c r="E237" s="87">
        <f t="shared" si="11"/>
        <v>1.0928735251716244E-3</v>
      </c>
      <c r="F237" s="265">
        <v>6.5000000000000006E-3</v>
      </c>
      <c r="G237" s="265">
        <v>0.17</v>
      </c>
      <c r="H237" s="87">
        <f t="shared" si="9"/>
        <v>0.1770525</v>
      </c>
      <c r="I237" s="88">
        <f t="shared" si="10"/>
        <v>1.9349598981544902E-4</v>
      </c>
    </row>
    <row r="238" spans="2:9">
      <c r="B238" s="248" t="s">
        <v>839</v>
      </c>
      <c r="C238" s="248" t="s">
        <v>325</v>
      </c>
      <c r="D238" s="298">
        <v>5520.1</v>
      </c>
      <c r="E238" s="87">
        <f t="shared" si="11"/>
        <v>2.2790432816672228E-4</v>
      </c>
      <c r="F238" s="265">
        <v>4.2599999999999999E-2</v>
      </c>
      <c r="G238" s="265">
        <v>8.5000000000000006E-2</v>
      </c>
      <c r="H238" s="87">
        <f t="shared" si="9"/>
        <v>0.12941050000000001</v>
      </c>
      <c r="I238" s="88">
        <f t="shared" si="10"/>
        <v>2.9493213060219617E-5</v>
      </c>
    </row>
    <row r="239" spans="2:9">
      <c r="B239" s="248" t="s">
        <v>840</v>
      </c>
      <c r="C239" s="248" t="s">
        <v>326</v>
      </c>
      <c r="D239" s="298">
        <v>13248.45</v>
      </c>
      <c r="E239" s="87">
        <f t="shared" si="11"/>
        <v>5.4697905771642025E-4</v>
      </c>
      <c r="F239" s="265">
        <v>0</v>
      </c>
      <c r="G239" s="265">
        <v>0.12</v>
      </c>
      <c r="H239" s="87">
        <f t="shared" si="9"/>
        <v>0.12</v>
      </c>
      <c r="I239" s="88">
        <f t="shared" si="10"/>
        <v>6.5637486925970432E-5</v>
      </c>
    </row>
    <row r="240" spans="2:9">
      <c r="B240" s="248" t="s">
        <v>841</v>
      </c>
      <c r="C240" s="248" t="s">
        <v>327</v>
      </c>
      <c r="D240" s="298">
        <v>120179.4</v>
      </c>
      <c r="E240" s="87">
        <f t="shared" si="11"/>
        <v>4.9617589203963296E-3</v>
      </c>
      <c r="F240" s="265">
        <v>1.9599999999999999E-2</v>
      </c>
      <c r="G240" s="265">
        <v>8.5000000000000006E-2</v>
      </c>
      <c r="H240" s="87">
        <f t="shared" si="9"/>
        <v>0.105433</v>
      </c>
      <c r="I240" s="88">
        <f t="shared" si="10"/>
        <v>5.2313312825414619E-4</v>
      </c>
    </row>
    <row r="241" spans="2:9">
      <c r="B241" s="248" t="s">
        <v>842</v>
      </c>
      <c r="C241" s="248" t="s">
        <v>328</v>
      </c>
      <c r="D241" s="298">
        <v>4494.41</v>
      </c>
      <c r="E241" s="87" t="str">
        <f t="shared" si="11"/>
        <v>N/A</v>
      </c>
      <c r="F241" s="265">
        <v>6.9199999999999998E-2</v>
      </c>
      <c r="G241" s="265" t="s">
        <v>150</v>
      </c>
      <c r="H241" s="87" t="str">
        <f t="shared" si="9"/>
        <v>N/A</v>
      </c>
      <c r="I241" s="88" t="str">
        <f t="shared" si="10"/>
        <v>N/A</v>
      </c>
    </row>
    <row r="242" spans="2:9">
      <c r="B242" s="248" t="s">
        <v>843</v>
      </c>
      <c r="C242" s="248" t="s">
        <v>329</v>
      </c>
      <c r="D242" s="298">
        <v>19165.3</v>
      </c>
      <c r="E242" s="87">
        <f t="shared" si="11"/>
        <v>7.9126371272507422E-4</v>
      </c>
      <c r="F242" s="265">
        <v>3.0800000000000001E-2</v>
      </c>
      <c r="G242" s="265">
        <v>6.5000000000000002E-2</v>
      </c>
      <c r="H242" s="87">
        <f t="shared" si="9"/>
        <v>9.6800999999999998E-2</v>
      </c>
      <c r="I242" s="88">
        <f t="shared" si="10"/>
        <v>7.6595118655499903E-5</v>
      </c>
    </row>
    <row r="243" spans="2:9">
      <c r="B243" s="248" t="s">
        <v>844</v>
      </c>
      <c r="C243" s="248" t="s">
        <v>330</v>
      </c>
      <c r="D243" s="298">
        <v>27296.85</v>
      </c>
      <c r="E243" s="87">
        <f t="shared" si="11"/>
        <v>1.1269850655455142E-3</v>
      </c>
      <c r="F243" s="265">
        <v>3.6900000000000002E-2</v>
      </c>
      <c r="G243" s="265">
        <v>8.5000000000000006E-2</v>
      </c>
      <c r="H243" s="87">
        <f t="shared" si="9"/>
        <v>0.12346825</v>
      </c>
      <c r="I243" s="88">
        <f t="shared" si="10"/>
        <v>1.3914687381903992E-4</v>
      </c>
    </row>
    <row r="244" spans="2:9">
      <c r="B244" s="248" t="s">
        <v>845</v>
      </c>
      <c r="C244" s="248" t="s">
        <v>331</v>
      </c>
      <c r="D244" s="298">
        <v>4750.67</v>
      </c>
      <c r="E244" s="87">
        <f t="shared" si="11"/>
        <v>1.9613743495440345E-4</v>
      </c>
      <c r="F244" s="265">
        <v>4.4400000000000002E-2</v>
      </c>
      <c r="G244" s="265">
        <v>7.0000000000000007E-2</v>
      </c>
      <c r="H244" s="87">
        <f t="shared" si="9"/>
        <v>0.115954</v>
      </c>
      <c r="I244" s="88">
        <f t="shared" si="10"/>
        <v>2.2742920132702897E-5</v>
      </c>
    </row>
    <row r="245" spans="2:9">
      <c r="B245" s="248" t="s">
        <v>846</v>
      </c>
      <c r="C245" s="248" t="s">
        <v>332</v>
      </c>
      <c r="D245" s="298">
        <v>23236.43</v>
      </c>
      <c r="E245" s="87">
        <f t="shared" si="11"/>
        <v>9.5934547710060871E-4</v>
      </c>
      <c r="F245" s="265">
        <v>2.0199999999999999E-2</v>
      </c>
      <c r="G245" s="265">
        <v>0.09</v>
      </c>
      <c r="H245" s="87">
        <f t="shared" si="9"/>
        <v>0.111109</v>
      </c>
      <c r="I245" s="88">
        <f t="shared" si="10"/>
        <v>1.0659191661517154E-4</v>
      </c>
    </row>
    <row r="246" spans="2:9">
      <c r="B246" s="248" t="s">
        <v>847</v>
      </c>
      <c r="C246" s="248" t="s">
        <v>333</v>
      </c>
      <c r="D246" s="298">
        <v>9108.92</v>
      </c>
      <c r="E246" s="87">
        <f t="shared" si="11"/>
        <v>3.7607331260745635E-4</v>
      </c>
      <c r="F246" s="265">
        <v>0</v>
      </c>
      <c r="G246" s="265">
        <v>7.0000000000000007E-2</v>
      </c>
      <c r="H246" s="87">
        <f t="shared" si="9"/>
        <v>7.0000000000000007E-2</v>
      </c>
      <c r="I246" s="88">
        <f t="shared" si="10"/>
        <v>2.6325131882521948E-5</v>
      </c>
    </row>
    <row r="247" spans="2:9">
      <c r="B247" s="248" t="s">
        <v>848</v>
      </c>
      <c r="C247" s="248" t="s">
        <v>334</v>
      </c>
      <c r="D247" s="298">
        <v>12512.76</v>
      </c>
      <c r="E247" s="87">
        <f t="shared" si="11"/>
        <v>5.1660516318752117E-4</v>
      </c>
      <c r="F247" s="265">
        <v>4.8499999999999995E-2</v>
      </c>
      <c r="G247" s="265">
        <v>-1.4999999999999999E-2</v>
      </c>
      <c r="H247" s="87">
        <f t="shared" si="9"/>
        <v>3.3136249999999999E-2</v>
      </c>
      <c r="I247" s="88">
        <f t="shared" si="10"/>
        <v>1.7118357838672499E-5</v>
      </c>
    </row>
    <row r="248" spans="2:9">
      <c r="B248" s="248" t="s">
        <v>849</v>
      </c>
      <c r="C248" s="248" t="s">
        <v>335</v>
      </c>
      <c r="D248" s="298">
        <v>32346.19</v>
      </c>
      <c r="E248" s="87">
        <f t="shared" si="11"/>
        <v>1.3354534701732123E-3</v>
      </c>
      <c r="F248" s="265">
        <v>0.02</v>
      </c>
      <c r="G248" s="265">
        <v>6.5000000000000002E-2</v>
      </c>
      <c r="H248" s="87">
        <f t="shared" si="9"/>
        <v>8.5650000000000004E-2</v>
      </c>
      <c r="I248" s="88">
        <f t="shared" si="10"/>
        <v>1.1438158972033564E-4</v>
      </c>
    </row>
    <row r="249" spans="2:9">
      <c r="B249" s="248" t="s">
        <v>850</v>
      </c>
      <c r="C249" s="248" t="s">
        <v>336</v>
      </c>
      <c r="D249" s="298">
        <v>35652.69</v>
      </c>
      <c r="E249" s="87">
        <f t="shared" si="11"/>
        <v>1.4719665154229846E-3</v>
      </c>
      <c r="F249" s="265">
        <v>8.5000000000000006E-3</v>
      </c>
      <c r="G249" s="265">
        <v>0.115</v>
      </c>
      <c r="H249" s="87">
        <f t="shared" si="9"/>
        <v>0.12398875000000001</v>
      </c>
      <c r="I249" s="88">
        <f t="shared" si="10"/>
        <v>1.825072882891516E-4</v>
      </c>
    </row>
    <row r="250" spans="2:9">
      <c r="B250" s="248" t="s">
        <v>851</v>
      </c>
      <c r="C250" s="248" t="s">
        <v>337</v>
      </c>
      <c r="D250" s="298">
        <v>127167.3</v>
      </c>
      <c r="E250" s="87">
        <f t="shared" si="11"/>
        <v>5.250263232781294E-3</v>
      </c>
      <c r="F250" s="265">
        <v>4.5599999999999995E-2</v>
      </c>
      <c r="G250" s="265">
        <v>1.4999999999999999E-2</v>
      </c>
      <c r="H250" s="87">
        <f t="shared" si="9"/>
        <v>6.0941999999999996E-2</v>
      </c>
      <c r="I250" s="88">
        <f t="shared" si="10"/>
        <v>3.1996154193215758E-4</v>
      </c>
    </row>
    <row r="251" spans="2:9">
      <c r="B251" s="248" t="s">
        <v>852</v>
      </c>
      <c r="C251" s="248" t="s">
        <v>338</v>
      </c>
      <c r="D251" s="298">
        <v>52829.37</v>
      </c>
      <c r="E251" s="87">
        <f t="shared" si="11"/>
        <v>2.1811275298130816E-3</v>
      </c>
      <c r="F251" s="265">
        <v>1.1699999999999999E-2</v>
      </c>
      <c r="G251" s="265">
        <v>0.105</v>
      </c>
      <c r="H251" s="87">
        <f t="shared" si="9"/>
        <v>0.11731424999999999</v>
      </c>
      <c r="I251" s="88">
        <f t="shared" si="10"/>
        <v>2.5587734031437429E-4</v>
      </c>
    </row>
    <row r="252" spans="2:9">
      <c r="B252" s="248" t="s">
        <v>853</v>
      </c>
      <c r="C252" s="248" t="s">
        <v>339</v>
      </c>
      <c r="D252" s="298">
        <v>23683.49</v>
      </c>
      <c r="E252" s="87">
        <f t="shared" si="11"/>
        <v>9.7780291608726014E-4</v>
      </c>
      <c r="F252" s="265">
        <v>0</v>
      </c>
      <c r="G252" s="265">
        <v>0.13</v>
      </c>
      <c r="H252" s="87">
        <f t="shared" si="9"/>
        <v>0.13</v>
      </c>
      <c r="I252" s="88">
        <f t="shared" si="10"/>
        <v>1.2711437909134382E-4</v>
      </c>
    </row>
    <row r="253" spans="2:9">
      <c r="B253" s="248" t="s">
        <v>1203</v>
      </c>
      <c r="C253" s="248" t="s">
        <v>1204</v>
      </c>
      <c r="D253" s="298">
        <v>12427.04</v>
      </c>
      <c r="E253" s="87">
        <f t="shared" si="11"/>
        <v>5.1306610429176724E-4</v>
      </c>
      <c r="F253" s="265">
        <v>1.2199999999999999E-2</v>
      </c>
      <c r="G253" s="265">
        <v>9.5000000000000001E-2</v>
      </c>
      <c r="H253" s="87">
        <f t="shared" si="9"/>
        <v>0.1077795</v>
      </c>
      <c r="I253" s="88">
        <f t="shared" si="10"/>
        <v>5.5298008187514528E-5</v>
      </c>
    </row>
    <row r="254" spans="2:9">
      <c r="B254" s="248" t="s">
        <v>854</v>
      </c>
      <c r="C254" s="248" t="s">
        <v>340</v>
      </c>
      <c r="D254" s="298">
        <v>12791.53</v>
      </c>
      <c r="E254" s="87">
        <f t="shared" si="11"/>
        <v>5.2811453612696747E-4</v>
      </c>
      <c r="F254" s="265">
        <v>2.5399999999999999E-2</v>
      </c>
      <c r="G254" s="265">
        <v>8.5000000000000006E-2</v>
      </c>
      <c r="H254" s="87">
        <f t="shared" si="9"/>
        <v>0.11147950000000001</v>
      </c>
      <c r="I254" s="88">
        <f t="shared" si="10"/>
        <v>5.8873944430166278E-5</v>
      </c>
    </row>
    <row r="255" spans="2:9">
      <c r="B255" s="248" t="s">
        <v>855</v>
      </c>
      <c r="C255" s="248" t="s">
        <v>341</v>
      </c>
      <c r="D255" s="298">
        <v>44204.639999999999</v>
      </c>
      <c r="E255" s="87">
        <f t="shared" si="11"/>
        <v>1.8250446153243269E-3</v>
      </c>
      <c r="F255" s="265">
        <v>0</v>
      </c>
      <c r="G255" s="265">
        <v>0.14000000000000001</v>
      </c>
      <c r="H255" s="87">
        <f t="shared" si="9"/>
        <v>0.14000000000000001</v>
      </c>
      <c r="I255" s="88">
        <f t="shared" si="10"/>
        <v>2.5550624614540578E-4</v>
      </c>
    </row>
    <row r="256" spans="2:9">
      <c r="B256" s="248" t="s">
        <v>856</v>
      </c>
      <c r="C256" s="248" t="s">
        <v>342</v>
      </c>
      <c r="D256" s="298">
        <v>15848.51</v>
      </c>
      <c r="E256" s="87" t="str">
        <f t="shared" si="11"/>
        <v>N/A</v>
      </c>
      <c r="F256" s="265">
        <v>0</v>
      </c>
      <c r="G256" s="265" t="s">
        <v>150</v>
      </c>
      <c r="H256" s="87" t="str">
        <f t="shared" si="9"/>
        <v>N/A</v>
      </c>
      <c r="I256" s="88" t="str">
        <f t="shared" si="10"/>
        <v>N/A</v>
      </c>
    </row>
    <row r="257" spans="2:9">
      <c r="B257" s="248" t="s">
        <v>857</v>
      </c>
      <c r="C257" s="248" t="s">
        <v>343</v>
      </c>
      <c r="D257" s="298">
        <v>26399.21</v>
      </c>
      <c r="E257" s="87">
        <f t="shared" si="11"/>
        <v>1.0899248599087364E-3</v>
      </c>
      <c r="F257" s="265">
        <v>0</v>
      </c>
      <c r="G257" s="265">
        <v>0.17</v>
      </c>
      <c r="H257" s="87">
        <f t="shared" si="9"/>
        <v>0.17</v>
      </c>
      <c r="I257" s="88">
        <f t="shared" si="10"/>
        <v>1.8528722618448519E-4</v>
      </c>
    </row>
    <row r="258" spans="2:9">
      <c r="B258" s="248" t="s">
        <v>858</v>
      </c>
      <c r="C258" s="248" t="s">
        <v>344</v>
      </c>
      <c r="D258" s="298">
        <v>225575.6</v>
      </c>
      <c r="E258" s="87">
        <f t="shared" si="11"/>
        <v>9.3131746832132156E-3</v>
      </c>
      <c r="F258" s="265">
        <v>2.4700000000000003E-2</v>
      </c>
      <c r="G258" s="265">
        <v>0.105</v>
      </c>
      <c r="H258" s="87">
        <f t="shared" si="9"/>
        <v>0.13099675</v>
      </c>
      <c r="I258" s="88">
        <f t="shared" si="10"/>
        <v>1.2199956156832108E-3</v>
      </c>
    </row>
    <row r="259" spans="2:9">
      <c r="B259" s="248" t="s">
        <v>859</v>
      </c>
      <c r="C259" s="248" t="s">
        <v>345</v>
      </c>
      <c r="D259" s="298">
        <v>69947.56</v>
      </c>
      <c r="E259" s="87">
        <f t="shared" si="11"/>
        <v>2.8878737103859523E-3</v>
      </c>
      <c r="F259" s="265">
        <v>7.9000000000000008E-3</v>
      </c>
      <c r="G259" s="265">
        <v>0.13500000000000001</v>
      </c>
      <c r="H259" s="87">
        <f t="shared" si="9"/>
        <v>0.14343325000000001</v>
      </c>
      <c r="I259" s="88">
        <f t="shared" si="10"/>
        <v>4.1421711187021593E-4</v>
      </c>
    </row>
    <row r="260" spans="2:9">
      <c r="B260" s="248" t="s">
        <v>860</v>
      </c>
      <c r="C260" s="248" t="s">
        <v>346</v>
      </c>
      <c r="D260" s="298">
        <v>16275.95</v>
      </c>
      <c r="E260" s="87">
        <f t="shared" si="11"/>
        <v>6.7197323418509869E-4</v>
      </c>
      <c r="F260" s="265">
        <v>4.8399999999999999E-2</v>
      </c>
      <c r="G260" s="265">
        <v>0.105</v>
      </c>
      <c r="H260" s="87">
        <f t="shared" si="9"/>
        <v>0.155941</v>
      </c>
      <c r="I260" s="88">
        <f t="shared" si="10"/>
        <v>1.0478817811205847E-4</v>
      </c>
    </row>
    <row r="261" spans="2:9">
      <c r="B261" s="248" t="s">
        <v>861</v>
      </c>
      <c r="C261" s="248" t="s">
        <v>347</v>
      </c>
      <c r="D261" s="298">
        <v>8083.49</v>
      </c>
      <c r="E261" s="87">
        <f t="shared" si="11"/>
        <v>3.3373713477879345E-4</v>
      </c>
      <c r="F261" s="265">
        <v>4.7800000000000002E-2</v>
      </c>
      <c r="G261" s="265">
        <v>0.11</v>
      </c>
      <c r="H261" s="87">
        <f t="shared" si="9"/>
        <v>0.16042899999999999</v>
      </c>
      <c r="I261" s="88">
        <f t="shared" si="10"/>
        <v>5.3541114795427051E-5</v>
      </c>
    </row>
    <row r="262" spans="2:9">
      <c r="B262" s="248" t="s">
        <v>862</v>
      </c>
      <c r="C262" s="248" t="s">
        <v>348</v>
      </c>
      <c r="D262" s="298">
        <v>7130.78</v>
      </c>
      <c r="E262" s="87">
        <f t="shared" si="11"/>
        <v>2.9440329436146076E-4</v>
      </c>
      <c r="F262" s="265">
        <v>0</v>
      </c>
      <c r="G262" s="265">
        <v>9.5000000000000001E-2</v>
      </c>
      <c r="H262" s="87">
        <f t="shared" si="9"/>
        <v>9.5000000000000001E-2</v>
      </c>
      <c r="I262" s="88">
        <f t="shared" si="10"/>
        <v>2.7968312964338771E-5</v>
      </c>
    </row>
    <row r="263" spans="2:9">
      <c r="B263" s="248" t="s">
        <v>863</v>
      </c>
      <c r="C263" s="248" t="s">
        <v>349</v>
      </c>
      <c r="D263" s="298">
        <v>29730.27</v>
      </c>
      <c r="E263" s="87">
        <f t="shared" si="11"/>
        <v>1.2274518959013892E-3</v>
      </c>
      <c r="F263" s="265">
        <v>0</v>
      </c>
      <c r="G263" s="265">
        <v>0.125</v>
      </c>
      <c r="H263" s="87">
        <f t="shared" si="9"/>
        <v>0.125</v>
      </c>
      <c r="I263" s="88">
        <f t="shared" si="10"/>
        <v>1.5343148698767365E-4</v>
      </c>
    </row>
    <row r="264" spans="2:9">
      <c r="B264" s="248" t="s">
        <v>864</v>
      </c>
      <c r="C264" s="248" t="s">
        <v>350</v>
      </c>
      <c r="D264" s="298">
        <v>29829.93</v>
      </c>
      <c r="E264" s="87">
        <f t="shared" si="11"/>
        <v>1.2315664853735173E-3</v>
      </c>
      <c r="F264" s="265">
        <v>1.72E-2</v>
      </c>
      <c r="G264" s="265">
        <v>0.12</v>
      </c>
      <c r="H264" s="87">
        <f t="shared" si="9"/>
        <v>0.13823199999999999</v>
      </c>
      <c r="I264" s="88">
        <f t="shared" si="10"/>
        <v>1.7024189840615203E-4</v>
      </c>
    </row>
    <row r="265" spans="2:9">
      <c r="B265" s="248" t="s">
        <v>865</v>
      </c>
      <c r="C265" s="248" t="s">
        <v>351</v>
      </c>
      <c r="D265" s="298">
        <v>9160.15</v>
      </c>
      <c r="E265" s="87">
        <f t="shared" si="11"/>
        <v>3.7818840811876611E-4</v>
      </c>
      <c r="F265" s="265">
        <v>7.6499999999999999E-2</v>
      </c>
      <c r="G265" s="265">
        <v>8.5000000000000006E-2</v>
      </c>
      <c r="H265" s="87">
        <f t="shared" si="9"/>
        <v>0.16475125000000002</v>
      </c>
      <c r="I265" s="88">
        <f t="shared" si="10"/>
        <v>6.2307012973076875E-5</v>
      </c>
    </row>
    <row r="266" spans="2:9">
      <c r="B266" s="248" t="s">
        <v>866</v>
      </c>
      <c r="C266" s="248" t="s">
        <v>352</v>
      </c>
      <c r="D266" s="298">
        <v>62587.01</v>
      </c>
      <c r="E266" s="87">
        <f t="shared" si="11"/>
        <v>2.5839840702186426E-3</v>
      </c>
      <c r="F266" s="265">
        <v>0</v>
      </c>
      <c r="G266" s="265">
        <v>0.14000000000000001</v>
      </c>
      <c r="H266" s="87">
        <f t="shared" si="9"/>
        <v>0.14000000000000001</v>
      </c>
      <c r="I266" s="88">
        <f t="shared" si="10"/>
        <v>3.6175776983061E-4</v>
      </c>
    </row>
    <row r="267" spans="2:9">
      <c r="B267" s="248" t="s">
        <v>867</v>
      </c>
      <c r="C267" s="248" t="s">
        <v>353</v>
      </c>
      <c r="D267" s="298">
        <v>12969.81</v>
      </c>
      <c r="E267" s="87">
        <f t="shared" si="11"/>
        <v>5.3547505199181829E-4</v>
      </c>
      <c r="F267" s="265">
        <v>0</v>
      </c>
      <c r="G267" s="265">
        <v>0.13500000000000001</v>
      </c>
      <c r="H267" s="87">
        <f t="shared" si="9"/>
        <v>0.13500000000000001</v>
      </c>
      <c r="I267" s="88">
        <f t="shared" si="10"/>
        <v>7.2289132018895475E-5</v>
      </c>
    </row>
    <row r="268" spans="2:9">
      <c r="B268" s="248" t="s">
        <v>868</v>
      </c>
      <c r="C268" s="248" t="s">
        <v>354</v>
      </c>
      <c r="D268" s="298">
        <v>50246.02</v>
      </c>
      <c r="E268" s="87">
        <f t="shared" si="11"/>
        <v>2.0744706492910798E-3</v>
      </c>
      <c r="F268" s="265">
        <v>2.76E-2</v>
      </c>
      <c r="G268" s="265">
        <v>0.09</v>
      </c>
      <c r="H268" s="87">
        <f t="shared" si="9"/>
        <v>0.11884199999999999</v>
      </c>
      <c r="I268" s="88">
        <f t="shared" si="10"/>
        <v>2.4653424090305046E-4</v>
      </c>
    </row>
    <row r="269" spans="2:9">
      <c r="B269" s="248" t="s">
        <v>869</v>
      </c>
      <c r="C269" s="248" t="s">
        <v>355</v>
      </c>
      <c r="D269" s="298">
        <v>7920.73</v>
      </c>
      <c r="E269" s="87">
        <f t="shared" si="11"/>
        <v>3.270173817938084E-4</v>
      </c>
      <c r="F269" s="265">
        <v>7.3599999999999999E-2</v>
      </c>
      <c r="G269" s="265">
        <v>0.06</v>
      </c>
      <c r="H269" s="87">
        <f t="shared" ref="H269:H332" si="12">IFERROR(F269*(1+0.5*G269)+G269,"N/A")</f>
        <v>0.13580799999999998</v>
      </c>
      <c r="I269" s="88">
        <f t="shared" ref="I269:I332" si="13">IF(ISNUMBER(E269),H269*E269,"N/A")</f>
        <v>4.441157658665353E-5</v>
      </c>
    </row>
    <row r="270" spans="2:9">
      <c r="B270" s="248" t="s">
        <v>870</v>
      </c>
      <c r="C270" s="248" t="s">
        <v>356</v>
      </c>
      <c r="D270" s="298">
        <v>12139.52</v>
      </c>
      <c r="E270" s="87">
        <f t="shared" ref="E270:E333" si="14">IF(H270="N/A","N/A",D270/$D$513)</f>
        <v>5.0119547650703583E-4</v>
      </c>
      <c r="F270" s="265">
        <v>9.4999999999999998E-3</v>
      </c>
      <c r="G270" s="265">
        <v>0.1</v>
      </c>
      <c r="H270" s="87">
        <f t="shared" si="12"/>
        <v>0.109975</v>
      </c>
      <c r="I270" s="88">
        <f t="shared" si="13"/>
        <v>5.5118972528861265E-5</v>
      </c>
    </row>
    <row r="271" spans="2:9">
      <c r="B271" s="248" t="s">
        <v>871</v>
      </c>
      <c r="C271" s="248" t="s">
        <v>357</v>
      </c>
      <c r="D271" s="298">
        <v>34684.86</v>
      </c>
      <c r="E271" s="87">
        <f t="shared" si="14"/>
        <v>1.4320084266329991E-3</v>
      </c>
      <c r="F271" s="265">
        <v>2.3900000000000001E-2</v>
      </c>
      <c r="G271" s="265">
        <v>0.02</v>
      </c>
      <c r="H271" s="87">
        <f t="shared" si="12"/>
        <v>4.4138999999999998E-2</v>
      </c>
      <c r="I271" s="88">
        <f t="shared" si="13"/>
        <v>6.3207419943153947E-5</v>
      </c>
    </row>
    <row r="272" spans="2:9">
      <c r="B272" s="248" t="s">
        <v>872</v>
      </c>
      <c r="C272" s="248" t="s">
        <v>358</v>
      </c>
      <c r="D272" s="298">
        <v>12359.54</v>
      </c>
      <c r="E272" s="87">
        <f t="shared" si="14"/>
        <v>5.102792811995672E-4</v>
      </c>
      <c r="F272" s="265">
        <v>7.4999999999999997E-3</v>
      </c>
      <c r="G272" s="265">
        <v>0.14499999999999999</v>
      </c>
      <c r="H272" s="87">
        <f t="shared" si="12"/>
        <v>0.15304374999999998</v>
      </c>
      <c r="I272" s="88">
        <f t="shared" si="13"/>
        <v>7.8095054742086247E-5</v>
      </c>
    </row>
    <row r="273" spans="2:9">
      <c r="B273" s="248" t="s">
        <v>873</v>
      </c>
      <c r="C273" s="248" t="s">
        <v>876</v>
      </c>
      <c r="D273" s="298">
        <v>11302.06</v>
      </c>
      <c r="E273" s="87">
        <f t="shared" si="14"/>
        <v>4.6661987848045959E-4</v>
      </c>
      <c r="F273" s="265">
        <v>1.09E-2</v>
      </c>
      <c r="G273" s="265">
        <v>0.105</v>
      </c>
      <c r="H273" s="87">
        <f t="shared" si="12"/>
        <v>0.11647225</v>
      </c>
      <c r="I273" s="88">
        <f t="shared" si="13"/>
        <v>5.4348267141345708E-5</v>
      </c>
    </row>
    <row r="274" spans="2:9">
      <c r="B274" s="248" t="s">
        <v>874</v>
      </c>
      <c r="C274" s="248" t="s">
        <v>359</v>
      </c>
      <c r="D274" s="298">
        <v>340430.1</v>
      </c>
      <c r="E274" s="87">
        <f t="shared" si="14"/>
        <v>1.4055088354962785E-2</v>
      </c>
      <c r="F274" s="265">
        <v>2.9500000000000002E-2</v>
      </c>
      <c r="G274" s="265">
        <v>0.12</v>
      </c>
      <c r="H274" s="87">
        <f t="shared" si="12"/>
        <v>0.15127000000000002</v>
      </c>
      <c r="I274" s="88">
        <f t="shared" si="13"/>
        <v>2.1261132154552207E-3</v>
      </c>
    </row>
    <row r="275" spans="2:9">
      <c r="B275" s="248" t="s">
        <v>875</v>
      </c>
      <c r="C275" s="248" t="s">
        <v>360</v>
      </c>
      <c r="D275" s="298">
        <v>8526.3799999999992</v>
      </c>
      <c r="E275" s="87">
        <f t="shared" si="14"/>
        <v>3.5202241002774896E-4</v>
      </c>
      <c r="F275" s="265">
        <v>3.15E-2</v>
      </c>
      <c r="G275" s="265">
        <v>0.06</v>
      </c>
      <c r="H275" s="87">
        <f t="shared" si="12"/>
        <v>9.2444999999999999E-2</v>
      </c>
      <c r="I275" s="88">
        <f t="shared" si="13"/>
        <v>3.2542711695015252E-5</v>
      </c>
    </row>
    <row r="276" spans="2:9">
      <c r="B276" s="248" t="s">
        <v>877</v>
      </c>
      <c r="C276" s="248" t="s">
        <v>47</v>
      </c>
      <c r="D276" s="298">
        <v>374201.7</v>
      </c>
      <c r="E276" s="87">
        <f t="shared" si="14"/>
        <v>1.5449391684452338E-2</v>
      </c>
      <c r="F276" s="265">
        <v>3.0800000000000001E-2</v>
      </c>
      <c r="G276" s="265">
        <v>8.5000000000000006E-2</v>
      </c>
      <c r="H276" s="87">
        <f t="shared" si="12"/>
        <v>0.117109</v>
      </c>
      <c r="I276" s="88">
        <f t="shared" si="13"/>
        <v>1.809262810774529E-3</v>
      </c>
    </row>
    <row r="277" spans="2:9">
      <c r="B277" s="248" t="s">
        <v>878</v>
      </c>
      <c r="C277" s="248" t="s">
        <v>361</v>
      </c>
      <c r="D277" s="298">
        <v>4986.2299999999996</v>
      </c>
      <c r="E277" s="87">
        <f t="shared" si="14"/>
        <v>2.0586282825216126E-4</v>
      </c>
      <c r="F277" s="265">
        <v>4.5999999999999999E-2</v>
      </c>
      <c r="G277" s="265">
        <v>0.06</v>
      </c>
      <c r="H277" s="87">
        <f t="shared" si="12"/>
        <v>0.10738</v>
      </c>
      <c r="I277" s="88">
        <f t="shared" si="13"/>
        <v>2.2105550497717075E-5</v>
      </c>
    </row>
    <row r="278" spans="2:9">
      <c r="B278" s="248" t="s">
        <v>879</v>
      </c>
      <c r="C278" s="248" t="s">
        <v>362</v>
      </c>
      <c r="D278" s="298">
        <v>21895.61</v>
      </c>
      <c r="E278" s="87">
        <f t="shared" si="14"/>
        <v>9.0398802319714602E-4</v>
      </c>
      <c r="F278" s="265">
        <v>3.5799999999999998E-2</v>
      </c>
      <c r="G278" s="265">
        <v>0.04</v>
      </c>
      <c r="H278" s="87">
        <f t="shared" si="12"/>
        <v>7.6516000000000001E-2</v>
      </c>
      <c r="I278" s="88">
        <f t="shared" si="13"/>
        <v>6.9169547582952819E-5</v>
      </c>
    </row>
    <row r="279" spans="2:9">
      <c r="B279" s="248" t="s">
        <v>880</v>
      </c>
      <c r="C279" s="248" t="s">
        <v>363</v>
      </c>
      <c r="D279" s="298">
        <v>17835.37</v>
      </c>
      <c r="E279" s="87">
        <f t="shared" si="14"/>
        <v>7.3635586628048642E-4</v>
      </c>
      <c r="F279" s="265">
        <v>4.1599999999999998E-2</v>
      </c>
      <c r="G279" s="265">
        <v>0.105</v>
      </c>
      <c r="H279" s="87">
        <f t="shared" si="12"/>
        <v>0.148784</v>
      </c>
      <c r="I279" s="88">
        <f t="shared" si="13"/>
        <v>1.095579712086759E-4</v>
      </c>
    </row>
    <row r="280" spans="2:9">
      <c r="B280" s="248" t="s">
        <v>881</v>
      </c>
      <c r="C280" s="248" t="s">
        <v>884</v>
      </c>
      <c r="D280" s="298">
        <v>18644.78</v>
      </c>
      <c r="E280" s="87">
        <f t="shared" si="14"/>
        <v>7.6977338448874831E-4</v>
      </c>
      <c r="F280" s="265">
        <v>0</v>
      </c>
      <c r="G280" s="265">
        <v>0.19</v>
      </c>
      <c r="H280" s="87">
        <f t="shared" si="12"/>
        <v>0.19</v>
      </c>
      <c r="I280" s="88">
        <f t="shared" si="13"/>
        <v>1.4625694305286219E-4</v>
      </c>
    </row>
    <row r="281" spans="2:9">
      <c r="B281" s="248" t="s">
        <v>882</v>
      </c>
      <c r="C281" s="248" t="s">
        <v>364</v>
      </c>
      <c r="D281" s="298">
        <v>34172.199999999997</v>
      </c>
      <c r="E281" s="87">
        <f t="shared" si="14"/>
        <v>1.4108426084634093E-3</v>
      </c>
      <c r="F281" s="265">
        <v>5.8600000000000006E-2</v>
      </c>
      <c r="G281" s="265">
        <v>0.02</v>
      </c>
      <c r="H281" s="87">
        <f t="shared" si="12"/>
        <v>7.9186000000000006E-2</v>
      </c>
      <c r="I281" s="88">
        <f t="shared" si="13"/>
        <v>1.1171898279378353E-4</v>
      </c>
    </row>
    <row r="282" spans="2:9">
      <c r="B282" s="248" t="s">
        <v>883</v>
      </c>
      <c r="C282" s="248" t="s">
        <v>365</v>
      </c>
      <c r="D282" s="298">
        <v>8756.4599999999991</v>
      </c>
      <c r="E282" s="87">
        <f t="shared" si="14"/>
        <v>3.6152155457668818E-4</v>
      </c>
      <c r="F282" s="265">
        <v>5.5300000000000002E-2</v>
      </c>
      <c r="G282" s="265">
        <v>0.05</v>
      </c>
      <c r="H282" s="87">
        <f t="shared" si="12"/>
        <v>0.1066825</v>
      </c>
      <c r="I282" s="88">
        <f t="shared" si="13"/>
        <v>3.8568023246127537E-5</v>
      </c>
    </row>
    <row r="283" spans="2:9">
      <c r="B283" s="248" t="s">
        <v>1205</v>
      </c>
      <c r="C283" s="248" t="s">
        <v>366</v>
      </c>
      <c r="D283" s="298">
        <v>26174.36</v>
      </c>
      <c r="E283" s="87">
        <f t="shared" si="14"/>
        <v>1.0806416425416076E-3</v>
      </c>
      <c r="F283" s="265">
        <v>2.1000000000000001E-2</v>
      </c>
      <c r="G283" s="265">
        <v>0.115</v>
      </c>
      <c r="H283" s="87">
        <f t="shared" si="12"/>
        <v>0.13720750000000001</v>
      </c>
      <c r="I283" s="88">
        <f t="shared" si="13"/>
        <v>1.4827213816902764E-4</v>
      </c>
    </row>
    <row r="284" spans="2:9">
      <c r="B284" s="248" t="s">
        <v>885</v>
      </c>
      <c r="C284" s="248" t="s">
        <v>367</v>
      </c>
      <c r="D284" s="298">
        <v>48228.1</v>
      </c>
      <c r="E284" s="87">
        <f t="shared" si="14"/>
        <v>1.9911582633027475E-3</v>
      </c>
      <c r="F284" s="265">
        <v>2.9399999999999999E-2</v>
      </c>
      <c r="G284" s="265">
        <v>7.0000000000000007E-2</v>
      </c>
      <c r="H284" s="87">
        <f t="shared" si="12"/>
        <v>0.100429</v>
      </c>
      <c r="I284" s="88">
        <f t="shared" si="13"/>
        <v>1.9997003322523165E-4</v>
      </c>
    </row>
    <row r="285" spans="2:9">
      <c r="B285" s="248" t="s">
        <v>886</v>
      </c>
      <c r="C285" s="248" t="s">
        <v>368</v>
      </c>
      <c r="D285" s="298">
        <v>46426.46</v>
      </c>
      <c r="E285" s="87">
        <f t="shared" si="14"/>
        <v>1.916775271364505E-3</v>
      </c>
      <c r="F285" s="265">
        <v>4.87E-2</v>
      </c>
      <c r="G285" s="265">
        <v>0.35499999999999998</v>
      </c>
      <c r="H285" s="87">
        <f t="shared" si="12"/>
        <v>0.41234424999999997</v>
      </c>
      <c r="I285" s="88">
        <f t="shared" si="13"/>
        <v>7.9037126168934326E-4</v>
      </c>
    </row>
    <row r="286" spans="2:9">
      <c r="B286" s="248" t="s">
        <v>887</v>
      </c>
      <c r="C286" s="248" t="s">
        <v>369</v>
      </c>
      <c r="D286" s="298">
        <v>14286.82</v>
      </c>
      <c r="E286" s="87">
        <f t="shared" si="14"/>
        <v>5.8984947985342494E-4</v>
      </c>
      <c r="F286" s="265">
        <v>0</v>
      </c>
      <c r="G286" s="265">
        <v>0.105</v>
      </c>
      <c r="H286" s="87">
        <f t="shared" si="12"/>
        <v>0.105</v>
      </c>
      <c r="I286" s="88">
        <f t="shared" si="13"/>
        <v>6.1934195384609622E-5</v>
      </c>
    </row>
    <row r="287" spans="2:9">
      <c r="B287" s="248" t="s">
        <v>888</v>
      </c>
      <c r="C287" s="248" t="s">
        <v>370</v>
      </c>
      <c r="D287" s="298">
        <v>232517.3</v>
      </c>
      <c r="E287" s="87">
        <f t="shared" si="14"/>
        <v>9.5997715700150733E-3</v>
      </c>
      <c r="F287" s="265">
        <v>2.9399999999999999E-2</v>
      </c>
      <c r="G287" s="265">
        <v>6.5000000000000002E-2</v>
      </c>
      <c r="H287" s="87">
        <f t="shared" si="12"/>
        <v>9.5355499999999996E-2</v>
      </c>
      <c r="I287" s="88">
        <f t="shared" si="13"/>
        <v>9.1539101794457225E-4</v>
      </c>
    </row>
    <row r="288" spans="2:9">
      <c r="B288" s="248" t="s">
        <v>889</v>
      </c>
      <c r="C288" s="248" t="s">
        <v>371</v>
      </c>
      <c r="D288" s="298">
        <v>20675.560000000001</v>
      </c>
      <c r="E288" s="87">
        <f t="shared" si="14"/>
        <v>8.5361671188397968E-4</v>
      </c>
      <c r="F288" s="265">
        <v>2.4799999999999999E-2</v>
      </c>
      <c r="G288" s="265">
        <v>4.4999999999999998E-2</v>
      </c>
      <c r="H288" s="87">
        <f t="shared" si="12"/>
        <v>7.0358000000000004E-2</v>
      </c>
      <c r="I288" s="88">
        <f t="shared" si="13"/>
        <v>6.0058764614733047E-5</v>
      </c>
    </row>
    <row r="289" spans="2:9">
      <c r="B289" s="248" t="s">
        <v>890</v>
      </c>
      <c r="C289" s="248" t="s">
        <v>372</v>
      </c>
      <c r="D289" s="298">
        <v>7824.27</v>
      </c>
      <c r="E289" s="87">
        <f t="shared" si="14"/>
        <v>3.2303490837938445E-4</v>
      </c>
      <c r="F289" s="265">
        <v>5.74E-2</v>
      </c>
      <c r="G289" s="265">
        <v>6.5000000000000002E-2</v>
      </c>
      <c r="H289" s="87">
        <f t="shared" si="12"/>
        <v>0.1242655</v>
      </c>
      <c r="I289" s="88">
        <f t="shared" si="13"/>
        <v>4.0142094407218401E-5</v>
      </c>
    </row>
    <row r="290" spans="2:9">
      <c r="B290" s="248" t="s">
        <v>891</v>
      </c>
      <c r="C290" s="248" t="s">
        <v>373</v>
      </c>
      <c r="D290" s="298">
        <v>13308.61</v>
      </c>
      <c r="E290" s="87">
        <f t="shared" si="14"/>
        <v>5.4946283960126115E-4</v>
      </c>
      <c r="F290" s="265">
        <v>1.0800000000000001E-2</v>
      </c>
      <c r="G290" s="265">
        <v>0.12</v>
      </c>
      <c r="H290" s="87">
        <f t="shared" si="12"/>
        <v>0.13144800000000001</v>
      </c>
      <c r="I290" s="88">
        <f t="shared" si="13"/>
        <v>7.2225791339906574E-5</v>
      </c>
    </row>
    <row r="291" spans="2:9">
      <c r="B291" s="248" t="s">
        <v>892</v>
      </c>
      <c r="C291" s="248" t="s">
        <v>374</v>
      </c>
      <c r="D291" s="298">
        <v>15477.89</v>
      </c>
      <c r="E291" s="87">
        <f t="shared" si="14"/>
        <v>6.3902431511900671E-4</v>
      </c>
      <c r="F291" s="265">
        <v>4.8999999999999998E-3</v>
      </c>
      <c r="G291" s="265">
        <v>0.14000000000000001</v>
      </c>
      <c r="H291" s="87">
        <f t="shared" si="12"/>
        <v>0.14524300000000001</v>
      </c>
      <c r="I291" s="88">
        <f t="shared" si="13"/>
        <v>9.2813808600829896E-5</v>
      </c>
    </row>
    <row r="292" spans="2:9">
      <c r="B292" s="248" t="s">
        <v>893</v>
      </c>
      <c r="C292" s="248" t="s">
        <v>375</v>
      </c>
      <c r="D292" s="298">
        <v>5249.23</v>
      </c>
      <c r="E292" s="87">
        <f t="shared" si="14"/>
        <v>2.167211167447335E-4</v>
      </c>
      <c r="F292" s="265">
        <v>6.3200000000000006E-2</v>
      </c>
      <c r="G292" s="265">
        <v>-0.02</v>
      </c>
      <c r="H292" s="87">
        <f t="shared" si="12"/>
        <v>4.2567999999999995E-2</v>
      </c>
      <c r="I292" s="88">
        <f t="shared" si="13"/>
        <v>9.2253844975898142E-6</v>
      </c>
    </row>
    <row r="293" spans="2:9">
      <c r="B293" s="248" t="s">
        <v>1206</v>
      </c>
      <c r="C293" s="248" t="s">
        <v>1207</v>
      </c>
      <c r="D293" s="298">
        <v>12546.72</v>
      </c>
      <c r="E293" s="87">
        <f t="shared" si="14"/>
        <v>5.1800724484990805E-4</v>
      </c>
      <c r="F293" s="265">
        <v>1.5600000000000001E-2</v>
      </c>
      <c r="G293" s="265">
        <v>0.09</v>
      </c>
      <c r="H293" s="87">
        <f t="shared" si="12"/>
        <v>0.10630199999999999</v>
      </c>
      <c r="I293" s="88">
        <f t="shared" si="13"/>
        <v>5.5065206142034922E-5</v>
      </c>
    </row>
    <row r="294" spans="2:9">
      <c r="B294" s="248" t="s">
        <v>894</v>
      </c>
      <c r="C294" s="248" t="s">
        <v>376</v>
      </c>
      <c r="D294" s="298">
        <v>5367.92</v>
      </c>
      <c r="E294" s="87">
        <f t="shared" si="14"/>
        <v>2.2162138389752211E-4</v>
      </c>
      <c r="F294" s="265">
        <v>3.9199999999999999E-2</v>
      </c>
      <c r="G294" s="265">
        <v>0.09</v>
      </c>
      <c r="H294" s="87">
        <f t="shared" si="12"/>
        <v>0.130964</v>
      </c>
      <c r="I294" s="88">
        <f t="shared" si="13"/>
        <v>2.9024422920755086E-5</v>
      </c>
    </row>
    <row r="295" spans="2:9">
      <c r="B295" s="248" t="s">
        <v>895</v>
      </c>
      <c r="C295" s="248" t="s">
        <v>377</v>
      </c>
      <c r="D295" s="298">
        <v>17901.650000000001</v>
      </c>
      <c r="E295" s="87">
        <f t="shared" si="14"/>
        <v>7.3909232012568681E-4</v>
      </c>
      <c r="F295" s="265">
        <v>2.8999999999999998E-3</v>
      </c>
      <c r="G295" s="265">
        <v>0.08</v>
      </c>
      <c r="H295" s="87">
        <f t="shared" si="12"/>
        <v>8.3016000000000006E-2</v>
      </c>
      <c r="I295" s="88">
        <f t="shared" si="13"/>
        <v>6.1356488047554017E-5</v>
      </c>
    </row>
    <row r="296" spans="2:9">
      <c r="B296" s="248" t="s">
        <v>896</v>
      </c>
      <c r="C296" s="248" t="s">
        <v>378</v>
      </c>
      <c r="D296" s="298">
        <v>16332.6</v>
      </c>
      <c r="E296" s="87">
        <f t="shared" si="14"/>
        <v>6.7431210126914513E-4</v>
      </c>
      <c r="F296" s="265">
        <v>0</v>
      </c>
      <c r="G296" s="265">
        <v>0.08</v>
      </c>
      <c r="H296" s="87">
        <f t="shared" si="12"/>
        <v>0.08</v>
      </c>
      <c r="I296" s="88">
        <f t="shared" si="13"/>
        <v>5.3944968101531608E-5</v>
      </c>
    </row>
    <row r="297" spans="2:9">
      <c r="B297" s="248" t="s">
        <v>1208</v>
      </c>
      <c r="C297" s="248" t="s">
        <v>1209</v>
      </c>
      <c r="D297" s="298">
        <v>25277.87</v>
      </c>
      <c r="E297" s="87">
        <f t="shared" si="14"/>
        <v>1.0436289161130674E-3</v>
      </c>
      <c r="F297" s="265">
        <v>1.41E-2</v>
      </c>
      <c r="G297" s="265">
        <v>0.16500000000000001</v>
      </c>
      <c r="H297" s="87">
        <f t="shared" si="12"/>
        <v>0.18026325000000001</v>
      </c>
      <c r="I297" s="88">
        <f t="shared" si="13"/>
        <v>1.8812794021251891E-4</v>
      </c>
    </row>
    <row r="298" spans="2:9">
      <c r="B298" s="248" t="s">
        <v>897</v>
      </c>
      <c r="C298" s="248" t="s">
        <v>899</v>
      </c>
      <c r="D298" s="298">
        <v>104102.39999999999</v>
      </c>
      <c r="E298" s="87" t="str">
        <f t="shared" si="14"/>
        <v>N/A</v>
      </c>
      <c r="F298" s="265">
        <v>2.0199999999999999E-2</v>
      </c>
      <c r="G298" s="265" t="s">
        <v>150</v>
      </c>
      <c r="H298" s="87" t="str">
        <f t="shared" si="12"/>
        <v>N/A</v>
      </c>
      <c r="I298" s="88" t="str">
        <f t="shared" si="13"/>
        <v>N/A</v>
      </c>
    </row>
    <row r="299" spans="2:9">
      <c r="B299" s="248" t="s">
        <v>898</v>
      </c>
      <c r="C299" s="248" t="s">
        <v>379</v>
      </c>
      <c r="D299" s="298">
        <v>9733.7099999999991</v>
      </c>
      <c r="E299" s="87">
        <f t="shared" si="14"/>
        <v>4.0186856001154072E-4</v>
      </c>
      <c r="F299" s="265">
        <v>0</v>
      </c>
      <c r="G299" s="265">
        <v>0.1</v>
      </c>
      <c r="H299" s="87">
        <f t="shared" si="12"/>
        <v>0.1</v>
      </c>
      <c r="I299" s="88">
        <f t="shared" si="13"/>
        <v>4.0186856001154072E-5</v>
      </c>
    </row>
    <row r="300" spans="2:9">
      <c r="B300" s="248" t="s">
        <v>900</v>
      </c>
      <c r="C300" s="248" t="s">
        <v>380</v>
      </c>
      <c r="D300" s="298">
        <v>107954.7</v>
      </c>
      <c r="E300" s="87">
        <f t="shared" si="14"/>
        <v>4.4570466795782774E-3</v>
      </c>
      <c r="F300" s="265">
        <v>2.3099999999999999E-2</v>
      </c>
      <c r="G300" s="265">
        <v>0.115</v>
      </c>
      <c r="H300" s="87">
        <f t="shared" si="12"/>
        <v>0.13942825</v>
      </c>
      <c r="I300" s="88">
        <f t="shared" si="13"/>
        <v>6.2143821870190997E-4</v>
      </c>
    </row>
    <row r="301" spans="2:9">
      <c r="B301" s="248" t="s">
        <v>901</v>
      </c>
      <c r="C301" s="248" t="s">
        <v>381</v>
      </c>
      <c r="D301" s="298">
        <v>110959.8</v>
      </c>
      <c r="E301" s="87">
        <f t="shared" si="14"/>
        <v>4.5811160436430264E-3</v>
      </c>
      <c r="F301" s="265">
        <v>2.3399999999999997E-2</v>
      </c>
      <c r="G301" s="265">
        <v>0.115</v>
      </c>
      <c r="H301" s="87">
        <f t="shared" si="12"/>
        <v>0.13974549999999999</v>
      </c>
      <c r="I301" s="88">
        <f t="shared" si="13"/>
        <v>6.4019035207691657E-4</v>
      </c>
    </row>
    <row r="302" spans="2:9">
      <c r="B302" s="248" t="s">
        <v>902</v>
      </c>
      <c r="C302" s="248" t="s">
        <v>382</v>
      </c>
      <c r="D302" s="298">
        <v>12078.68</v>
      </c>
      <c r="E302" s="87">
        <f t="shared" si="14"/>
        <v>4.9868361995993277E-4</v>
      </c>
      <c r="F302" s="265">
        <v>2.6600000000000002E-2</v>
      </c>
      <c r="G302" s="265">
        <v>0.09</v>
      </c>
      <c r="H302" s="87">
        <f t="shared" si="12"/>
        <v>0.117797</v>
      </c>
      <c r="I302" s="88">
        <f t="shared" si="13"/>
        <v>5.87434343804202E-5</v>
      </c>
    </row>
    <row r="303" spans="2:9">
      <c r="B303" s="248" t="s">
        <v>903</v>
      </c>
      <c r="C303" s="248" t="s">
        <v>4</v>
      </c>
      <c r="D303" s="298">
        <v>12887.89</v>
      </c>
      <c r="E303" s="87">
        <f t="shared" si="14"/>
        <v>5.3209288091458809E-4</v>
      </c>
      <c r="F303" s="265">
        <v>2.6200000000000001E-2</v>
      </c>
      <c r="G303" s="265">
        <v>6.5000000000000002E-2</v>
      </c>
      <c r="H303" s="87">
        <f t="shared" si="12"/>
        <v>9.2051500000000008E-2</v>
      </c>
      <c r="I303" s="88">
        <f t="shared" si="13"/>
        <v>4.8979947827509207E-5</v>
      </c>
    </row>
    <row r="304" spans="2:9">
      <c r="B304" s="248" t="s">
        <v>904</v>
      </c>
      <c r="C304" s="248" t="s">
        <v>383</v>
      </c>
      <c r="D304" s="298">
        <v>85918.720000000001</v>
      </c>
      <c r="E304" s="87">
        <f t="shared" si="14"/>
        <v>3.5472633029373967E-3</v>
      </c>
      <c r="F304" s="265">
        <v>1.9900000000000001E-2</v>
      </c>
      <c r="G304" s="265">
        <v>0.115</v>
      </c>
      <c r="H304" s="87">
        <f t="shared" si="12"/>
        <v>0.13604425000000001</v>
      </c>
      <c r="I304" s="88">
        <f t="shared" si="13"/>
        <v>4.8258477560064094E-4</v>
      </c>
    </row>
    <row r="305" spans="2:9">
      <c r="B305" s="248" t="s">
        <v>905</v>
      </c>
      <c r="C305" s="248" t="s">
        <v>384</v>
      </c>
      <c r="D305" s="298">
        <v>35072.660000000003</v>
      </c>
      <c r="E305" s="87">
        <f t="shared" si="14"/>
        <v>1.4480192413760392E-3</v>
      </c>
      <c r="F305" s="265">
        <v>1.89E-2</v>
      </c>
      <c r="G305" s="265">
        <v>8.5000000000000006E-2</v>
      </c>
      <c r="H305" s="87">
        <f t="shared" si="12"/>
        <v>0.10470325</v>
      </c>
      <c r="I305" s="88">
        <f t="shared" si="13"/>
        <v>1.5161232063460578E-4</v>
      </c>
    </row>
    <row r="306" spans="2:9">
      <c r="B306" s="248" t="s">
        <v>906</v>
      </c>
      <c r="C306" s="248" t="s">
        <v>385</v>
      </c>
      <c r="D306" s="298">
        <v>29337.68</v>
      </c>
      <c r="E306" s="87">
        <f t="shared" si="14"/>
        <v>1.2112433199344729E-3</v>
      </c>
      <c r="F306" s="265">
        <v>1.32E-2</v>
      </c>
      <c r="G306" s="265">
        <v>0.105</v>
      </c>
      <c r="H306" s="87">
        <f t="shared" si="12"/>
        <v>0.118893</v>
      </c>
      <c r="I306" s="88">
        <f t="shared" si="13"/>
        <v>1.4400835203696929E-4</v>
      </c>
    </row>
    <row r="307" spans="2:9">
      <c r="B307" s="248" t="s">
        <v>907</v>
      </c>
      <c r="C307" s="248" t="s">
        <v>909</v>
      </c>
      <c r="D307" s="298">
        <v>10772.32</v>
      </c>
      <c r="E307" s="87" t="str">
        <f t="shared" si="14"/>
        <v>N/A</v>
      </c>
      <c r="F307" s="265">
        <v>1.09E-2</v>
      </c>
      <c r="G307" s="265" t="s">
        <v>150</v>
      </c>
      <c r="H307" s="87" t="str">
        <f t="shared" si="12"/>
        <v>N/A</v>
      </c>
      <c r="I307" s="88" t="str">
        <f t="shared" si="13"/>
        <v>N/A</v>
      </c>
    </row>
    <row r="308" spans="2:9">
      <c r="B308" s="248" t="s">
        <v>908</v>
      </c>
      <c r="C308" s="248" t="s">
        <v>386</v>
      </c>
      <c r="D308" s="298">
        <v>32408.86</v>
      </c>
      <c r="E308" s="87">
        <f t="shared" si="14"/>
        <v>1.3380408805908151E-3</v>
      </c>
      <c r="F308" s="265">
        <v>4.8000000000000001E-2</v>
      </c>
      <c r="G308" s="265">
        <v>5.5E-2</v>
      </c>
      <c r="H308" s="87">
        <f t="shared" si="12"/>
        <v>0.10432</v>
      </c>
      <c r="I308" s="88">
        <f t="shared" si="13"/>
        <v>1.3958442466323383E-4</v>
      </c>
    </row>
    <row r="309" spans="2:9">
      <c r="B309" s="248" t="s">
        <v>910</v>
      </c>
      <c r="C309" s="248" t="s">
        <v>387</v>
      </c>
      <c r="D309" s="298">
        <v>4710.95</v>
      </c>
      <c r="E309" s="87">
        <f t="shared" si="14"/>
        <v>1.9449754438814881E-4</v>
      </c>
      <c r="F309" s="265">
        <v>9.9000000000000005E-2</v>
      </c>
      <c r="G309" s="265">
        <v>3.5000000000000003E-2</v>
      </c>
      <c r="H309" s="87">
        <f t="shared" si="12"/>
        <v>0.13573250000000003</v>
      </c>
      <c r="I309" s="88">
        <f t="shared" si="13"/>
        <v>2.6399637943664416E-5</v>
      </c>
    </row>
    <row r="310" spans="2:9">
      <c r="B310" s="248" t="s">
        <v>911</v>
      </c>
      <c r="C310" s="248" t="s">
        <v>388</v>
      </c>
      <c r="D310" s="298">
        <v>278272.3</v>
      </c>
      <c r="E310" s="87">
        <f t="shared" si="14"/>
        <v>1.1488824763846413E-2</v>
      </c>
      <c r="F310" s="265">
        <v>4.7999999999999996E-3</v>
      </c>
      <c r="G310" s="265">
        <v>0.16</v>
      </c>
      <c r="H310" s="87">
        <f t="shared" si="12"/>
        <v>0.165184</v>
      </c>
      <c r="I310" s="88">
        <f t="shared" si="13"/>
        <v>1.897770029791206E-3</v>
      </c>
    </row>
    <row r="311" spans="2:9">
      <c r="B311" s="248" t="s">
        <v>912</v>
      </c>
      <c r="C311" s="248" t="s">
        <v>389</v>
      </c>
      <c r="D311" s="298">
        <v>14852.09</v>
      </c>
      <c r="E311" s="87">
        <f t="shared" si="14"/>
        <v>6.1318736858420933E-4</v>
      </c>
      <c r="F311" s="265">
        <v>2.9399999999999999E-2</v>
      </c>
      <c r="G311" s="265">
        <v>0.01</v>
      </c>
      <c r="H311" s="87">
        <f t="shared" si="12"/>
        <v>3.9546999999999999E-2</v>
      </c>
      <c r="I311" s="88">
        <f t="shared" si="13"/>
        <v>2.4249720865399726E-5</v>
      </c>
    </row>
    <row r="312" spans="2:9">
      <c r="B312" s="248" t="s">
        <v>913</v>
      </c>
      <c r="C312" s="248" t="s">
        <v>390</v>
      </c>
      <c r="D312" s="298">
        <v>4553</v>
      </c>
      <c r="E312" s="87">
        <f t="shared" si="14"/>
        <v>1.8797637835240059E-4</v>
      </c>
      <c r="F312" s="265">
        <v>9.5500000000000002E-2</v>
      </c>
      <c r="G312" s="265">
        <v>0.03</v>
      </c>
      <c r="H312" s="87">
        <f t="shared" si="12"/>
        <v>0.1269325</v>
      </c>
      <c r="I312" s="88">
        <f t="shared" si="13"/>
        <v>2.3860311645216088E-5</v>
      </c>
    </row>
    <row r="313" spans="2:9">
      <c r="B313" s="248" t="s">
        <v>914</v>
      </c>
      <c r="C313" s="248" t="s">
        <v>391</v>
      </c>
      <c r="D313" s="298">
        <v>40073.11</v>
      </c>
      <c r="E313" s="87">
        <f t="shared" si="14"/>
        <v>1.6544691603596238E-3</v>
      </c>
      <c r="F313" s="265">
        <v>1.5800000000000002E-2</v>
      </c>
      <c r="G313" s="265">
        <v>0.115</v>
      </c>
      <c r="H313" s="87">
        <f t="shared" si="12"/>
        <v>0.13170850000000001</v>
      </c>
      <c r="I313" s="88">
        <f t="shared" si="13"/>
        <v>2.1790765140722551E-4</v>
      </c>
    </row>
    <row r="314" spans="2:9">
      <c r="B314" s="248" t="s">
        <v>915</v>
      </c>
      <c r="C314" s="248" t="s">
        <v>392</v>
      </c>
      <c r="D314" s="298">
        <v>11915.6</v>
      </c>
      <c r="E314" s="87">
        <f t="shared" si="14"/>
        <v>4.9195065536917733E-4</v>
      </c>
      <c r="F314" s="265">
        <v>1.3000000000000001E-2</v>
      </c>
      <c r="G314" s="265">
        <v>9.5000000000000001E-2</v>
      </c>
      <c r="H314" s="87">
        <f t="shared" si="12"/>
        <v>0.10861750000000001</v>
      </c>
      <c r="I314" s="88">
        <f t="shared" si="13"/>
        <v>5.3434450309561622E-5</v>
      </c>
    </row>
    <row r="315" spans="2:9">
      <c r="B315" s="248" t="s">
        <v>916</v>
      </c>
      <c r="C315" s="248" t="s">
        <v>393</v>
      </c>
      <c r="D315" s="298">
        <v>161448.4</v>
      </c>
      <c r="E315" s="87">
        <f t="shared" si="14"/>
        <v>6.6656019158334526E-3</v>
      </c>
      <c r="F315" s="265">
        <v>2.35E-2</v>
      </c>
      <c r="G315" s="265">
        <v>8.5000000000000006E-2</v>
      </c>
      <c r="H315" s="87">
        <f t="shared" si="12"/>
        <v>0.10949875000000001</v>
      </c>
      <c r="I315" s="88">
        <f t="shared" si="13"/>
        <v>7.2987507778136832E-4</v>
      </c>
    </row>
    <row r="316" spans="2:9">
      <c r="B316" s="248" t="s">
        <v>917</v>
      </c>
      <c r="C316" s="248" t="s">
        <v>394</v>
      </c>
      <c r="D316" s="298">
        <v>21987.29</v>
      </c>
      <c r="E316" s="87">
        <f t="shared" si="14"/>
        <v>9.0777314825037428E-4</v>
      </c>
      <c r="F316" s="265">
        <v>1.6200000000000003E-2</v>
      </c>
      <c r="G316" s="265">
        <v>0.105</v>
      </c>
      <c r="H316" s="87">
        <f t="shared" si="12"/>
        <v>0.12205050000000001</v>
      </c>
      <c r="I316" s="88">
        <f t="shared" si="13"/>
        <v>1.1079416663053231E-4</v>
      </c>
    </row>
    <row r="317" spans="2:9">
      <c r="B317" s="248" t="s">
        <v>918</v>
      </c>
      <c r="C317" s="248" t="s">
        <v>395</v>
      </c>
      <c r="D317" s="298">
        <v>25746.45</v>
      </c>
      <c r="E317" s="87">
        <f t="shared" si="14"/>
        <v>1.0629748355877803E-3</v>
      </c>
      <c r="F317" s="265">
        <v>1.18E-2</v>
      </c>
      <c r="G317" s="265">
        <v>8.5000000000000006E-2</v>
      </c>
      <c r="H317" s="87">
        <f t="shared" si="12"/>
        <v>9.7301500000000013E-2</v>
      </c>
      <c r="I317" s="88">
        <f t="shared" si="13"/>
        <v>1.0342904596494442E-4</v>
      </c>
    </row>
    <row r="318" spans="2:9">
      <c r="B318" s="248" t="s">
        <v>919</v>
      </c>
      <c r="C318" s="248" t="s">
        <v>396</v>
      </c>
      <c r="D318" s="298">
        <v>40325.550000000003</v>
      </c>
      <c r="E318" s="87">
        <f t="shared" si="14"/>
        <v>1.6648914658617721E-3</v>
      </c>
      <c r="F318" s="265">
        <v>9.3999999999999986E-3</v>
      </c>
      <c r="G318" s="265">
        <v>0.11</v>
      </c>
      <c r="H318" s="87">
        <f t="shared" si="12"/>
        <v>0.119917</v>
      </c>
      <c r="I318" s="88">
        <f t="shared" si="13"/>
        <v>1.9964878991174612E-4</v>
      </c>
    </row>
    <row r="319" spans="2:9">
      <c r="B319" s="248" t="s">
        <v>920</v>
      </c>
      <c r="C319" s="248" t="s">
        <v>397</v>
      </c>
      <c r="D319" s="298">
        <v>80806.2</v>
      </c>
      <c r="E319" s="87">
        <f t="shared" si="14"/>
        <v>3.3361864318953989E-3</v>
      </c>
      <c r="F319" s="265">
        <v>2.0499999999999997E-2</v>
      </c>
      <c r="G319" s="265">
        <v>8.5000000000000006E-2</v>
      </c>
      <c r="H319" s="87">
        <f t="shared" si="12"/>
        <v>0.10637125</v>
      </c>
      <c r="I319" s="88">
        <f t="shared" si="13"/>
        <v>3.5487432099375347E-4</v>
      </c>
    </row>
    <row r="320" spans="2:9">
      <c r="B320" s="248" t="s">
        <v>921</v>
      </c>
      <c r="C320" s="248" t="s">
        <v>398</v>
      </c>
      <c r="D320" s="298">
        <v>144001.60000000001</v>
      </c>
      <c r="E320" s="87">
        <f t="shared" si="14"/>
        <v>5.9452886547223917E-3</v>
      </c>
      <c r="F320" s="265">
        <v>2.0099999999999996E-2</v>
      </c>
      <c r="G320" s="265">
        <v>8.5000000000000006E-2</v>
      </c>
      <c r="H320" s="87">
        <f t="shared" si="12"/>
        <v>0.10595425</v>
      </c>
      <c r="I320" s="88">
        <f t="shared" si="13"/>
        <v>6.2992860044462E-4</v>
      </c>
    </row>
    <row r="321" spans="2:9">
      <c r="B321" s="248" t="s">
        <v>922</v>
      </c>
      <c r="C321" s="248" t="s">
        <v>399</v>
      </c>
      <c r="D321" s="298">
        <v>44063.21</v>
      </c>
      <c r="E321" s="87">
        <f t="shared" si="14"/>
        <v>1.8192054984364772E-3</v>
      </c>
      <c r="F321" s="265">
        <v>3.78E-2</v>
      </c>
      <c r="G321" s="265">
        <v>7.4999999999999997E-2</v>
      </c>
      <c r="H321" s="87">
        <f t="shared" si="12"/>
        <v>0.1142175</v>
      </c>
      <c r="I321" s="88">
        <f t="shared" si="13"/>
        <v>2.0778510401766833E-4</v>
      </c>
    </row>
    <row r="322" spans="2:9">
      <c r="B322" s="248" t="s">
        <v>923</v>
      </c>
      <c r="C322" s="248" t="s">
        <v>400</v>
      </c>
      <c r="D322" s="298">
        <v>14568.9</v>
      </c>
      <c r="E322" s="87">
        <f t="shared" si="14"/>
        <v>6.0149551034005902E-4</v>
      </c>
      <c r="F322" s="265">
        <v>1.8799999999999997E-2</v>
      </c>
      <c r="G322" s="265">
        <v>0.14000000000000001</v>
      </c>
      <c r="H322" s="87">
        <f t="shared" si="12"/>
        <v>0.16011600000000001</v>
      </c>
      <c r="I322" s="88">
        <f t="shared" si="13"/>
        <v>9.6309055133608889E-5</v>
      </c>
    </row>
    <row r="323" spans="2:9">
      <c r="B323" s="248" t="s">
        <v>924</v>
      </c>
      <c r="C323" s="248" t="s">
        <v>401</v>
      </c>
      <c r="D323" s="298">
        <v>8793.67</v>
      </c>
      <c r="E323" s="87">
        <f t="shared" si="14"/>
        <v>3.6305781661018108E-4</v>
      </c>
      <c r="F323" s="265">
        <v>0</v>
      </c>
      <c r="G323" s="265">
        <v>3.5000000000000003E-2</v>
      </c>
      <c r="H323" s="87">
        <f t="shared" si="12"/>
        <v>3.5000000000000003E-2</v>
      </c>
      <c r="I323" s="88">
        <f t="shared" si="13"/>
        <v>1.2707023581356339E-5</v>
      </c>
    </row>
    <row r="324" spans="2:9">
      <c r="B324" s="248" t="s">
        <v>925</v>
      </c>
      <c r="C324" s="248" t="s">
        <v>402</v>
      </c>
      <c r="D324" s="298">
        <v>21283.68</v>
      </c>
      <c r="E324" s="87">
        <f t="shared" si="14"/>
        <v>8.7872371719996075E-4</v>
      </c>
      <c r="F324" s="265">
        <v>1.46E-2</v>
      </c>
      <c r="G324" s="265">
        <v>0.08</v>
      </c>
      <c r="H324" s="87">
        <f t="shared" si="12"/>
        <v>9.5184000000000005E-2</v>
      </c>
      <c r="I324" s="88">
        <f t="shared" si="13"/>
        <v>8.3640438297961068E-5</v>
      </c>
    </row>
    <row r="325" spans="2:9">
      <c r="B325" s="248" t="s">
        <v>1210</v>
      </c>
      <c r="C325" s="248" t="s">
        <v>1211</v>
      </c>
      <c r="D325" s="298">
        <v>12534</v>
      </c>
      <c r="E325" s="87">
        <f t="shared" si="14"/>
        <v>5.1748208352053347E-4</v>
      </c>
      <c r="F325" s="265">
        <v>6.0999999999999995E-3</v>
      </c>
      <c r="G325" s="265">
        <v>0.14000000000000001</v>
      </c>
      <c r="H325" s="87">
        <f t="shared" si="12"/>
        <v>0.14652700000000002</v>
      </c>
      <c r="I325" s="88">
        <f t="shared" si="13"/>
        <v>7.5825097252013219E-5</v>
      </c>
    </row>
    <row r="326" spans="2:9">
      <c r="B326" s="248" t="s">
        <v>926</v>
      </c>
      <c r="C326" s="248" t="s">
        <v>403</v>
      </c>
      <c r="D326" s="298">
        <v>17082.96</v>
      </c>
      <c r="E326" s="87">
        <f t="shared" si="14"/>
        <v>7.0529166535008236E-4</v>
      </c>
      <c r="F326" s="265">
        <v>8.1000000000000013E-3</v>
      </c>
      <c r="G326" s="265">
        <v>0.08</v>
      </c>
      <c r="H326" s="87">
        <f t="shared" si="12"/>
        <v>8.8424000000000003E-2</v>
      </c>
      <c r="I326" s="88">
        <f t="shared" si="13"/>
        <v>6.2364710216915688E-5</v>
      </c>
    </row>
    <row r="327" spans="2:9">
      <c r="B327" s="248" t="s">
        <v>927</v>
      </c>
      <c r="C327" s="248" t="s">
        <v>404</v>
      </c>
      <c r="D327" s="298">
        <v>50793.57</v>
      </c>
      <c r="E327" s="87">
        <f t="shared" si="14"/>
        <v>2.0970769453523266E-3</v>
      </c>
      <c r="F327" s="265">
        <v>1.84E-2</v>
      </c>
      <c r="G327" s="265">
        <v>0.09</v>
      </c>
      <c r="H327" s="87">
        <f t="shared" si="12"/>
        <v>0.10922799999999999</v>
      </c>
      <c r="I327" s="88">
        <f t="shared" si="13"/>
        <v>2.290595205869439E-4</v>
      </c>
    </row>
    <row r="328" spans="2:9">
      <c r="B328" s="248" t="s">
        <v>928</v>
      </c>
      <c r="C328" s="248" t="s">
        <v>405</v>
      </c>
      <c r="D328" s="298">
        <v>94247.95</v>
      </c>
      <c r="E328" s="87">
        <f t="shared" si="14"/>
        <v>3.8911461252225197E-3</v>
      </c>
      <c r="F328" s="265">
        <v>3.5200000000000002E-2</v>
      </c>
      <c r="G328" s="265">
        <v>7.0000000000000007E-2</v>
      </c>
      <c r="H328" s="87">
        <f t="shared" si="12"/>
        <v>0.106432</v>
      </c>
      <c r="I328" s="88">
        <f t="shared" si="13"/>
        <v>4.141424643996832E-4</v>
      </c>
    </row>
    <row r="329" spans="2:9">
      <c r="B329" s="248" t="s">
        <v>929</v>
      </c>
      <c r="C329" s="248" t="s">
        <v>406</v>
      </c>
      <c r="D329" s="298">
        <v>31474.54</v>
      </c>
      <c r="E329" s="87">
        <f t="shared" si="14"/>
        <v>1.299466294642602E-3</v>
      </c>
      <c r="F329" s="265">
        <v>0</v>
      </c>
      <c r="G329" s="265">
        <v>0.14499999999999999</v>
      </c>
      <c r="H329" s="87">
        <f t="shared" si="12"/>
        <v>0.14499999999999999</v>
      </c>
      <c r="I329" s="88">
        <f t="shared" si="13"/>
        <v>1.8842261272317728E-4</v>
      </c>
    </row>
    <row r="330" spans="2:9">
      <c r="B330" s="248" t="s">
        <v>930</v>
      </c>
      <c r="C330" s="248" t="s">
        <v>407</v>
      </c>
      <c r="D330" s="298">
        <v>75956.509999999995</v>
      </c>
      <c r="E330" s="87">
        <f t="shared" si="14"/>
        <v>3.1359608306804078E-3</v>
      </c>
      <c r="F330" s="265">
        <v>8.2599999999999993E-2</v>
      </c>
      <c r="G330" s="265">
        <v>8.5000000000000006E-2</v>
      </c>
      <c r="H330" s="87">
        <f t="shared" si="12"/>
        <v>0.1711105</v>
      </c>
      <c r="I330" s="88">
        <f t="shared" si="13"/>
        <v>5.3659582571813998E-4</v>
      </c>
    </row>
    <row r="331" spans="2:9">
      <c r="B331" s="248" t="s">
        <v>931</v>
      </c>
      <c r="C331" s="248" t="s">
        <v>408</v>
      </c>
      <c r="D331" s="298">
        <v>7698.05</v>
      </c>
      <c r="E331" s="87">
        <f t="shared" si="14"/>
        <v>3.1782375562831042E-4</v>
      </c>
      <c r="F331" s="265">
        <v>1.15E-2</v>
      </c>
      <c r="G331" s="265">
        <v>0.21</v>
      </c>
      <c r="H331" s="87">
        <f t="shared" si="12"/>
        <v>0.2227075</v>
      </c>
      <c r="I331" s="88">
        <f t="shared" si="13"/>
        <v>7.0781734056591945E-5</v>
      </c>
    </row>
    <row r="332" spans="2:9">
      <c r="B332" s="248" t="s">
        <v>932</v>
      </c>
      <c r="C332" s="248" t="s">
        <v>409</v>
      </c>
      <c r="D332" s="298">
        <v>40154.400000000001</v>
      </c>
      <c r="E332" s="87">
        <f t="shared" si="14"/>
        <v>1.6578253210879934E-3</v>
      </c>
      <c r="F332" s="265">
        <v>3.49E-2</v>
      </c>
      <c r="G332" s="265">
        <v>0.105</v>
      </c>
      <c r="H332" s="87">
        <f t="shared" si="12"/>
        <v>0.14173225</v>
      </c>
      <c r="I332" s="88">
        <f t="shared" si="13"/>
        <v>2.3496731286477376E-4</v>
      </c>
    </row>
    <row r="333" spans="2:9">
      <c r="B333" s="248" t="s">
        <v>933</v>
      </c>
      <c r="C333" s="248" t="s">
        <v>410</v>
      </c>
      <c r="D333" s="298">
        <v>215302.8</v>
      </c>
      <c r="E333" s="87">
        <f t="shared" si="14"/>
        <v>8.8890491089679835E-3</v>
      </c>
      <c r="F333" s="265">
        <v>2.6200000000000001E-2</v>
      </c>
      <c r="G333" s="265">
        <v>0.09</v>
      </c>
      <c r="H333" s="87">
        <f t="shared" ref="H333:H396" si="15">IFERROR(F333*(1+0.5*G333)+G333,"N/A")</f>
        <v>0.117379</v>
      </c>
      <c r="I333" s="88">
        <f t="shared" ref="I333:I396" si="16">IF(ISNUMBER(E333),H333*E333,"N/A")</f>
        <v>1.0433876953615528E-3</v>
      </c>
    </row>
    <row r="334" spans="2:9">
      <c r="B334" s="248" t="s">
        <v>934</v>
      </c>
      <c r="C334" s="248" t="s">
        <v>411</v>
      </c>
      <c r="D334" s="298">
        <v>9599.76</v>
      </c>
      <c r="E334" s="87" t="str">
        <f t="shared" ref="E334:E397" si="17">IF(H334="N/A","N/A",D334/$D$513)</f>
        <v>N/A</v>
      </c>
      <c r="F334" s="265">
        <v>1.6799999999999999E-2</v>
      </c>
      <c r="G334" s="265" t="s">
        <v>150</v>
      </c>
      <c r="H334" s="87" t="str">
        <f t="shared" si="15"/>
        <v>N/A</v>
      </c>
      <c r="I334" s="88" t="str">
        <f t="shared" si="16"/>
        <v>N/A</v>
      </c>
    </row>
    <row r="335" spans="2:9">
      <c r="B335" s="248" t="s">
        <v>935</v>
      </c>
      <c r="C335" s="248" t="s">
        <v>24</v>
      </c>
      <c r="D335" s="298">
        <v>70698.27</v>
      </c>
      <c r="E335" s="87">
        <f t="shared" si="17"/>
        <v>2.9188677246607011E-3</v>
      </c>
      <c r="F335" s="265">
        <v>3.2899999999999999E-2</v>
      </c>
      <c r="G335" s="265">
        <v>0.1</v>
      </c>
      <c r="H335" s="87">
        <f t="shared" si="15"/>
        <v>0.134545</v>
      </c>
      <c r="I335" s="88">
        <f t="shared" si="16"/>
        <v>3.9271905801447401E-4</v>
      </c>
    </row>
    <row r="336" spans="2:9">
      <c r="B336" s="248" t="s">
        <v>936</v>
      </c>
      <c r="C336" s="248" t="s">
        <v>938</v>
      </c>
      <c r="D336" s="298">
        <v>18933.57</v>
      </c>
      <c r="E336" s="87">
        <f t="shared" si="17"/>
        <v>7.8169644583388122E-4</v>
      </c>
      <c r="F336" s="265">
        <v>1.24E-2</v>
      </c>
      <c r="G336" s="265">
        <v>0.185</v>
      </c>
      <c r="H336" s="87">
        <f t="shared" si="15"/>
        <v>0.198547</v>
      </c>
      <c r="I336" s="88">
        <f t="shared" si="16"/>
        <v>1.5520348423097961E-4</v>
      </c>
    </row>
    <row r="337" spans="2:9">
      <c r="B337" s="248" t="s">
        <v>937</v>
      </c>
      <c r="C337" s="248" t="s">
        <v>412</v>
      </c>
      <c r="D337" s="298">
        <v>1069714</v>
      </c>
      <c r="E337" s="87">
        <f t="shared" si="17"/>
        <v>4.4164498922218284E-2</v>
      </c>
      <c r="F337" s="265">
        <v>1.46E-2</v>
      </c>
      <c r="G337" s="265">
        <v>0.14499999999999999</v>
      </c>
      <c r="H337" s="87">
        <f t="shared" si="15"/>
        <v>0.16065849999999998</v>
      </c>
      <c r="I337" s="88">
        <f t="shared" si="16"/>
        <v>7.0954021500952051E-3</v>
      </c>
    </row>
    <row r="338" spans="2:9">
      <c r="B338" s="248" t="s">
        <v>939</v>
      </c>
      <c r="C338" s="248" t="s">
        <v>413</v>
      </c>
      <c r="D338" s="298">
        <v>28458.29</v>
      </c>
      <c r="E338" s="87">
        <f t="shared" si="17"/>
        <v>1.1749365886892901E-3</v>
      </c>
      <c r="F338" s="265">
        <v>1.43E-2</v>
      </c>
      <c r="G338" s="265">
        <v>0.105</v>
      </c>
      <c r="H338" s="87">
        <f t="shared" si="15"/>
        <v>0.12005075</v>
      </c>
      <c r="I338" s="88">
        <f t="shared" si="16"/>
        <v>1.4105201867459081E-4</v>
      </c>
    </row>
    <row r="339" spans="2:9">
      <c r="B339" s="248" t="s">
        <v>940</v>
      </c>
      <c r="C339" s="248" t="s">
        <v>414</v>
      </c>
      <c r="D339" s="298">
        <v>21051.35</v>
      </c>
      <c r="E339" s="87">
        <f t="shared" si="17"/>
        <v>8.6913167854794806E-4</v>
      </c>
      <c r="F339" s="265">
        <v>2.5499999999999998E-2</v>
      </c>
      <c r="G339" s="265">
        <v>9.5000000000000001E-2</v>
      </c>
      <c r="H339" s="87">
        <f t="shared" si="15"/>
        <v>0.12171125000000001</v>
      </c>
      <c r="I339" s="88">
        <f t="shared" si="16"/>
        <v>1.0578310301066895E-4</v>
      </c>
    </row>
    <row r="340" spans="2:9">
      <c r="B340" s="248" t="s">
        <v>941</v>
      </c>
      <c r="C340" s="248" t="s">
        <v>415</v>
      </c>
      <c r="D340" s="298">
        <v>17235.900000000001</v>
      </c>
      <c r="E340" s="87">
        <f t="shared" si="17"/>
        <v>7.116059871829874E-4</v>
      </c>
      <c r="F340" s="265">
        <v>0</v>
      </c>
      <c r="G340" s="265">
        <v>0.1</v>
      </c>
      <c r="H340" s="87">
        <f t="shared" si="15"/>
        <v>0.1</v>
      </c>
      <c r="I340" s="88">
        <f t="shared" si="16"/>
        <v>7.1160598718298737E-5</v>
      </c>
    </row>
    <row r="341" spans="2:9">
      <c r="B341" s="248" t="s">
        <v>942</v>
      </c>
      <c r="C341" s="248" t="s">
        <v>416</v>
      </c>
      <c r="D341" s="298">
        <v>53654.400000000001</v>
      </c>
      <c r="E341" s="87">
        <f t="shared" si="17"/>
        <v>2.2151899395280129E-3</v>
      </c>
      <c r="F341" s="265">
        <v>0</v>
      </c>
      <c r="G341" s="265">
        <v>0.12</v>
      </c>
      <c r="H341" s="87">
        <f t="shared" si="15"/>
        <v>0.12</v>
      </c>
      <c r="I341" s="88">
        <f t="shared" si="16"/>
        <v>2.6582279274336155E-4</v>
      </c>
    </row>
    <row r="342" spans="2:9">
      <c r="B342" s="248" t="s">
        <v>943</v>
      </c>
      <c r="C342" s="248" t="s">
        <v>945</v>
      </c>
      <c r="D342" s="298">
        <v>15898.72</v>
      </c>
      <c r="E342" s="87">
        <f t="shared" si="17"/>
        <v>6.5639881529516318E-4</v>
      </c>
      <c r="F342" s="265">
        <v>3.2899999999999999E-2</v>
      </c>
      <c r="G342" s="265">
        <v>0.06</v>
      </c>
      <c r="H342" s="87">
        <f t="shared" si="15"/>
        <v>9.3886999999999998E-2</v>
      </c>
      <c r="I342" s="88">
        <f t="shared" si="16"/>
        <v>6.1627315571616986E-5</v>
      </c>
    </row>
    <row r="343" spans="2:9">
      <c r="B343" s="248" t="s">
        <v>944</v>
      </c>
      <c r="C343" s="248" t="s">
        <v>417</v>
      </c>
      <c r="D343" s="298">
        <v>10193.43</v>
      </c>
      <c r="E343" s="87">
        <f t="shared" si="17"/>
        <v>4.2084868315148491E-4</v>
      </c>
      <c r="F343" s="265">
        <v>0</v>
      </c>
      <c r="G343" s="265">
        <v>3.5000000000000003E-2</v>
      </c>
      <c r="H343" s="87">
        <f t="shared" si="15"/>
        <v>3.5000000000000003E-2</v>
      </c>
      <c r="I343" s="88">
        <f t="shared" si="16"/>
        <v>1.4729703910301974E-5</v>
      </c>
    </row>
    <row r="344" spans="2:9">
      <c r="B344" s="248" t="s">
        <v>946</v>
      </c>
      <c r="C344" s="248" t="s">
        <v>418</v>
      </c>
      <c r="D344" s="298">
        <v>10959.27</v>
      </c>
      <c r="E344" s="87" t="str">
        <f t="shared" si="17"/>
        <v>N/A</v>
      </c>
      <c r="F344" s="265">
        <v>2.12E-2</v>
      </c>
      <c r="G344" s="265" t="s">
        <v>150</v>
      </c>
      <c r="H344" s="87" t="str">
        <f t="shared" si="15"/>
        <v>N/A</v>
      </c>
      <c r="I344" s="88" t="str">
        <f t="shared" si="16"/>
        <v>N/A</v>
      </c>
    </row>
    <row r="345" spans="2:9">
      <c r="B345" s="248" t="s">
        <v>947</v>
      </c>
      <c r="C345" s="248" t="s">
        <v>419</v>
      </c>
      <c r="D345" s="298">
        <v>11046.74</v>
      </c>
      <c r="E345" s="87">
        <f t="shared" si="17"/>
        <v>4.5607866852637765E-4</v>
      </c>
      <c r="F345" s="265">
        <v>0</v>
      </c>
      <c r="G345" s="265">
        <v>0.16</v>
      </c>
      <c r="H345" s="87">
        <f t="shared" si="15"/>
        <v>0.16</v>
      </c>
      <c r="I345" s="88">
        <f t="shared" si="16"/>
        <v>7.2972586964220425E-5</v>
      </c>
    </row>
    <row r="346" spans="2:9">
      <c r="B346" s="248" t="s">
        <v>948</v>
      </c>
      <c r="C346" s="248" t="s">
        <v>420</v>
      </c>
      <c r="D346" s="298">
        <v>16839.91</v>
      </c>
      <c r="E346" s="87">
        <f t="shared" si="17"/>
        <v>6.952570379047604E-4</v>
      </c>
      <c r="F346" s="265">
        <v>1.8500000000000003E-2</v>
      </c>
      <c r="G346" s="265">
        <v>0.08</v>
      </c>
      <c r="H346" s="87">
        <f t="shared" si="15"/>
        <v>9.9240000000000009E-2</v>
      </c>
      <c r="I346" s="88">
        <f t="shared" si="16"/>
        <v>6.8997308441668423E-5</v>
      </c>
    </row>
    <row r="347" spans="2:9">
      <c r="B347" s="248" t="s">
        <v>949</v>
      </c>
      <c r="C347" s="248" t="s">
        <v>421</v>
      </c>
      <c r="D347" s="298">
        <v>110993.9</v>
      </c>
      <c r="E347" s="87">
        <f t="shared" si="17"/>
        <v>4.5825239053829377E-3</v>
      </c>
      <c r="F347" s="265">
        <v>2.3E-2</v>
      </c>
      <c r="G347" s="265">
        <v>0.105</v>
      </c>
      <c r="H347" s="87">
        <f t="shared" si="15"/>
        <v>0.1292075</v>
      </c>
      <c r="I347" s="88">
        <f t="shared" si="16"/>
        <v>5.9209645750476591E-4</v>
      </c>
    </row>
    <row r="348" spans="2:9">
      <c r="B348" s="248" t="s">
        <v>1179</v>
      </c>
      <c r="C348" s="248" t="s">
        <v>422</v>
      </c>
      <c r="D348" s="298">
        <v>32279.23</v>
      </c>
      <c r="E348" s="87">
        <f t="shared" si="17"/>
        <v>1.33268894166575E-3</v>
      </c>
      <c r="F348" s="265">
        <v>1.4199999999999999E-2</v>
      </c>
      <c r="G348" s="265">
        <v>2.5000000000000001E-2</v>
      </c>
      <c r="H348" s="87">
        <f t="shared" si="15"/>
        <v>3.9377499999999996E-2</v>
      </c>
      <c r="I348" s="88">
        <f t="shared" si="16"/>
        <v>5.2477958800443065E-5</v>
      </c>
    </row>
    <row r="349" spans="2:9">
      <c r="B349" s="248" t="s">
        <v>950</v>
      </c>
      <c r="C349" s="248" t="s">
        <v>423</v>
      </c>
      <c r="D349" s="298">
        <v>115286.3</v>
      </c>
      <c r="E349" s="87">
        <f t="shared" si="17"/>
        <v>4.7597410822860439E-3</v>
      </c>
      <c r="F349" s="265">
        <v>0</v>
      </c>
      <c r="G349" s="265">
        <v>0.32</v>
      </c>
      <c r="H349" s="87">
        <f t="shared" si="15"/>
        <v>0.32</v>
      </c>
      <c r="I349" s="88">
        <f t="shared" si="16"/>
        <v>1.5231171463315342E-3</v>
      </c>
    </row>
    <row r="350" spans="2:9">
      <c r="B350" s="248" t="s">
        <v>951</v>
      </c>
      <c r="C350" s="248" t="s">
        <v>13</v>
      </c>
      <c r="D350" s="298">
        <v>11406.49</v>
      </c>
      <c r="E350" s="87">
        <f t="shared" si="17"/>
        <v>4.7093140345110337E-4</v>
      </c>
      <c r="F350" s="265">
        <v>2.6200000000000001E-2</v>
      </c>
      <c r="G350" s="265">
        <v>0.125</v>
      </c>
      <c r="H350" s="87">
        <f t="shared" si="15"/>
        <v>0.15283750000000002</v>
      </c>
      <c r="I350" s="88">
        <f t="shared" si="16"/>
        <v>7.1975978374958023E-5</v>
      </c>
    </row>
    <row r="351" spans="2:9">
      <c r="B351" s="248" t="s">
        <v>952</v>
      </c>
      <c r="C351" s="248" t="s">
        <v>424</v>
      </c>
      <c r="D351" s="298">
        <v>144983.4</v>
      </c>
      <c r="E351" s="87">
        <f t="shared" si="17"/>
        <v>5.985823512676792E-3</v>
      </c>
      <c r="F351" s="265">
        <v>9.5999999999999992E-3</v>
      </c>
      <c r="G351" s="265">
        <v>0.14000000000000001</v>
      </c>
      <c r="H351" s="87">
        <f t="shared" si="15"/>
        <v>0.15027200000000002</v>
      </c>
      <c r="I351" s="88">
        <f t="shared" si="16"/>
        <v>8.9950167089696703E-4</v>
      </c>
    </row>
    <row r="352" spans="2:9">
      <c r="B352" s="248" t="s">
        <v>953</v>
      </c>
      <c r="C352" s="248" t="s">
        <v>425</v>
      </c>
      <c r="D352" s="298">
        <v>3072.4</v>
      </c>
      <c r="E352" s="87">
        <f t="shared" si="17"/>
        <v>1.2684792990334188E-4</v>
      </c>
      <c r="F352" s="265">
        <v>0</v>
      </c>
      <c r="G352" s="265">
        <v>0.105</v>
      </c>
      <c r="H352" s="87">
        <f t="shared" si="15"/>
        <v>0.105</v>
      </c>
      <c r="I352" s="88">
        <f t="shared" si="16"/>
        <v>1.3319032639850897E-5</v>
      </c>
    </row>
    <row r="353" spans="2:9">
      <c r="B353" s="248" t="s">
        <v>954</v>
      </c>
      <c r="C353" s="248" t="s">
        <v>426</v>
      </c>
      <c r="D353" s="298">
        <v>7593.64</v>
      </c>
      <c r="E353" s="87">
        <f t="shared" si="17"/>
        <v>3.1351305638302728E-4</v>
      </c>
      <c r="F353" s="265">
        <v>6.5599999999999992E-2</v>
      </c>
      <c r="G353" s="265">
        <v>0.45500000000000002</v>
      </c>
      <c r="H353" s="87">
        <f t="shared" si="15"/>
        <v>0.535524</v>
      </c>
      <c r="I353" s="88">
        <f t="shared" si="16"/>
        <v>1.678937660064643E-4</v>
      </c>
    </row>
    <row r="354" spans="2:9">
      <c r="B354" s="248" t="s">
        <v>955</v>
      </c>
      <c r="C354" s="248" t="s">
        <v>427</v>
      </c>
      <c r="D354" s="298">
        <v>64700.29</v>
      </c>
      <c r="E354" s="87">
        <f t="shared" si="17"/>
        <v>2.6712335147265629E-3</v>
      </c>
      <c r="F354" s="265">
        <v>1.38E-2</v>
      </c>
      <c r="G354" s="265">
        <v>9.5000000000000001E-2</v>
      </c>
      <c r="H354" s="87">
        <f t="shared" si="15"/>
        <v>0.1094555</v>
      </c>
      <c r="I354" s="88">
        <f t="shared" si="16"/>
        <v>2.9238119997115328E-4</v>
      </c>
    </row>
    <row r="355" spans="2:9">
      <c r="B355" s="248" t="s">
        <v>956</v>
      </c>
      <c r="C355" s="248" t="s">
        <v>428</v>
      </c>
      <c r="D355" s="298">
        <v>8516.9</v>
      </c>
      <c r="E355" s="87" t="str">
        <f t="shared" si="17"/>
        <v>N/A</v>
      </c>
      <c r="F355" s="265">
        <v>9.1000000000000004E-3</v>
      </c>
      <c r="G355" s="265" t="s">
        <v>150</v>
      </c>
      <c r="H355" s="87" t="str">
        <f t="shared" si="15"/>
        <v>N/A</v>
      </c>
      <c r="I355" s="88" t="str">
        <f t="shared" si="16"/>
        <v>N/A</v>
      </c>
    </row>
    <row r="356" spans="2:9">
      <c r="B356" s="248" t="s">
        <v>957</v>
      </c>
      <c r="C356" s="248" t="s">
        <v>429</v>
      </c>
      <c r="D356" s="298">
        <v>10213.549999999999</v>
      </c>
      <c r="E356" s="87" t="str">
        <f t="shared" si="17"/>
        <v>N/A</v>
      </c>
      <c r="F356" s="265">
        <v>3.0000000000000001E-3</v>
      </c>
      <c r="G356" s="265" t="s">
        <v>150</v>
      </c>
      <c r="H356" s="87" t="str">
        <f t="shared" si="15"/>
        <v>N/A</v>
      </c>
      <c r="I356" s="88" t="str">
        <f t="shared" si="16"/>
        <v>N/A</v>
      </c>
    </row>
    <row r="357" spans="2:9">
      <c r="B357" s="248" t="s">
        <v>958</v>
      </c>
      <c r="C357" s="248" t="s">
        <v>430</v>
      </c>
      <c r="D357" s="298">
        <v>48195.58</v>
      </c>
      <c r="E357" s="87">
        <f t="shared" si="17"/>
        <v>1.9898156338663277E-3</v>
      </c>
      <c r="F357" s="265">
        <v>2.06E-2</v>
      </c>
      <c r="G357" s="265">
        <v>0.15</v>
      </c>
      <c r="H357" s="87">
        <f t="shared" si="15"/>
        <v>0.17214499999999999</v>
      </c>
      <c r="I357" s="88">
        <f t="shared" si="16"/>
        <v>3.4253681229191895E-4</v>
      </c>
    </row>
    <row r="358" spans="2:9">
      <c r="B358" s="248" t="s">
        <v>959</v>
      </c>
      <c r="C358" s="248" t="s">
        <v>431</v>
      </c>
      <c r="D358" s="298">
        <v>12831.91</v>
      </c>
      <c r="E358" s="87">
        <f t="shared" si="17"/>
        <v>5.2978167563012357E-4</v>
      </c>
      <c r="F358" s="265">
        <v>3.5799999999999998E-2</v>
      </c>
      <c r="G358" s="265">
        <v>0.1</v>
      </c>
      <c r="H358" s="87">
        <f t="shared" si="15"/>
        <v>0.13758999999999999</v>
      </c>
      <c r="I358" s="88">
        <f t="shared" si="16"/>
        <v>7.2892660749948699E-5</v>
      </c>
    </row>
    <row r="359" spans="2:9">
      <c r="B359" s="248" t="s">
        <v>960</v>
      </c>
      <c r="C359" s="248" t="s">
        <v>432</v>
      </c>
      <c r="D359" s="298">
        <v>20184.71</v>
      </c>
      <c r="E359" s="87">
        <f t="shared" si="17"/>
        <v>8.3335134722018085E-4</v>
      </c>
      <c r="F359" s="265">
        <v>2.98E-2</v>
      </c>
      <c r="G359" s="265">
        <v>8.5000000000000006E-2</v>
      </c>
      <c r="H359" s="87">
        <f t="shared" si="15"/>
        <v>0.1160665</v>
      </c>
      <c r="I359" s="88">
        <f t="shared" si="16"/>
        <v>9.6724174142131126E-5</v>
      </c>
    </row>
    <row r="360" spans="2:9">
      <c r="B360" s="248" t="s">
        <v>961</v>
      </c>
      <c r="C360" s="248" t="s">
        <v>433</v>
      </c>
      <c r="D360" s="298">
        <v>14957.76</v>
      </c>
      <c r="E360" s="87">
        <f t="shared" si="17"/>
        <v>6.1755008852721358E-4</v>
      </c>
      <c r="F360" s="265">
        <v>3.2400000000000005E-2</v>
      </c>
      <c r="G360" s="265">
        <v>0.13</v>
      </c>
      <c r="H360" s="87">
        <f t="shared" si="15"/>
        <v>0.16450600000000001</v>
      </c>
      <c r="I360" s="88">
        <f t="shared" si="16"/>
        <v>1.015906948632578E-4</v>
      </c>
    </row>
    <row r="361" spans="2:9">
      <c r="B361" s="248" t="s">
        <v>962</v>
      </c>
      <c r="C361" s="248" t="s">
        <v>434</v>
      </c>
      <c r="D361" s="298">
        <v>108000.1</v>
      </c>
      <c r="E361" s="87">
        <f t="shared" si="17"/>
        <v>4.4589210761469579E-3</v>
      </c>
      <c r="F361" s="265">
        <v>3.5999999999999999E-3</v>
      </c>
      <c r="G361" s="265">
        <v>0.115</v>
      </c>
      <c r="H361" s="87">
        <f t="shared" si="15"/>
        <v>0.11880700000000001</v>
      </c>
      <c r="I361" s="88">
        <f t="shared" si="16"/>
        <v>5.2975103629379172E-4</v>
      </c>
    </row>
    <row r="362" spans="2:9">
      <c r="B362" s="248" t="s">
        <v>1212</v>
      </c>
      <c r="C362" s="248" t="s">
        <v>1213</v>
      </c>
      <c r="D362" s="298">
        <v>13161.84</v>
      </c>
      <c r="E362" s="87">
        <f t="shared" si="17"/>
        <v>5.4340325404211734E-4</v>
      </c>
      <c r="F362" s="265">
        <v>0</v>
      </c>
      <c r="G362" s="265">
        <v>0.13500000000000001</v>
      </c>
      <c r="H362" s="87">
        <f t="shared" si="15"/>
        <v>0.13500000000000001</v>
      </c>
      <c r="I362" s="88">
        <f t="shared" si="16"/>
        <v>7.3359439295685847E-5</v>
      </c>
    </row>
    <row r="363" spans="2:9">
      <c r="B363" s="248" t="s">
        <v>963</v>
      </c>
      <c r="C363" s="248" t="s">
        <v>435</v>
      </c>
      <c r="D363" s="298">
        <v>7752.46</v>
      </c>
      <c r="E363" s="87">
        <f t="shared" si="17"/>
        <v>3.2007014147196385E-4</v>
      </c>
      <c r="F363" s="265">
        <v>5.0300000000000004E-2</v>
      </c>
      <c r="G363" s="265">
        <v>0.04</v>
      </c>
      <c r="H363" s="87">
        <f t="shared" si="15"/>
        <v>9.1305999999999998E-2</v>
      </c>
      <c r="I363" s="88">
        <f t="shared" si="16"/>
        <v>2.922432433723913E-5</v>
      </c>
    </row>
    <row r="364" spans="2:9">
      <c r="B364" s="248" t="s">
        <v>964</v>
      </c>
      <c r="C364" s="248" t="s">
        <v>436</v>
      </c>
      <c r="D364" s="298">
        <v>8150.1</v>
      </c>
      <c r="E364" s="87" t="str">
        <f t="shared" si="17"/>
        <v>N/A</v>
      </c>
      <c r="F364" s="265">
        <v>1.44E-2</v>
      </c>
      <c r="G364" s="265" t="s">
        <v>150</v>
      </c>
      <c r="H364" s="87" t="str">
        <f t="shared" si="15"/>
        <v>N/A</v>
      </c>
      <c r="I364" s="88" t="str">
        <f t="shared" si="16"/>
        <v>N/A</v>
      </c>
    </row>
    <row r="365" spans="2:9">
      <c r="B365" s="248" t="s">
        <v>965</v>
      </c>
      <c r="C365" s="248" t="s">
        <v>437</v>
      </c>
      <c r="D365" s="298">
        <v>23473.18</v>
      </c>
      <c r="E365" s="87">
        <f t="shared" si="17"/>
        <v>9.6912000105732531E-4</v>
      </c>
      <c r="F365" s="265">
        <v>3.6000000000000004E-2</v>
      </c>
      <c r="G365" s="265">
        <v>4.4999999999999998E-2</v>
      </c>
      <c r="H365" s="87">
        <f t="shared" si="15"/>
        <v>8.1809999999999994E-2</v>
      </c>
      <c r="I365" s="88">
        <f t="shared" si="16"/>
        <v>7.9283707286499774E-5</v>
      </c>
    </row>
    <row r="366" spans="2:9">
      <c r="B366" s="248" t="s">
        <v>966</v>
      </c>
      <c r="C366" s="248" t="s">
        <v>438</v>
      </c>
      <c r="D366" s="298">
        <v>30348.799999999999</v>
      </c>
      <c r="E366" s="87">
        <f t="shared" si="17"/>
        <v>1.2529886912675894E-3</v>
      </c>
      <c r="F366" s="265">
        <v>5.0999999999999997E-2</v>
      </c>
      <c r="G366" s="265">
        <v>0.17</v>
      </c>
      <c r="H366" s="87">
        <f t="shared" si="15"/>
        <v>0.22533500000000001</v>
      </c>
      <c r="I366" s="88">
        <f t="shared" si="16"/>
        <v>2.8234220674678228E-4</v>
      </c>
    </row>
    <row r="367" spans="2:9">
      <c r="B367" s="248" t="s">
        <v>967</v>
      </c>
      <c r="C367" s="248" t="s">
        <v>439</v>
      </c>
      <c r="D367" s="298">
        <v>16723.25</v>
      </c>
      <c r="E367" s="87">
        <f t="shared" si="17"/>
        <v>6.9044058187607798E-4</v>
      </c>
      <c r="F367" s="265">
        <v>3.5099999999999999E-2</v>
      </c>
      <c r="G367" s="265">
        <v>6.5000000000000002E-2</v>
      </c>
      <c r="H367" s="87">
        <f t="shared" si="15"/>
        <v>0.10124074999999999</v>
      </c>
      <c r="I367" s="88">
        <f t="shared" si="16"/>
        <v>6.9900722339570541E-5</v>
      </c>
    </row>
    <row r="368" spans="2:9">
      <c r="B368" s="248" t="s">
        <v>968</v>
      </c>
      <c r="C368" s="248" t="s">
        <v>440</v>
      </c>
      <c r="D368" s="298">
        <v>177852.2</v>
      </c>
      <c r="E368" s="87">
        <f t="shared" si="17"/>
        <v>7.3428535993865186E-3</v>
      </c>
      <c r="F368" s="265">
        <v>1.78E-2</v>
      </c>
      <c r="G368" s="265">
        <v>0.1</v>
      </c>
      <c r="H368" s="87">
        <f t="shared" si="15"/>
        <v>0.11869</v>
      </c>
      <c r="I368" s="88">
        <f t="shared" si="16"/>
        <v>8.7152329371118593E-4</v>
      </c>
    </row>
    <row r="369" spans="2:9">
      <c r="B369" s="248" t="s">
        <v>969</v>
      </c>
      <c r="C369" s="248" t="s">
        <v>441</v>
      </c>
      <c r="D369" s="298">
        <v>30381.51</v>
      </c>
      <c r="E369" s="87">
        <f t="shared" si="17"/>
        <v>1.2543391650949355E-3</v>
      </c>
      <c r="F369" s="265">
        <v>0</v>
      </c>
      <c r="G369" s="265">
        <v>0.12</v>
      </c>
      <c r="H369" s="87">
        <f t="shared" si="15"/>
        <v>0.12</v>
      </c>
      <c r="I369" s="88">
        <f t="shared" si="16"/>
        <v>1.5052069981139225E-4</v>
      </c>
    </row>
    <row r="370" spans="2:9">
      <c r="B370" s="248" t="s">
        <v>970</v>
      </c>
      <c r="C370" s="248" t="s">
        <v>442</v>
      </c>
      <c r="D370" s="298">
        <v>33935.629999999997</v>
      </c>
      <c r="E370" s="87">
        <f t="shared" si="17"/>
        <v>1.4010755160349386E-3</v>
      </c>
      <c r="F370" s="265">
        <v>6.9900000000000004E-2</v>
      </c>
      <c r="G370" s="265">
        <v>0.33</v>
      </c>
      <c r="H370" s="87">
        <f t="shared" si="15"/>
        <v>0.41143350000000001</v>
      </c>
      <c r="I370" s="88">
        <f t="shared" si="16"/>
        <v>5.7644940332656088E-4</v>
      </c>
    </row>
    <row r="371" spans="2:9">
      <c r="B371" s="248" t="s">
        <v>971</v>
      </c>
      <c r="C371" s="248" t="s">
        <v>443</v>
      </c>
      <c r="D371" s="298">
        <v>29675.66</v>
      </c>
      <c r="E371" s="87">
        <f t="shared" si="17"/>
        <v>1.2251972528041291E-3</v>
      </c>
      <c r="F371" s="265">
        <v>3.15E-2</v>
      </c>
      <c r="G371" s="265">
        <v>0.105</v>
      </c>
      <c r="H371" s="87">
        <f t="shared" si="15"/>
        <v>0.13815374999999999</v>
      </c>
      <c r="I371" s="88">
        <f t="shared" si="16"/>
        <v>1.6926559496458843E-4</v>
      </c>
    </row>
    <row r="372" spans="2:9">
      <c r="B372" s="248" t="s">
        <v>972</v>
      </c>
      <c r="C372" s="248" t="s">
        <v>444</v>
      </c>
      <c r="D372" s="298">
        <v>6256.15</v>
      </c>
      <c r="E372" s="87">
        <f t="shared" si="17"/>
        <v>2.5829308575211308E-4</v>
      </c>
      <c r="F372" s="265">
        <v>4.53E-2</v>
      </c>
      <c r="G372" s="265">
        <v>0.09</v>
      </c>
      <c r="H372" s="87">
        <f t="shared" si="15"/>
        <v>0.1373385</v>
      </c>
      <c r="I372" s="88">
        <f t="shared" si="16"/>
        <v>3.5473584957566581E-5</v>
      </c>
    </row>
    <row r="373" spans="2:9">
      <c r="B373" s="248" t="s">
        <v>973</v>
      </c>
      <c r="C373" s="248" t="s">
        <v>445</v>
      </c>
      <c r="D373" s="298">
        <v>23818.46</v>
      </c>
      <c r="E373" s="87">
        <f t="shared" si="17"/>
        <v>9.8337532368361928E-4</v>
      </c>
      <c r="F373" s="265">
        <v>4.8000000000000001E-2</v>
      </c>
      <c r="G373" s="265">
        <v>7.4999999999999997E-2</v>
      </c>
      <c r="H373" s="87">
        <f t="shared" si="15"/>
        <v>0.12479999999999999</v>
      </c>
      <c r="I373" s="88">
        <f t="shared" si="16"/>
        <v>1.2272524039571569E-4</v>
      </c>
    </row>
    <row r="374" spans="2:9">
      <c r="B374" s="248" t="s">
        <v>974</v>
      </c>
      <c r="C374" s="248" t="s">
        <v>14</v>
      </c>
      <c r="D374" s="298">
        <v>31379.040000000001</v>
      </c>
      <c r="E374" s="87">
        <f t="shared" si="17"/>
        <v>1.2955234560454892E-3</v>
      </c>
      <c r="F374" s="265">
        <v>3.0800000000000001E-2</v>
      </c>
      <c r="G374" s="265">
        <v>0.06</v>
      </c>
      <c r="H374" s="87">
        <f t="shared" si="15"/>
        <v>9.1724E-2</v>
      </c>
      <c r="I374" s="88">
        <f t="shared" si="16"/>
        <v>1.1883059348231644E-4</v>
      </c>
    </row>
    <row r="375" spans="2:9">
      <c r="B375" s="248" t="s">
        <v>975</v>
      </c>
      <c r="C375" s="248" t="s">
        <v>446</v>
      </c>
      <c r="D375" s="298">
        <v>189872.3</v>
      </c>
      <c r="E375" s="87">
        <f t="shared" si="17"/>
        <v>7.8391186697651018E-3</v>
      </c>
      <c r="F375" s="265">
        <v>2.8199999999999999E-2</v>
      </c>
      <c r="G375" s="265">
        <v>6.5000000000000002E-2</v>
      </c>
      <c r="H375" s="87">
        <f t="shared" si="15"/>
        <v>9.4116500000000006E-2</v>
      </c>
      <c r="I375" s="88">
        <f t="shared" si="16"/>
        <v>7.3779041228294725E-4</v>
      </c>
    </row>
    <row r="376" spans="2:9">
      <c r="B376" s="248" t="s">
        <v>976</v>
      </c>
      <c r="C376" s="248" t="s">
        <v>447</v>
      </c>
      <c r="D376" s="298">
        <v>199008.4</v>
      </c>
      <c r="E376" s="87">
        <f t="shared" si="17"/>
        <v>8.2163141431376846E-3</v>
      </c>
      <c r="F376" s="265">
        <v>4.0300000000000002E-2</v>
      </c>
      <c r="G376" s="265">
        <v>0.1</v>
      </c>
      <c r="H376" s="87">
        <f t="shared" si="15"/>
        <v>0.14231500000000002</v>
      </c>
      <c r="I376" s="88">
        <f t="shared" si="16"/>
        <v>1.1693047472806398E-3</v>
      </c>
    </row>
    <row r="377" spans="2:9">
      <c r="B377" s="248" t="s">
        <v>977</v>
      </c>
      <c r="C377" s="248" t="s">
        <v>448</v>
      </c>
      <c r="D377" s="298">
        <v>15802.19</v>
      </c>
      <c r="E377" s="87">
        <f t="shared" si="17"/>
        <v>6.5241345184197694E-4</v>
      </c>
      <c r="F377" s="265">
        <v>3.8800000000000001E-2</v>
      </c>
      <c r="G377" s="265">
        <v>5.5E-2</v>
      </c>
      <c r="H377" s="87">
        <f t="shared" si="15"/>
        <v>9.4867000000000007E-2</v>
      </c>
      <c r="I377" s="88">
        <f t="shared" si="16"/>
        <v>6.1892506935892836E-5</v>
      </c>
    </row>
    <row r="378" spans="2:9">
      <c r="B378" s="248" t="s">
        <v>978</v>
      </c>
      <c r="C378" s="248" t="s">
        <v>449</v>
      </c>
      <c r="D378" s="298">
        <v>311365.59999999998</v>
      </c>
      <c r="E378" s="87">
        <f t="shared" si="17"/>
        <v>1.2855123617729456E-2</v>
      </c>
      <c r="F378" s="265">
        <v>2.4E-2</v>
      </c>
      <c r="G378" s="265">
        <v>0.09</v>
      </c>
      <c r="H378" s="87">
        <f t="shared" si="15"/>
        <v>0.11507999999999999</v>
      </c>
      <c r="I378" s="88">
        <f t="shared" si="16"/>
        <v>1.4793676259283056E-3</v>
      </c>
    </row>
    <row r="379" spans="2:9">
      <c r="B379" s="248" t="s">
        <v>979</v>
      </c>
      <c r="C379" s="248" t="s">
        <v>450</v>
      </c>
      <c r="D379" s="298">
        <v>44993.22</v>
      </c>
      <c r="E379" s="87">
        <f t="shared" si="17"/>
        <v>1.85760214056947E-3</v>
      </c>
      <c r="F379" s="265">
        <v>5.1999999999999998E-3</v>
      </c>
      <c r="G379" s="265">
        <v>0.155</v>
      </c>
      <c r="H379" s="87">
        <f t="shared" si="15"/>
        <v>0.160603</v>
      </c>
      <c r="I379" s="88">
        <f t="shared" si="16"/>
        <v>2.9833647658187857E-4</v>
      </c>
    </row>
    <row r="380" spans="2:9">
      <c r="B380" s="248" t="s">
        <v>980</v>
      </c>
      <c r="C380" s="248" t="s">
        <v>451</v>
      </c>
      <c r="D380" s="298">
        <v>23106.69</v>
      </c>
      <c r="E380" s="87">
        <f t="shared" si="17"/>
        <v>9.5398899668605987E-4</v>
      </c>
      <c r="F380" s="265">
        <v>1.95E-2</v>
      </c>
      <c r="G380" s="265">
        <v>0.115</v>
      </c>
      <c r="H380" s="87">
        <f t="shared" si="15"/>
        <v>0.13562125</v>
      </c>
      <c r="I380" s="88">
        <f t="shared" si="16"/>
        <v>1.293811802168093E-4</v>
      </c>
    </row>
    <row r="381" spans="2:9">
      <c r="B381" s="248" t="s">
        <v>981</v>
      </c>
      <c r="C381" s="248" t="s">
        <v>452</v>
      </c>
      <c r="D381" s="298">
        <v>9948.6</v>
      </c>
      <c r="E381" s="87">
        <f t="shared" si="17"/>
        <v>4.107405661490649E-4</v>
      </c>
      <c r="F381" s="265">
        <v>1.2699999999999999E-2</v>
      </c>
      <c r="G381" s="265">
        <v>0.08</v>
      </c>
      <c r="H381" s="87">
        <f t="shared" si="15"/>
        <v>9.3207999999999999E-2</v>
      </c>
      <c r="I381" s="88">
        <f t="shared" si="16"/>
        <v>3.8284306689622044E-5</v>
      </c>
    </row>
    <row r="382" spans="2:9">
      <c r="B382" s="248" t="s">
        <v>982</v>
      </c>
      <c r="C382" s="248" t="s">
        <v>453</v>
      </c>
      <c r="D382" s="298">
        <v>9899.94</v>
      </c>
      <c r="E382" s="87">
        <f t="shared" si="17"/>
        <v>4.0873157634659888E-4</v>
      </c>
      <c r="F382" s="265">
        <v>3.0200000000000001E-2</v>
      </c>
      <c r="G382" s="265">
        <v>0.06</v>
      </c>
      <c r="H382" s="87">
        <f t="shared" si="15"/>
        <v>9.1105999999999993E-2</v>
      </c>
      <c r="I382" s="88">
        <f t="shared" si="16"/>
        <v>3.7237898994633235E-5</v>
      </c>
    </row>
    <row r="383" spans="2:9">
      <c r="B383" s="248" t="s">
        <v>983</v>
      </c>
      <c r="C383" s="248" t="s">
        <v>454</v>
      </c>
      <c r="D383" s="298">
        <v>9474.36</v>
      </c>
      <c r="E383" s="87">
        <f t="shared" si="17"/>
        <v>3.9116096639728754E-4</v>
      </c>
      <c r="F383" s="265">
        <v>3.3E-3</v>
      </c>
      <c r="G383" s="265">
        <v>0.11</v>
      </c>
      <c r="H383" s="87">
        <f t="shared" si="15"/>
        <v>0.1134815</v>
      </c>
      <c r="I383" s="88">
        <f t="shared" si="16"/>
        <v>4.4389533208213786E-5</v>
      </c>
    </row>
    <row r="384" spans="2:9">
      <c r="B384" s="248" t="s">
        <v>984</v>
      </c>
      <c r="C384" s="248" t="s">
        <v>455</v>
      </c>
      <c r="D384" s="298">
        <v>54316.97</v>
      </c>
      <c r="E384" s="87">
        <f t="shared" si="17"/>
        <v>2.2425449821383684E-3</v>
      </c>
      <c r="F384" s="265">
        <v>2.6000000000000002E-2</v>
      </c>
      <c r="G384" s="265">
        <v>6.5000000000000002E-2</v>
      </c>
      <c r="H384" s="87">
        <f t="shared" si="15"/>
        <v>9.184500000000001E-2</v>
      </c>
      <c r="I384" s="88">
        <f t="shared" si="16"/>
        <v>2.0596654388449847E-4</v>
      </c>
    </row>
    <row r="385" spans="2:9">
      <c r="B385" s="248" t="s">
        <v>985</v>
      </c>
      <c r="C385" s="248" t="s">
        <v>456</v>
      </c>
      <c r="D385" s="298">
        <v>117138.3</v>
      </c>
      <c r="E385" s="87">
        <f t="shared" si="17"/>
        <v>4.8362032506824087E-3</v>
      </c>
      <c r="F385" s="265">
        <v>6.2199999999999998E-2</v>
      </c>
      <c r="G385" s="265">
        <v>0.06</v>
      </c>
      <c r="H385" s="87">
        <f t="shared" si="15"/>
        <v>0.124066</v>
      </c>
      <c r="I385" s="88">
        <f t="shared" si="16"/>
        <v>6.0000839249916367E-4</v>
      </c>
    </row>
    <row r="386" spans="2:9">
      <c r="B386" s="248" t="s">
        <v>986</v>
      </c>
      <c r="C386" s="248" t="s">
        <v>457</v>
      </c>
      <c r="D386" s="298">
        <v>62624.7</v>
      </c>
      <c r="E386" s="87">
        <f t="shared" si="17"/>
        <v>2.5855401496607906E-3</v>
      </c>
      <c r="F386" s="265">
        <v>3.2799999999999996E-2</v>
      </c>
      <c r="G386" s="265">
        <v>0.08</v>
      </c>
      <c r="H386" s="87">
        <f t="shared" si="15"/>
        <v>0.11411199999999999</v>
      </c>
      <c r="I386" s="88">
        <f t="shared" si="16"/>
        <v>2.9504115755809213E-4</v>
      </c>
    </row>
    <row r="387" spans="2:9">
      <c r="B387" s="248" t="s">
        <v>987</v>
      </c>
      <c r="C387" s="248" t="s">
        <v>458</v>
      </c>
      <c r="D387" s="298">
        <v>6259.83</v>
      </c>
      <c r="E387" s="87">
        <f t="shared" si="17"/>
        <v>2.5844501921847305E-4</v>
      </c>
      <c r="F387" s="265">
        <v>1.9299999999999998E-2</v>
      </c>
      <c r="G387" s="265">
        <v>0.06</v>
      </c>
      <c r="H387" s="87">
        <f t="shared" si="15"/>
        <v>7.9878999999999992E-2</v>
      </c>
      <c r="I387" s="88">
        <f t="shared" si="16"/>
        <v>2.0644329690152407E-5</v>
      </c>
    </row>
    <row r="388" spans="2:9">
      <c r="B388" s="248" t="s">
        <v>988</v>
      </c>
      <c r="C388" s="248" t="s">
        <v>15</v>
      </c>
      <c r="D388" s="298">
        <v>10968.63</v>
      </c>
      <c r="E388" s="87">
        <f t="shared" si="17"/>
        <v>4.5285379813035171E-4</v>
      </c>
      <c r="F388" s="265">
        <v>3.1099999999999999E-2</v>
      </c>
      <c r="G388" s="265">
        <v>5.5E-2</v>
      </c>
      <c r="H388" s="87">
        <f t="shared" si="15"/>
        <v>8.6955250000000012E-2</v>
      </c>
      <c r="I388" s="88">
        <f t="shared" si="16"/>
        <v>3.9378015229874268E-5</v>
      </c>
    </row>
    <row r="389" spans="2:9">
      <c r="B389" s="248" t="s">
        <v>989</v>
      </c>
      <c r="C389" s="248" t="s">
        <v>459</v>
      </c>
      <c r="D389" s="298">
        <v>27565.94</v>
      </c>
      <c r="E389" s="87">
        <f t="shared" si="17"/>
        <v>1.1380947874104048E-3</v>
      </c>
      <c r="F389" s="265">
        <v>1.7500000000000002E-2</v>
      </c>
      <c r="G389" s="265">
        <v>7.4999999999999997E-2</v>
      </c>
      <c r="H389" s="87">
        <f t="shared" si="15"/>
        <v>9.3156249999999996E-2</v>
      </c>
      <c r="I389" s="88">
        <f t="shared" si="16"/>
        <v>1.0602064253970051E-4</v>
      </c>
    </row>
    <row r="390" spans="2:9">
      <c r="B390" s="248" t="s">
        <v>990</v>
      </c>
      <c r="C390" s="248" t="s">
        <v>16</v>
      </c>
      <c r="D390" s="298">
        <v>22889.55</v>
      </c>
      <c r="E390" s="87">
        <f t="shared" si="17"/>
        <v>9.4502409644546244E-4</v>
      </c>
      <c r="F390" s="265">
        <v>5.2400000000000002E-2</v>
      </c>
      <c r="G390" s="265">
        <v>1.4999999999999999E-2</v>
      </c>
      <c r="H390" s="87">
        <f t="shared" si="15"/>
        <v>6.7793000000000006E-2</v>
      </c>
      <c r="I390" s="88">
        <f t="shared" si="16"/>
        <v>6.4066018570327235E-5</v>
      </c>
    </row>
    <row r="391" spans="2:9">
      <c r="B391" s="248" t="s">
        <v>991</v>
      </c>
      <c r="C391" s="248" t="s">
        <v>460</v>
      </c>
      <c r="D391" s="298">
        <v>7342.89</v>
      </c>
      <c r="E391" s="87">
        <f t="shared" si="17"/>
        <v>3.0316052467385435E-4</v>
      </c>
      <c r="F391" s="265">
        <v>1.6299999999999999E-2</v>
      </c>
      <c r="G391" s="265">
        <v>0.02</v>
      </c>
      <c r="H391" s="87">
        <f t="shared" si="15"/>
        <v>3.6462999999999995E-2</v>
      </c>
      <c r="I391" s="88">
        <f t="shared" si="16"/>
        <v>1.105414221118275E-5</v>
      </c>
    </row>
    <row r="392" spans="2:9">
      <c r="B392" s="248" t="s">
        <v>992</v>
      </c>
      <c r="C392" s="248" t="s">
        <v>461</v>
      </c>
      <c r="D392" s="298">
        <v>36163.519999999997</v>
      </c>
      <c r="E392" s="87">
        <f t="shared" si="17"/>
        <v>1.4930567797220744E-3</v>
      </c>
      <c r="F392" s="265">
        <v>4.4600000000000001E-2</v>
      </c>
      <c r="G392" s="265">
        <v>6.5000000000000002E-2</v>
      </c>
      <c r="H392" s="87">
        <f t="shared" si="15"/>
        <v>0.1110495</v>
      </c>
      <c r="I392" s="88">
        <f t="shared" si="16"/>
        <v>1.6580320885974649E-4</v>
      </c>
    </row>
    <row r="393" spans="2:9">
      <c r="B393" s="248" t="s">
        <v>993</v>
      </c>
      <c r="C393" s="248" t="s">
        <v>462</v>
      </c>
      <c r="D393" s="298">
        <v>42918.07</v>
      </c>
      <c r="E393" s="87">
        <f t="shared" si="17"/>
        <v>1.7719269414616325E-3</v>
      </c>
      <c r="F393" s="265">
        <v>3.3700000000000001E-2</v>
      </c>
      <c r="G393" s="265">
        <v>4.4999999999999998E-2</v>
      </c>
      <c r="H393" s="87">
        <f t="shared" si="15"/>
        <v>7.9458250000000008E-2</v>
      </c>
      <c r="I393" s="88">
        <f t="shared" si="16"/>
        <v>1.4079421389639378E-4</v>
      </c>
    </row>
    <row r="394" spans="2:9">
      <c r="B394" s="248" t="s">
        <v>994</v>
      </c>
      <c r="C394" s="248" t="s">
        <v>463</v>
      </c>
      <c r="D394" s="298">
        <v>46899.55</v>
      </c>
      <c r="E394" s="87">
        <f t="shared" si="17"/>
        <v>1.936307391908045E-3</v>
      </c>
      <c r="F394" s="265">
        <v>3.6299999999999999E-2</v>
      </c>
      <c r="G394" s="265">
        <v>0.1</v>
      </c>
      <c r="H394" s="87">
        <f t="shared" si="15"/>
        <v>0.13811500000000002</v>
      </c>
      <c r="I394" s="88">
        <f t="shared" si="16"/>
        <v>2.6743309543337965E-4</v>
      </c>
    </row>
    <row r="395" spans="2:9">
      <c r="B395" s="248" t="s">
        <v>995</v>
      </c>
      <c r="C395" s="248" t="s">
        <v>464</v>
      </c>
      <c r="D395" s="298">
        <v>6460.94</v>
      </c>
      <c r="E395" s="87">
        <f t="shared" si="17"/>
        <v>2.6674810058250801E-4</v>
      </c>
      <c r="F395" s="265">
        <v>1.7000000000000001E-3</v>
      </c>
      <c r="G395" s="265">
        <v>9.5000000000000001E-2</v>
      </c>
      <c r="H395" s="87">
        <f t="shared" si="15"/>
        <v>9.6780749999999999E-2</v>
      </c>
      <c r="I395" s="88">
        <f t="shared" si="16"/>
        <v>2.5816081235450561E-5</v>
      </c>
    </row>
    <row r="396" spans="2:9">
      <c r="B396" s="248" t="s">
        <v>996</v>
      </c>
      <c r="C396" s="248" t="s">
        <v>465</v>
      </c>
      <c r="D396" s="298">
        <v>5348.32</v>
      </c>
      <c r="E396" s="87">
        <f t="shared" si="17"/>
        <v>2.2081217304408324E-4</v>
      </c>
      <c r="F396" s="265">
        <v>4.3E-3</v>
      </c>
      <c r="G396" s="265">
        <v>0.155</v>
      </c>
      <c r="H396" s="87">
        <f t="shared" si="15"/>
        <v>0.15963325</v>
      </c>
      <c r="I396" s="88">
        <f t="shared" si="16"/>
        <v>3.5248964822589402E-5</v>
      </c>
    </row>
    <row r="397" spans="2:9">
      <c r="B397" s="248" t="s">
        <v>997</v>
      </c>
      <c r="C397" s="248" t="s">
        <v>466</v>
      </c>
      <c r="D397" s="298">
        <v>21115.74</v>
      </c>
      <c r="E397" s="87">
        <f t="shared" si="17"/>
        <v>8.7179010134656699E-4</v>
      </c>
      <c r="F397" s="265">
        <v>1.1899999999999999E-2</v>
      </c>
      <c r="G397" s="265">
        <v>0.375</v>
      </c>
      <c r="H397" s="87">
        <f t="shared" ref="H397:H460" si="18">IFERROR(F397*(1+0.5*G397)+G397,"N/A")</f>
        <v>0.38913124999999998</v>
      </c>
      <c r="I397" s="88">
        <f t="shared" ref="I397:I460" si="19">IF(ISNUMBER(E397),H397*E397,"N/A")</f>
        <v>3.3924077187461629E-4</v>
      </c>
    </row>
    <row r="398" spans="2:9">
      <c r="B398" s="248" t="s">
        <v>998</v>
      </c>
      <c r="C398" s="248" t="s">
        <v>467</v>
      </c>
      <c r="D398" s="298">
        <v>123055.4</v>
      </c>
      <c r="E398" s="87">
        <f t="shared" ref="E398:E461" si="20">IF(H398="N/A","N/A",D398/$D$513)</f>
        <v>5.0804982272580701E-3</v>
      </c>
      <c r="F398" s="265">
        <v>0</v>
      </c>
      <c r="G398" s="265">
        <v>0.2</v>
      </c>
      <c r="H398" s="87">
        <f t="shared" si="18"/>
        <v>0.2</v>
      </c>
      <c r="I398" s="88">
        <f t="shared" si="19"/>
        <v>1.0160996454516142E-3</v>
      </c>
    </row>
    <row r="399" spans="2:9">
      <c r="B399" s="248" t="s">
        <v>999</v>
      </c>
      <c r="C399" s="248" t="s">
        <v>468</v>
      </c>
      <c r="D399" s="298">
        <v>94212.3</v>
      </c>
      <c r="E399" s="87">
        <f t="shared" si="20"/>
        <v>3.8896742697671579E-3</v>
      </c>
      <c r="F399" s="265">
        <v>3.2099999999999997E-2</v>
      </c>
      <c r="G399" s="265">
        <v>0.105</v>
      </c>
      <c r="H399" s="87">
        <f t="shared" si="18"/>
        <v>0.13878525</v>
      </c>
      <c r="I399" s="88">
        <f t="shared" si="19"/>
        <v>5.3982941594820245E-4</v>
      </c>
    </row>
    <row r="400" spans="2:9">
      <c r="B400" s="248" t="s">
        <v>1000</v>
      </c>
      <c r="C400" s="248" t="s">
        <v>469</v>
      </c>
      <c r="D400" s="298">
        <v>8857.52</v>
      </c>
      <c r="E400" s="87" t="str">
        <f t="shared" si="20"/>
        <v>N/A</v>
      </c>
      <c r="F400" s="265">
        <v>0</v>
      </c>
      <c r="G400" s="265" t="s">
        <v>150</v>
      </c>
      <c r="H400" s="87" t="str">
        <f t="shared" si="18"/>
        <v>N/A</v>
      </c>
      <c r="I400" s="88" t="str">
        <f t="shared" si="19"/>
        <v>N/A</v>
      </c>
    </row>
    <row r="401" spans="2:9">
      <c r="B401" s="248" t="s">
        <v>1001</v>
      </c>
      <c r="C401" s="248" t="s">
        <v>470</v>
      </c>
      <c r="D401" s="298">
        <v>22403.87</v>
      </c>
      <c r="E401" s="87">
        <f t="shared" si="20"/>
        <v>9.2497218178739214E-4</v>
      </c>
      <c r="F401" s="265">
        <v>2.92E-2</v>
      </c>
      <c r="G401" s="265">
        <v>0.125</v>
      </c>
      <c r="H401" s="87">
        <f t="shared" si="18"/>
        <v>0.156025</v>
      </c>
      <c r="I401" s="88">
        <f t="shared" si="19"/>
        <v>1.4431878466337786E-4</v>
      </c>
    </row>
    <row r="402" spans="2:9">
      <c r="B402" s="248" t="s">
        <v>1002</v>
      </c>
      <c r="C402" s="248" t="s">
        <v>471</v>
      </c>
      <c r="D402" s="298">
        <v>10851.77</v>
      </c>
      <c r="E402" s="87">
        <f t="shared" si="20"/>
        <v>4.4802908484806284E-4</v>
      </c>
      <c r="F402" s="265">
        <v>2.2200000000000001E-2</v>
      </c>
      <c r="G402" s="265">
        <v>0.185</v>
      </c>
      <c r="H402" s="87">
        <f t="shared" si="18"/>
        <v>0.20925350000000001</v>
      </c>
      <c r="I402" s="88">
        <f t="shared" si="19"/>
        <v>9.3751654106254123E-5</v>
      </c>
    </row>
    <row r="403" spans="2:9">
      <c r="B403" s="248" t="s">
        <v>1003</v>
      </c>
      <c r="C403" s="248" t="s">
        <v>472</v>
      </c>
      <c r="D403" s="298">
        <v>11560.26</v>
      </c>
      <c r="E403" s="87">
        <f t="shared" si="20"/>
        <v>4.772799928864754E-4</v>
      </c>
      <c r="F403" s="265">
        <v>3.4000000000000002E-2</v>
      </c>
      <c r="G403" s="265">
        <v>0.16</v>
      </c>
      <c r="H403" s="87">
        <f t="shared" si="18"/>
        <v>0.19672000000000001</v>
      </c>
      <c r="I403" s="88">
        <f t="shared" si="19"/>
        <v>9.3890520200627444E-5</v>
      </c>
    </row>
    <row r="404" spans="2:9">
      <c r="B404" s="248" t="s">
        <v>1004</v>
      </c>
      <c r="C404" s="248" t="s">
        <v>473</v>
      </c>
      <c r="D404" s="298">
        <v>30883.05</v>
      </c>
      <c r="E404" s="87">
        <f t="shared" si="20"/>
        <v>1.2750458799640027E-3</v>
      </c>
      <c r="F404" s="265">
        <v>0</v>
      </c>
      <c r="G404" s="265">
        <v>0.1</v>
      </c>
      <c r="H404" s="87">
        <f t="shared" si="18"/>
        <v>0.1</v>
      </c>
      <c r="I404" s="88">
        <f t="shared" si="19"/>
        <v>1.2750458799640029E-4</v>
      </c>
    </row>
    <row r="405" spans="2:9">
      <c r="B405" s="248" t="s">
        <v>1005</v>
      </c>
      <c r="C405" s="248" t="s">
        <v>474</v>
      </c>
      <c r="D405" s="298">
        <v>15950.7</v>
      </c>
      <c r="E405" s="87">
        <f t="shared" si="20"/>
        <v>6.585448755074975E-4</v>
      </c>
      <c r="F405" s="265">
        <v>3.9E-2</v>
      </c>
      <c r="G405" s="265">
        <v>0.105</v>
      </c>
      <c r="H405" s="87">
        <f t="shared" si="18"/>
        <v>0.1460475</v>
      </c>
      <c r="I405" s="88">
        <f t="shared" si="19"/>
        <v>9.6178832705681237E-5</v>
      </c>
    </row>
    <row r="406" spans="2:9">
      <c r="B406" s="248" t="s">
        <v>1006</v>
      </c>
      <c r="C406" s="248" t="s">
        <v>475</v>
      </c>
      <c r="D406" s="298">
        <v>6462.33</v>
      </c>
      <c r="E406" s="87">
        <f t="shared" si="20"/>
        <v>2.6680548849507334E-4</v>
      </c>
      <c r="F406" s="265">
        <v>2.3700000000000002E-2</v>
      </c>
      <c r="G406" s="265">
        <v>0.09</v>
      </c>
      <c r="H406" s="87">
        <f t="shared" si="18"/>
        <v>0.11476649999999999</v>
      </c>
      <c r="I406" s="88">
        <f t="shared" si="19"/>
        <v>3.0620332095369835E-5</v>
      </c>
    </row>
    <row r="407" spans="2:9">
      <c r="B407" s="248" t="s">
        <v>1007</v>
      </c>
      <c r="C407" s="248" t="s">
        <v>476</v>
      </c>
      <c r="D407" s="298">
        <v>11825.61</v>
      </c>
      <c r="E407" s="87">
        <f t="shared" si="20"/>
        <v>4.8823530410892419E-4</v>
      </c>
      <c r="F407" s="265">
        <v>1.6500000000000001E-2</v>
      </c>
      <c r="G407" s="265">
        <v>0.1</v>
      </c>
      <c r="H407" s="87">
        <f t="shared" si="18"/>
        <v>0.11732500000000001</v>
      </c>
      <c r="I407" s="88">
        <f t="shared" si="19"/>
        <v>5.7282207054579535E-5</v>
      </c>
    </row>
    <row r="408" spans="2:9">
      <c r="B408" s="248" t="s">
        <v>1008</v>
      </c>
      <c r="C408" s="248" t="s">
        <v>477</v>
      </c>
      <c r="D408" s="298">
        <v>7189.64</v>
      </c>
      <c r="E408" s="87">
        <f t="shared" si="20"/>
        <v>2.9683340409785927E-4</v>
      </c>
      <c r="F408" s="265">
        <v>2.9500000000000002E-2</v>
      </c>
      <c r="G408" s="265">
        <v>0.08</v>
      </c>
      <c r="H408" s="87">
        <f t="shared" si="18"/>
        <v>0.11068</v>
      </c>
      <c r="I408" s="88">
        <f t="shared" si="19"/>
        <v>3.2853521165551062E-5</v>
      </c>
    </row>
    <row r="409" spans="2:9">
      <c r="B409" s="248" t="s">
        <v>1009</v>
      </c>
      <c r="C409" s="248" t="s">
        <v>478</v>
      </c>
      <c r="D409" s="298">
        <v>19295.8</v>
      </c>
      <c r="E409" s="87">
        <f t="shared" si="20"/>
        <v>7.9665157070332769E-4</v>
      </c>
      <c r="F409" s="265">
        <v>1.1599999999999999E-2</v>
      </c>
      <c r="G409" s="265">
        <v>0.155</v>
      </c>
      <c r="H409" s="87">
        <f t="shared" si="18"/>
        <v>0.16749900000000001</v>
      </c>
      <c r="I409" s="88">
        <f t="shared" si="19"/>
        <v>1.3343834144123669E-4</v>
      </c>
    </row>
    <row r="410" spans="2:9">
      <c r="B410" s="248" t="s">
        <v>1010</v>
      </c>
      <c r="C410" s="248" t="s">
        <v>479</v>
      </c>
      <c r="D410" s="298">
        <v>19128.330000000002</v>
      </c>
      <c r="E410" s="87">
        <f t="shared" si="20"/>
        <v>7.8973735939590929E-4</v>
      </c>
      <c r="F410" s="265">
        <v>2.3900000000000001E-2</v>
      </c>
      <c r="G410" s="265">
        <v>9.5000000000000001E-2</v>
      </c>
      <c r="H410" s="87">
        <f t="shared" si="18"/>
        <v>0.12003525000000001</v>
      </c>
      <c r="I410" s="88">
        <f t="shared" si="19"/>
        <v>9.4796321369427833E-5</v>
      </c>
    </row>
    <row r="411" spans="2:9">
      <c r="B411" s="248" t="s">
        <v>1011</v>
      </c>
      <c r="C411" s="248" t="s">
        <v>1012</v>
      </c>
      <c r="D411" s="298">
        <v>11075.58</v>
      </c>
      <c r="E411" s="87">
        <f t="shared" si="20"/>
        <v>4.572693644964377E-4</v>
      </c>
      <c r="F411" s="265">
        <v>1.24E-2</v>
      </c>
      <c r="G411" s="265">
        <v>0.13</v>
      </c>
      <c r="H411" s="87">
        <f t="shared" si="18"/>
        <v>0.143206</v>
      </c>
      <c r="I411" s="88">
        <f t="shared" si="19"/>
        <v>6.5483716612076858E-5</v>
      </c>
    </row>
    <row r="412" spans="2:9">
      <c r="B412" s="248" t="s">
        <v>1013</v>
      </c>
      <c r="C412" s="248" t="s">
        <v>480</v>
      </c>
      <c r="D412" s="298">
        <v>36943.589999999997</v>
      </c>
      <c r="E412" s="87">
        <f t="shared" si="20"/>
        <v>1.52526295882626E-3</v>
      </c>
      <c r="F412" s="265">
        <v>5.1999999999999998E-3</v>
      </c>
      <c r="G412" s="265">
        <v>0.115</v>
      </c>
      <c r="H412" s="87">
        <f t="shared" si="18"/>
        <v>0.12049900000000001</v>
      </c>
      <c r="I412" s="88">
        <f t="shared" si="19"/>
        <v>1.8379266127560551E-4</v>
      </c>
    </row>
    <row r="413" spans="2:9">
      <c r="B413" s="248" t="s">
        <v>1014</v>
      </c>
      <c r="C413" s="248" t="s">
        <v>481</v>
      </c>
      <c r="D413" s="298">
        <v>39059.61</v>
      </c>
      <c r="E413" s="87">
        <f t="shared" si="20"/>
        <v>1.6126255277085898E-3</v>
      </c>
      <c r="F413" s="265">
        <v>9.8999999999999991E-3</v>
      </c>
      <c r="G413" s="265">
        <v>9.5000000000000001E-2</v>
      </c>
      <c r="H413" s="87">
        <f t="shared" si="18"/>
        <v>0.10537025</v>
      </c>
      <c r="I413" s="88">
        <f t="shared" si="19"/>
        <v>1.6992275501103604E-4</v>
      </c>
    </row>
    <row r="414" spans="2:9">
      <c r="B414" s="248" t="s">
        <v>1015</v>
      </c>
      <c r="C414" s="248" t="s">
        <v>482</v>
      </c>
      <c r="D414" s="298">
        <v>30654.52</v>
      </c>
      <c r="E414" s="87">
        <f t="shared" si="20"/>
        <v>1.2656107291305141E-3</v>
      </c>
      <c r="F414" s="265">
        <v>1.8700000000000001E-2</v>
      </c>
      <c r="G414" s="265">
        <v>0.115</v>
      </c>
      <c r="H414" s="87">
        <f t="shared" si="18"/>
        <v>0.13477525000000001</v>
      </c>
      <c r="I414" s="88">
        <f t="shared" si="19"/>
        <v>1.7057300242124735E-4</v>
      </c>
    </row>
    <row r="415" spans="2:9">
      <c r="B415" s="248" t="s">
        <v>1016</v>
      </c>
      <c r="C415" s="248" t="s">
        <v>483</v>
      </c>
      <c r="D415" s="298">
        <v>55024.54</v>
      </c>
      <c r="E415" s="87">
        <f t="shared" si="20"/>
        <v>2.2717579068101913E-3</v>
      </c>
      <c r="F415" s="265">
        <v>1.9099999999999999E-2</v>
      </c>
      <c r="G415" s="265">
        <v>0.1</v>
      </c>
      <c r="H415" s="87">
        <f t="shared" si="18"/>
        <v>0.12005500000000001</v>
      </c>
      <c r="I415" s="88">
        <f t="shared" si="19"/>
        <v>2.7273589550209752E-4</v>
      </c>
    </row>
    <row r="416" spans="2:9">
      <c r="B416" s="248" t="s">
        <v>1017</v>
      </c>
      <c r="C416" s="248" t="s">
        <v>484</v>
      </c>
      <c r="D416" s="298">
        <v>27816.75</v>
      </c>
      <c r="E416" s="87">
        <f t="shared" si="20"/>
        <v>1.1484497962956598E-3</v>
      </c>
      <c r="F416" s="265">
        <v>6.0000000000000001E-3</v>
      </c>
      <c r="G416" s="265">
        <v>0.27</v>
      </c>
      <c r="H416" s="87">
        <f t="shared" si="18"/>
        <v>0.27681</v>
      </c>
      <c r="I416" s="88">
        <f t="shared" si="19"/>
        <v>3.1790238811260158E-4</v>
      </c>
    </row>
    <row r="417" spans="2:9">
      <c r="B417" s="248" t="s">
        <v>1018</v>
      </c>
      <c r="C417" s="248" t="s">
        <v>485</v>
      </c>
      <c r="D417" s="298">
        <v>108343.7</v>
      </c>
      <c r="E417" s="87">
        <f t="shared" si="20"/>
        <v>4.4731070378429567E-3</v>
      </c>
      <c r="F417" s="265">
        <v>1.8700000000000001E-2</v>
      </c>
      <c r="G417" s="265">
        <v>0.13500000000000001</v>
      </c>
      <c r="H417" s="87">
        <f t="shared" si="18"/>
        <v>0.15496225000000002</v>
      </c>
      <c r="I417" s="88">
        <f t="shared" si="19"/>
        <v>6.9316273107497984E-4</v>
      </c>
    </row>
    <row r="418" spans="2:9">
      <c r="B418" s="248" t="s">
        <v>1019</v>
      </c>
      <c r="C418" s="248" t="s">
        <v>486</v>
      </c>
      <c r="D418" s="298">
        <v>53504.73</v>
      </c>
      <c r="E418" s="87">
        <f t="shared" si="20"/>
        <v>2.2090106237915744E-3</v>
      </c>
      <c r="F418" s="265">
        <v>1.66E-2</v>
      </c>
      <c r="G418" s="265">
        <v>0.12</v>
      </c>
      <c r="H418" s="87">
        <f t="shared" si="18"/>
        <v>0.137596</v>
      </c>
      <c r="I418" s="88">
        <f t="shared" si="19"/>
        <v>3.0395102579122544E-4</v>
      </c>
    </row>
    <row r="419" spans="2:9">
      <c r="B419" s="248" t="s">
        <v>1020</v>
      </c>
      <c r="C419" s="248" t="s">
        <v>487</v>
      </c>
      <c r="D419" s="298">
        <v>6333.3</v>
      </c>
      <c r="E419" s="87">
        <f t="shared" si="20"/>
        <v>2.6147832133082772E-4</v>
      </c>
      <c r="F419" s="265">
        <v>1.5600000000000001E-2</v>
      </c>
      <c r="G419" s="265">
        <v>0.22500000000000001</v>
      </c>
      <c r="H419" s="87">
        <f t="shared" si="18"/>
        <v>0.24235500000000001</v>
      </c>
      <c r="I419" s="88">
        <f t="shared" si="19"/>
        <v>6.3370578566132759E-5</v>
      </c>
    </row>
    <row r="420" spans="2:9">
      <c r="B420" s="248" t="s">
        <v>1021</v>
      </c>
      <c r="C420" s="248" t="s">
        <v>488</v>
      </c>
      <c r="D420" s="298">
        <v>50588.57</v>
      </c>
      <c r="E420" s="87">
        <f t="shared" si="20"/>
        <v>2.088613260405645E-3</v>
      </c>
      <c r="F420" s="265">
        <v>9.1999999999999998E-3</v>
      </c>
      <c r="G420" s="265">
        <v>0.105</v>
      </c>
      <c r="H420" s="87">
        <f t="shared" si="18"/>
        <v>0.11468299999999999</v>
      </c>
      <c r="I420" s="88">
        <f t="shared" si="19"/>
        <v>2.3952843454310056E-4</v>
      </c>
    </row>
    <row r="421" spans="2:9">
      <c r="B421" s="248" t="s">
        <v>1022</v>
      </c>
      <c r="C421" s="248" t="s">
        <v>489</v>
      </c>
      <c r="D421" s="298">
        <v>10624.35</v>
      </c>
      <c r="E421" s="87">
        <f t="shared" si="20"/>
        <v>4.3863976177209029E-4</v>
      </c>
      <c r="F421" s="265">
        <v>0</v>
      </c>
      <c r="G421" s="265">
        <v>0.15</v>
      </c>
      <c r="H421" s="87">
        <f t="shared" si="18"/>
        <v>0.15</v>
      </c>
      <c r="I421" s="88">
        <f t="shared" si="19"/>
        <v>6.5795964265813535E-5</v>
      </c>
    </row>
    <row r="422" spans="2:9">
      <c r="B422" s="248" t="s">
        <v>1023</v>
      </c>
      <c r="C422" s="248" t="s">
        <v>490</v>
      </c>
      <c r="D422" s="298">
        <v>12448.56</v>
      </c>
      <c r="E422" s="87">
        <f t="shared" si="20"/>
        <v>5.1395458477982857E-4</v>
      </c>
      <c r="F422" s="265">
        <v>3.2300000000000002E-2</v>
      </c>
      <c r="G422" s="265">
        <v>0.05</v>
      </c>
      <c r="H422" s="87">
        <f t="shared" si="18"/>
        <v>8.3107500000000001E-2</v>
      </c>
      <c r="I422" s="88">
        <f t="shared" si="19"/>
        <v>4.2713480654589605E-5</v>
      </c>
    </row>
    <row r="423" spans="2:9">
      <c r="B423" s="248" t="s">
        <v>1024</v>
      </c>
      <c r="C423" s="248" t="s">
        <v>491</v>
      </c>
      <c r="D423" s="298">
        <v>47768.99</v>
      </c>
      <c r="E423" s="87">
        <f t="shared" si="20"/>
        <v>1.9722033247863034E-3</v>
      </c>
      <c r="F423" s="265">
        <v>5.79E-2</v>
      </c>
      <c r="G423" s="265">
        <v>0.19500000000000001</v>
      </c>
      <c r="H423" s="87">
        <f t="shared" si="18"/>
        <v>0.25854525</v>
      </c>
      <c r="I423" s="88">
        <f t="shared" si="19"/>
        <v>5.0990380165770607E-4</v>
      </c>
    </row>
    <row r="424" spans="2:9">
      <c r="B424" s="248" t="s">
        <v>1025</v>
      </c>
      <c r="C424" s="248" t="s">
        <v>492</v>
      </c>
      <c r="D424" s="298">
        <v>6974.02</v>
      </c>
      <c r="E424" s="87">
        <f t="shared" si="20"/>
        <v>2.8793125898467139E-4</v>
      </c>
      <c r="F424" s="265">
        <v>4.3299999999999998E-2</v>
      </c>
      <c r="G424" s="265">
        <v>5.5E-2</v>
      </c>
      <c r="H424" s="87">
        <f t="shared" si="18"/>
        <v>9.9490750000000003E-2</v>
      </c>
      <c r="I424" s="88">
        <f t="shared" si="19"/>
        <v>2.8646496904829197E-5</v>
      </c>
    </row>
    <row r="425" spans="2:9">
      <c r="B425" s="248" t="s">
        <v>1026</v>
      </c>
      <c r="C425" s="248" t="s">
        <v>493</v>
      </c>
      <c r="D425" s="298">
        <v>8552.98</v>
      </c>
      <c r="E425" s="87">
        <f t="shared" si="20"/>
        <v>3.53120624757416E-4</v>
      </c>
      <c r="F425" s="265">
        <v>2.7400000000000001E-2</v>
      </c>
      <c r="G425" s="265">
        <v>0.06</v>
      </c>
      <c r="H425" s="87">
        <f t="shared" si="18"/>
        <v>8.8221999999999995E-2</v>
      </c>
      <c r="I425" s="88">
        <f t="shared" si="19"/>
        <v>3.115300775734875E-5</v>
      </c>
    </row>
    <row r="426" spans="2:9">
      <c r="B426" s="248" t="s">
        <v>1027</v>
      </c>
      <c r="C426" s="248" t="s">
        <v>494</v>
      </c>
      <c r="D426" s="298">
        <v>21163.49</v>
      </c>
      <c r="E426" s="87">
        <f t="shared" si="20"/>
        <v>8.7376152064512329E-4</v>
      </c>
      <c r="F426" s="265">
        <v>0</v>
      </c>
      <c r="G426" s="265">
        <v>0.105</v>
      </c>
      <c r="H426" s="87">
        <f t="shared" si="18"/>
        <v>0.105</v>
      </c>
      <c r="I426" s="88">
        <f t="shared" si="19"/>
        <v>9.1744959667737944E-5</v>
      </c>
    </row>
    <row r="427" spans="2:9">
      <c r="B427" s="248" t="s">
        <v>1028</v>
      </c>
      <c r="C427" s="248" t="s">
        <v>22</v>
      </c>
      <c r="D427" s="298">
        <v>64658.05</v>
      </c>
      <c r="E427" s="87">
        <f t="shared" si="20"/>
        <v>2.669489582764866E-3</v>
      </c>
      <c r="F427" s="265">
        <v>4.07E-2</v>
      </c>
      <c r="G427" s="265">
        <v>3.5000000000000003E-2</v>
      </c>
      <c r="H427" s="87">
        <f t="shared" si="18"/>
        <v>7.6412250000000015E-2</v>
      </c>
      <c r="I427" s="88">
        <f t="shared" si="19"/>
        <v>2.0398170537062467E-4</v>
      </c>
    </row>
    <row r="428" spans="2:9">
      <c r="B428" s="248" t="s">
        <v>1029</v>
      </c>
      <c r="C428" s="248" t="s">
        <v>495</v>
      </c>
      <c r="D428" s="298">
        <v>48087.98</v>
      </c>
      <c r="E428" s="87">
        <f t="shared" si="20"/>
        <v>1.9853732314260206E-3</v>
      </c>
      <c r="F428" s="265">
        <v>5.5599999999999997E-2</v>
      </c>
      <c r="G428" s="265">
        <v>4.4999999999999998E-2</v>
      </c>
      <c r="H428" s="87">
        <f t="shared" si="18"/>
        <v>0.101851</v>
      </c>
      <c r="I428" s="88">
        <f t="shared" si="19"/>
        <v>2.0221224899397161E-4</v>
      </c>
    </row>
    <row r="429" spans="2:9">
      <c r="B429" s="248" t="s">
        <v>1030</v>
      </c>
      <c r="C429" s="248" t="s">
        <v>496</v>
      </c>
      <c r="D429" s="298">
        <v>63052.800000000003</v>
      </c>
      <c r="E429" s="87">
        <f t="shared" si="20"/>
        <v>2.6032148010055444E-3</v>
      </c>
      <c r="F429" s="265">
        <v>9.4999999999999998E-3</v>
      </c>
      <c r="G429" s="265">
        <v>0.11</v>
      </c>
      <c r="H429" s="87">
        <f t="shared" si="18"/>
        <v>0.1200225</v>
      </c>
      <c r="I429" s="88">
        <f t="shared" si="19"/>
        <v>3.1244434845368799E-4</v>
      </c>
    </row>
    <row r="430" spans="2:9">
      <c r="B430" s="248" t="s">
        <v>1031</v>
      </c>
      <c r="C430" s="248" t="s">
        <v>17</v>
      </c>
      <c r="D430" s="298">
        <v>39656.019999999997</v>
      </c>
      <c r="E430" s="87">
        <f t="shared" si="20"/>
        <v>1.6372490708259091E-3</v>
      </c>
      <c r="F430" s="265">
        <v>2.7900000000000001E-2</v>
      </c>
      <c r="G430" s="265">
        <v>0.11</v>
      </c>
      <c r="H430" s="87">
        <f t="shared" si="18"/>
        <v>0.13943449999999999</v>
      </c>
      <c r="I430" s="88">
        <f t="shared" si="19"/>
        <v>2.282890055660752E-4</v>
      </c>
    </row>
    <row r="431" spans="2:9">
      <c r="B431" s="248" t="s">
        <v>1032</v>
      </c>
      <c r="C431" s="248" t="s">
        <v>497</v>
      </c>
      <c r="D431" s="298">
        <v>30297.74</v>
      </c>
      <c r="E431" s="87">
        <f t="shared" si="20"/>
        <v>1.2508806144218452E-3</v>
      </c>
      <c r="F431" s="265">
        <v>3.2799999999999996E-2</v>
      </c>
      <c r="G431" s="265">
        <v>0.1</v>
      </c>
      <c r="H431" s="87">
        <f t="shared" si="18"/>
        <v>0.13444</v>
      </c>
      <c r="I431" s="88">
        <f t="shared" si="19"/>
        <v>1.6816838980287288E-4</v>
      </c>
    </row>
    <row r="432" spans="2:9">
      <c r="B432" s="248" t="s">
        <v>1033</v>
      </c>
      <c r="C432" s="248" t="s">
        <v>498</v>
      </c>
      <c r="D432" s="298">
        <v>22000.44</v>
      </c>
      <c r="E432" s="87">
        <f t="shared" si="20"/>
        <v>9.0831606267500272E-4</v>
      </c>
      <c r="F432" s="265">
        <v>3.5200000000000002E-2</v>
      </c>
      <c r="G432" s="265">
        <v>0.05</v>
      </c>
      <c r="H432" s="87">
        <f t="shared" si="18"/>
        <v>8.6080000000000004E-2</v>
      </c>
      <c r="I432" s="88">
        <f t="shared" si="19"/>
        <v>7.8187846675064235E-5</v>
      </c>
    </row>
    <row r="433" spans="2:9">
      <c r="B433" s="248" t="s">
        <v>1034</v>
      </c>
      <c r="C433" s="248" t="s">
        <v>499</v>
      </c>
      <c r="D433" s="298">
        <v>14439.8</v>
      </c>
      <c r="E433" s="87">
        <f t="shared" si="20"/>
        <v>5.9616545313705117E-4</v>
      </c>
      <c r="F433" s="265">
        <v>4.7E-2</v>
      </c>
      <c r="G433" s="265">
        <v>0.04</v>
      </c>
      <c r="H433" s="87">
        <f t="shared" si="18"/>
        <v>8.7940000000000004E-2</v>
      </c>
      <c r="I433" s="88">
        <f t="shared" si="19"/>
        <v>5.2426789948872282E-5</v>
      </c>
    </row>
    <row r="434" spans="2:9">
      <c r="B434" s="248" t="s">
        <v>1035</v>
      </c>
      <c r="C434" s="248" t="s">
        <v>500</v>
      </c>
      <c r="D434" s="298">
        <v>39477.24</v>
      </c>
      <c r="E434" s="87">
        <f t="shared" si="20"/>
        <v>1.6298679118270419E-3</v>
      </c>
      <c r="F434" s="265">
        <v>1.4999999999999999E-2</v>
      </c>
      <c r="G434" s="265">
        <v>0.08</v>
      </c>
      <c r="H434" s="87">
        <f t="shared" si="18"/>
        <v>9.5600000000000004E-2</v>
      </c>
      <c r="I434" s="88">
        <f t="shared" si="19"/>
        <v>1.5581537237066521E-4</v>
      </c>
    </row>
    <row r="435" spans="2:9">
      <c r="B435" s="248" t="s">
        <v>1036</v>
      </c>
      <c r="C435" s="248" t="s">
        <v>501</v>
      </c>
      <c r="D435" s="298">
        <v>21630.959999999999</v>
      </c>
      <c r="E435" s="87">
        <f t="shared" si="20"/>
        <v>8.9306161236231993E-4</v>
      </c>
      <c r="F435" s="265">
        <v>1.9400000000000001E-2</v>
      </c>
      <c r="G435" s="265">
        <v>0.09</v>
      </c>
      <c r="H435" s="87">
        <f t="shared" si="18"/>
        <v>0.110273</v>
      </c>
      <c r="I435" s="88">
        <f t="shared" si="19"/>
        <v>9.8480583180030098E-5</v>
      </c>
    </row>
    <row r="436" spans="2:9">
      <c r="B436" s="248" t="s">
        <v>1037</v>
      </c>
      <c r="C436" s="248" t="s">
        <v>502</v>
      </c>
      <c r="D436" s="298">
        <v>13789.78</v>
      </c>
      <c r="E436" s="87">
        <f t="shared" si="20"/>
        <v>5.6932855319050439E-4</v>
      </c>
      <c r="F436" s="265">
        <v>2.1899999999999999E-2</v>
      </c>
      <c r="G436" s="265">
        <v>0.06</v>
      </c>
      <c r="H436" s="87">
        <f t="shared" si="18"/>
        <v>8.2556999999999992E-2</v>
      </c>
      <c r="I436" s="88">
        <f t="shared" si="19"/>
        <v>4.7002057365748465E-5</v>
      </c>
    </row>
    <row r="437" spans="2:9">
      <c r="B437" s="248" t="s">
        <v>1038</v>
      </c>
      <c r="C437" s="248" t="s">
        <v>503</v>
      </c>
      <c r="D437" s="298">
        <v>22515.45</v>
      </c>
      <c r="E437" s="87">
        <f t="shared" si="20"/>
        <v>9.2957890357446907E-4</v>
      </c>
      <c r="F437" s="265">
        <v>2.6099999999999998E-2</v>
      </c>
      <c r="G437" s="265">
        <v>0.09</v>
      </c>
      <c r="H437" s="87">
        <f t="shared" si="18"/>
        <v>0.11727449999999999</v>
      </c>
      <c r="I437" s="88">
        <f t="shared" si="19"/>
        <v>1.0901590112724406E-4</v>
      </c>
    </row>
    <row r="438" spans="2:9">
      <c r="B438" s="248" t="s">
        <v>1039</v>
      </c>
      <c r="C438" s="248" t="s">
        <v>504</v>
      </c>
      <c r="D438" s="298">
        <v>80951.509999999995</v>
      </c>
      <c r="E438" s="87">
        <f t="shared" si="20"/>
        <v>3.3421857395032149E-3</v>
      </c>
      <c r="F438" s="265">
        <v>9.5999999999999992E-3</v>
      </c>
      <c r="G438" s="265">
        <v>0.13</v>
      </c>
      <c r="H438" s="87">
        <f t="shared" si="18"/>
        <v>0.14022400000000002</v>
      </c>
      <c r="I438" s="88">
        <f t="shared" si="19"/>
        <v>4.6865465313609885E-4</v>
      </c>
    </row>
    <row r="439" spans="2:9">
      <c r="B439" s="248" t="s">
        <v>1040</v>
      </c>
      <c r="C439" s="248" t="s">
        <v>505</v>
      </c>
      <c r="D439" s="298">
        <v>14647.58</v>
      </c>
      <c r="E439" s="87">
        <f t="shared" si="20"/>
        <v>6.0474391390886355E-4</v>
      </c>
      <c r="F439" s="265">
        <v>1.26E-2</v>
      </c>
      <c r="G439" s="265">
        <v>7.0000000000000007E-2</v>
      </c>
      <c r="H439" s="87">
        <f t="shared" si="18"/>
        <v>8.3041000000000004E-2</v>
      </c>
      <c r="I439" s="88">
        <f t="shared" si="19"/>
        <v>5.0218539354905938E-5</v>
      </c>
    </row>
    <row r="440" spans="2:9">
      <c r="B440" s="248" t="s">
        <v>1041</v>
      </c>
      <c r="C440" s="248" t="s">
        <v>506</v>
      </c>
      <c r="D440" s="298">
        <v>40414.71</v>
      </c>
      <c r="E440" s="87">
        <f t="shared" si="20"/>
        <v>1.6685725495195578E-3</v>
      </c>
      <c r="F440" s="265">
        <v>1.9799999999999998E-2</v>
      </c>
      <c r="G440" s="265">
        <v>0.12</v>
      </c>
      <c r="H440" s="87">
        <f t="shared" si="18"/>
        <v>0.140988</v>
      </c>
      <c r="I440" s="88">
        <f t="shared" si="19"/>
        <v>2.3524870661166341E-4</v>
      </c>
    </row>
    <row r="441" spans="2:9">
      <c r="B441" s="248" t="s">
        <v>1042</v>
      </c>
      <c r="C441" s="248" t="s">
        <v>507</v>
      </c>
      <c r="D441" s="298">
        <v>273062</v>
      </c>
      <c r="E441" s="87">
        <f t="shared" si="20"/>
        <v>1.1273710921516189E-2</v>
      </c>
      <c r="F441" s="265">
        <v>5.5399999999999998E-2</v>
      </c>
      <c r="G441" s="265">
        <v>5.5E-2</v>
      </c>
      <c r="H441" s="87">
        <f t="shared" si="18"/>
        <v>0.11192350000000001</v>
      </c>
      <c r="I441" s="88">
        <f t="shared" si="19"/>
        <v>1.2617931843243173E-3</v>
      </c>
    </row>
    <row r="442" spans="2:9">
      <c r="B442" s="248" t="s">
        <v>1043</v>
      </c>
      <c r="C442" s="248" t="s">
        <v>508</v>
      </c>
      <c r="D442" s="298">
        <v>12200.13</v>
      </c>
      <c r="E442" s="87">
        <f t="shared" si="20"/>
        <v>5.0369783721249128E-4</v>
      </c>
      <c r="F442" s="265">
        <v>3.9900000000000005E-2</v>
      </c>
      <c r="G442" s="265">
        <v>5.5E-2</v>
      </c>
      <c r="H442" s="87">
        <f t="shared" si="18"/>
        <v>9.5997250000000006E-2</v>
      </c>
      <c r="I442" s="88">
        <f t="shared" si="19"/>
        <v>4.835360720334683E-5</v>
      </c>
    </row>
    <row r="443" spans="2:9">
      <c r="B443" s="248" t="s">
        <v>1044</v>
      </c>
      <c r="C443" s="248" t="s">
        <v>509</v>
      </c>
      <c r="D443" s="298">
        <v>28278.34</v>
      </c>
      <c r="E443" s="87">
        <f t="shared" si="20"/>
        <v>1.1675071247568248E-3</v>
      </c>
      <c r="F443" s="265">
        <v>0</v>
      </c>
      <c r="G443" s="265">
        <v>0.11</v>
      </c>
      <c r="H443" s="87">
        <f t="shared" si="18"/>
        <v>0.11</v>
      </c>
      <c r="I443" s="88">
        <f t="shared" si="19"/>
        <v>1.2842578372325073E-4</v>
      </c>
    </row>
    <row r="444" spans="2:9">
      <c r="B444" s="248" t="s">
        <v>1045</v>
      </c>
      <c r="C444" s="248" t="s">
        <v>510</v>
      </c>
      <c r="D444" s="298">
        <v>31316.41</v>
      </c>
      <c r="E444" s="87">
        <f t="shared" si="20"/>
        <v>1.2929376970786078E-3</v>
      </c>
      <c r="F444" s="265">
        <v>1.9799999999999998E-2</v>
      </c>
      <c r="G444" s="265">
        <v>7.4999999999999997E-2</v>
      </c>
      <c r="H444" s="87">
        <f t="shared" si="18"/>
        <v>9.5542500000000002E-2</v>
      </c>
      <c r="I444" s="88">
        <f t="shared" si="19"/>
        <v>1.235304999231329E-4</v>
      </c>
    </row>
    <row r="445" spans="2:9">
      <c r="B445" s="248" t="s">
        <v>1115</v>
      </c>
      <c r="C445" s="248" t="s">
        <v>1046</v>
      </c>
      <c r="D445" s="298">
        <v>15719.22</v>
      </c>
      <c r="E445" s="87">
        <f t="shared" si="20"/>
        <v>6.489879301833126E-4</v>
      </c>
      <c r="F445" s="265">
        <v>4.0000000000000001E-3</v>
      </c>
      <c r="G445" s="265">
        <v>0.15</v>
      </c>
      <c r="H445" s="87">
        <f t="shared" si="18"/>
        <v>0.15429999999999999</v>
      </c>
      <c r="I445" s="88">
        <f t="shared" si="19"/>
        <v>1.0013883762728513E-4</v>
      </c>
    </row>
    <row r="446" spans="2:9">
      <c r="B446" s="248" t="s">
        <v>1047</v>
      </c>
      <c r="C446" s="248" t="s">
        <v>511</v>
      </c>
      <c r="D446" s="298">
        <v>54349.79</v>
      </c>
      <c r="E446" s="87">
        <f t="shared" si="20"/>
        <v>2.2438999974551985E-3</v>
      </c>
      <c r="F446" s="265">
        <v>2.4799999999999999E-2</v>
      </c>
      <c r="G446" s="265">
        <v>0.08</v>
      </c>
      <c r="H446" s="87">
        <f t="shared" si="18"/>
        <v>0.105792</v>
      </c>
      <c r="I446" s="88">
        <f t="shared" si="19"/>
        <v>2.3738666853078034E-4</v>
      </c>
    </row>
    <row r="447" spans="2:9">
      <c r="B447" s="248" t="s">
        <v>1048</v>
      </c>
      <c r="C447" s="248" t="s">
        <v>512</v>
      </c>
      <c r="D447" s="298">
        <v>10972.26</v>
      </c>
      <c r="E447" s="87">
        <f t="shared" si="20"/>
        <v>4.530036672833101E-4</v>
      </c>
      <c r="F447" s="265">
        <v>2.5899999999999999E-2</v>
      </c>
      <c r="G447" s="265">
        <v>0.105</v>
      </c>
      <c r="H447" s="87">
        <f t="shared" si="18"/>
        <v>0.13225975000000001</v>
      </c>
      <c r="I447" s="88">
        <f t="shared" si="19"/>
        <v>5.9914151783973779E-5</v>
      </c>
    </row>
    <row r="448" spans="2:9">
      <c r="B448" s="248" t="s">
        <v>1049</v>
      </c>
      <c r="C448" s="248" t="s">
        <v>513</v>
      </c>
      <c r="D448" s="298">
        <v>66757.279999999999</v>
      </c>
      <c r="E448" s="87">
        <f t="shared" si="20"/>
        <v>2.7561589552069282E-3</v>
      </c>
      <c r="F448" s="265">
        <v>1.67E-2</v>
      </c>
      <c r="G448" s="265">
        <v>0.13500000000000001</v>
      </c>
      <c r="H448" s="87">
        <f t="shared" si="18"/>
        <v>0.15282725</v>
      </c>
      <c r="I448" s="88">
        <f t="shared" si="19"/>
        <v>4.21216193687148E-4</v>
      </c>
    </row>
    <row r="449" spans="2:9">
      <c r="B449" s="248" t="s">
        <v>1050</v>
      </c>
      <c r="C449" s="248" t="s">
        <v>514</v>
      </c>
      <c r="D449" s="298">
        <v>114876.5</v>
      </c>
      <c r="E449" s="87">
        <f t="shared" si="20"/>
        <v>4.7428219696462872E-3</v>
      </c>
      <c r="F449" s="265">
        <v>2.7000000000000001E-3</v>
      </c>
      <c r="G449" s="265">
        <v>0.1</v>
      </c>
      <c r="H449" s="87">
        <f t="shared" si="18"/>
        <v>0.10283500000000001</v>
      </c>
      <c r="I449" s="88">
        <f t="shared" si="19"/>
        <v>4.8772809724857599E-4</v>
      </c>
    </row>
    <row r="450" spans="2:9">
      <c r="B450" s="248" t="s">
        <v>1214</v>
      </c>
      <c r="C450" s="248" t="s">
        <v>1215</v>
      </c>
      <c r="D450" s="298">
        <v>67501.789999999994</v>
      </c>
      <c r="E450" s="87">
        <f t="shared" si="20"/>
        <v>2.7868969946198744E-3</v>
      </c>
      <c r="F450" s="265">
        <v>0</v>
      </c>
      <c r="G450" s="265">
        <v>0.18</v>
      </c>
      <c r="H450" s="87">
        <f t="shared" si="18"/>
        <v>0.18</v>
      </c>
      <c r="I450" s="88">
        <f t="shared" si="19"/>
        <v>5.0164145903157733E-4</v>
      </c>
    </row>
    <row r="451" spans="2:9">
      <c r="B451" s="248" t="s">
        <v>1051</v>
      </c>
      <c r="C451" s="248" t="s">
        <v>515</v>
      </c>
      <c r="D451" s="298">
        <v>7400.45</v>
      </c>
      <c r="E451" s="87">
        <f t="shared" si="20"/>
        <v>3.055369622618104E-4</v>
      </c>
      <c r="F451" s="265">
        <v>5.2900000000000003E-2</v>
      </c>
      <c r="G451" s="265">
        <v>0.12</v>
      </c>
      <c r="H451" s="87">
        <f t="shared" si="18"/>
        <v>0.17607400000000001</v>
      </c>
      <c r="I451" s="88">
        <f t="shared" si="19"/>
        <v>5.379711509328601E-5</v>
      </c>
    </row>
    <row r="452" spans="2:9">
      <c r="B452" s="248" t="s">
        <v>1052</v>
      </c>
      <c r="C452" s="248" t="s">
        <v>516</v>
      </c>
      <c r="D452" s="298">
        <v>5276.86</v>
      </c>
      <c r="E452" s="87">
        <f t="shared" si="20"/>
        <v>2.1786185633047408E-4</v>
      </c>
      <c r="F452" s="265">
        <v>0</v>
      </c>
      <c r="G452" s="265">
        <v>0.19500000000000001</v>
      </c>
      <c r="H452" s="87">
        <f t="shared" si="18"/>
        <v>0.19500000000000001</v>
      </c>
      <c r="I452" s="88">
        <f t="shared" si="19"/>
        <v>4.2483061984442447E-5</v>
      </c>
    </row>
    <row r="453" spans="2:9">
      <c r="B453" s="248" t="s">
        <v>1053</v>
      </c>
      <c r="C453" s="248" t="s">
        <v>517</v>
      </c>
      <c r="D453" s="298">
        <v>26385.08</v>
      </c>
      <c r="E453" s="87">
        <f t="shared" si="20"/>
        <v>1.0893414849414359E-3</v>
      </c>
      <c r="F453" s="265">
        <v>2.7900000000000001E-2</v>
      </c>
      <c r="G453" s="265">
        <v>0.1</v>
      </c>
      <c r="H453" s="87">
        <f t="shared" si="18"/>
        <v>0.12929499999999999</v>
      </c>
      <c r="I453" s="88">
        <f t="shared" si="19"/>
        <v>1.4084640729550296E-4</v>
      </c>
    </row>
    <row r="454" spans="2:9">
      <c r="B454" s="248" t="s">
        <v>1054</v>
      </c>
      <c r="C454" s="248" t="s">
        <v>518</v>
      </c>
      <c r="D454" s="298">
        <v>38550.43</v>
      </c>
      <c r="E454" s="87">
        <f t="shared" si="20"/>
        <v>1.5916033857517535E-3</v>
      </c>
      <c r="F454" s="265">
        <v>2.2200000000000001E-2</v>
      </c>
      <c r="G454" s="265">
        <v>0.09</v>
      </c>
      <c r="H454" s="87">
        <f t="shared" si="18"/>
        <v>0.11319899999999999</v>
      </c>
      <c r="I454" s="88">
        <f t="shared" si="19"/>
        <v>1.8016791166371274E-4</v>
      </c>
    </row>
    <row r="455" spans="2:9">
      <c r="B455" s="248" t="s">
        <v>1055</v>
      </c>
      <c r="C455" s="248" t="s">
        <v>519</v>
      </c>
      <c r="D455" s="298">
        <v>10650.56</v>
      </c>
      <c r="E455" s="87">
        <f t="shared" si="20"/>
        <v>4.3972187485722455E-4</v>
      </c>
      <c r="F455" s="265">
        <v>1.66E-2</v>
      </c>
      <c r="G455" s="265">
        <v>0.115</v>
      </c>
      <c r="H455" s="87">
        <f t="shared" si="18"/>
        <v>0.13255450000000002</v>
      </c>
      <c r="I455" s="88">
        <f t="shared" si="19"/>
        <v>5.8287113260761981E-5</v>
      </c>
    </row>
    <row r="456" spans="2:9">
      <c r="B456" s="248" t="s">
        <v>1056</v>
      </c>
      <c r="C456" s="248" t="s">
        <v>520</v>
      </c>
      <c r="D456" s="298">
        <v>31557.9</v>
      </c>
      <c r="E456" s="87">
        <f t="shared" si="20"/>
        <v>1.3029079179457989E-3</v>
      </c>
      <c r="F456" s="265">
        <v>1.7899999999999999E-2</v>
      </c>
      <c r="G456" s="265">
        <v>7.0000000000000007E-2</v>
      </c>
      <c r="H456" s="87">
        <f t="shared" si="18"/>
        <v>8.8526500000000008E-2</v>
      </c>
      <c r="I456" s="88">
        <f t="shared" si="19"/>
        <v>1.1534187779802877E-4</v>
      </c>
    </row>
    <row r="457" spans="2:9">
      <c r="B457" s="248" t="s">
        <v>1057</v>
      </c>
      <c r="C457" s="248" t="s">
        <v>521</v>
      </c>
      <c r="D457" s="298">
        <v>14338.45</v>
      </c>
      <c r="E457" s="87">
        <f t="shared" si="20"/>
        <v>5.9198108987194777E-4</v>
      </c>
      <c r="F457" s="265">
        <v>0</v>
      </c>
      <c r="G457" s="265">
        <v>0.22500000000000001</v>
      </c>
      <c r="H457" s="87">
        <f t="shared" si="18"/>
        <v>0.22500000000000001</v>
      </c>
      <c r="I457" s="88">
        <f t="shared" si="19"/>
        <v>1.3319574522118824E-4</v>
      </c>
    </row>
    <row r="458" spans="2:9">
      <c r="B458" s="248" t="s">
        <v>1058</v>
      </c>
      <c r="C458" s="248" t="s">
        <v>1059</v>
      </c>
      <c r="D458" s="298">
        <v>32780.36</v>
      </c>
      <c r="E458" s="87" t="str">
        <f t="shared" si="20"/>
        <v>N/A</v>
      </c>
      <c r="F458" s="265">
        <v>0</v>
      </c>
      <c r="G458" s="265" t="s">
        <v>150</v>
      </c>
      <c r="H458" s="87" t="str">
        <f t="shared" si="18"/>
        <v>N/A</v>
      </c>
      <c r="I458" s="88" t="str">
        <f t="shared" si="19"/>
        <v>N/A</v>
      </c>
    </row>
    <row r="459" spans="2:9">
      <c r="B459" s="248" t="s">
        <v>1060</v>
      </c>
      <c r="C459" s="248" t="s">
        <v>522</v>
      </c>
      <c r="D459" s="298">
        <v>119727.1</v>
      </c>
      <c r="E459" s="87">
        <f t="shared" si="20"/>
        <v>4.9430851413651876E-3</v>
      </c>
      <c r="F459" s="265">
        <v>2.4700000000000003E-2</v>
      </c>
      <c r="G459" s="265">
        <v>6.5000000000000002E-2</v>
      </c>
      <c r="H459" s="87">
        <f t="shared" si="18"/>
        <v>9.0502750000000007E-2</v>
      </c>
      <c r="I459" s="88">
        <f t="shared" si="19"/>
        <v>4.4736279877768828E-4</v>
      </c>
    </row>
    <row r="460" spans="2:9">
      <c r="B460" s="248" t="s">
        <v>1061</v>
      </c>
      <c r="C460" s="248" t="s">
        <v>523</v>
      </c>
      <c r="D460" s="298">
        <v>11590.32</v>
      </c>
      <c r="E460" s="87">
        <f t="shared" si="20"/>
        <v>4.7852105810353515E-4</v>
      </c>
      <c r="F460" s="265">
        <v>1.6000000000000001E-3</v>
      </c>
      <c r="G460" s="265">
        <v>0.13</v>
      </c>
      <c r="H460" s="87">
        <f t="shared" si="18"/>
        <v>0.13170400000000002</v>
      </c>
      <c r="I460" s="88">
        <f t="shared" si="19"/>
        <v>6.3023137436468005E-5</v>
      </c>
    </row>
    <row r="461" spans="2:9">
      <c r="B461" s="248" t="s">
        <v>1062</v>
      </c>
      <c r="C461" s="248" t="s">
        <v>524</v>
      </c>
      <c r="D461" s="298">
        <v>8930.18</v>
      </c>
      <c r="E461" s="87">
        <f t="shared" si="20"/>
        <v>3.6869380505931052E-4</v>
      </c>
      <c r="F461" s="265">
        <v>0</v>
      </c>
      <c r="G461" s="265">
        <v>0.185</v>
      </c>
      <c r="H461" s="87">
        <f t="shared" ref="H461:H512" si="21">IFERROR(F461*(1+0.5*G461)+G461,"N/A")</f>
        <v>0.185</v>
      </c>
      <c r="I461" s="88">
        <f t="shared" ref="I461:I512" si="22">IF(ISNUMBER(E461),H461*E461,"N/A")</f>
        <v>6.8208353935972444E-5</v>
      </c>
    </row>
    <row r="462" spans="2:9">
      <c r="B462" s="248" t="s">
        <v>1216</v>
      </c>
      <c r="C462" s="248" t="s">
        <v>525</v>
      </c>
      <c r="D462" s="298">
        <v>22796.13</v>
      </c>
      <c r="E462" s="87">
        <f t="shared" ref="E462:E511" si="23">IF(H462="N/A","N/A",D462/$D$513)</f>
        <v>9.4116713328585763E-4</v>
      </c>
      <c r="F462" s="265">
        <v>0</v>
      </c>
      <c r="G462" s="265">
        <v>0.12</v>
      </c>
      <c r="H462" s="87">
        <f t="shared" si="21"/>
        <v>0.12</v>
      </c>
      <c r="I462" s="88">
        <f t="shared" si="22"/>
        <v>1.1294005599430292E-4</v>
      </c>
    </row>
    <row r="463" spans="2:9">
      <c r="B463" s="248" t="s">
        <v>1063</v>
      </c>
      <c r="C463" s="248" t="s">
        <v>526</v>
      </c>
      <c r="D463" s="298">
        <v>13350.2</v>
      </c>
      <c r="E463" s="87">
        <f t="shared" si="23"/>
        <v>5.5117993548873677E-4</v>
      </c>
      <c r="F463" s="265">
        <v>2.8300000000000002E-2</v>
      </c>
      <c r="G463" s="265">
        <v>5.5E-2</v>
      </c>
      <c r="H463" s="87">
        <f t="shared" si="21"/>
        <v>8.4078250000000007E-2</v>
      </c>
      <c r="I463" s="88">
        <f t="shared" si="22"/>
        <v>4.6342244411005884E-5</v>
      </c>
    </row>
    <row r="464" spans="2:9">
      <c r="B464" s="248" t="s">
        <v>1064</v>
      </c>
      <c r="C464" s="248" t="s">
        <v>527</v>
      </c>
      <c r="D464" s="298">
        <v>12968.95</v>
      </c>
      <c r="E464" s="87">
        <f t="shared" si="23"/>
        <v>5.3543954580131026E-4</v>
      </c>
      <c r="F464" s="265">
        <v>5.5000000000000005E-3</v>
      </c>
      <c r="G464" s="265">
        <v>0.11</v>
      </c>
      <c r="H464" s="87">
        <f t="shared" si="21"/>
        <v>0.1158025</v>
      </c>
      <c r="I464" s="88">
        <f t="shared" si="22"/>
        <v>6.2005238002656239E-5</v>
      </c>
    </row>
    <row r="465" spans="2:9">
      <c r="B465" s="248" t="s">
        <v>1065</v>
      </c>
      <c r="C465" s="248" t="s">
        <v>528</v>
      </c>
      <c r="D465" s="298">
        <v>13661.08</v>
      </c>
      <c r="E465" s="87">
        <f t="shared" si="23"/>
        <v>5.6401501049470955E-4</v>
      </c>
      <c r="F465" s="265">
        <v>0</v>
      </c>
      <c r="G465" s="265">
        <v>0.17</v>
      </c>
      <c r="H465" s="87">
        <f t="shared" si="21"/>
        <v>0.17</v>
      </c>
      <c r="I465" s="88">
        <f t="shared" si="22"/>
        <v>9.588255178410063E-5</v>
      </c>
    </row>
    <row r="466" spans="2:9">
      <c r="B466" s="248" t="s">
        <v>1066</v>
      </c>
      <c r="C466" s="248" t="s">
        <v>529</v>
      </c>
      <c r="D466" s="298">
        <v>204275</v>
      </c>
      <c r="E466" s="87">
        <f t="shared" si="23"/>
        <v>8.4337524023581443E-3</v>
      </c>
      <c r="F466" s="265">
        <v>2.0099999999999996E-2</v>
      </c>
      <c r="G466" s="265">
        <v>0.13500000000000001</v>
      </c>
      <c r="H466" s="87">
        <f t="shared" si="21"/>
        <v>0.15645675000000001</v>
      </c>
      <c r="I466" s="88">
        <f t="shared" si="22"/>
        <v>1.3195174911776477E-3</v>
      </c>
    </row>
    <row r="467" spans="2:9">
      <c r="B467" s="248" t="s">
        <v>1067</v>
      </c>
      <c r="C467" s="248" t="s">
        <v>530</v>
      </c>
      <c r="D467" s="298">
        <v>6142.64</v>
      </c>
      <c r="E467" s="87">
        <f t="shared" si="23"/>
        <v>2.5360668146773334E-4</v>
      </c>
      <c r="F467" s="265">
        <v>3.8900000000000004E-2</v>
      </c>
      <c r="G467" s="265">
        <v>8.5000000000000006E-2</v>
      </c>
      <c r="H467" s="87">
        <f t="shared" si="21"/>
        <v>0.12555325000000001</v>
      </c>
      <c r="I467" s="88">
        <f t="shared" si="22"/>
        <v>3.1841143079988696E-5</v>
      </c>
    </row>
    <row r="468" spans="2:9">
      <c r="B468" s="248" t="s">
        <v>1068</v>
      </c>
      <c r="C468" s="248" t="s">
        <v>531</v>
      </c>
      <c r="D468" s="298">
        <v>115420.2</v>
      </c>
      <c r="E468" s="87">
        <f t="shared" si="23"/>
        <v>4.7652693135756081E-3</v>
      </c>
      <c r="F468" s="265">
        <v>2.3700000000000002E-2</v>
      </c>
      <c r="G468" s="265">
        <v>0.14499999999999999</v>
      </c>
      <c r="H468" s="87">
        <f t="shared" si="21"/>
        <v>0.17041824999999999</v>
      </c>
      <c r="I468" s="88">
        <f t="shared" si="22"/>
        <v>8.1208885719825637E-4</v>
      </c>
    </row>
    <row r="469" spans="2:9">
      <c r="B469" s="248" t="s">
        <v>1069</v>
      </c>
      <c r="C469" s="248" t="s">
        <v>532</v>
      </c>
      <c r="D469" s="298">
        <v>101701.2</v>
      </c>
      <c r="E469" s="87">
        <f t="shared" si="23"/>
        <v>4.1988630024364509E-3</v>
      </c>
      <c r="F469" s="265">
        <v>3.39E-2</v>
      </c>
      <c r="G469" s="265">
        <v>0.08</v>
      </c>
      <c r="H469" s="87">
        <f t="shared" si="21"/>
        <v>0.115256</v>
      </c>
      <c r="I469" s="88">
        <f t="shared" si="22"/>
        <v>4.8394415420881557E-4</v>
      </c>
    </row>
    <row r="470" spans="2:9">
      <c r="B470" s="248" t="s">
        <v>1070</v>
      </c>
      <c r="C470" s="248" t="s">
        <v>533</v>
      </c>
      <c r="D470" s="298">
        <v>9878</v>
      </c>
      <c r="E470" s="87">
        <f t="shared" si="23"/>
        <v>4.0782575562596377E-4</v>
      </c>
      <c r="F470" s="265">
        <v>0</v>
      </c>
      <c r="G470" s="265">
        <v>0.14499999999999999</v>
      </c>
      <c r="H470" s="87">
        <f t="shared" si="21"/>
        <v>0.14499999999999999</v>
      </c>
      <c r="I470" s="88">
        <f t="shared" si="22"/>
        <v>5.9134734565764742E-5</v>
      </c>
    </row>
    <row r="471" spans="2:9">
      <c r="B471" s="248" t="s">
        <v>1071</v>
      </c>
      <c r="C471" s="248" t="s">
        <v>534</v>
      </c>
      <c r="D471" s="298">
        <v>88050.27</v>
      </c>
      <c r="E471" s="87">
        <f t="shared" si="23"/>
        <v>3.6352670475622724E-3</v>
      </c>
      <c r="F471" s="265">
        <v>3.0600000000000002E-2</v>
      </c>
      <c r="G471" s="265">
        <v>0.06</v>
      </c>
      <c r="H471" s="87">
        <f t="shared" si="21"/>
        <v>9.1518000000000002E-2</v>
      </c>
      <c r="I471" s="88">
        <f t="shared" si="22"/>
        <v>3.3269236965880405E-4</v>
      </c>
    </row>
    <row r="472" spans="2:9">
      <c r="B472" s="248" t="s">
        <v>1072</v>
      </c>
      <c r="C472" s="248" t="s">
        <v>535</v>
      </c>
      <c r="D472" s="298">
        <v>118665.1</v>
      </c>
      <c r="E472" s="87">
        <f t="shared" si="23"/>
        <v>4.8992391247145734E-3</v>
      </c>
      <c r="F472" s="265">
        <v>2.1400000000000002E-2</v>
      </c>
      <c r="G472" s="265">
        <v>0.09</v>
      </c>
      <c r="H472" s="87">
        <f t="shared" si="21"/>
        <v>0.11236299999999999</v>
      </c>
      <c r="I472" s="88">
        <f t="shared" si="22"/>
        <v>5.5049320577030356E-4</v>
      </c>
    </row>
    <row r="473" spans="2:9">
      <c r="B473" s="248" t="s">
        <v>1073</v>
      </c>
      <c r="C473" s="248" t="s">
        <v>536</v>
      </c>
      <c r="D473" s="298">
        <v>348840.9</v>
      </c>
      <c r="E473" s="87">
        <f t="shared" si="23"/>
        <v>1.4402338898131329E-2</v>
      </c>
      <c r="F473" s="265">
        <v>6.4000000000000003E-3</v>
      </c>
      <c r="G473" s="265">
        <v>0.18</v>
      </c>
      <c r="H473" s="87">
        <f t="shared" si="21"/>
        <v>0.186976</v>
      </c>
      <c r="I473" s="88">
        <f t="shared" si="22"/>
        <v>2.6928917178170035E-3</v>
      </c>
    </row>
    <row r="474" spans="2:9">
      <c r="B474" s="248" t="s">
        <v>1074</v>
      </c>
      <c r="C474" s="248" t="s">
        <v>537</v>
      </c>
      <c r="D474" s="298">
        <v>10622.43</v>
      </c>
      <c r="E474" s="87">
        <f t="shared" si="23"/>
        <v>4.3856049213746772E-4</v>
      </c>
      <c r="F474" s="265">
        <v>0</v>
      </c>
      <c r="G474" s="265">
        <v>0.1</v>
      </c>
      <c r="H474" s="87">
        <f t="shared" si="21"/>
        <v>0.1</v>
      </c>
      <c r="I474" s="88">
        <f t="shared" si="22"/>
        <v>4.3856049213746774E-5</v>
      </c>
    </row>
    <row r="475" spans="2:9">
      <c r="B475" s="248" t="s">
        <v>1075</v>
      </c>
      <c r="C475" s="248" t="s">
        <v>538</v>
      </c>
      <c r="D475" s="298">
        <v>35044.99</v>
      </c>
      <c r="E475" s="87">
        <f t="shared" si="23"/>
        <v>1.4468768503395771E-3</v>
      </c>
      <c r="F475" s="265">
        <v>1.95E-2</v>
      </c>
      <c r="G475" s="265">
        <v>7.0000000000000007E-2</v>
      </c>
      <c r="H475" s="87">
        <f t="shared" si="21"/>
        <v>9.0182499999999999E-2</v>
      </c>
      <c r="I475" s="88">
        <f t="shared" si="22"/>
        <v>1.304829715557489E-4</v>
      </c>
    </row>
    <row r="476" spans="2:9">
      <c r="B476" s="248" t="s">
        <v>1076</v>
      </c>
      <c r="C476" s="248" t="s">
        <v>539</v>
      </c>
      <c r="D476" s="298">
        <v>9708.99</v>
      </c>
      <c r="E476" s="87">
        <f t="shared" si="23"/>
        <v>4.0084796346577501E-4</v>
      </c>
      <c r="F476" s="265">
        <v>3.3300000000000003E-2</v>
      </c>
      <c r="G476" s="265">
        <v>0.06</v>
      </c>
      <c r="H476" s="87">
        <f t="shared" si="21"/>
        <v>9.4298999999999994E-2</v>
      </c>
      <c r="I476" s="88">
        <f t="shared" si="22"/>
        <v>3.7799562106859114E-5</v>
      </c>
    </row>
    <row r="477" spans="2:9">
      <c r="B477" s="248" t="s">
        <v>1077</v>
      </c>
      <c r="C477" s="248" t="s">
        <v>540</v>
      </c>
      <c r="D477" s="298">
        <v>34462.21</v>
      </c>
      <c r="E477" s="87">
        <f t="shared" si="23"/>
        <v>1.4228160390555419E-3</v>
      </c>
      <c r="F477" s="265">
        <v>4.4500000000000005E-2</v>
      </c>
      <c r="G477" s="265">
        <v>0.115</v>
      </c>
      <c r="H477" s="87">
        <f t="shared" si="21"/>
        <v>0.16205875000000003</v>
      </c>
      <c r="I477" s="88">
        <f t="shared" si="22"/>
        <v>2.3057978876929236E-4</v>
      </c>
    </row>
    <row r="478" spans="2:9">
      <c r="B478" s="248" t="s">
        <v>1078</v>
      </c>
      <c r="C478" s="248" t="s">
        <v>541</v>
      </c>
      <c r="D478" s="298">
        <v>20048.86</v>
      </c>
      <c r="E478" s="87">
        <f t="shared" si="23"/>
        <v>8.2774260770795299E-4</v>
      </c>
      <c r="F478" s="265">
        <v>8.199999999999999E-3</v>
      </c>
      <c r="G478" s="265">
        <v>0.14499999999999999</v>
      </c>
      <c r="H478" s="87">
        <f t="shared" si="21"/>
        <v>0.1537945</v>
      </c>
      <c r="I478" s="88">
        <f t="shared" si="22"/>
        <v>1.2730226048114079E-4</v>
      </c>
    </row>
    <row r="479" spans="2:9">
      <c r="B479" s="248" t="s">
        <v>1079</v>
      </c>
      <c r="C479" s="248" t="s">
        <v>542</v>
      </c>
      <c r="D479" s="298">
        <v>12152.88</v>
      </c>
      <c r="E479" s="87">
        <f t="shared" si="23"/>
        <v>5.0174706104795118E-4</v>
      </c>
      <c r="F479" s="265">
        <v>4.1500000000000002E-2</v>
      </c>
      <c r="G479" s="265">
        <v>-1.4999999999999999E-2</v>
      </c>
      <c r="H479" s="87">
        <f t="shared" si="21"/>
        <v>2.6188750000000004E-2</v>
      </c>
      <c r="I479" s="88">
        <f t="shared" si="22"/>
        <v>1.3140128345019533E-5</v>
      </c>
    </row>
    <row r="480" spans="2:9">
      <c r="B480" s="248" t="s">
        <v>1080</v>
      </c>
      <c r="C480" s="248" t="s">
        <v>543</v>
      </c>
      <c r="D480" s="298">
        <v>26103.65</v>
      </c>
      <c r="E480" s="87">
        <f t="shared" si="23"/>
        <v>1.0777222905290231E-3</v>
      </c>
      <c r="F480" s="265">
        <v>6.3E-3</v>
      </c>
      <c r="G480" s="265">
        <v>0.1</v>
      </c>
      <c r="H480" s="87">
        <f t="shared" si="21"/>
        <v>0.106615</v>
      </c>
      <c r="I480" s="88">
        <f t="shared" si="22"/>
        <v>1.1490136200475179E-4</v>
      </c>
    </row>
    <row r="481" spans="2:9">
      <c r="B481" s="248" t="s">
        <v>1081</v>
      </c>
      <c r="C481" s="248" t="s">
        <v>544</v>
      </c>
      <c r="D481" s="298">
        <v>22665.19</v>
      </c>
      <c r="E481" s="87">
        <f t="shared" si="23"/>
        <v>9.3576110934966963E-4</v>
      </c>
      <c r="F481" s="265">
        <v>0</v>
      </c>
      <c r="G481" s="265">
        <v>0.11</v>
      </c>
      <c r="H481" s="87">
        <f t="shared" si="21"/>
        <v>0.11</v>
      </c>
      <c r="I481" s="88">
        <f t="shared" si="22"/>
        <v>1.0293372202846365E-4</v>
      </c>
    </row>
    <row r="482" spans="2:9">
      <c r="B482" s="248" t="s">
        <v>1082</v>
      </c>
      <c r="C482" s="248" t="s">
        <v>545</v>
      </c>
      <c r="D482" s="298">
        <v>43518.57</v>
      </c>
      <c r="E482" s="87">
        <f t="shared" si="23"/>
        <v>1.7967193454152051E-3</v>
      </c>
      <c r="F482" s="265">
        <v>0</v>
      </c>
      <c r="G482" s="265">
        <v>0.5</v>
      </c>
      <c r="H482" s="87">
        <f t="shared" si="21"/>
        <v>0.5</v>
      </c>
      <c r="I482" s="88">
        <f t="shared" si="22"/>
        <v>8.9835967270760256E-4</v>
      </c>
    </row>
    <row r="483" spans="2:9">
      <c r="B483" s="248" t="s">
        <v>1083</v>
      </c>
      <c r="C483" s="248" t="s">
        <v>546</v>
      </c>
      <c r="D483" s="298">
        <v>26290.05</v>
      </c>
      <c r="E483" s="87">
        <f t="shared" si="23"/>
        <v>1.0854180508902984E-3</v>
      </c>
      <c r="F483" s="265">
        <v>4.3299999999999998E-2</v>
      </c>
      <c r="G483" s="265">
        <v>0.04</v>
      </c>
      <c r="H483" s="87">
        <f t="shared" si="21"/>
        <v>8.4165999999999991E-2</v>
      </c>
      <c r="I483" s="88">
        <f t="shared" si="22"/>
        <v>9.135529567123284E-5</v>
      </c>
    </row>
    <row r="484" spans="2:9">
      <c r="B484" s="248" t="s">
        <v>1084</v>
      </c>
      <c r="C484" s="248" t="s">
        <v>547</v>
      </c>
      <c r="D484" s="298">
        <v>249965.6</v>
      </c>
      <c r="E484" s="87">
        <f t="shared" si="23"/>
        <v>1.0320146760528184E-2</v>
      </c>
      <c r="F484" s="265">
        <v>4.07E-2</v>
      </c>
      <c r="G484" s="265">
        <v>0.04</v>
      </c>
      <c r="H484" s="87">
        <f t="shared" si="21"/>
        <v>8.1514000000000003E-2</v>
      </c>
      <c r="I484" s="88">
        <f t="shared" si="22"/>
        <v>8.412364430376944E-4</v>
      </c>
    </row>
    <row r="485" spans="2:9">
      <c r="B485" s="248" t="s">
        <v>1117</v>
      </c>
      <c r="C485" s="248" t="s">
        <v>1118</v>
      </c>
      <c r="D485" s="298">
        <v>13536</v>
      </c>
      <c r="E485" s="87">
        <f t="shared" si="23"/>
        <v>5.588509240891927E-4</v>
      </c>
      <c r="F485" s="265">
        <v>6.7000000000000002E-3</v>
      </c>
      <c r="G485" s="265">
        <v>0.13500000000000001</v>
      </c>
      <c r="H485" s="87">
        <f t="shared" si="21"/>
        <v>0.14215225000000001</v>
      </c>
      <c r="I485" s="88">
        <f t="shared" si="22"/>
        <v>7.9441916273857949E-5</v>
      </c>
    </row>
    <row r="486" spans="2:9">
      <c r="B486" s="248" t="s">
        <v>1085</v>
      </c>
      <c r="C486" s="248" t="s">
        <v>548</v>
      </c>
      <c r="D486" s="298">
        <v>14689.09</v>
      </c>
      <c r="E486" s="87">
        <f t="shared" si="23"/>
        <v>6.0645770689489648E-4</v>
      </c>
      <c r="F486" s="265">
        <v>0</v>
      </c>
      <c r="G486" s="265">
        <v>0.1</v>
      </c>
      <c r="H486" s="87">
        <f t="shared" si="21"/>
        <v>0.1</v>
      </c>
      <c r="I486" s="88">
        <f t="shared" si="22"/>
        <v>6.064577068948965E-5</v>
      </c>
    </row>
    <row r="487" spans="2:9">
      <c r="B487" s="248" t="s">
        <v>1086</v>
      </c>
      <c r="C487" s="248" t="s">
        <v>549</v>
      </c>
      <c r="D487" s="298">
        <v>48841.98</v>
      </c>
      <c r="E487" s="87">
        <f t="shared" si="23"/>
        <v>2.0165030775225966E-3</v>
      </c>
      <c r="F487" s="265">
        <v>3.3799999999999997E-2</v>
      </c>
      <c r="G487" s="265">
        <v>9.5000000000000001E-2</v>
      </c>
      <c r="H487" s="87">
        <f t="shared" si="21"/>
        <v>0.13040550000000001</v>
      </c>
      <c r="I487" s="88">
        <f t="shared" si="22"/>
        <v>2.6296309207587298E-4</v>
      </c>
    </row>
    <row r="488" spans="2:9">
      <c r="B488" s="248" t="s">
        <v>1087</v>
      </c>
      <c r="C488" s="248" t="s">
        <v>1088</v>
      </c>
      <c r="D488" s="298">
        <v>13049.93</v>
      </c>
      <c r="E488" s="87">
        <f t="shared" si="23"/>
        <v>5.3878290778658973E-4</v>
      </c>
      <c r="F488" s="265">
        <v>0</v>
      </c>
      <c r="G488" s="265">
        <v>0.2</v>
      </c>
      <c r="H488" s="87">
        <f t="shared" si="21"/>
        <v>0.2</v>
      </c>
      <c r="I488" s="88">
        <f t="shared" si="22"/>
        <v>1.0775658155731796E-4</v>
      </c>
    </row>
    <row r="489" spans="2:9">
      <c r="B489" s="248" t="s">
        <v>1089</v>
      </c>
      <c r="C489" s="248" t="s">
        <v>550</v>
      </c>
      <c r="D489" s="298">
        <v>18231</v>
      </c>
      <c r="E489" s="87">
        <f t="shared" si="23"/>
        <v>7.5268995250222159E-4</v>
      </c>
      <c r="F489" s="265">
        <v>3.2400000000000005E-2</v>
      </c>
      <c r="G489" s="265">
        <v>0.01</v>
      </c>
      <c r="H489" s="87">
        <f t="shared" si="21"/>
        <v>4.2562000000000003E-2</v>
      </c>
      <c r="I489" s="88">
        <f t="shared" si="22"/>
        <v>3.2035989758399555E-5</v>
      </c>
    </row>
    <row r="490" spans="2:9">
      <c r="B490" s="248" t="s">
        <v>1090</v>
      </c>
      <c r="C490" s="248" t="s">
        <v>18</v>
      </c>
      <c r="D490" s="298">
        <v>30250.31</v>
      </c>
      <c r="E490" s="87">
        <f t="shared" si="23"/>
        <v>1.2489224067290593E-3</v>
      </c>
      <c r="F490" s="265">
        <v>2.58E-2</v>
      </c>
      <c r="G490" s="265">
        <v>0.06</v>
      </c>
      <c r="H490" s="87">
        <f t="shared" si="21"/>
        <v>8.6573999999999998E-2</v>
      </c>
      <c r="I490" s="88">
        <f t="shared" si="22"/>
        <v>1.0812420844016157E-4</v>
      </c>
    </row>
    <row r="491" spans="2:9">
      <c r="B491" s="248" t="s">
        <v>1091</v>
      </c>
      <c r="C491" s="248" t="s">
        <v>551</v>
      </c>
      <c r="D491" s="298">
        <v>33862.879999999997</v>
      </c>
      <c r="E491" s="87">
        <f t="shared" si="23"/>
        <v>1.3980719400355673E-3</v>
      </c>
      <c r="F491" s="265">
        <v>3.9399999999999998E-2</v>
      </c>
      <c r="G491" s="265">
        <v>0.105</v>
      </c>
      <c r="H491" s="87">
        <f t="shared" si="21"/>
        <v>0.1464685</v>
      </c>
      <c r="I491" s="88">
        <f t="shared" si="22"/>
        <v>2.0477349994909948E-4</v>
      </c>
    </row>
    <row r="492" spans="2:9">
      <c r="B492" s="248" t="s">
        <v>1092</v>
      </c>
      <c r="C492" s="248" t="s">
        <v>552</v>
      </c>
      <c r="D492" s="298">
        <v>215985.4</v>
      </c>
      <c r="E492" s="87">
        <f t="shared" si="23"/>
        <v>8.9172311155270318E-3</v>
      </c>
      <c r="F492" s="265">
        <v>4.1700000000000001E-2</v>
      </c>
      <c r="G492" s="265">
        <v>5.5E-2</v>
      </c>
      <c r="H492" s="87">
        <f t="shared" si="21"/>
        <v>9.784675000000001E-2</v>
      </c>
      <c r="I492" s="88">
        <f t="shared" si="22"/>
        <v>8.7252208365319465E-4</v>
      </c>
    </row>
    <row r="493" spans="2:9">
      <c r="B493" s="248" t="s">
        <v>1093</v>
      </c>
      <c r="C493" s="248" t="s">
        <v>553</v>
      </c>
      <c r="D493" s="298">
        <v>9754.92</v>
      </c>
      <c r="E493" s="87">
        <f t="shared" si="23"/>
        <v>4.0274424175651207E-4</v>
      </c>
      <c r="F493" s="265">
        <v>3.1E-2</v>
      </c>
      <c r="G493" s="265">
        <v>6.5000000000000002E-2</v>
      </c>
      <c r="H493" s="87">
        <f t="shared" si="21"/>
        <v>9.7007499999999997E-2</v>
      </c>
      <c r="I493" s="88">
        <f t="shared" si="22"/>
        <v>3.9069212032194843E-5</v>
      </c>
    </row>
    <row r="494" spans="2:9">
      <c r="B494" s="248" t="s">
        <v>1094</v>
      </c>
      <c r="C494" s="248" t="s">
        <v>554</v>
      </c>
      <c r="D494" s="298">
        <v>25541.21</v>
      </c>
      <c r="E494" s="87">
        <f t="shared" si="23"/>
        <v>1.0545012419367708E-3</v>
      </c>
      <c r="F494" s="265">
        <v>1.3100000000000001E-2</v>
      </c>
      <c r="G494" s="265">
        <v>0.17499999999999999</v>
      </c>
      <c r="H494" s="87">
        <f t="shared" si="21"/>
        <v>0.18924624999999998</v>
      </c>
      <c r="I494" s="88">
        <f t="shared" si="22"/>
        <v>1.9956040565687657E-4</v>
      </c>
    </row>
    <row r="495" spans="2:9">
      <c r="B495" s="248" t="s">
        <v>1095</v>
      </c>
      <c r="C495" s="248" t="s">
        <v>555</v>
      </c>
      <c r="D495" s="298">
        <v>48775.26</v>
      </c>
      <c r="E495" s="87">
        <f t="shared" si="23"/>
        <v>2.0137484577194618E-3</v>
      </c>
      <c r="F495" s="265">
        <v>1.78E-2</v>
      </c>
      <c r="G495" s="265">
        <v>0.09</v>
      </c>
      <c r="H495" s="87">
        <f t="shared" si="21"/>
        <v>0.108601</v>
      </c>
      <c r="I495" s="88">
        <f t="shared" si="22"/>
        <v>2.1869509625679128E-4</v>
      </c>
    </row>
    <row r="496" spans="2:9">
      <c r="B496" s="248" t="s">
        <v>1096</v>
      </c>
      <c r="C496" s="248" t="s">
        <v>556</v>
      </c>
      <c r="D496" s="298">
        <v>29221.43</v>
      </c>
      <c r="E496" s="87">
        <f t="shared" si="23"/>
        <v>1.2064437912756838E-3</v>
      </c>
      <c r="F496" s="265">
        <v>6.3E-2</v>
      </c>
      <c r="G496" s="265">
        <v>0.2</v>
      </c>
      <c r="H496" s="87">
        <f t="shared" si="21"/>
        <v>0.26929999999999998</v>
      </c>
      <c r="I496" s="88">
        <f t="shared" si="22"/>
        <v>3.2489531299054165E-4</v>
      </c>
    </row>
    <row r="497" spans="2:9">
      <c r="B497" s="248" t="s">
        <v>1097</v>
      </c>
      <c r="C497" s="248" t="s">
        <v>557</v>
      </c>
      <c r="D497" s="298">
        <v>336800.1</v>
      </c>
      <c r="E497" s="87">
        <f t="shared" si="23"/>
        <v>1.3905219202004469E-2</v>
      </c>
      <c r="F497" s="265">
        <v>1.8000000000000002E-2</v>
      </c>
      <c r="G497" s="265">
        <v>7.4999999999999997E-2</v>
      </c>
      <c r="H497" s="87">
        <f t="shared" si="21"/>
        <v>9.3675000000000008E-2</v>
      </c>
      <c r="I497" s="88">
        <f t="shared" si="22"/>
        <v>1.3025714087477687E-3</v>
      </c>
    </row>
    <row r="498" spans="2:9">
      <c r="B498" s="248" t="s">
        <v>1098</v>
      </c>
      <c r="C498" s="248" t="s">
        <v>558</v>
      </c>
      <c r="D498" s="298">
        <v>9347.7099999999991</v>
      </c>
      <c r="E498" s="87">
        <f t="shared" si="23"/>
        <v>3.8593206055095945E-4</v>
      </c>
      <c r="F498" s="265">
        <v>5.0099999999999999E-2</v>
      </c>
      <c r="G498" s="265">
        <v>0.1</v>
      </c>
      <c r="H498" s="87">
        <f t="shared" si="21"/>
        <v>0.15260499999999999</v>
      </c>
      <c r="I498" s="88">
        <f t="shared" si="22"/>
        <v>5.8895162100379165E-5</v>
      </c>
    </row>
    <row r="499" spans="2:9">
      <c r="B499" s="248" t="s">
        <v>1099</v>
      </c>
      <c r="C499" s="248" t="s">
        <v>559</v>
      </c>
      <c r="D499" s="298">
        <v>9557.2000000000007</v>
      </c>
      <c r="E499" s="87">
        <f t="shared" si="23"/>
        <v>3.945811208411076E-4</v>
      </c>
      <c r="F499" s="265">
        <v>3.5699999999999996E-2</v>
      </c>
      <c r="G499" s="265">
        <v>4.4999999999999998E-2</v>
      </c>
      <c r="H499" s="87">
        <f t="shared" si="21"/>
        <v>8.1503249999999999E-2</v>
      </c>
      <c r="I499" s="88">
        <f t="shared" si="22"/>
        <v>3.2159643737193002E-5</v>
      </c>
    </row>
    <row r="500" spans="2:9">
      <c r="B500" s="248" t="s">
        <v>1100</v>
      </c>
      <c r="C500" s="248" t="s">
        <v>560</v>
      </c>
      <c r="D500" s="298">
        <v>20782.849999999999</v>
      </c>
      <c r="E500" s="87">
        <f t="shared" si="23"/>
        <v>8.580463155811966E-4</v>
      </c>
      <c r="F500" s="265">
        <v>4.8799999999999996E-2</v>
      </c>
      <c r="G500" s="265">
        <v>0.17499999999999999</v>
      </c>
      <c r="H500" s="87">
        <f t="shared" si="21"/>
        <v>0.22806999999999999</v>
      </c>
      <c r="I500" s="88">
        <f t="shared" si="22"/>
        <v>1.9569462319460351E-4</v>
      </c>
    </row>
    <row r="501" spans="2:9">
      <c r="B501" s="248" t="s">
        <v>1101</v>
      </c>
      <c r="C501" s="248" t="s">
        <v>561</v>
      </c>
      <c r="D501" s="298">
        <v>11874.76</v>
      </c>
      <c r="E501" s="87">
        <f t="shared" si="23"/>
        <v>4.9026452418272622E-4</v>
      </c>
      <c r="F501" s="265">
        <v>3.6299999999999999E-2</v>
      </c>
      <c r="G501" s="265">
        <v>0.14499999999999999</v>
      </c>
      <c r="H501" s="87">
        <f t="shared" si="21"/>
        <v>0.18393175</v>
      </c>
      <c r="I501" s="88">
        <f t="shared" si="22"/>
        <v>9.0175211895846162E-5</v>
      </c>
    </row>
    <row r="502" spans="2:9">
      <c r="B502" s="248" t="s">
        <v>1102</v>
      </c>
      <c r="C502" s="248" t="s">
        <v>562</v>
      </c>
      <c r="D502" s="298">
        <v>4740.82</v>
      </c>
      <c r="E502" s="87">
        <f t="shared" si="23"/>
        <v>1.9573076521428237E-4</v>
      </c>
      <c r="F502" s="265">
        <v>1.7100000000000001E-2</v>
      </c>
      <c r="G502" s="265">
        <v>0.16</v>
      </c>
      <c r="H502" s="87">
        <f t="shared" si="21"/>
        <v>0.17846800000000002</v>
      </c>
      <c r="I502" s="88">
        <f t="shared" si="22"/>
        <v>3.4931678206262548E-5</v>
      </c>
    </row>
    <row r="503" spans="2:9">
      <c r="B503" s="248" t="s">
        <v>1103</v>
      </c>
      <c r="C503" s="248" t="s">
        <v>19</v>
      </c>
      <c r="D503" s="298">
        <v>33759.699999999997</v>
      </c>
      <c r="E503" s="87">
        <f t="shared" si="23"/>
        <v>1.3938120228999642E-3</v>
      </c>
      <c r="F503" s="265">
        <v>2.5499999999999998E-2</v>
      </c>
      <c r="G503" s="265">
        <v>5.5E-2</v>
      </c>
      <c r="H503" s="87">
        <f t="shared" si="21"/>
        <v>8.1201250000000003E-2</v>
      </c>
      <c r="I503" s="88">
        <f t="shared" si="22"/>
        <v>1.1317927852450571E-4</v>
      </c>
    </row>
    <row r="504" spans="2:9">
      <c r="B504" s="248" t="s">
        <v>1104</v>
      </c>
      <c r="C504" s="248" t="s">
        <v>563</v>
      </c>
      <c r="D504" s="298">
        <v>24409.19</v>
      </c>
      <c r="E504" s="87">
        <f t="shared" si="23"/>
        <v>1.0077643607985136E-3</v>
      </c>
      <c r="F504" s="265">
        <v>1.52E-2</v>
      </c>
      <c r="G504" s="265">
        <v>9.5000000000000001E-2</v>
      </c>
      <c r="H504" s="87">
        <f t="shared" si="21"/>
        <v>0.11092200000000001</v>
      </c>
      <c r="I504" s="88">
        <f t="shared" si="22"/>
        <v>1.1178323842849274E-4</v>
      </c>
    </row>
    <row r="505" spans="2:9">
      <c r="B505" s="248" t="s">
        <v>1105</v>
      </c>
      <c r="C505" s="248" t="s">
        <v>564</v>
      </c>
      <c r="D505" s="298">
        <v>300274.09999999998</v>
      </c>
      <c r="E505" s="87">
        <f t="shared" si="23"/>
        <v>1.239719697584594E-2</v>
      </c>
      <c r="F505" s="265">
        <v>4.9000000000000002E-2</v>
      </c>
      <c r="G505" s="265">
        <v>0.14000000000000001</v>
      </c>
      <c r="H505" s="87">
        <f t="shared" si="21"/>
        <v>0.19243000000000002</v>
      </c>
      <c r="I505" s="88">
        <f t="shared" si="22"/>
        <v>2.3855926140620345E-3</v>
      </c>
    </row>
    <row r="506" spans="2:9">
      <c r="B506" s="248" t="s">
        <v>1106</v>
      </c>
      <c r="C506" s="248" t="s">
        <v>565</v>
      </c>
      <c r="D506" s="298">
        <v>11962.46</v>
      </c>
      <c r="E506" s="87">
        <f t="shared" si="23"/>
        <v>4.9388532988918466E-4</v>
      </c>
      <c r="F506" s="265">
        <v>6.6E-3</v>
      </c>
      <c r="G506" s="265">
        <v>4.4999999999999998E-2</v>
      </c>
      <c r="H506" s="87">
        <f t="shared" si="21"/>
        <v>5.1748499999999996E-2</v>
      </c>
      <c r="I506" s="88">
        <f t="shared" si="22"/>
        <v>2.5557824993770472E-5</v>
      </c>
    </row>
    <row r="507" spans="2:9">
      <c r="B507" s="248" t="s">
        <v>1217</v>
      </c>
      <c r="C507" s="248" t="s">
        <v>566</v>
      </c>
      <c r="D507" s="298">
        <v>6709.72</v>
      </c>
      <c r="E507" s="87">
        <f t="shared" si="23"/>
        <v>2.7701929834365678E-4</v>
      </c>
      <c r="F507" s="265">
        <v>3.2899999999999999E-2</v>
      </c>
      <c r="G507" s="265">
        <v>9.5000000000000001E-2</v>
      </c>
      <c r="H507" s="87">
        <f t="shared" si="21"/>
        <v>0.12946275000000002</v>
      </c>
      <c r="I507" s="88">
        <f t="shared" si="22"/>
        <v>3.586368016664026E-5</v>
      </c>
    </row>
    <row r="508" spans="2:9">
      <c r="B508" s="248" t="s">
        <v>1107</v>
      </c>
      <c r="C508" s="248" t="s">
        <v>567</v>
      </c>
      <c r="D508" s="298">
        <v>14287.33</v>
      </c>
      <c r="E508" s="87">
        <f t="shared" si="23"/>
        <v>5.8987053585012159E-4</v>
      </c>
      <c r="F508" s="265">
        <v>1.21E-2</v>
      </c>
      <c r="G508" s="265">
        <v>0.14000000000000001</v>
      </c>
      <c r="H508" s="87">
        <f t="shared" si="21"/>
        <v>0.152947</v>
      </c>
      <c r="I508" s="88">
        <f t="shared" si="22"/>
        <v>9.0218928846668548E-5</v>
      </c>
    </row>
    <row r="509" spans="2:9">
      <c r="B509" s="248" t="s">
        <v>1108</v>
      </c>
      <c r="C509" s="248" t="s">
        <v>568</v>
      </c>
      <c r="D509" s="298">
        <v>34294.239999999998</v>
      </c>
      <c r="E509" s="87">
        <f t="shared" si="23"/>
        <v>1.4158811846141071E-3</v>
      </c>
      <c r="F509" s="265">
        <v>1.54E-2</v>
      </c>
      <c r="G509" s="265">
        <v>0.12</v>
      </c>
      <c r="H509" s="87">
        <f t="shared" si="21"/>
        <v>0.136324</v>
      </c>
      <c r="I509" s="88">
        <f t="shared" si="22"/>
        <v>1.9301858661133355E-4</v>
      </c>
    </row>
    <row r="510" spans="2:9">
      <c r="B510" s="248" t="s">
        <v>1109</v>
      </c>
      <c r="C510" s="248" t="s">
        <v>569</v>
      </c>
      <c r="D510" s="298">
        <v>28038.52</v>
      </c>
      <c r="E510" s="87">
        <f t="shared" si="23"/>
        <v>1.1576058519572482E-3</v>
      </c>
      <c r="F510" s="265">
        <v>7.1999999999999998E-3</v>
      </c>
      <c r="G510" s="265">
        <v>4.4999999999999998E-2</v>
      </c>
      <c r="H510" s="87">
        <f t="shared" si="21"/>
        <v>5.2361999999999999E-2</v>
      </c>
      <c r="I510" s="88">
        <f t="shared" si="22"/>
        <v>6.0614557620185425E-5</v>
      </c>
    </row>
    <row r="511" spans="2:9">
      <c r="B511" s="248" t="s">
        <v>1110</v>
      </c>
      <c r="C511" s="248" t="s">
        <v>570</v>
      </c>
      <c r="D511" s="298">
        <v>7778.06</v>
      </c>
      <c r="E511" s="87">
        <f t="shared" si="23"/>
        <v>3.2112706993359829E-4</v>
      </c>
      <c r="F511" s="265">
        <v>3.0899999999999997E-2</v>
      </c>
      <c r="G511" s="265">
        <v>9.5000000000000001E-2</v>
      </c>
      <c r="H511" s="87">
        <f t="shared" si="21"/>
        <v>0.12736775</v>
      </c>
      <c r="I511" s="88">
        <f t="shared" si="22"/>
        <v>4.0901232361535063E-5</v>
      </c>
    </row>
    <row r="512" spans="2:9">
      <c r="B512" s="248" t="s">
        <v>1111</v>
      </c>
      <c r="C512" s="248" t="s">
        <v>571</v>
      </c>
      <c r="D512" s="298">
        <v>60234.11</v>
      </c>
      <c r="E512" s="87">
        <f>IF(H512="N/A","N/A",D512/$D$513)</f>
        <v>2.4868416101647521E-3</v>
      </c>
      <c r="F512" s="265">
        <v>5.1999999999999998E-3</v>
      </c>
      <c r="G512" s="265">
        <v>0.13500000000000001</v>
      </c>
      <c r="H512" s="87">
        <f t="shared" si="21"/>
        <v>0.14055100000000001</v>
      </c>
      <c r="I512" s="88">
        <f t="shared" si="22"/>
        <v>3.495280751502661E-4</v>
      </c>
    </row>
    <row r="513" spans="2:9">
      <c r="C513" s="89" t="s">
        <v>572</v>
      </c>
      <c r="D513" s="299">
        <f>SUMIF(H13:H512,"&lt;&gt;n/a",D13:D512)</f>
        <v>24221128.419999987</v>
      </c>
      <c r="E513" s="90"/>
      <c r="F513" s="90"/>
      <c r="G513" s="90"/>
      <c r="H513" s="90"/>
      <c r="I513" s="91">
        <f>SUM(I13:I512)</f>
        <v>0.14471742480220678</v>
      </c>
    </row>
    <row r="514" spans="2:9">
      <c r="B514" s="92" t="s">
        <v>76</v>
      </c>
      <c r="C514" s="93"/>
      <c r="D514" s="94"/>
      <c r="E514" s="94"/>
      <c r="G514" s="94"/>
      <c r="H514" s="94"/>
      <c r="I514" s="6"/>
    </row>
    <row r="515" spans="2:9">
      <c r="B515" s="95" t="s">
        <v>573</v>
      </c>
      <c r="C515" s="93"/>
      <c r="D515" s="94"/>
      <c r="E515" s="94"/>
      <c r="F515" s="94"/>
      <c r="G515" s="94"/>
      <c r="H515" s="94"/>
      <c r="I515" s="6"/>
    </row>
    <row r="516" spans="2:9">
      <c r="B516" s="95" t="s">
        <v>574</v>
      </c>
      <c r="C516" s="93"/>
      <c r="D516" s="94"/>
      <c r="E516" s="94"/>
      <c r="F516" s="94"/>
      <c r="G516" s="94"/>
      <c r="H516" s="94"/>
      <c r="I516" s="6"/>
    </row>
    <row r="517" spans="2:9">
      <c r="B517" s="95" t="s">
        <v>575</v>
      </c>
      <c r="C517" s="93"/>
      <c r="D517" s="94"/>
      <c r="E517" s="94"/>
      <c r="F517" s="94"/>
      <c r="G517" s="94"/>
      <c r="H517" s="94"/>
      <c r="I517" s="6"/>
    </row>
    <row r="518" spans="2:9">
      <c r="B518" s="95" t="s">
        <v>106</v>
      </c>
      <c r="C518" s="93"/>
      <c r="D518" s="94"/>
      <c r="E518" s="94"/>
      <c r="F518" s="94"/>
      <c r="G518" s="94"/>
      <c r="H518" s="94"/>
      <c r="I518" s="6"/>
    </row>
    <row r="519" spans="2:9">
      <c r="B519" s="95" t="s">
        <v>577</v>
      </c>
      <c r="C519" s="93"/>
      <c r="D519" s="94"/>
      <c r="E519" s="94"/>
      <c r="F519" s="94"/>
      <c r="G519" s="94"/>
      <c r="H519" s="94"/>
      <c r="I519" s="6"/>
    </row>
    <row r="520" spans="2:9">
      <c r="B520" s="95" t="s">
        <v>586</v>
      </c>
      <c r="C520" s="93"/>
      <c r="D520" s="94"/>
      <c r="E520" s="94"/>
      <c r="F520" s="94"/>
      <c r="G520" s="94"/>
      <c r="H520" s="94"/>
      <c r="I520" s="6"/>
    </row>
    <row r="521" spans="2:9">
      <c r="B521" s="95" t="s">
        <v>82</v>
      </c>
      <c r="C521" s="93"/>
      <c r="D521" s="94"/>
      <c r="E521" s="94"/>
      <c r="F521" s="94"/>
      <c r="G521" s="94"/>
      <c r="H521" s="94"/>
      <c r="I521" s="6"/>
    </row>
    <row r="522" spans="2:9">
      <c r="B522" s="95" t="s">
        <v>580</v>
      </c>
      <c r="C522" s="93"/>
      <c r="D522" s="94"/>
      <c r="E522" s="94"/>
      <c r="F522" s="94"/>
      <c r="G522" s="94"/>
      <c r="H522" s="94"/>
      <c r="I522" s="6"/>
    </row>
    <row r="523" spans="2:9">
      <c r="B523" s="95" t="s">
        <v>581</v>
      </c>
      <c r="C523" s="93"/>
      <c r="D523" s="94"/>
      <c r="E523" s="94"/>
      <c r="F523" s="94"/>
      <c r="G523" s="94"/>
      <c r="H523" s="94"/>
      <c r="I523" s="6"/>
    </row>
    <row r="524" spans="2:9">
      <c r="B524" s="12"/>
      <c r="C524" s="78"/>
      <c r="D524" s="12"/>
      <c r="E524" s="12"/>
      <c r="F524" s="12"/>
      <c r="G524" s="12"/>
      <c r="H524" s="12"/>
      <c r="I524" s="12"/>
    </row>
  </sheetData>
  <mergeCells count="2">
    <mergeCell ref="B2:I2"/>
    <mergeCell ref="B3:I3"/>
  </mergeCells>
  <printOptions horizontalCentered="1"/>
  <pageMargins left="0.7" right="0.7" top="1" bottom="0.75" header="0.3" footer="0.3"/>
  <pageSetup scale="70" firstPageNumber="8" fitToHeight="7" orientation="portrait" useFirstPageNumber="1" r:id="rId1"/>
  <headerFooter scaleWithDoc="0">
    <oddHeader>&amp;R&amp;10DEU Exhibit 2.03R
Page &amp;P of 14</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2:H19"/>
  <sheetViews>
    <sheetView view="pageLayout" zoomScale="85" zoomScaleNormal="100" zoomScaleSheetLayoutView="85" zoomScalePageLayoutView="85" workbookViewId="0">
      <selection activeCell="I8" sqref="I8"/>
    </sheetView>
  </sheetViews>
  <sheetFormatPr defaultColWidth="8.375" defaultRowHeight="12.75"/>
  <cols>
    <col min="1" max="1" width="2.25" style="2" customWidth="1"/>
    <col min="2" max="2" width="31.875" style="2" bestFit="1" customWidth="1"/>
    <col min="3" max="3" width="8.375" style="2"/>
    <col min="4" max="4" width="1.125" style="2" customWidth="1"/>
    <col min="5" max="6" width="9.375" style="2" customWidth="1"/>
    <col min="7" max="7" width="2.25" style="2" customWidth="1"/>
    <col min="8" max="16384" width="8.375" style="2"/>
  </cols>
  <sheetData>
    <row r="2" spans="2:8">
      <c r="B2" s="824" t="s">
        <v>1184</v>
      </c>
      <c r="C2" s="823"/>
      <c r="D2" s="823"/>
      <c r="E2" s="823"/>
      <c r="F2" s="823"/>
    </row>
    <row r="4" spans="2:8">
      <c r="B4" s="14"/>
      <c r="D4" s="7"/>
      <c r="E4" s="294" t="s">
        <v>50</v>
      </c>
      <c r="F4" s="16" t="s">
        <v>51</v>
      </c>
    </row>
    <row r="5" spans="2:8">
      <c r="B5" s="17" t="s">
        <v>1</v>
      </c>
      <c r="C5" s="17" t="s">
        <v>0</v>
      </c>
      <c r="D5" s="18"/>
      <c r="E5" s="19" t="s">
        <v>587</v>
      </c>
      <c r="F5" s="20" t="s">
        <v>27</v>
      </c>
    </row>
    <row r="6" spans="2:8">
      <c r="B6" s="4"/>
      <c r="C6" s="4"/>
      <c r="D6" s="7"/>
      <c r="E6" s="15"/>
      <c r="F6" s="16"/>
    </row>
    <row r="7" spans="2:8">
      <c r="B7" s="2" t="str">
        <f>'DEU 2.01R Constant Growth DCF'!B8</f>
        <v>Atmos Energy Corporation</v>
      </c>
      <c r="C7" s="4" t="str">
        <f>'DEU 2.01R Constant Growth DCF'!C8</f>
        <v>ATO</v>
      </c>
      <c r="D7" s="7"/>
      <c r="E7" s="15">
        <v>0.48623707890510559</v>
      </c>
      <c r="F7" s="15">
        <v>0.6</v>
      </c>
      <c r="H7" s="222"/>
    </row>
    <row r="8" spans="2:8">
      <c r="B8" s="2" t="str">
        <f>'DEU 2.01R Constant Growth DCF'!B9</f>
        <v>New Jersey Resources Corporation</v>
      </c>
      <c r="C8" s="236" t="str">
        <f>'DEU 2.01R Constant Growth DCF'!C9</f>
        <v>NJR</v>
      </c>
      <c r="D8" s="7"/>
      <c r="E8" s="15">
        <v>0.63993477821350098</v>
      </c>
      <c r="F8" s="15">
        <v>0.7</v>
      </c>
      <c r="H8" s="222"/>
    </row>
    <row r="9" spans="2:8">
      <c r="B9" s="2" t="str">
        <f>'DEU 2.01R Constant Growth DCF'!B10</f>
        <v>Northwest Natural Holding Company</v>
      </c>
      <c r="C9" s="236" t="str">
        <f>'DEU 2.01R Constant Growth DCF'!C10</f>
        <v>NWN</v>
      </c>
      <c r="D9" s="7"/>
      <c r="E9" s="15">
        <v>0.55921477079391479</v>
      </c>
      <c r="F9" s="15">
        <v>0.6</v>
      </c>
      <c r="H9" s="222"/>
    </row>
    <row r="10" spans="2:8">
      <c r="B10" s="2" t="str">
        <f>'DEU 2.01R Constant Growth DCF'!B11</f>
        <v>ONE Gas, Inc.</v>
      </c>
      <c r="C10" s="236" t="str">
        <f>'DEU 2.01R Constant Growth DCF'!C11</f>
        <v>OGS</v>
      </c>
      <c r="D10" s="7"/>
      <c r="E10" s="15">
        <v>0.5335308313369751</v>
      </c>
      <c r="F10" s="15">
        <v>0.65</v>
      </c>
      <c r="H10" s="222"/>
    </row>
    <row r="11" spans="2:8">
      <c r="B11" s="2" t="str">
        <f>'DEU 2.01R Constant Growth DCF'!B12</f>
        <v>South Jersey Industries, Inc.</v>
      </c>
      <c r="C11" s="236" t="str">
        <f>'DEU 2.01R Constant Growth DCF'!C12</f>
        <v>SJI</v>
      </c>
      <c r="D11" s="7"/>
      <c r="E11" s="15">
        <v>0.72371959686279297</v>
      </c>
      <c r="F11" s="15">
        <v>0.8</v>
      </c>
      <c r="H11" s="222"/>
    </row>
    <row r="12" spans="2:8">
      <c r="B12" s="2" t="str">
        <f>'DEU 2.01R Constant Growth DCF'!B13</f>
        <v>Spire Inc.</v>
      </c>
      <c r="C12" s="236" t="str">
        <f>'DEU 2.01R Constant Growth DCF'!C13</f>
        <v>SR</v>
      </c>
      <c r="D12" s="7"/>
      <c r="E12" s="15">
        <v>0.53237348794937134</v>
      </c>
      <c r="F12" s="15">
        <v>0.65</v>
      </c>
      <c r="H12" s="222"/>
    </row>
    <row r="13" spans="2:8">
      <c r="B13" s="2" t="str">
        <f>'DEU 2.01R Constant Growth DCF'!B14</f>
        <v>Southwest Gas Holdings, Inc.</v>
      </c>
      <c r="C13" s="236" t="str">
        <f>'DEU 2.01R Constant Growth DCF'!C14</f>
        <v>SWX</v>
      </c>
      <c r="D13" s="7"/>
      <c r="E13" s="15">
        <v>0.59427601099014282</v>
      </c>
      <c r="F13" s="15">
        <v>0.7</v>
      </c>
      <c r="H13" s="222"/>
    </row>
    <row r="14" spans="2:8">
      <c r="C14" s="4"/>
      <c r="D14" s="7"/>
      <c r="E14" s="15"/>
      <c r="F14" s="15"/>
    </row>
    <row r="15" spans="2:8">
      <c r="B15" s="21" t="s">
        <v>28</v>
      </c>
      <c r="C15" s="21"/>
      <c r="D15" s="18"/>
      <c r="E15" s="19">
        <f>AVERAGE(E7:E13)</f>
        <v>0.58132665072168621</v>
      </c>
      <c r="F15" s="19">
        <f>AVERAGE(F7:F13)</f>
        <v>0.67142857142857137</v>
      </c>
    </row>
    <row r="16" spans="2:8">
      <c r="B16" s="221"/>
      <c r="C16" s="221"/>
      <c r="D16" s="7"/>
      <c r="E16" s="15"/>
      <c r="F16" s="15"/>
    </row>
    <row r="17" spans="2:2">
      <c r="B17" s="10" t="s">
        <v>76</v>
      </c>
    </row>
    <row r="18" spans="2:2">
      <c r="B18" s="2" t="s">
        <v>77</v>
      </c>
    </row>
    <row r="19" spans="2:2">
      <c r="B19" s="2" t="s">
        <v>104</v>
      </c>
    </row>
  </sheetData>
  <mergeCells count="1">
    <mergeCell ref="B2:F2"/>
  </mergeCells>
  <printOptions horizontalCentered="1"/>
  <pageMargins left="0.7" right="0.7" top="0.75" bottom="0.75" header="0.3" footer="0.3"/>
  <pageSetup orientation="landscape" useFirstPageNumber="1" r:id="rId1"/>
  <headerFooter scaleWithDoc="0">
    <oddHeader>&amp;R&amp;10DEU Exhibit 2.04R
Page &amp;P of 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1:M36"/>
  <sheetViews>
    <sheetView view="pageLayout" zoomScale="85" zoomScaleNormal="85" zoomScaleSheetLayoutView="85" zoomScalePageLayoutView="85" workbookViewId="0">
      <selection activeCell="G26" sqref="G26"/>
    </sheetView>
  </sheetViews>
  <sheetFormatPr defaultColWidth="8.375" defaultRowHeight="12.75"/>
  <cols>
    <col min="1" max="1" width="2.25" style="2" customWidth="1"/>
    <col min="2" max="2" width="38.125" style="2" customWidth="1"/>
    <col min="3" max="10" width="11.625" style="2" customWidth="1"/>
    <col min="11" max="11" width="2.25" style="2" customWidth="1"/>
    <col min="12" max="16384" width="8.375" style="2"/>
  </cols>
  <sheetData>
    <row r="1" spans="2:13">
      <c r="B1" s="6"/>
      <c r="C1" s="6"/>
      <c r="D1" s="6"/>
      <c r="E1" s="6"/>
      <c r="F1" s="6"/>
      <c r="G1" s="6"/>
      <c r="H1" s="6"/>
    </row>
    <row r="2" spans="2:13">
      <c r="B2" s="22" t="s">
        <v>588</v>
      </c>
      <c r="C2" s="22"/>
      <c r="D2" s="22"/>
      <c r="E2" s="22"/>
      <c r="F2" s="22"/>
      <c r="G2" s="22"/>
      <c r="H2" s="22"/>
    </row>
    <row r="3" spans="2:13">
      <c r="B3" s="22" t="s">
        <v>1180</v>
      </c>
      <c r="C3" s="22"/>
      <c r="D3" s="22"/>
      <c r="E3" s="22"/>
      <c r="F3" s="22"/>
      <c r="G3" s="22"/>
      <c r="H3" s="22"/>
    </row>
    <row r="4" spans="2:13">
      <c r="B4" s="6"/>
      <c r="C4" s="6"/>
      <c r="D4" s="6"/>
      <c r="E4" s="6"/>
      <c r="F4" s="6"/>
      <c r="G4" s="6"/>
      <c r="H4" s="6"/>
    </row>
    <row r="5" spans="2:13">
      <c r="B5" s="6"/>
      <c r="C5" s="23">
        <v>1</v>
      </c>
      <c r="D5" s="23">
        <f>C5+1</f>
        <v>2</v>
      </c>
      <c r="E5" s="23">
        <f>D5+1</f>
        <v>3</v>
      </c>
      <c r="F5" s="23">
        <f>E5+1</f>
        <v>4</v>
      </c>
      <c r="G5" s="63" t="s">
        <v>54</v>
      </c>
      <c r="H5" s="63" t="s">
        <v>55</v>
      </c>
      <c r="I5" s="63" t="s">
        <v>56</v>
      </c>
      <c r="J5" s="63" t="s">
        <v>57</v>
      </c>
    </row>
    <row r="6" spans="2:13" ht="13.15" customHeight="1">
      <c r="B6" s="24"/>
      <c r="C6" s="24"/>
      <c r="D6" s="24"/>
      <c r="E6" s="825" t="s">
        <v>119</v>
      </c>
      <c r="F6" s="826"/>
      <c r="G6" s="827" t="s">
        <v>1119</v>
      </c>
      <c r="H6" s="828"/>
      <c r="I6" s="827" t="s">
        <v>1166</v>
      </c>
      <c r="J6" s="828"/>
    </row>
    <row r="7" spans="2:13" ht="38.25">
      <c r="B7" s="25"/>
      <c r="C7" s="26" t="s">
        <v>589</v>
      </c>
      <c r="D7" s="26" t="s">
        <v>590</v>
      </c>
      <c r="E7" s="26" t="s">
        <v>591</v>
      </c>
      <c r="F7" s="26" t="s">
        <v>592</v>
      </c>
      <c r="G7" s="74" t="s">
        <v>591</v>
      </c>
      <c r="H7" s="75" t="s">
        <v>592</v>
      </c>
      <c r="I7" s="74" t="s">
        <v>591</v>
      </c>
      <c r="J7" s="75" t="s">
        <v>592</v>
      </c>
    </row>
    <row r="8" spans="2:13">
      <c r="B8" s="6"/>
      <c r="C8" s="6"/>
      <c r="D8" s="6"/>
      <c r="E8" s="3"/>
      <c r="F8" s="3"/>
      <c r="G8" s="245"/>
      <c r="H8" s="77"/>
      <c r="I8" s="244"/>
      <c r="J8" s="77"/>
    </row>
    <row r="9" spans="2:13">
      <c r="B9" s="27" t="s">
        <v>593</v>
      </c>
      <c r="C9" s="3"/>
      <c r="D9" s="3"/>
      <c r="E9" s="6"/>
      <c r="F9" s="6"/>
      <c r="G9" s="65"/>
      <c r="H9" s="66"/>
      <c r="I9" s="244"/>
      <c r="J9" s="66"/>
    </row>
    <row r="10" spans="2:13">
      <c r="B10" s="226" t="s">
        <v>1181</v>
      </c>
      <c r="C10" s="288">
        <v>2.112E-2</v>
      </c>
      <c r="D10" s="28">
        <f>'DEU 2.04R Beta'!E15</f>
        <v>0.58132665072168621</v>
      </c>
      <c r="E10" s="29">
        <f>'DEU 2.03R MRP Bloomberg'!F7</f>
        <v>0.12083180335247456</v>
      </c>
      <c r="F10" s="29">
        <f>'DEU 2.03R MRP Value Line'!F7</f>
        <v>0.12359742480220678</v>
      </c>
      <c r="G10" s="68">
        <f t="shared" ref="G10:G11" si="0">$C10+$D10*E10</f>
        <v>9.1362747543555459E-2</v>
      </c>
      <c r="H10" s="69">
        <f>$C10+$D10*F10</f>
        <v>9.2970476998092341E-2</v>
      </c>
      <c r="I10" s="68">
        <f>$C10+(0.75*$D10*E10)+(0.25*E10)</f>
        <v>0.10401001149578523</v>
      </c>
      <c r="J10" s="69">
        <f>$C10+(0.75*$D10*F10)+(0.25*F10)</f>
        <v>0.10590721394912095</v>
      </c>
    </row>
    <row r="11" spans="2:13" s="227" customFormat="1">
      <c r="B11" s="287" t="s">
        <v>1185</v>
      </c>
      <c r="C11" s="278">
        <f>AVERAGE(2.1,2.2,2.2,2.3,2.4,2.5)/100</f>
        <v>2.2833333333333337E-2</v>
      </c>
      <c r="D11" s="279">
        <f t="shared" ref="D11:F11" si="1">D10</f>
        <v>0.58132665072168621</v>
      </c>
      <c r="E11" s="280">
        <f t="shared" si="1"/>
        <v>0.12083180335247456</v>
      </c>
      <c r="F11" s="280">
        <f t="shared" si="1"/>
        <v>0.12359742480220678</v>
      </c>
      <c r="G11" s="281">
        <f t="shared" si="0"/>
        <v>9.3076080876888789E-2</v>
      </c>
      <c r="H11" s="282">
        <f>$C11+$D11*F11</f>
        <v>9.4683810331425672E-2</v>
      </c>
      <c r="I11" s="281">
        <f>$C11+(0.75*$D11*E11)+(0.25*E11)</f>
        <v>0.10572334482911858</v>
      </c>
      <c r="J11" s="282">
        <f>$C11+(0.75*$D11*F11)+(0.25*F11)</f>
        <v>0.10762054728245429</v>
      </c>
      <c r="M11" s="283"/>
    </row>
    <row r="12" spans="2:13">
      <c r="B12" s="6" t="s">
        <v>28</v>
      </c>
      <c r="C12" s="6"/>
      <c r="D12" s="6"/>
      <c r="E12" s="6"/>
      <c r="F12" s="6"/>
      <c r="G12" s="71">
        <f>AVERAGE(G10:G11)</f>
        <v>9.2219414210222117E-2</v>
      </c>
      <c r="H12" s="246">
        <f>AVERAGE(H10:H11)</f>
        <v>9.3827143664759E-2</v>
      </c>
      <c r="I12" s="71">
        <f>AVERAGE(I10:I11)</f>
        <v>0.1048666781624519</v>
      </c>
      <c r="J12" s="246">
        <f>AVERAGE(J10:J11)</f>
        <v>0.10676388061578762</v>
      </c>
    </row>
    <row r="13" spans="2:13">
      <c r="B13" s="6"/>
      <c r="C13" s="6"/>
      <c r="D13" s="6"/>
      <c r="E13" s="6"/>
      <c r="F13" s="6"/>
      <c r="G13" s="70"/>
      <c r="H13" s="70"/>
      <c r="I13" s="70"/>
      <c r="J13" s="70"/>
    </row>
    <row r="14" spans="2:13">
      <c r="B14" s="6"/>
      <c r="C14" s="6"/>
      <c r="D14" s="6"/>
      <c r="E14" s="6"/>
      <c r="F14" s="6"/>
    </row>
    <row r="15" spans="2:13">
      <c r="B15" s="24"/>
      <c r="C15" s="24"/>
      <c r="D15" s="24"/>
      <c r="E15" s="825" t="s">
        <v>119</v>
      </c>
      <c r="F15" s="826"/>
      <c r="G15" s="827" t="s">
        <v>1119</v>
      </c>
      <c r="H15" s="828"/>
      <c r="I15" s="827" t="s">
        <v>1167</v>
      </c>
      <c r="J15" s="828"/>
    </row>
    <row r="16" spans="2:13" ht="38.25">
      <c r="B16" s="30"/>
      <c r="C16" s="31" t="s">
        <v>589</v>
      </c>
      <c r="D16" s="31" t="s">
        <v>590</v>
      </c>
      <c r="E16" s="64" t="s">
        <v>591</v>
      </c>
      <c r="F16" s="64" t="s">
        <v>592</v>
      </c>
      <c r="G16" s="74" t="s">
        <v>591</v>
      </c>
      <c r="H16" s="76" t="s">
        <v>592</v>
      </c>
      <c r="I16" s="74" t="s">
        <v>591</v>
      </c>
      <c r="J16" s="76" t="s">
        <v>592</v>
      </c>
    </row>
    <row r="17" spans="2:13">
      <c r="B17" s="6"/>
      <c r="C17" s="42"/>
      <c r="D17" s="42"/>
      <c r="E17" s="42"/>
      <c r="F17" s="42"/>
      <c r="G17" s="72"/>
      <c r="H17" s="73"/>
      <c r="I17" s="72"/>
      <c r="J17" s="73"/>
    </row>
    <row r="18" spans="2:13">
      <c r="B18" s="27" t="s">
        <v>594</v>
      </c>
      <c r="C18" s="3"/>
      <c r="D18" s="3"/>
      <c r="E18" s="6"/>
      <c r="F18" s="6"/>
      <c r="G18" s="65"/>
      <c r="H18" s="66"/>
      <c r="I18" s="65"/>
      <c r="J18" s="66"/>
    </row>
    <row r="19" spans="2:13">
      <c r="B19" s="6" t="str">
        <f>B10</f>
        <v>Current 30-Year Treasury [9]</v>
      </c>
      <c r="C19" s="29">
        <f>C10</f>
        <v>2.112E-2</v>
      </c>
      <c r="D19" s="28">
        <f>'DEU 2.04R Beta'!F15</f>
        <v>0.67142857142857137</v>
      </c>
      <c r="E19" s="29">
        <f>E10</f>
        <v>0.12083180335247456</v>
      </c>
      <c r="F19" s="29">
        <f>F10</f>
        <v>0.12359742480220678</v>
      </c>
      <c r="G19" s="68">
        <f t="shared" ref="G19:G20" si="2">$C19+$D19*E19</f>
        <v>0.10224992510809006</v>
      </c>
      <c r="H19" s="69">
        <f>$C19+$D19*F19</f>
        <v>0.10410684236719597</v>
      </c>
      <c r="I19" s="68">
        <f>$C19+(0.75*$D19*E19)+(0.25*E19)</f>
        <v>0.11217539466918619</v>
      </c>
      <c r="J19" s="69">
        <f>$C19+(0.75*$D19*F19)+(0.25*F19)</f>
        <v>0.11425948797594868</v>
      </c>
    </row>
    <row r="20" spans="2:13" s="227" customFormat="1">
      <c r="B20" s="287" t="str">
        <f>B11</f>
        <v>Near Term Projected 30-Year Treasury [10]</v>
      </c>
      <c r="C20" s="280">
        <f>C11</f>
        <v>2.2833333333333337E-2</v>
      </c>
      <c r="D20" s="279">
        <f>D19</f>
        <v>0.67142857142857137</v>
      </c>
      <c r="E20" s="280">
        <f>E10</f>
        <v>0.12083180335247456</v>
      </c>
      <c r="F20" s="284">
        <f>F10</f>
        <v>0.12359742480220678</v>
      </c>
      <c r="G20" s="281">
        <f t="shared" si="2"/>
        <v>0.1039632584414234</v>
      </c>
      <c r="H20" s="282">
        <f>$C20+$D20*F20</f>
        <v>0.10582017570052932</v>
      </c>
      <c r="I20" s="281">
        <f>$C20+(0.75*$D20*E20)+(0.25*E20)</f>
        <v>0.11388872800251953</v>
      </c>
      <c r="J20" s="282">
        <f>$C20+(0.75*$D20*F20)+(0.25*F20)</f>
        <v>0.11597282130928202</v>
      </c>
      <c r="M20" s="283"/>
    </row>
    <row r="21" spans="2:13">
      <c r="B21" s="6" t="s">
        <v>28</v>
      </c>
      <c r="C21" s="6"/>
      <c r="D21" s="6"/>
      <c r="E21" s="6"/>
      <c r="F21" s="6"/>
      <c r="G21" s="71">
        <f>AVERAGE(G19:G20)</f>
        <v>0.10310659177475673</v>
      </c>
      <c r="H21" s="246">
        <f>AVERAGE(H19:H20)</f>
        <v>0.10496350903386265</v>
      </c>
      <c r="I21" s="71">
        <f>AVERAGE(I19:I20)</f>
        <v>0.11303206133585286</v>
      </c>
      <c r="J21" s="246">
        <f>AVERAGE(J19:J20)</f>
        <v>0.11511615464261535</v>
      </c>
    </row>
    <row r="22" spans="2:13">
      <c r="B22" s="6"/>
      <c r="C22" s="6"/>
      <c r="D22" s="6"/>
      <c r="E22" s="6"/>
      <c r="F22" s="6"/>
      <c r="G22" s="13"/>
      <c r="H22" s="13"/>
    </row>
    <row r="23" spans="2:13">
      <c r="B23" s="12"/>
      <c r="C23" s="12"/>
      <c r="D23" s="12"/>
      <c r="E23" s="12"/>
      <c r="F23" s="12"/>
      <c r="G23" s="12"/>
      <c r="H23" s="12"/>
    </row>
    <row r="24" spans="2:13">
      <c r="B24" s="12"/>
      <c r="C24" s="12"/>
      <c r="D24" s="12"/>
      <c r="E24" s="12"/>
      <c r="F24" s="12"/>
      <c r="G24" s="12"/>
      <c r="H24" s="12"/>
    </row>
    <row r="25" spans="2:13">
      <c r="B25" s="32" t="s">
        <v>76</v>
      </c>
      <c r="C25" s="12"/>
      <c r="D25" s="12"/>
      <c r="E25" s="12"/>
      <c r="F25" s="12"/>
      <c r="G25" s="12"/>
      <c r="H25" s="12"/>
    </row>
    <row r="26" spans="2:13">
      <c r="B26" s="12" t="s">
        <v>1171</v>
      </c>
      <c r="C26" s="12"/>
      <c r="D26" s="12"/>
      <c r="E26" s="12"/>
      <c r="F26" s="12"/>
      <c r="G26" s="12"/>
      <c r="H26" s="12"/>
    </row>
    <row r="27" spans="2:13" s="227" customFormat="1">
      <c r="B27" s="316" t="s">
        <v>1231</v>
      </c>
      <c r="C27" s="316"/>
      <c r="D27" s="316"/>
      <c r="E27" s="316"/>
      <c r="F27" s="316"/>
      <c r="G27" s="316"/>
      <c r="H27" s="316"/>
    </row>
    <row r="28" spans="2:13" s="227" customFormat="1">
      <c r="B28" s="316" t="s">
        <v>1232</v>
      </c>
      <c r="C28" s="316"/>
      <c r="D28" s="316"/>
      <c r="E28" s="316"/>
      <c r="F28" s="316"/>
      <c r="G28" s="316"/>
      <c r="H28" s="316"/>
    </row>
    <row r="29" spans="2:13" s="227" customFormat="1">
      <c r="B29" s="316" t="s">
        <v>1232</v>
      </c>
      <c r="C29" s="316"/>
      <c r="D29" s="316"/>
      <c r="E29" s="316"/>
      <c r="F29" s="316"/>
      <c r="G29" s="316"/>
      <c r="H29" s="316"/>
    </row>
    <row r="30" spans="2:13">
      <c r="B30" s="12" t="s">
        <v>595</v>
      </c>
      <c r="C30" s="12"/>
      <c r="D30" s="12"/>
      <c r="E30" s="12"/>
      <c r="F30" s="12"/>
      <c r="G30" s="12"/>
      <c r="H30" s="12"/>
    </row>
    <row r="31" spans="2:13">
      <c r="B31" s="12" t="s">
        <v>1120</v>
      </c>
      <c r="C31" s="12"/>
      <c r="D31" s="12"/>
      <c r="E31" s="12"/>
      <c r="F31" s="12"/>
    </row>
    <row r="32" spans="2:13">
      <c r="B32" s="12" t="s">
        <v>1168</v>
      </c>
      <c r="C32" s="12"/>
      <c r="D32" s="12"/>
      <c r="E32" s="12"/>
      <c r="F32" s="12"/>
    </row>
    <row r="33" spans="2:6">
      <c r="B33" s="12" t="s">
        <v>1169</v>
      </c>
      <c r="C33" s="12"/>
      <c r="D33" s="12"/>
      <c r="E33" s="12"/>
      <c r="F33" s="12"/>
    </row>
    <row r="34" spans="2:6">
      <c r="B34" s="12" t="s">
        <v>1170</v>
      </c>
    </row>
    <row r="35" spans="2:6">
      <c r="B35" s="283" t="s">
        <v>1230</v>
      </c>
    </row>
    <row r="36" spans="2:6">
      <c r="B36" s="67"/>
    </row>
  </sheetData>
  <mergeCells count="6">
    <mergeCell ref="E6:F6"/>
    <mergeCell ref="E15:F15"/>
    <mergeCell ref="G6:H6"/>
    <mergeCell ref="G15:H15"/>
    <mergeCell ref="I6:J6"/>
    <mergeCell ref="I15:J15"/>
  </mergeCells>
  <printOptions horizontalCentered="1"/>
  <pageMargins left="0.7" right="0.7" top="0.75" bottom="0.75" header="0.3" footer="0.3"/>
  <pageSetup scale="84" orientation="landscape" useFirstPageNumber="1" r:id="rId1"/>
  <headerFooter scaleWithDoc="0">
    <oddHeader>&amp;R&amp;10DEU Exhibit 2.05R
Page &amp;P of 1</oddHeader>
  </headerFooter>
  <ignoredErrors>
    <ignoredError sqref="D1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I1172"/>
  <sheetViews>
    <sheetView view="pageLayout" zoomScale="85" zoomScaleNormal="85" zoomScaleSheetLayoutView="85" zoomScalePageLayoutView="85" workbookViewId="0">
      <selection activeCell="J11" sqref="J11"/>
    </sheetView>
  </sheetViews>
  <sheetFormatPr defaultColWidth="8.375" defaultRowHeight="12.75"/>
  <cols>
    <col min="1" max="1" width="2.25" style="43" customWidth="1"/>
    <col min="2" max="2" width="10.25" style="43" customWidth="1"/>
    <col min="3" max="5" width="9.5" style="57" customWidth="1"/>
    <col min="6" max="7" width="9.5" style="43" customWidth="1"/>
    <col min="8" max="8" width="11.625" style="43" bestFit="1" customWidth="1"/>
    <col min="9" max="9" width="2.25" style="43" customWidth="1"/>
    <col min="10" max="16384" width="8.375" style="43"/>
  </cols>
  <sheetData>
    <row r="1" spans="2:8" ht="13.5" customHeight="1"/>
    <row r="2" spans="2:8">
      <c r="C2" s="44" t="s">
        <v>596</v>
      </c>
      <c r="D2" s="45"/>
      <c r="E2" s="45"/>
      <c r="F2" s="45"/>
      <c r="G2" s="44"/>
    </row>
    <row r="3" spans="2:8">
      <c r="C3" s="44"/>
      <c r="D3" s="45"/>
      <c r="E3" s="45"/>
      <c r="F3" s="45"/>
      <c r="G3" s="44"/>
    </row>
    <row r="4" spans="2:8">
      <c r="C4" s="33" t="s">
        <v>50</v>
      </c>
      <c r="D4" s="46" t="s">
        <v>51</v>
      </c>
      <c r="E4" s="46" t="s">
        <v>52</v>
      </c>
      <c r="F4" s="46" t="s">
        <v>53</v>
      </c>
      <c r="G4" s="33" t="s">
        <v>54</v>
      </c>
    </row>
    <row r="5" spans="2:8" ht="38.25">
      <c r="C5" s="34" t="s">
        <v>597</v>
      </c>
      <c r="D5" s="34" t="s">
        <v>598</v>
      </c>
      <c r="E5" s="34" t="s">
        <v>599</v>
      </c>
      <c r="F5" s="34" t="s">
        <v>23</v>
      </c>
      <c r="G5" s="34" t="s">
        <v>600</v>
      </c>
    </row>
    <row r="6" spans="2:8">
      <c r="C6" s="47">
        <f>INTERCEPT(G48:G1170,LN(F48:F1170))</f>
        <v>-2.7428425456529466E-2</v>
      </c>
      <c r="D6" s="48">
        <f>SLOPE(G48:G1170,LN(F48:F1170))</f>
        <v>-2.7444423739177146E-2</v>
      </c>
      <c r="E6" s="49"/>
      <c r="F6" s="50"/>
      <c r="G6" s="50"/>
    </row>
    <row r="7" spans="2:8">
      <c r="C7" s="46"/>
      <c r="D7" s="51" t="s">
        <v>601</v>
      </c>
      <c r="E7" s="52">
        <f>'DEU 2.05R CAPM'!C10</f>
        <v>2.112E-2</v>
      </c>
      <c r="F7" s="46">
        <f>($C$6+LN(E7)*$D$6)</f>
        <v>7.8439394736135065E-2</v>
      </c>
      <c r="G7" s="46">
        <f>E7+F7</f>
        <v>9.9559394736135065E-2</v>
      </c>
      <c r="H7" s="53"/>
    </row>
    <row r="8" spans="2:8">
      <c r="C8" s="46"/>
      <c r="D8" s="51" t="s">
        <v>1186</v>
      </c>
      <c r="E8" s="306">
        <f>'DEU 2.05R CAPM'!C11</f>
        <v>2.2833333333333337E-2</v>
      </c>
      <c r="F8" s="46">
        <f>($C$6+LN(E8)*$D$6)</f>
        <v>7.6298702301475868E-2</v>
      </c>
      <c r="G8" s="46">
        <f>E8+F8</f>
        <v>9.9132035634809212E-2</v>
      </c>
    </row>
    <row r="9" spans="2:8">
      <c r="C9" s="54"/>
      <c r="D9" s="55" t="s">
        <v>1187</v>
      </c>
      <c r="E9" s="307">
        <f>AVERAGE(3.6,3.8)/100</f>
        <v>3.7000000000000005E-2</v>
      </c>
      <c r="F9" s="54">
        <f>($C$6+LN(E9)*$D$6)</f>
        <v>6.305137622440099E-2</v>
      </c>
      <c r="G9" s="54">
        <f>E9+F9</f>
        <v>0.100051376224401</v>
      </c>
    </row>
    <row r="10" spans="2:8">
      <c r="B10" s="46"/>
      <c r="C10" s="35"/>
      <c r="D10" s="52"/>
      <c r="E10" s="46"/>
      <c r="F10" s="46"/>
    </row>
    <row r="11" spans="2:8">
      <c r="B11" s="46"/>
      <c r="C11" s="35"/>
      <c r="D11" s="52"/>
      <c r="E11" s="46"/>
      <c r="F11" s="46"/>
    </row>
    <row r="12" spans="2:8">
      <c r="B12" s="46"/>
      <c r="C12" s="35"/>
      <c r="D12" s="52"/>
      <c r="E12" s="46"/>
      <c r="F12" s="46"/>
    </row>
    <row r="13" spans="2:8">
      <c r="B13" s="46"/>
      <c r="C13" s="35"/>
      <c r="D13" s="52"/>
      <c r="E13" s="46"/>
      <c r="F13" s="46"/>
    </row>
    <row r="14" spans="2:8">
      <c r="B14" s="46"/>
      <c r="C14" s="35"/>
      <c r="D14" s="52"/>
      <c r="E14" s="46"/>
      <c r="F14" s="46"/>
    </row>
    <row r="15" spans="2:8">
      <c r="B15" s="46"/>
      <c r="C15" s="35"/>
      <c r="D15" s="52"/>
      <c r="E15" s="46"/>
      <c r="F15" s="46"/>
    </row>
    <row r="16" spans="2:8">
      <c r="B16" s="46"/>
      <c r="C16" s="35"/>
      <c r="D16" s="52"/>
      <c r="E16" s="46"/>
      <c r="F16" s="46"/>
    </row>
    <row r="17" spans="2:6">
      <c r="B17" s="46"/>
      <c r="C17" s="35"/>
      <c r="D17" s="52"/>
      <c r="E17" s="46"/>
      <c r="F17" s="46"/>
    </row>
    <row r="18" spans="2:6">
      <c r="B18" s="46"/>
      <c r="C18" s="35"/>
      <c r="D18" s="52"/>
      <c r="E18" s="46"/>
      <c r="F18" s="46"/>
    </row>
    <row r="19" spans="2:6">
      <c r="B19" s="46"/>
      <c r="C19" s="35"/>
      <c r="D19" s="52"/>
      <c r="E19" s="46"/>
      <c r="F19" s="46"/>
    </row>
    <row r="20" spans="2:6">
      <c r="B20" s="46"/>
      <c r="C20" s="35"/>
      <c r="D20" s="52"/>
      <c r="E20" s="46"/>
      <c r="F20" s="46"/>
    </row>
    <row r="21" spans="2:6">
      <c r="B21" s="46"/>
      <c r="C21" s="35"/>
      <c r="D21" s="52"/>
      <c r="E21" s="46"/>
      <c r="F21" s="46"/>
    </row>
    <row r="22" spans="2:6">
      <c r="B22" s="46"/>
      <c r="C22" s="35"/>
      <c r="D22" s="52"/>
      <c r="E22" s="46"/>
      <c r="F22" s="46"/>
    </row>
    <row r="23" spans="2:6">
      <c r="B23" s="46"/>
      <c r="C23" s="35"/>
      <c r="D23" s="52"/>
      <c r="E23" s="46"/>
      <c r="F23" s="46"/>
    </row>
    <row r="24" spans="2:6">
      <c r="B24" s="46"/>
      <c r="C24" s="35"/>
      <c r="D24" s="52"/>
      <c r="E24" s="46"/>
      <c r="F24" s="46"/>
    </row>
    <row r="25" spans="2:6">
      <c r="B25" s="46"/>
      <c r="C25" s="35"/>
      <c r="D25" s="52"/>
      <c r="E25" s="46"/>
      <c r="F25" s="46"/>
    </row>
    <row r="26" spans="2:6">
      <c r="B26" s="46"/>
      <c r="C26" s="35"/>
      <c r="D26" s="52"/>
      <c r="E26" s="46"/>
      <c r="F26" s="46"/>
    </row>
    <row r="27" spans="2:6">
      <c r="B27" s="46"/>
      <c r="C27" s="35"/>
      <c r="D27" s="52"/>
      <c r="E27" s="46"/>
      <c r="F27" s="46"/>
    </row>
    <row r="28" spans="2:6">
      <c r="B28" s="46"/>
      <c r="C28" s="35"/>
      <c r="D28" s="52"/>
      <c r="E28" s="46"/>
      <c r="F28" s="46"/>
    </row>
    <row r="29" spans="2:6">
      <c r="B29" s="46"/>
      <c r="C29" s="35"/>
      <c r="D29" s="52"/>
      <c r="E29" s="46"/>
      <c r="F29" s="46"/>
    </row>
    <row r="30" spans="2:6">
      <c r="B30" s="46"/>
      <c r="C30" s="35"/>
      <c r="D30" s="52"/>
      <c r="E30" s="46"/>
      <c r="F30" s="46"/>
    </row>
    <row r="31" spans="2:6">
      <c r="B31" s="46"/>
      <c r="C31" s="46"/>
      <c r="D31" s="46"/>
      <c r="E31" s="46"/>
      <c r="F31" s="46"/>
    </row>
    <row r="32" spans="2:6">
      <c r="B32" s="46"/>
      <c r="C32" s="46"/>
      <c r="D32" s="46"/>
      <c r="E32" s="46"/>
      <c r="F32" s="46"/>
    </row>
    <row r="33" spans="2:7">
      <c r="B33" s="56" t="s">
        <v>76</v>
      </c>
      <c r="C33" s="46"/>
      <c r="D33" s="46"/>
      <c r="E33" s="46"/>
      <c r="F33" s="46"/>
    </row>
    <row r="34" spans="2:7">
      <c r="B34" s="36" t="s">
        <v>602</v>
      </c>
      <c r="C34" s="46"/>
      <c r="D34" s="46"/>
      <c r="E34" s="46"/>
      <c r="F34" s="46"/>
    </row>
    <row r="35" spans="2:7">
      <c r="B35" s="36" t="s">
        <v>603</v>
      </c>
      <c r="C35" s="46"/>
      <c r="D35" s="46"/>
      <c r="E35" s="46"/>
      <c r="F35" s="46"/>
    </row>
    <row r="36" spans="2:7">
      <c r="B36" s="36" t="s">
        <v>604</v>
      </c>
      <c r="C36" s="46"/>
      <c r="D36" s="46"/>
      <c r="E36" s="46"/>
      <c r="F36" s="309"/>
    </row>
    <row r="37" spans="2:7">
      <c r="B37" s="300" t="s">
        <v>1229</v>
      </c>
      <c r="C37" s="46"/>
      <c r="D37" s="46"/>
      <c r="E37" s="46"/>
      <c r="F37" s="46"/>
    </row>
    <row r="38" spans="2:7">
      <c r="B38" s="308" t="s">
        <v>1220</v>
      </c>
      <c r="C38" s="46"/>
      <c r="D38" s="46"/>
      <c r="E38" s="46"/>
      <c r="F38" s="46"/>
    </row>
    <row r="39" spans="2:7">
      <c r="B39" s="36" t="s">
        <v>605</v>
      </c>
      <c r="C39" s="46"/>
      <c r="D39" s="46"/>
      <c r="E39" s="46"/>
      <c r="F39" s="46"/>
    </row>
    <row r="40" spans="2:7">
      <c r="B40" s="37" t="s">
        <v>606</v>
      </c>
    </row>
    <row r="41" spans="2:7">
      <c r="B41" s="38" t="s">
        <v>607</v>
      </c>
    </row>
    <row r="42" spans="2:7">
      <c r="B42" s="38" t="s">
        <v>608</v>
      </c>
    </row>
    <row r="43" spans="2:7">
      <c r="B43" s="38" t="s">
        <v>612</v>
      </c>
    </row>
    <row r="44" spans="2:7">
      <c r="B44" s="39" t="s">
        <v>609</v>
      </c>
    </row>
    <row r="45" spans="2:7">
      <c r="B45" s="40"/>
    </row>
    <row r="46" spans="2:7">
      <c r="C46" s="43"/>
      <c r="D46" s="58" t="s">
        <v>55</v>
      </c>
      <c r="E46" s="58" t="s">
        <v>56</v>
      </c>
      <c r="F46" s="58" t="s">
        <v>57</v>
      </c>
      <c r="G46" s="59" t="s">
        <v>58</v>
      </c>
    </row>
    <row r="47" spans="2:7" s="60" customFormat="1" ht="38.25">
      <c r="D47" s="41" t="s">
        <v>610</v>
      </c>
      <c r="E47" s="34" t="s">
        <v>600</v>
      </c>
      <c r="F47" s="34" t="s">
        <v>599</v>
      </c>
      <c r="G47" s="34" t="s">
        <v>23</v>
      </c>
    </row>
    <row r="48" spans="2:7">
      <c r="C48" s="43"/>
      <c r="D48" s="301">
        <v>29223</v>
      </c>
      <c r="E48" s="62">
        <v>0.1255</v>
      </c>
      <c r="F48" s="62">
        <v>9.3944919786096232E-2</v>
      </c>
      <c r="G48" s="46">
        <f>E48-F48</f>
        <v>3.1555080213903769E-2</v>
      </c>
    </row>
    <row r="49" spans="3:7">
      <c r="C49" s="43"/>
      <c r="D49" s="301">
        <v>29224</v>
      </c>
      <c r="E49" s="62">
        <v>0.13750000000000001</v>
      </c>
      <c r="F49" s="62">
        <v>9.401604278074864E-2</v>
      </c>
      <c r="G49" s="46">
        <f t="shared" ref="G49:G112" si="0">E49-F49</f>
        <v>4.3483957219251371E-2</v>
      </c>
    </row>
    <row r="50" spans="3:7">
      <c r="C50" s="43"/>
      <c r="D50" s="301">
        <v>29234</v>
      </c>
      <c r="E50" s="62">
        <v>0.13200000000000001</v>
      </c>
      <c r="F50" s="62">
        <v>9.4431550802138983E-2</v>
      </c>
      <c r="G50" s="46">
        <f t="shared" si="0"/>
        <v>3.7568449197861023E-2</v>
      </c>
    </row>
    <row r="51" spans="3:7">
      <c r="C51" s="43"/>
      <c r="D51" s="301">
        <v>29238</v>
      </c>
      <c r="E51" s="62">
        <v>0.14000000000000001</v>
      </c>
      <c r="F51" s="62">
        <v>9.4729946524064135E-2</v>
      </c>
      <c r="G51" s="46">
        <f t="shared" si="0"/>
        <v>4.5270053475935879E-2</v>
      </c>
    </row>
    <row r="52" spans="3:7">
      <c r="C52" s="43"/>
      <c r="D52" s="301">
        <v>29251</v>
      </c>
      <c r="E52" s="62">
        <v>0.12609999999999999</v>
      </c>
      <c r="F52" s="62">
        <v>9.5585026737967885E-2</v>
      </c>
      <c r="G52" s="46">
        <f t="shared" si="0"/>
        <v>3.0514973262032105E-2</v>
      </c>
    </row>
    <row r="53" spans="3:7">
      <c r="C53" s="43"/>
      <c r="D53" s="301">
        <v>29259</v>
      </c>
      <c r="E53" s="62">
        <v>0.14499999999999999</v>
      </c>
      <c r="F53" s="62">
        <v>9.6322459893048093E-2</v>
      </c>
      <c r="G53" s="46">
        <f t="shared" si="0"/>
        <v>4.8677540106951897E-2</v>
      </c>
    </row>
    <row r="54" spans="3:7">
      <c r="C54" s="43"/>
      <c r="D54" s="301">
        <v>29265</v>
      </c>
      <c r="E54" s="62">
        <v>0.13</v>
      </c>
      <c r="F54" s="62">
        <v>9.674545454545451E-2</v>
      </c>
      <c r="G54" s="46">
        <f t="shared" si="0"/>
        <v>3.3254545454545495E-2</v>
      </c>
    </row>
    <row r="55" spans="3:7">
      <c r="C55" s="43"/>
      <c r="D55" s="301">
        <v>29266</v>
      </c>
      <c r="E55" s="62">
        <v>0.13</v>
      </c>
      <c r="F55" s="62">
        <v>9.6898930481283368E-2</v>
      </c>
      <c r="G55" s="46">
        <f t="shared" si="0"/>
        <v>3.3101069518716636E-2</v>
      </c>
    </row>
    <row r="56" spans="3:7">
      <c r="C56" s="43"/>
      <c r="D56" s="301">
        <v>29280</v>
      </c>
      <c r="E56" s="62">
        <v>0.14000000000000001</v>
      </c>
      <c r="F56" s="62">
        <v>9.8566844919786151E-2</v>
      </c>
      <c r="G56" s="46">
        <f t="shared" si="0"/>
        <v>4.1433155080213863E-2</v>
      </c>
    </row>
    <row r="57" spans="3:7">
      <c r="C57" s="43"/>
      <c r="D57" s="301">
        <v>29285</v>
      </c>
      <c r="E57" s="62">
        <v>0.14000000000000001</v>
      </c>
      <c r="F57" s="62">
        <v>9.9093582887700551E-2</v>
      </c>
      <c r="G57" s="46">
        <f t="shared" si="0"/>
        <v>4.0906417112299462E-2</v>
      </c>
    </row>
    <row r="58" spans="3:7">
      <c r="C58" s="43"/>
      <c r="D58" s="301">
        <v>29287</v>
      </c>
      <c r="E58" s="62">
        <v>0.13500000000000001</v>
      </c>
      <c r="F58" s="62">
        <v>9.9473262032085591E-2</v>
      </c>
      <c r="G58" s="46">
        <f t="shared" si="0"/>
        <v>3.5526737967914418E-2</v>
      </c>
    </row>
    <row r="59" spans="3:7">
      <c r="C59" s="43"/>
      <c r="D59" s="301">
        <v>29294</v>
      </c>
      <c r="E59" s="62">
        <v>0.14000000000000001</v>
      </c>
      <c r="F59" s="62">
        <v>0.10036631016042787</v>
      </c>
      <c r="G59" s="46">
        <f t="shared" si="0"/>
        <v>3.9633689839572148E-2</v>
      </c>
    </row>
    <row r="60" spans="3:7">
      <c r="C60" s="43"/>
      <c r="D60" s="301">
        <v>29307</v>
      </c>
      <c r="E60" s="62">
        <v>0.12689999999999999</v>
      </c>
      <c r="F60" s="62">
        <v>0.10201550802139042</v>
      </c>
      <c r="G60" s="46">
        <f t="shared" si="0"/>
        <v>2.4884491978609563E-2</v>
      </c>
    </row>
    <row r="61" spans="3:7">
      <c r="C61" s="43"/>
      <c r="D61" s="301">
        <v>29312</v>
      </c>
      <c r="E61" s="62">
        <v>0.14749999999999999</v>
      </c>
      <c r="F61" s="62">
        <v>0.10257754010695191</v>
      </c>
      <c r="G61" s="46">
        <f t="shared" si="0"/>
        <v>4.4922459893048078E-2</v>
      </c>
    </row>
    <row r="62" spans="3:7">
      <c r="C62" s="43"/>
      <c r="D62" s="301">
        <v>29340</v>
      </c>
      <c r="E62" s="62">
        <v>0.125</v>
      </c>
      <c r="F62" s="62">
        <v>0.10506898395721925</v>
      </c>
      <c r="G62" s="46">
        <f t="shared" si="0"/>
        <v>1.9931016042780747E-2</v>
      </c>
    </row>
    <row r="63" spans="3:7">
      <c r="C63" s="43"/>
      <c r="D63" s="301">
        <v>29348</v>
      </c>
      <c r="E63" s="62">
        <v>0.14269999999999999</v>
      </c>
      <c r="F63" s="62">
        <v>0.10555561497326202</v>
      </c>
      <c r="G63" s="46">
        <f t="shared" si="0"/>
        <v>3.7144385026737975E-2</v>
      </c>
    </row>
    <row r="64" spans="3:7">
      <c r="C64" s="43"/>
      <c r="D64" s="301">
        <v>29349</v>
      </c>
      <c r="E64" s="62">
        <v>0.13750000000000001</v>
      </c>
      <c r="F64" s="62">
        <v>0.10563262032085557</v>
      </c>
      <c r="G64" s="46">
        <f t="shared" si="0"/>
        <v>3.1867379679144436E-2</v>
      </c>
    </row>
    <row r="65" spans="3:9">
      <c r="C65" s="43"/>
      <c r="D65" s="301">
        <v>29360</v>
      </c>
      <c r="E65" s="62">
        <v>0.155</v>
      </c>
      <c r="F65" s="62">
        <v>0.1061893048128342</v>
      </c>
      <c r="G65" s="46">
        <f t="shared" si="0"/>
        <v>4.8810695187165798E-2</v>
      </c>
    </row>
    <row r="66" spans="3:9">
      <c r="C66" s="43"/>
      <c r="D66" s="301">
        <v>29368</v>
      </c>
      <c r="E66" s="62">
        <v>0.14599999999999999</v>
      </c>
      <c r="F66" s="62">
        <v>0.10653262032085555</v>
      </c>
      <c r="G66" s="46">
        <f t="shared" si="0"/>
        <v>3.9467379679144446E-2</v>
      </c>
    </row>
    <row r="67" spans="3:9">
      <c r="C67" s="43"/>
      <c r="D67" s="301">
        <v>29370</v>
      </c>
      <c r="E67" s="62">
        <v>0.16</v>
      </c>
      <c r="F67" s="62">
        <v>0.10666417112299462</v>
      </c>
      <c r="G67" s="46">
        <f t="shared" si="0"/>
        <v>5.3335828877005387E-2</v>
      </c>
    </row>
    <row r="68" spans="3:9">
      <c r="C68" s="43"/>
      <c r="D68" s="301">
        <v>29382</v>
      </c>
      <c r="E68" s="62">
        <v>0.13780000000000001</v>
      </c>
      <c r="F68" s="62">
        <v>0.10709358288770049</v>
      </c>
      <c r="G68" s="46">
        <f t="shared" si="0"/>
        <v>3.0706417112299517E-2</v>
      </c>
    </row>
    <row r="69" spans="3:9">
      <c r="C69" s="43"/>
      <c r="D69" s="301">
        <v>29397</v>
      </c>
      <c r="E69" s="62">
        <v>0.14249999999999999</v>
      </c>
      <c r="F69" s="62">
        <v>0.10736042780748663</v>
      </c>
      <c r="G69" s="46">
        <f t="shared" si="0"/>
        <v>3.513957219251336E-2</v>
      </c>
      <c r="I69" s="57"/>
    </row>
    <row r="70" spans="3:9">
      <c r="C70" s="43"/>
      <c r="D70" s="301">
        <v>29411</v>
      </c>
      <c r="E70" s="62">
        <v>0.14510000000000001</v>
      </c>
      <c r="F70" s="62">
        <v>0.10773850267379678</v>
      </c>
      <c r="G70" s="46">
        <f t="shared" si="0"/>
        <v>3.7361497326203225E-2</v>
      </c>
    </row>
    <row r="71" spans="3:9">
      <c r="C71" s="43"/>
      <c r="D71" s="301">
        <v>29419</v>
      </c>
      <c r="E71" s="62">
        <v>0.129</v>
      </c>
      <c r="F71" s="62">
        <v>0.1078866310160428</v>
      </c>
      <c r="G71" s="46">
        <f t="shared" si="0"/>
        <v>2.1113368983957201E-2</v>
      </c>
    </row>
    <row r="72" spans="3:9">
      <c r="C72" s="43"/>
      <c r="D72" s="301">
        <v>29420</v>
      </c>
      <c r="E72" s="62">
        <v>0.13800000000000001</v>
      </c>
      <c r="F72" s="62">
        <v>0.10791016042780752</v>
      </c>
      <c r="G72" s="46">
        <f t="shared" si="0"/>
        <v>3.0089839572192495E-2</v>
      </c>
    </row>
    <row r="73" spans="3:9">
      <c r="C73" s="43"/>
      <c r="D73" s="301">
        <v>29424</v>
      </c>
      <c r="E73" s="62">
        <v>0.14099999999999999</v>
      </c>
      <c r="F73" s="62">
        <v>0.10792673796791442</v>
      </c>
      <c r="G73" s="46">
        <f t="shared" si="0"/>
        <v>3.3073262032085562E-2</v>
      </c>
    </row>
    <row r="74" spans="3:9">
      <c r="C74" s="43"/>
      <c r="D74" s="301">
        <v>29425</v>
      </c>
      <c r="E74" s="62">
        <v>0.1419</v>
      </c>
      <c r="F74" s="62">
        <v>0.10791925133689838</v>
      </c>
      <c r="G74" s="46">
        <f t="shared" si="0"/>
        <v>3.398074866310162E-2</v>
      </c>
    </row>
    <row r="75" spans="3:9">
      <c r="C75" s="43"/>
      <c r="D75" s="301">
        <v>29434</v>
      </c>
      <c r="E75" s="62">
        <v>0.125</v>
      </c>
      <c r="F75" s="62">
        <v>0.10802192513368983</v>
      </c>
      <c r="G75" s="46">
        <f t="shared" si="0"/>
        <v>1.6978074866310172E-2</v>
      </c>
    </row>
    <row r="76" spans="3:9">
      <c r="C76" s="43"/>
      <c r="D76" s="301">
        <v>29444</v>
      </c>
      <c r="E76" s="62">
        <v>0.14849999999999999</v>
      </c>
      <c r="F76" s="62">
        <v>0.10813903743315509</v>
      </c>
      <c r="G76" s="46">
        <f t="shared" si="0"/>
        <v>4.0360962566844905E-2</v>
      </c>
    </row>
    <row r="77" spans="3:9">
      <c r="C77" s="43"/>
      <c r="D77" s="301">
        <v>29454</v>
      </c>
      <c r="E77" s="62">
        <v>0.1303</v>
      </c>
      <c r="F77" s="62">
        <v>0.10842352941176474</v>
      </c>
      <c r="G77" s="46">
        <f t="shared" si="0"/>
        <v>2.1876470588235261E-2</v>
      </c>
      <c r="I77" s="53"/>
    </row>
    <row r="78" spans="3:9">
      <c r="C78" s="43"/>
      <c r="D78" s="301">
        <v>29461</v>
      </c>
      <c r="E78" s="62">
        <v>0.1361</v>
      </c>
      <c r="F78" s="62">
        <v>0.10873208556149734</v>
      </c>
      <c r="G78" s="46">
        <f t="shared" si="0"/>
        <v>2.7367914438502658E-2</v>
      </c>
    </row>
    <row r="79" spans="3:9">
      <c r="C79" s="43"/>
      <c r="D79" s="301">
        <v>29461</v>
      </c>
      <c r="E79" s="62">
        <v>0.14000000000000001</v>
      </c>
      <c r="F79" s="62">
        <v>0.10873208556149734</v>
      </c>
      <c r="G79" s="46">
        <f t="shared" si="0"/>
        <v>3.1267914438502672E-2</v>
      </c>
    </row>
    <row r="80" spans="3:9">
      <c r="C80" s="43"/>
      <c r="D80" s="301">
        <v>29468</v>
      </c>
      <c r="E80" s="62">
        <v>0.14000000000000001</v>
      </c>
      <c r="F80" s="62">
        <v>0.1089577540106952</v>
      </c>
      <c r="G80" s="46">
        <f t="shared" si="0"/>
        <v>3.1042245989304815E-2</v>
      </c>
    </row>
    <row r="81" spans="3:9">
      <c r="C81" s="43"/>
      <c r="D81" s="301">
        <v>29488</v>
      </c>
      <c r="E81" s="62">
        <v>0.15</v>
      </c>
      <c r="F81" s="62">
        <v>0.10980641711229944</v>
      </c>
      <c r="G81" s="46">
        <f t="shared" si="0"/>
        <v>4.0193582887700557E-2</v>
      </c>
    </row>
    <row r="82" spans="3:9">
      <c r="C82" s="43"/>
      <c r="D82" s="301">
        <v>29503</v>
      </c>
      <c r="E82" s="62">
        <v>0.14499999999999999</v>
      </c>
      <c r="F82" s="62">
        <v>0.11054545454545453</v>
      </c>
      <c r="G82" s="46">
        <f t="shared" si="0"/>
        <v>3.445454545454546E-2</v>
      </c>
    </row>
    <row r="83" spans="3:9">
      <c r="C83" s="43"/>
      <c r="D83" s="301">
        <v>29503</v>
      </c>
      <c r="E83" s="62">
        <v>0.14499999999999999</v>
      </c>
      <c r="F83" s="62">
        <v>0.11054545454545453</v>
      </c>
      <c r="G83" s="46">
        <f t="shared" si="0"/>
        <v>3.445454545454546E-2</v>
      </c>
    </row>
    <row r="84" spans="3:9">
      <c r="C84" s="43"/>
      <c r="D84" s="301">
        <v>29518</v>
      </c>
      <c r="E84" s="62">
        <v>0.14000000000000001</v>
      </c>
      <c r="F84" s="62">
        <v>0.11093636363636364</v>
      </c>
      <c r="G84" s="46">
        <f t="shared" si="0"/>
        <v>2.9063636363636375E-2</v>
      </c>
    </row>
    <row r="85" spans="3:9">
      <c r="C85" s="43"/>
      <c r="D85" s="301">
        <v>29521</v>
      </c>
      <c r="E85" s="62">
        <v>0.152</v>
      </c>
      <c r="F85" s="62">
        <v>0.1109812834224599</v>
      </c>
      <c r="G85" s="46">
        <f t="shared" si="0"/>
        <v>4.1018716577540096E-2</v>
      </c>
    </row>
    <row r="86" spans="3:9">
      <c r="C86" s="43"/>
      <c r="D86" s="301">
        <v>29521</v>
      </c>
      <c r="E86" s="62">
        <v>0.152</v>
      </c>
      <c r="F86" s="62">
        <v>0.1109812834224599</v>
      </c>
      <c r="G86" s="46">
        <f t="shared" si="0"/>
        <v>4.1018716577540096E-2</v>
      </c>
      <c r="I86" s="53"/>
    </row>
    <row r="87" spans="3:9">
      <c r="C87" s="43"/>
      <c r="D87" s="301">
        <v>29522</v>
      </c>
      <c r="E87" s="62">
        <v>0.12</v>
      </c>
      <c r="F87" s="62">
        <v>0.11103636363636366</v>
      </c>
      <c r="G87" s="46">
        <f t="shared" si="0"/>
        <v>8.9636363636363403E-3</v>
      </c>
    </row>
    <row r="88" spans="3:9">
      <c r="C88" s="43"/>
      <c r="D88" s="301">
        <v>29522</v>
      </c>
      <c r="E88" s="62">
        <v>0.13</v>
      </c>
      <c r="F88" s="62">
        <v>0.11103636363636366</v>
      </c>
      <c r="G88" s="46">
        <f t="shared" si="0"/>
        <v>1.8963636363636349E-2</v>
      </c>
    </row>
    <row r="89" spans="3:9">
      <c r="C89" s="43"/>
      <c r="D89" s="301">
        <v>29525</v>
      </c>
      <c r="E89" s="62">
        <v>0.14499999999999999</v>
      </c>
      <c r="F89" s="62">
        <v>0.11120106951871661</v>
      </c>
      <c r="G89" s="46">
        <f t="shared" si="0"/>
        <v>3.3798930481283379E-2</v>
      </c>
    </row>
    <row r="90" spans="3:9">
      <c r="C90" s="43"/>
      <c r="D90" s="301">
        <v>29529</v>
      </c>
      <c r="E90" s="62">
        <v>0.15</v>
      </c>
      <c r="F90" s="62">
        <v>0.11123208556149736</v>
      </c>
      <c r="G90" s="46">
        <f t="shared" si="0"/>
        <v>3.8767914438502638E-2</v>
      </c>
    </row>
    <row r="91" spans="3:9">
      <c r="C91" s="43"/>
      <c r="D91" s="301">
        <v>29531</v>
      </c>
      <c r="E91" s="62">
        <v>0.14349999999999999</v>
      </c>
      <c r="F91" s="62">
        <v>0.11131069518716583</v>
      </c>
      <c r="G91" s="46">
        <f t="shared" si="0"/>
        <v>3.2189304812834163E-2</v>
      </c>
    </row>
    <row r="92" spans="3:9">
      <c r="C92" s="43"/>
      <c r="D92" s="301">
        <v>29535</v>
      </c>
      <c r="E92" s="62">
        <v>0.13250000000000001</v>
      </c>
      <c r="F92" s="62">
        <v>0.11139839572192517</v>
      </c>
      <c r="G92" s="46">
        <f t="shared" si="0"/>
        <v>2.1101604278074837E-2</v>
      </c>
    </row>
    <row r="93" spans="3:9">
      <c r="C93" s="43"/>
      <c r="D93" s="301">
        <v>29542</v>
      </c>
      <c r="E93" s="62">
        <v>0.155</v>
      </c>
      <c r="F93" s="62">
        <v>0.11145721925133692</v>
      </c>
      <c r="G93" s="46">
        <f t="shared" si="0"/>
        <v>4.3542780748663079E-2</v>
      </c>
    </row>
    <row r="94" spans="3:9">
      <c r="C94" s="43"/>
      <c r="D94" s="301">
        <v>29544</v>
      </c>
      <c r="E94" s="62">
        <v>0.13500000000000001</v>
      </c>
      <c r="F94" s="62">
        <v>0.1114117647058824</v>
      </c>
      <c r="G94" s="46">
        <f t="shared" si="0"/>
        <v>2.3588235294117604E-2</v>
      </c>
    </row>
    <row r="95" spans="3:9">
      <c r="C95" s="43"/>
      <c r="D95" s="301">
        <v>29560</v>
      </c>
      <c r="E95" s="62">
        <v>0.14599999999999999</v>
      </c>
      <c r="F95" s="62">
        <v>0.11132299465240642</v>
      </c>
      <c r="G95" s="46">
        <f t="shared" si="0"/>
        <v>3.4677005347593576E-2</v>
      </c>
    </row>
    <row r="96" spans="3:9">
      <c r="C96" s="43"/>
      <c r="D96" s="301">
        <v>29563</v>
      </c>
      <c r="E96" s="62">
        <v>0.16399999999999998</v>
      </c>
      <c r="F96" s="62">
        <v>0.111332192513369</v>
      </c>
      <c r="G96" s="46">
        <f t="shared" si="0"/>
        <v>5.2667807486630983E-2</v>
      </c>
    </row>
    <row r="97" spans="3:9">
      <c r="C97" s="43"/>
      <c r="D97" s="301">
        <v>29567</v>
      </c>
      <c r="E97" s="62">
        <v>0.1545</v>
      </c>
      <c r="F97" s="62">
        <v>0.11146951871657752</v>
      </c>
      <c r="G97" s="46">
        <f t="shared" si="0"/>
        <v>4.3030481283422475E-2</v>
      </c>
    </row>
    <row r="98" spans="3:9">
      <c r="C98" s="43"/>
      <c r="D98" s="301">
        <v>29572</v>
      </c>
      <c r="E98" s="62">
        <v>0.14199999999999999</v>
      </c>
      <c r="F98" s="62">
        <v>0.11159657754010692</v>
      </c>
      <c r="G98" s="46">
        <f t="shared" si="0"/>
        <v>3.0403422459893067E-2</v>
      </c>
    </row>
    <row r="99" spans="3:9">
      <c r="C99" s="43"/>
      <c r="D99" s="301">
        <v>29572</v>
      </c>
      <c r="E99" s="62">
        <v>0.14400000000000002</v>
      </c>
      <c r="F99" s="62">
        <v>0.11159657754010692</v>
      </c>
      <c r="G99" s="46">
        <f t="shared" si="0"/>
        <v>3.2403422459893097E-2</v>
      </c>
    </row>
    <row r="100" spans="3:9">
      <c r="C100" s="43"/>
      <c r="D100" s="301">
        <v>29573</v>
      </c>
      <c r="E100" s="62">
        <v>0.14000000000000001</v>
      </c>
      <c r="F100" s="62">
        <v>0.11161807486631016</v>
      </c>
      <c r="G100" s="46">
        <f t="shared" si="0"/>
        <v>2.8381925133689853E-2</v>
      </c>
    </row>
    <row r="101" spans="3:9">
      <c r="C101" s="43"/>
      <c r="D101" s="301">
        <v>29577</v>
      </c>
      <c r="E101" s="62">
        <v>0.13449999999999998</v>
      </c>
      <c r="F101" s="62">
        <v>0.11156481283422458</v>
      </c>
      <c r="G101" s="46">
        <f t="shared" si="0"/>
        <v>2.2935187165775403E-2</v>
      </c>
    </row>
    <row r="102" spans="3:9">
      <c r="C102" s="43"/>
      <c r="D102" s="301">
        <v>29581</v>
      </c>
      <c r="E102" s="62">
        <v>0.14000000000000001</v>
      </c>
      <c r="F102" s="62">
        <v>0.11145764705882354</v>
      </c>
      <c r="G102" s="46">
        <f t="shared" si="0"/>
        <v>2.8542352941176477E-2</v>
      </c>
    </row>
    <row r="103" spans="3:9">
      <c r="C103" s="43"/>
      <c r="D103" s="301">
        <v>29585</v>
      </c>
      <c r="E103" s="62">
        <v>0.14499999999999999</v>
      </c>
      <c r="F103" s="62">
        <v>0.111411871657754</v>
      </c>
      <c r="G103" s="46">
        <f t="shared" si="0"/>
        <v>3.358812834224599E-2</v>
      </c>
    </row>
    <row r="104" spans="3:9">
      <c r="C104" s="43"/>
      <c r="D104" s="301">
        <v>29586</v>
      </c>
      <c r="E104" s="62">
        <v>0.14560000000000001</v>
      </c>
      <c r="F104" s="62">
        <v>0.111392192513369</v>
      </c>
      <c r="G104" s="46">
        <f t="shared" si="0"/>
        <v>3.4207807486631006E-2</v>
      </c>
      <c r="I104" s="57"/>
    </row>
    <row r="105" spans="3:9">
      <c r="C105" s="43"/>
      <c r="D105" s="301">
        <v>29593</v>
      </c>
      <c r="E105" s="62">
        <v>0.14300000000000002</v>
      </c>
      <c r="F105" s="62">
        <v>0.11133754010695186</v>
      </c>
      <c r="G105" s="46">
        <f t="shared" si="0"/>
        <v>3.1662459893048153E-2</v>
      </c>
      <c r="I105" s="57"/>
    </row>
    <row r="106" spans="3:9">
      <c r="C106" s="43"/>
      <c r="D106" s="301">
        <v>29598</v>
      </c>
      <c r="E106" s="62">
        <v>0.14949999999999999</v>
      </c>
      <c r="F106" s="62">
        <v>0.11139454545454545</v>
      </c>
      <c r="G106" s="46">
        <f t="shared" si="0"/>
        <v>3.810545454545454E-2</v>
      </c>
    </row>
    <row r="107" spans="3:9">
      <c r="C107" s="43"/>
      <c r="D107" s="301">
        <v>29612</v>
      </c>
      <c r="E107" s="62">
        <v>0.1525</v>
      </c>
      <c r="F107" s="62">
        <v>0.11199775401069516</v>
      </c>
      <c r="G107" s="46">
        <f t="shared" si="0"/>
        <v>4.0502245989304839E-2</v>
      </c>
      <c r="I107" s="57"/>
    </row>
    <row r="108" spans="3:9">
      <c r="C108" s="43"/>
      <c r="D108" s="301">
        <v>29616</v>
      </c>
      <c r="E108" s="62">
        <v>0.13250000000000001</v>
      </c>
      <c r="F108" s="62">
        <v>0.11231582887700538</v>
      </c>
      <c r="G108" s="46">
        <f t="shared" si="0"/>
        <v>2.0184171122994629E-2</v>
      </c>
      <c r="I108" s="57"/>
    </row>
    <row r="109" spans="3:9">
      <c r="C109" s="43"/>
      <c r="D109" s="301">
        <v>29628</v>
      </c>
      <c r="E109" s="62">
        <v>0.14499999999999999</v>
      </c>
      <c r="F109" s="62">
        <v>0.11333272727272729</v>
      </c>
      <c r="G109" s="46">
        <f t="shared" si="0"/>
        <v>3.1667272727272697E-2</v>
      </c>
      <c r="I109" s="57"/>
    </row>
    <row r="110" spans="3:9">
      <c r="C110" s="43"/>
      <c r="D110" s="301">
        <v>29637</v>
      </c>
      <c r="E110" s="62">
        <v>0.14499999999999999</v>
      </c>
      <c r="F110" s="62">
        <v>0.11396748663101605</v>
      </c>
      <c r="G110" s="46">
        <f t="shared" si="0"/>
        <v>3.1032513368983938E-2</v>
      </c>
    </row>
    <row r="111" spans="3:9">
      <c r="C111" s="43"/>
      <c r="D111" s="301">
        <v>29657</v>
      </c>
      <c r="E111" s="62">
        <v>0.1565</v>
      </c>
      <c r="F111" s="62">
        <v>0.11599144385026733</v>
      </c>
      <c r="G111" s="46">
        <f t="shared" si="0"/>
        <v>4.0508556149732672E-2</v>
      </c>
    </row>
    <row r="112" spans="3:9">
      <c r="C112" s="43"/>
      <c r="D112" s="301">
        <v>29670</v>
      </c>
      <c r="E112" s="62">
        <v>0.153</v>
      </c>
      <c r="F112" s="62">
        <v>0.1173806417112299</v>
      </c>
      <c r="G112" s="46">
        <f t="shared" si="0"/>
        <v>3.5619358288770095E-2</v>
      </c>
    </row>
    <row r="113" spans="3:7">
      <c r="C113" s="43"/>
      <c r="D113" s="301">
        <v>29677</v>
      </c>
      <c r="E113" s="62">
        <v>0.153</v>
      </c>
      <c r="F113" s="62">
        <v>0.1181613903743315</v>
      </c>
      <c r="G113" s="46">
        <f t="shared" ref="G113:G176" si="1">E113-F113</f>
        <v>3.4838609625668496E-2</v>
      </c>
    </row>
    <row r="114" spans="3:7">
      <c r="C114" s="43"/>
      <c r="D114" s="301">
        <v>29685</v>
      </c>
      <c r="E114" s="62">
        <v>0.15</v>
      </c>
      <c r="F114" s="62">
        <v>0.11909893048128338</v>
      </c>
      <c r="G114" s="46">
        <f t="shared" si="1"/>
        <v>3.0901069518716615E-2</v>
      </c>
    </row>
    <row r="115" spans="3:7">
      <c r="C115" s="43"/>
      <c r="D115" s="301">
        <v>29705</v>
      </c>
      <c r="E115" s="62">
        <v>0.13500000000000001</v>
      </c>
      <c r="F115" s="62">
        <v>0.12122652406417109</v>
      </c>
      <c r="G115" s="46">
        <f t="shared" si="1"/>
        <v>1.3773475935828922E-2</v>
      </c>
    </row>
    <row r="116" spans="3:7">
      <c r="C116" s="43"/>
      <c r="D116" s="301">
        <v>29705</v>
      </c>
      <c r="E116" s="62">
        <v>0.14249999999999999</v>
      </c>
      <c r="F116" s="62">
        <v>0.12122652406417109</v>
      </c>
      <c r="G116" s="46">
        <f t="shared" si="1"/>
        <v>2.1273475935828901E-2</v>
      </c>
    </row>
    <row r="117" spans="3:7">
      <c r="C117" s="43"/>
      <c r="D117" s="301">
        <v>29706</v>
      </c>
      <c r="E117" s="62">
        <v>0.13600000000000001</v>
      </c>
      <c r="F117" s="62">
        <v>0.12140042780748661</v>
      </c>
      <c r="G117" s="46">
        <f t="shared" si="1"/>
        <v>1.4599572192513399E-2</v>
      </c>
    </row>
    <row r="118" spans="3:7">
      <c r="C118" s="43"/>
      <c r="D118" s="301">
        <v>29706</v>
      </c>
      <c r="E118" s="62">
        <v>0.15</v>
      </c>
      <c r="F118" s="62">
        <v>0.12140042780748661</v>
      </c>
      <c r="G118" s="46">
        <f t="shared" si="1"/>
        <v>2.8599572192513384E-2</v>
      </c>
    </row>
    <row r="119" spans="3:7">
      <c r="C119" s="43"/>
      <c r="D119" s="301">
        <v>29727</v>
      </c>
      <c r="E119" s="62">
        <v>0.14000000000000001</v>
      </c>
      <c r="F119" s="62">
        <v>0.12372235294117646</v>
      </c>
      <c r="G119" s="46">
        <f t="shared" si="1"/>
        <v>1.6277647058823549E-2</v>
      </c>
    </row>
    <row r="120" spans="3:7">
      <c r="C120" s="43"/>
      <c r="D120" s="301">
        <v>29740</v>
      </c>
      <c r="E120" s="62">
        <v>0.1467</v>
      </c>
      <c r="F120" s="62">
        <v>0.12455743315508024</v>
      </c>
      <c r="G120" s="46">
        <f t="shared" si="1"/>
        <v>2.2142566844919762E-2</v>
      </c>
    </row>
    <row r="121" spans="3:7">
      <c r="C121" s="43"/>
      <c r="D121" s="301">
        <v>29759</v>
      </c>
      <c r="E121" s="62">
        <v>0.16</v>
      </c>
      <c r="F121" s="62">
        <v>0.12573315508021393</v>
      </c>
      <c r="G121" s="46">
        <f t="shared" si="1"/>
        <v>3.4266844919786071E-2</v>
      </c>
    </row>
    <row r="122" spans="3:7">
      <c r="C122" s="43"/>
      <c r="D122" s="301">
        <v>29762</v>
      </c>
      <c r="E122" s="62">
        <v>0.14749999999999999</v>
      </c>
      <c r="F122" s="62">
        <v>0.12599283422459892</v>
      </c>
      <c r="G122" s="46">
        <f t="shared" si="1"/>
        <v>2.1507165775401071E-2</v>
      </c>
    </row>
    <row r="123" spans="3:7">
      <c r="C123" s="43"/>
      <c r="D123" s="301">
        <v>29769</v>
      </c>
      <c r="E123" s="62">
        <v>0.14000000000000001</v>
      </c>
      <c r="F123" s="62">
        <v>0.12640727272727273</v>
      </c>
      <c r="G123" s="46">
        <f t="shared" si="1"/>
        <v>1.3592727272727284E-2</v>
      </c>
    </row>
    <row r="124" spans="3:7">
      <c r="C124" s="43"/>
      <c r="D124" s="301">
        <v>29777</v>
      </c>
      <c r="E124" s="62">
        <v>0.16</v>
      </c>
      <c r="F124" s="62">
        <v>0.12691689839572193</v>
      </c>
      <c r="G124" s="46">
        <f t="shared" si="1"/>
        <v>3.3083101604278076E-2</v>
      </c>
    </row>
    <row r="125" spans="3:7">
      <c r="C125" s="43"/>
      <c r="D125" s="301">
        <v>29781</v>
      </c>
      <c r="E125" s="62">
        <v>0.16899999999999998</v>
      </c>
      <c r="F125" s="62">
        <v>0.12714331550802138</v>
      </c>
      <c r="G125" s="46">
        <f t="shared" si="1"/>
        <v>4.1856684491978602E-2</v>
      </c>
    </row>
    <row r="126" spans="3:7">
      <c r="C126" s="43"/>
      <c r="D126" s="301">
        <v>29788</v>
      </c>
      <c r="E126" s="62">
        <v>0.1578</v>
      </c>
      <c r="F126" s="62">
        <v>0.12776737967914439</v>
      </c>
      <c r="G126" s="46">
        <f t="shared" si="1"/>
        <v>3.0032620320855602E-2</v>
      </c>
    </row>
    <row r="127" spans="3:7">
      <c r="C127" s="43"/>
      <c r="D127" s="301">
        <v>29794</v>
      </c>
      <c r="E127" s="62">
        <v>0.13769999999999999</v>
      </c>
      <c r="F127" s="62">
        <v>0.12822930481283423</v>
      </c>
      <c r="G127" s="46">
        <f t="shared" si="1"/>
        <v>9.4706951871657563E-3</v>
      </c>
    </row>
    <row r="128" spans="3:7">
      <c r="C128" s="43"/>
      <c r="D128" s="301">
        <v>29794</v>
      </c>
      <c r="E128" s="62">
        <v>0.155</v>
      </c>
      <c r="F128" s="62">
        <v>0.12822930481283423</v>
      </c>
      <c r="G128" s="46">
        <f t="shared" si="1"/>
        <v>2.6770695187165766E-2</v>
      </c>
    </row>
    <row r="129" spans="3:7">
      <c r="C129" s="43"/>
      <c r="D129" s="301">
        <v>29798</v>
      </c>
      <c r="E129" s="62">
        <v>0.13500000000000001</v>
      </c>
      <c r="F129" s="62">
        <v>0.12864203208556152</v>
      </c>
      <c r="G129" s="46">
        <f t="shared" si="1"/>
        <v>6.3579679144384893E-3</v>
      </c>
    </row>
    <row r="130" spans="3:7">
      <c r="C130" s="43"/>
      <c r="D130" s="301">
        <v>29798</v>
      </c>
      <c r="E130" s="62">
        <v>0.14199999999999999</v>
      </c>
      <c r="F130" s="62">
        <v>0.12864203208556152</v>
      </c>
      <c r="G130" s="46">
        <f t="shared" si="1"/>
        <v>1.3357967914438468E-2</v>
      </c>
    </row>
    <row r="131" spans="3:7">
      <c r="C131" s="43"/>
      <c r="D131" s="301">
        <v>29810</v>
      </c>
      <c r="E131" s="62">
        <v>0.13720000000000002</v>
      </c>
      <c r="F131" s="62">
        <v>0.12932684491978616</v>
      </c>
      <c r="G131" s="46">
        <f t="shared" si="1"/>
        <v>7.8731550802138561E-3</v>
      </c>
    </row>
    <row r="132" spans="3:7">
      <c r="C132" s="43"/>
      <c r="D132" s="301">
        <v>29810</v>
      </c>
      <c r="E132" s="62">
        <v>0.13720000000000002</v>
      </c>
      <c r="F132" s="62">
        <v>0.12932684491978616</v>
      </c>
      <c r="G132" s="46">
        <f t="shared" si="1"/>
        <v>7.8731550802138561E-3</v>
      </c>
    </row>
    <row r="133" spans="3:7">
      <c r="C133" s="43"/>
      <c r="D133" s="301">
        <v>29810</v>
      </c>
      <c r="E133" s="62">
        <v>0.14410000000000001</v>
      </c>
      <c r="F133" s="62">
        <v>0.12932684491978616</v>
      </c>
      <c r="G133" s="46">
        <f t="shared" si="1"/>
        <v>1.4773155080213846E-2</v>
      </c>
    </row>
    <row r="134" spans="3:7">
      <c r="C134" s="43"/>
      <c r="D134" s="301">
        <v>29823</v>
      </c>
      <c r="E134" s="62">
        <v>0.1545</v>
      </c>
      <c r="F134" s="62">
        <v>0.1301871657754011</v>
      </c>
      <c r="G134" s="46">
        <f t="shared" si="1"/>
        <v>2.43128342245989E-2</v>
      </c>
    </row>
    <row r="135" spans="3:7">
      <c r="C135" s="43"/>
      <c r="D135" s="301">
        <v>29825</v>
      </c>
      <c r="E135" s="62">
        <v>0.14429999999999998</v>
      </c>
      <c r="F135" s="62">
        <v>0.13043336898395727</v>
      </c>
      <c r="G135" s="46">
        <f t="shared" si="1"/>
        <v>1.3866631016042713E-2</v>
      </c>
    </row>
    <row r="136" spans="3:7">
      <c r="C136" s="43"/>
      <c r="D136" s="301">
        <v>29826</v>
      </c>
      <c r="E136" s="62">
        <v>0.15</v>
      </c>
      <c r="F136" s="62">
        <v>0.13053925133689845</v>
      </c>
      <c r="G136" s="46">
        <f t="shared" si="1"/>
        <v>1.9460748663101546E-2</v>
      </c>
    </row>
    <row r="137" spans="3:7">
      <c r="C137" s="43"/>
      <c r="D137" s="301">
        <v>29852</v>
      </c>
      <c r="E137" s="62">
        <v>0.1434</v>
      </c>
      <c r="F137" s="62">
        <v>0.13241304812834231</v>
      </c>
      <c r="G137" s="46">
        <f t="shared" si="1"/>
        <v>1.0986951871657685E-2</v>
      </c>
    </row>
    <row r="138" spans="3:7">
      <c r="C138" s="43"/>
      <c r="D138" s="301">
        <v>29853</v>
      </c>
      <c r="E138" s="62">
        <v>0.16250000000000001</v>
      </c>
      <c r="F138" s="62">
        <v>0.1325654545454546</v>
      </c>
      <c r="G138" s="46">
        <f t="shared" si="1"/>
        <v>2.9934545454545408E-2</v>
      </c>
    </row>
    <row r="139" spans="3:7">
      <c r="C139" s="43"/>
      <c r="D139" s="301">
        <v>29858</v>
      </c>
      <c r="E139" s="62">
        <v>0.14499999999999999</v>
      </c>
      <c r="F139" s="62">
        <v>0.13307401069518718</v>
      </c>
      <c r="G139" s="46">
        <f t="shared" si="1"/>
        <v>1.1925989304812812E-2</v>
      </c>
    </row>
    <row r="140" spans="3:7">
      <c r="C140" s="43"/>
      <c r="D140" s="301">
        <v>29859</v>
      </c>
      <c r="E140" s="62">
        <v>0.15939999999999999</v>
      </c>
      <c r="F140" s="62">
        <v>0.133244064171123</v>
      </c>
      <c r="G140" s="46">
        <f t="shared" si="1"/>
        <v>2.6155935828876986E-2</v>
      </c>
    </row>
    <row r="141" spans="3:7">
      <c r="C141" s="43"/>
      <c r="D141" s="301">
        <v>29861</v>
      </c>
      <c r="E141" s="62">
        <v>0.14800000000000002</v>
      </c>
      <c r="F141" s="62">
        <v>0.13359700534759358</v>
      </c>
      <c r="G141" s="46">
        <f t="shared" si="1"/>
        <v>1.4402994652406437E-2</v>
      </c>
    </row>
    <row r="142" spans="3:7">
      <c r="C142" s="43"/>
      <c r="D142" s="301">
        <v>29871</v>
      </c>
      <c r="E142" s="62">
        <v>0.16250000000000001</v>
      </c>
      <c r="F142" s="62">
        <v>0.1342585026737968</v>
      </c>
      <c r="G142" s="46">
        <f t="shared" si="1"/>
        <v>2.8241497326203208E-2</v>
      </c>
    </row>
    <row r="143" spans="3:7">
      <c r="C143" s="43"/>
      <c r="D143" s="301">
        <v>29879</v>
      </c>
      <c r="E143" s="62">
        <v>0.1525</v>
      </c>
      <c r="F143" s="62">
        <v>0.13499754010695186</v>
      </c>
      <c r="G143" s="46">
        <f t="shared" si="1"/>
        <v>1.7502459893048133E-2</v>
      </c>
    </row>
    <row r="144" spans="3:7">
      <c r="C144" s="43"/>
      <c r="D144" s="301">
        <v>29879</v>
      </c>
      <c r="E144" s="62">
        <v>0.16500000000000001</v>
      </c>
      <c r="F144" s="62">
        <v>0.13499754010695186</v>
      </c>
      <c r="G144" s="46">
        <f t="shared" si="1"/>
        <v>3.0002459893048145E-2</v>
      </c>
    </row>
    <row r="145" spans="3:7">
      <c r="C145" s="43"/>
      <c r="D145" s="301">
        <v>29879</v>
      </c>
      <c r="E145" s="62">
        <v>0.17</v>
      </c>
      <c r="F145" s="62">
        <v>0.13499754010695186</v>
      </c>
      <c r="G145" s="46">
        <f t="shared" si="1"/>
        <v>3.5002459893048149E-2</v>
      </c>
    </row>
    <row r="146" spans="3:7">
      <c r="C146" s="43"/>
      <c r="D146" s="301">
        <v>29882</v>
      </c>
      <c r="E146" s="62">
        <v>0.155</v>
      </c>
      <c r="F146" s="62">
        <v>0.13540074866310159</v>
      </c>
      <c r="G146" s="46">
        <f t="shared" si="1"/>
        <v>1.959925133689841E-2</v>
      </c>
    </row>
    <row r="147" spans="3:7">
      <c r="C147" s="43"/>
      <c r="D147" s="301">
        <v>29885</v>
      </c>
      <c r="E147" s="62">
        <v>0.13500000000000001</v>
      </c>
      <c r="F147" s="62">
        <v>0.13555582887700532</v>
      </c>
      <c r="G147" s="46">
        <f t="shared" si="1"/>
        <v>-5.5582887700530992E-4</v>
      </c>
    </row>
    <row r="148" spans="3:7">
      <c r="C148" s="43"/>
      <c r="D148" s="301">
        <v>29888</v>
      </c>
      <c r="E148" s="62">
        <v>0.16500000000000001</v>
      </c>
      <c r="F148" s="62">
        <v>0.13597240641711228</v>
      </c>
      <c r="G148" s="46">
        <f t="shared" si="1"/>
        <v>2.9027593582887729E-2</v>
      </c>
    </row>
    <row r="149" spans="3:7">
      <c r="C149" s="43"/>
      <c r="D149" s="301">
        <v>29894</v>
      </c>
      <c r="E149" s="62">
        <v>0.15329999999999999</v>
      </c>
      <c r="F149" s="62">
        <v>0.13624941176470587</v>
      </c>
      <c r="G149" s="46">
        <f t="shared" si="1"/>
        <v>1.7050588235294123E-2</v>
      </c>
    </row>
    <row r="150" spans="3:7">
      <c r="C150" s="43"/>
      <c r="D150" s="301">
        <v>29896</v>
      </c>
      <c r="E150" s="62">
        <v>0.1517</v>
      </c>
      <c r="F150" s="62">
        <v>0.13638203208556149</v>
      </c>
      <c r="G150" s="46">
        <f t="shared" si="1"/>
        <v>1.5317967914438513E-2</v>
      </c>
    </row>
    <row r="151" spans="3:7">
      <c r="C151" s="43"/>
      <c r="D151" s="301">
        <v>29902</v>
      </c>
      <c r="E151" s="62">
        <v>0.15</v>
      </c>
      <c r="F151" s="62">
        <v>0.13646652406417109</v>
      </c>
      <c r="G151" s="46">
        <f t="shared" si="1"/>
        <v>1.3533475935828904E-2</v>
      </c>
    </row>
    <row r="152" spans="3:7">
      <c r="C152" s="43"/>
      <c r="D152" s="301">
        <v>29915</v>
      </c>
      <c r="E152" s="62">
        <v>0.1525</v>
      </c>
      <c r="F152" s="62">
        <v>0.13659112299465237</v>
      </c>
      <c r="G152" s="46">
        <f t="shared" si="1"/>
        <v>1.5908877005347627E-2</v>
      </c>
    </row>
    <row r="153" spans="3:7">
      <c r="C153" s="43"/>
      <c r="D153" s="301">
        <v>29915</v>
      </c>
      <c r="E153" s="62">
        <v>0.161</v>
      </c>
      <c r="F153" s="62">
        <v>0.13659112299465237</v>
      </c>
      <c r="G153" s="46">
        <f t="shared" si="1"/>
        <v>2.4408877005347634E-2</v>
      </c>
    </row>
    <row r="154" spans="3:7">
      <c r="C154" s="43"/>
      <c r="D154" s="301">
        <v>29915</v>
      </c>
      <c r="E154" s="62">
        <v>0.161</v>
      </c>
      <c r="F154" s="62">
        <v>0.13659112299465237</v>
      </c>
      <c r="G154" s="46">
        <f t="shared" si="1"/>
        <v>2.4408877005347634E-2</v>
      </c>
    </row>
    <row r="155" spans="3:7">
      <c r="C155" s="43"/>
      <c r="D155" s="301">
        <v>29920</v>
      </c>
      <c r="E155" s="62">
        <v>0.16750000000000001</v>
      </c>
      <c r="F155" s="62">
        <v>0.13656491978609619</v>
      </c>
      <c r="G155" s="46">
        <f t="shared" si="1"/>
        <v>3.0935080213903815E-2</v>
      </c>
    </row>
    <row r="156" spans="3:7">
      <c r="C156" s="43"/>
      <c r="D156" s="301">
        <v>29921</v>
      </c>
      <c r="E156" s="62">
        <v>0.157</v>
      </c>
      <c r="F156" s="62">
        <v>0.13656812834224594</v>
      </c>
      <c r="G156" s="46">
        <f t="shared" si="1"/>
        <v>2.0431871657754064E-2</v>
      </c>
    </row>
    <row r="157" spans="3:7">
      <c r="C157" s="43"/>
      <c r="D157" s="301">
        <v>29921</v>
      </c>
      <c r="E157" s="62">
        <v>0.16</v>
      </c>
      <c r="F157" s="62">
        <v>0.13656812834224594</v>
      </c>
      <c r="G157" s="46">
        <f t="shared" si="1"/>
        <v>2.3431871657754066E-2</v>
      </c>
    </row>
    <row r="158" spans="3:7">
      <c r="C158" s="43"/>
      <c r="D158" s="301">
        <v>29935</v>
      </c>
      <c r="E158" s="62">
        <v>0.15810000000000002</v>
      </c>
      <c r="F158" s="62">
        <v>0.13691144385026732</v>
      </c>
      <c r="G158" s="46">
        <f t="shared" si="1"/>
        <v>2.1188556149732696E-2</v>
      </c>
    </row>
    <row r="159" spans="3:7">
      <c r="C159" s="43"/>
      <c r="D159" s="301">
        <v>29937</v>
      </c>
      <c r="E159" s="62">
        <v>0.14749999999999999</v>
      </c>
      <c r="F159" s="62">
        <v>0.13703764705882346</v>
      </c>
      <c r="G159" s="46">
        <f t="shared" si="1"/>
        <v>1.0462352941176534E-2</v>
      </c>
    </row>
    <row r="160" spans="3:7">
      <c r="C160" s="43"/>
      <c r="D160" s="301">
        <v>29942</v>
      </c>
      <c r="E160" s="62">
        <v>0.157</v>
      </c>
      <c r="F160" s="62">
        <v>0.13717721925133683</v>
      </c>
      <c r="G160" s="46">
        <f t="shared" si="1"/>
        <v>1.9822780748663171E-2</v>
      </c>
    </row>
    <row r="161" spans="3:7">
      <c r="C161" s="43"/>
      <c r="D161" s="301">
        <v>29942</v>
      </c>
      <c r="E161" s="62">
        <v>0.16</v>
      </c>
      <c r="F161" s="62">
        <v>0.13717721925133683</v>
      </c>
      <c r="G161" s="46">
        <f t="shared" si="1"/>
        <v>2.2822780748663174E-2</v>
      </c>
    </row>
    <row r="162" spans="3:7">
      <c r="C162" s="43"/>
      <c r="D162" s="301">
        <v>29950</v>
      </c>
      <c r="E162" s="62">
        <v>0.16</v>
      </c>
      <c r="F162" s="62">
        <v>0.13744459893048125</v>
      </c>
      <c r="G162" s="46">
        <f t="shared" si="1"/>
        <v>2.2555401069518755E-2</v>
      </c>
    </row>
    <row r="163" spans="3:7">
      <c r="C163" s="43"/>
      <c r="D163" s="301">
        <v>29950</v>
      </c>
      <c r="E163" s="62">
        <v>0.16250000000000001</v>
      </c>
      <c r="F163" s="62">
        <v>0.13744459893048125</v>
      </c>
      <c r="G163" s="46">
        <f t="shared" si="1"/>
        <v>2.5055401069518757E-2</v>
      </c>
    </row>
    <row r="164" spans="3:7">
      <c r="C164" s="43"/>
      <c r="D164" s="301">
        <v>29955</v>
      </c>
      <c r="E164" s="62">
        <v>0.155</v>
      </c>
      <c r="F164" s="62">
        <v>0.1374980748663101</v>
      </c>
      <c r="G164" s="46">
        <f t="shared" si="1"/>
        <v>1.7501925133689894E-2</v>
      </c>
    </row>
    <row r="165" spans="3:7">
      <c r="C165" s="43"/>
      <c r="D165" s="301">
        <v>29965</v>
      </c>
      <c r="E165" s="62">
        <v>0.1195</v>
      </c>
      <c r="F165" s="62">
        <v>0.13802160427807489</v>
      </c>
      <c r="G165" s="46">
        <f t="shared" si="1"/>
        <v>-1.8521604278074894E-2</v>
      </c>
    </row>
    <row r="166" spans="3:7">
      <c r="C166" s="43"/>
      <c r="D166" s="301">
        <v>29976</v>
      </c>
      <c r="E166" s="62">
        <v>0.16250000000000001</v>
      </c>
      <c r="F166" s="62">
        <v>0.13841572192513371</v>
      </c>
      <c r="G166" s="46">
        <f t="shared" si="1"/>
        <v>2.4084278074866294E-2</v>
      </c>
    </row>
    <row r="167" spans="3:7">
      <c r="C167" s="43"/>
      <c r="D167" s="301">
        <v>29978</v>
      </c>
      <c r="E167" s="62">
        <v>0.16839999999999999</v>
      </c>
      <c r="F167" s="62">
        <v>0.13850288770053479</v>
      </c>
      <c r="G167" s="46">
        <f t="shared" si="1"/>
        <v>2.9897112299465206E-2</v>
      </c>
    </row>
    <row r="168" spans="3:7">
      <c r="C168" s="43"/>
      <c r="D168" s="301">
        <v>29982</v>
      </c>
      <c r="E168" s="62">
        <v>0.14000000000000001</v>
      </c>
      <c r="F168" s="62">
        <v>0.13855636363636364</v>
      </c>
      <c r="G168" s="46">
        <f t="shared" si="1"/>
        <v>1.4436363636363692E-3</v>
      </c>
    </row>
    <row r="169" spans="3:7">
      <c r="C169" s="43"/>
      <c r="D169" s="301">
        <v>29984</v>
      </c>
      <c r="E169" s="62">
        <v>0.16239999999999999</v>
      </c>
      <c r="F169" s="62">
        <v>0.13862855614973263</v>
      </c>
      <c r="G169" s="46">
        <f t="shared" si="1"/>
        <v>2.377144385026736E-2</v>
      </c>
    </row>
    <row r="170" spans="3:7">
      <c r="C170" s="43"/>
      <c r="D170" s="301">
        <v>29990</v>
      </c>
      <c r="E170" s="62">
        <v>0.155</v>
      </c>
      <c r="F170" s="62">
        <v>0.13874727272727275</v>
      </c>
      <c r="G170" s="46">
        <f t="shared" si="1"/>
        <v>1.6252727272727252E-2</v>
      </c>
    </row>
    <row r="171" spans="3:7">
      <c r="C171" s="43"/>
      <c r="D171" s="301">
        <v>29991</v>
      </c>
      <c r="E171" s="62">
        <v>0.14949999999999999</v>
      </c>
      <c r="F171" s="62">
        <v>0.13880288770053478</v>
      </c>
      <c r="G171" s="46">
        <f t="shared" si="1"/>
        <v>1.0697112299465211E-2</v>
      </c>
    </row>
    <row r="172" spans="3:7">
      <c r="C172" s="43"/>
      <c r="D172" s="301">
        <v>29991</v>
      </c>
      <c r="E172" s="62">
        <v>0.1575</v>
      </c>
      <c r="F172" s="62">
        <v>0.13880288770053478</v>
      </c>
      <c r="G172" s="46">
        <f t="shared" si="1"/>
        <v>1.8697112299465218E-2</v>
      </c>
    </row>
    <row r="173" spans="3:7">
      <c r="C173" s="43"/>
      <c r="D173" s="301">
        <v>29993</v>
      </c>
      <c r="E173" s="62">
        <v>0.16</v>
      </c>
      <c r="F173" s="62">
        <v>0.13887454545454547</v>
      </c>
      <c r="G173" s="46">
        <f t="shared" si="1"/>
        <v>2.1125454545454531E-2</v>
      </c>
    </row>
    <row r="174" spans="3:7">
      <c r="C174" s="43"/>
      <c r="D174" s="301">
        <v>30011</v>
      </c>
      <c r="E174" s="62">
        <v>0.15960000000000002</v>
      </c>
      <c r="F174" s="62">
        <v>0.13909326203208561</v>
      </c>
      <c r="G174" s="46">
        <f t="shared" si="1"/>
        <v>2.0506737967914412E-2</v>
      </c>
    </row>
    <row r="175" spans="3:7">
      <c r="C175" s="43"/>
      <c r="D175" s="301">
        <v>30013</v>
      </c>
      <c r="E175" s="62">
        <v>0.15</v>
      </c>
      <c r="F175" s="62">
        <v>0.13912909090909095</v>
      </c>
      <c r="G175" s="46">
        <f t="shared" si="1"/>
        <v>1.0870909090909042E-2</v>
      </c>
    </row>
    <row r="176" spans="3:7">
      <c r="C176" s="43"/>
      <c r="D176" s="301">
        <v>30018</v>
      </c>
      <c r="E176" s="62">
        <v>0.17100000000000001</v>
      </c>
      <c r="F176" s="62">
        <v>0.13917828877005353</v>
      </c>
      <c r="G176" s="46">
        <f t="shared" si="1"/>
        <v>3.1821711229946481E-2</v>
      </c>
    </row>
    <row r="177" spans="3:7">
      <c r="C177" s="43"/>
      <c r="D177" s="301">
        <v>30036</v>
      </c>
      <c r="E177" s="62">
        <v>0.16</v>
      </c>
      <c r="F177" s="62">
        <v>0.13967347593582893</v>
      </c>
      <c r="G177" s="46">
        <f t="shared" ref="G177:G240" si="2">E177-F177</f>
        <v>2.032652406417107E-2</v>
      </c>
    </row>
    <row r="178" spans="3:7">
      <c r="C178" s="43"/>
      <c r="D178" s="301">
        <v>30041</v>
      </c>
      <c r="E178" s="62">
        <v>0.16250000000000001</v>
      </c>
      <c r="F178" s="62">
        <v>0.13977508021390384</v>
      </c>
      <c r="G178" s="46">
        <f t="shared" si="2"/>
        <v>2.272491978609617E-2</v>
      </c>
    </row>
    <row r="179" spans="3:7">
      <c r="C179" s="43"/>
      <c r="D179" s="301">
        <v>30042</v>
      </c>
      <c r="E179" s="62">
        <v>0.16500000000000001</v>
      </c>
      <c r="F179" s="62">
        <v>0.13980128342245998</v>
      </c>
      <c r="G179" s="46">
        <f t="shared" si="2"/>
        <v>2.5198716577540026E-2</v>
      </c>
    </row>
    <row r="180" spans="3:7">
      <c r="C180" s="43"/>
      <c r="D180" s="301">
        <v>30047</v>
      </c>
      <c r="E180" s="62">
        <v>0.15</v>
      </c>
      <c r="F180" s="62">
        <v>0.13985155080213912</v>
      </c>
      <c r="G180" s="46">
        <f t="shared" si="2"/>
        <v>1.014844919786087E-2</v>
      </c>
    </row>
    <row r="181" spans="3:7">
      <c r="C181" s="43"/>
      <c r="D181" s="301">
        <v>30050</v>
      </c>
      <c r="E181" s="62">
        <v>0.16500000000000001</v>
      </c>
      <c r="F181" s="62">
        <v>0.13988256684491987</v>
      </c>
      <c r="G181" s="46">
        <f t="shared" si="2"/>
        <v>2.5117433155080138E-2</v>
      </c>
    </row>
    <row r="182" spans="3:7">
      <c r="C182" s="43"/>
      <c r="D182" s="301">
        <v>30053</v>
      </c>
      <c r="E182" s="62">
        <v>0.151</v>
      </c>
      <c r="F182" s="62">
        <v>0.13987561497326212</v>
      </c>
      <c r="G182" s="46">
        <f t="shared" si="2"/>
        <v>1.1124385026737876E-2</v>
      </c>
    </row>
    <row r="183" spans="3:7">
      <c r="C183" s="43"/>
      <c r="D183" s="301">
        <v>30053</v>
      </c>
      <c r="E183" s="62">
        <v>0.16699999999999998</v>
      </c>
      <c r="F183" s="62">
        <v>0.13987561497326212</v>
      </c>
      <c r="G183" s="46">
        <f t="shared" si="2"/>
        <v>2.7124385026737863E-2</v>
      </c>
    </row>
    <row r="184" spans="3:7">
      <c r="C184" s="43"/>
      <c r="D184" s="301">
        <v>30059</v>
      </c>
      <c r="E184" s="62">
        <v>0.14699999999999999</v>
      </c>
      <c r="F184" s="62">
        <v>0.13985957219251341</v>
      </c>
      <c r="G184" s="46">
        <f t="shared" si="2"/>
        <v>7.1404278074865823E-3</v>
      </c>
    </row>
    <row r="185" spans="3:7">
      <c r="C185" s="43"/>
      <c r="D185" s="301">
        <v>30068</v>
      </c>
      <c r="E185" s="62">
        <v>0.15</v>
      </c>
      <c r="F185" s="62">
        <v>0.1396836363636364</v>
      </c>
      <c r="G185" s="46">
        <f t="shared" si="2"/>
        <v>1.0316363636363596E-2</v>
      </c>
    </row>
    <row r="186" spans="3:7">
      <c r="C186" s="43"/>
      <c r="D186" s="301">
        <v>30081</v>
      </c>
      <c r="E186" s="62">
        <v>0.1457</v>
      </c>
      <c r="F186" s="62">
        <v>0.13936117647058827</v>
      </c>
      <c r="G186" s="46">
        <f t="shared" si="2"/>
        <v>6.3388235294117301E-3</v>
      </c>
    </row>
    <row r="187" spans="3:7">
      <c r="C187" s="43"/>
      <c r="D187" s="301">
        <v>30085</v>
      </c>
      <c r="E187" s="62">
        <v>0.158</v>
      </c>
      <c r="F187" s="62">
        <v>0.1392066310160428</v>
      </c>
      <c r="G187" s="46">
        <f t="shared" si="2"/>
        <v>1.8793368983957198E-2</v>
      </c>
    </row>
    <row r="188" spans="3:7">
      <c r="C188" s="43"/>
      <c r="D188" s="301">
        <v>30091</v>
      </c>
      <c r="E188" s="62">
        <v>0.15820000000000001</v>
      </c>
      <c r="F188" s="62">
        <v>0.13907133689839574</v>
      </c>
      <c r="G188" s="46">
        <f t="shared" si="2"/>
        <v>1.9128663101604271E-2</v>
      </c>
    </row>
    <row r="189" spans="3:7">
      <c r="C189" s="43"/>
      <c r="D189" s="301">
        <v>30092</v>
      </c>
      <c r="E189" s="62">
        <v>0.155</v>
      </c>
      <c r="F189" s="62">
        <v>0.1390296256684492</v>
      </c>
      <c r="G189" s="46">
        <f t="shared" si="2"/>
        <v>1.5970374331550796E-2</v>
      </c>
    </row>
    <row r="190" spans="3:7">
      <c r="C190" s="43"/>
      <c r="D190" s="301">
        <v>30096</v>
      </c>
      <c r="E190" s="62">
        <v>0.16250000000000001</v>
      </c>
      <c r="F190" s="62">
        <v>0.13895796791443851</v>
      </c>
      <c r="G190" s="46">
        <f t="shared" si="2"/>
        <v>2.3542032085561493E-2</v>
      </c>
    </row>
    <row r="191" spans="3:7">
      <c r="C191" s="43"/>
      <c r="D191" s="301">
        <v>30104</v>
      </c>
      <c r="E191" s="62">
        <v>0.14499999999999999</v>
      </c>
      <c r="F191" s="62">
        <v>0.13867935828877007</v>
      </c>
      <c r="G191" s="46">
        <f t="shared" si="2"/>
        <v>6.320641711229924E-3</v>
      </c>
    </row>
    <row r="192" spans="3:7">
      <c r="C192" s="43"/>
      <c r="D192" s="301">
        <v>30109</v>
      </c>
      <c r="E192" s="62">
        <v>0.16</v>
      </c>
      <c r="F192" s="62">
        <v>0.13852481283422463</v>
      </c>
      <c r="G192" s="46">
        <f t="shared" si="2"/>
        <v>2.1475187165775372E-2</v>
      </c>
    </row>
    <row r="193" spans="3:7">
      <c r="C193" s="43"/>
      <c r="D193" s="301">
        <v>30125</v>
      </c>
      <c r="E193" s="62">
        <v>0.155</v>
      </c>
      <c r="F193" s="62">
        <v>0.1381093048128342</v>
      </c>
      <c r="G193" s="46">
        <f t="shared" si="2"/>
        <v>1.6890695187165794E-2</v>
      </c>
    </row>
    <row r="194" spans="3:7">
      <c r="C194" s="43"/>
      <c r="D194" s="301">
        <v>30127</v>
      </c>
      <c r="E194" s="62">
        <v>0.16500000000000001</v>
      </c>
      <c r="F194" s="62">
        <v>0.13811037433155079</v>
      </c>
      <c r="G194" s="46">
        <f t="shared" si="2"/>
        <v>2.6889625668449213E-2</v>
      </c>
    </row>
    <row r="195" spans="3:7">
      <c r="C195" s="43"/>
      <c r="D195" s="301">
        <v>30133</v>
      </c>
      <c r="E195" s="62">
        <v>0.1555</v>
      </c>
      <c r="F195" s="62">
        <v>0.13793497326203205</v>
      </c>
      <c r="G195" s="46">
        <f t="shared" si="2"/>
        <v>1.7565026737967948E-2</v>
      </c>
    </row>
    <row r="196" spans="3:7">
      <c r="C196" s="43"/>
      <c r="D196" s="301">
        <v>30133</v>
      </c>
      <c r="E196" s="62">
        <v>0.16</v>
      </c>
      <c r="F196" s="62">
        <v>0.13793497326203205</v>
      </c>
      <c r="G196" s="46">
        <f t="shared" si="2"/>
        <v>2.2065026737967952E-2</v>
      </c>
    </row>
    <row r="197" spans="3:7">
      <c r="C197" s="43"/>
      <c r="D197" s="301">
        <v>30134</v>
      </c>
      <c r="E197" s="62">
        <v>0.151</v>
      </c>
      <c r="F197" s="62">
        <v>0.13787240641711226</v>
      </c>
      <c r="G197" s="46">
        <f t="shared" si="2"/>
        <v>1.3127593582887731E-2</v>
      </c>
    </row>
    <row r="198" spans="3:7">
      <c r="C198" s="43"/>
      <c r="D198" s="301">
        <v>30145</v>
      </c>
      <c r="E198" s="62">
        <v>0.16800000000000001</v>
      </c>
      <c r="F198" s="62">
        <v>0.13751679144385023</v>
      </c>
      <c r="G198" s="46">
        <f t="shared" si="2"/>
        <v>3.0483208556149777E-2</v>
      </c>
    </row>
    <row r="199" spans="3:7">
      <c r="C199" s="43"/>
      <c r="D199" s="301">
        <v>30154</v>
      </c>
      <c r="E199" s="62">
        <v>0.14499999999999999</v>
      </c>
      <c r="F199" s="62">
        <v>0.1371253475935828</v>
      </c>
      <c r="G199" s="46">
        <f t="shared" si="2"/>
        <v>7.8746524064171874E-3</v>
      </c>
    </row>
    <row r="200" spans="3:7">
      <c r="C200" s="43"/>
      <c r="D200" s="301">
        <v>30160</v>
      </c>
      <c r="E200" s="62">
        <v>0.161</v>
      </c>
      <c r="F200" s="62">
        <v>0.13682962566844914</v>
      </c>
      <c r="G200" s="46">
        <f t="shared" si="2"/>
        <v>2.4170374331550865E-2</v>
      </c>
    </row>
    <row r="201" spans="3:7">
      <c r="C201" s="43"/>
      <c r="D201" s="301">
        <v>30162</v>
      </c>
      <c r="E201" s="62">
        <v>0.1482</v>
      </c>
      <c r="F201" s="62">
        <v>0.13664941176470582</v>
      </c>
      <c r="G201" s="46">
        <f t="shared" si="2"/>
        <v>1.1550588235294174E-2</v>
      </c>
    </row>
    <row r="202" spans="3:7">
      <c r="C202" s="43"/>
      <c r="D202" s="301">
        <v>30167</v>
      </c>
      <c r="E202" s="62">
        <v>0.15579999999999999</v>
      </c>
      <c r="F202" s="62">
        <v>0.13641732620320857</v>
      </c>
      <c r="G202" s="46">
        <f t="shared" si="2"/>
        <v>1.9382673796791428E-2</v>
      </c>
    </row>
    <row r="203" spans="3:7">
      <c r="C203" s="43"/>
      <c r="D203" s="301">
        <v>30169</v>
      </c>
      <c r="E203" s="62">
        <v>0.16500000000000001</v>
      </c>
      <c r="F203" s="62">
        <v>0.13632802139037428</v>
      </c>
      <c r="G203" s="46">
        <f t="shared" si="2"/>
        <v>2.8671978609625726E-2</v>
      </c>
    </row>
    <row r="204" spans="3:7">
      <c r="C204" s="43"/>
      <c r="D204" s="301">
        <v>30174</v>
      </c>
      <c r="E204" s="62">
        <v>0.1711</v>
      </c>
      <c r="F204" s="62">
        <v>0.13624085561497323</v>
      </c>
      <c r="G204" s="46">
        <f t="shared" si="2"/>
        <v>3.4859144385026769E-2</v>
      </c>
    </row>
    <row r="205" spans="3:7">
      <c r="C205" s="43"/>
      <c r="D205" s="301">
        <v>30188</v>
      </c>
      <c r="E205" s="62">
        <v>0.16</v>
      </c>
      <c r="F205" s="62">
        <v>0.13586866310160425</v>
      </c>
      <c r="G205" s="46">
        <f t="shared" si="2"/>
        <v>2.413133689839575E-2</v>
      </c>
    </row>
    <row r="206" spans="3:7">
      <c r="C206" s="43"/>
      <c r="D206" s="301">
        <v>30193</v>
      </c>
      <c r="E206" s="62">
        <v>0.16250000000000001</v>
      </c>
      <c r="F206" s="62">
        <v>0.13580930481283421</v>
      </c>
      <c r="G206" s="46">
        <f t="shared" si="2"/>
        <v>2.6690695187165797E-2</v>
      </c>
    </row>
    <row r="207" spans="3:7">
      <c r="C207" s="43"/>
      <c r="D207" s="301">
        <v>30197</v>
      </c>
      <c r="E207" s="62">
        <v>0.155</v>
      </c>
      <c r="F207" s="62">
        <v>0.135651550802139</v>
      </c>
      <c r="G207" s="46">
        <f t="shared" si="2"/>
        <v>1.9348449197860995E-2</v>
      </c>
    </row>
    <row r="208" spans="3:7">
      <c r="C208" s="43"/>
      <c r="D208" s="301">
        <v>30203</v>
      </c>
      <c r="E208" s="62">
        <v>0.16039999999999999</v>
      </c>
      <c r="F208" s="62">
        <v>0.13547401069518714</v>
      </c>
      <c r="G208" s="46">
        <f t="shared" si="2"/>
        <v>2.4925989304812851E-2</v>
      </c>
    </row>
    <row r="209" spans="3:7">
      <c r="C209" s="43"/>
      <c r="D209" s="301">
        <v>30209</v>
      </c>
      <c r="E209" s="62">
        <v>0.16039999999999999</v>
      </c>
      <c r="F209" s="62">
        <v>0.13522748663101603</v>
      </c>
      <c r="G209" s="46">
        <f t="shared" si="2"/>
        <v>2.5172513368983962E-2</v>
      </c>
    </row>
    <row r="210" spans="3:7">
      <c r="C210" s="43"/>
      <c r="D210" s="301">
        <v>30211</v>
      </c>
      <c r="E210" s="62">
        <v>0.1525</v>
      </c>
      <c r="F210" s="62">
        <v>0.13509379679144384</v>
      </c>
      <c r="G210" s="46">
        <f t="shared" si="2"/>
        <v>1.7406203208556154E-2</v>
      </c>
    </row>
    <row r="211" spans="3:7">
      <c r="C211" s="43"/>
      <c r="D211" s="301">
        <v>30223</v>
      </c>
      <c r="E211" s="62">
        <v>0.14499999999999999</v>
      </c>
      <c r="F211" s="62">
        <v>0.13429807486631018</v>
      </c>
      <c r="G211" s="46">
        <f t="shared" si="2"/>
        <v>1.070192513368981E-2</v>
      </c>
    </row>
    <row r="212" spans="3:7">
      <c r="C212" s="43"/>
      <c r="D212" s="301">
        <v>30224</v>
      </c>
      <c r="E212" s="62">
        <v>0.1474</v>
      </c>
      <c r="F212" s="62">
        <v>0.13419860962566846</v>
      </c>
      <c r="G212" s="46">
        <f t="shared" si="2"/>
        <v>1.3201390374331545E-2</v>
      </c>
    </row>
    <row r="213" spans="3:7">
      <c r="C213" s="43"/>
      <c r="D213" s="301">
        <v>30224</v>
      </c>
      <c r="E213" s="62">
        <v>0.155</v>
      </c>
      <c r="F213" s="62">
        <v>0.13419860962566846</v>
      </c>
      <c r="G213" s="46">
        <f t="shared" si="2"/>
        <v>2.0801390374331541E-2</v>
      </c>
    </row>
    <row r="214" spans="3:7">
      <c r="C214" s="43"/>
      <c r="D214" s="301">
        <v>30224</v>
      </c>
      <c r="E214" s="62">
        <v>0.16500000000000001</v>
      </c>
      <c r="F214" s="62">
        <v>0.13419860962566846</v>
      </c>
      <c r="G214" s="46">
        <f t="shared" si="2"/>
        <v>3.080139037433155E-2</v>
      </c>
    </row>
    <row r="215" spans="3:7">
      <c r="C215" s="43"/>
      <c r="D215" s="301">
        <v>30224</v>
      </c>
      <c r="E215" s="62">
        <v>0.16699999999999998</v>
      </c>
      <c r="F215" s="62">
        <v>0.13419860962566846</v>
      </c>
      <c r="G215" s="46">
        <f t="shared" si="2"/>
        <v>3.2801390374331524E-2</v>
      </c>
    </row>
    <row r="216" spans="3:7">
      <c r="C216" s="43"/>
      <c r="D216" s="301">
        <v>30225</v>
      </c>
      <c r="E216" s="62">
        <v>0.16500000000000001</v>
      </c>
      <c r="F216" s="62">
        <v>0.13406545454545454</v>
      </c>
      <c r="G216" s="46">
        <f t="shared" si="2"/>
        <v>3.0934545454545465E-2</v>
      </c>
    </row>
    <row r="217" spans="3:7">
      <c r="C217" s="43"/>
      <c r="D217" s="301">
        <v>30232</v>
      </c>
      <c r="E217" s="62">
        <v>0.15</v>
      </c>
      <c r="F217" s="62">
        <v>0.13333711229946527</v>
      </c>
      <c r="G217" s="46">
        <f t="shared" si="2"/>
        <v>1.6662887700534729E-2</v>
      </c>
    </row>
    <row r="218" spans="3:7">
      <c r="C218" s="43"/>
      <c r="D218" s="301">
        <v>30239</v>
      </c>
      <c r="E218" s="62">
        <v>0.159</v>
      </c>
      <c r="F218" s="62">
        <v>0.1325900534759358</v>
      </c>
      <c r="G218" s="46">
        <f t="shared" si="2"/>
        <v>2.6409946524064198E-2</v>
      </c>
    </row>
    <row r="219" spans="3:7">
      <c r="C219" s="43"/>
      <c r="D219" s="301">
        <v>30243</v>
      </c>
      <c r="E219" s="62">
        <v>0.159</v>
      </c>
      <c r="F219" s="62">
        <v>0.1322205347593583</v>
      </c>
      <c r="G219" s="46">
        <f t="shared" si="2"/>
        <v>2.6779465240641703E-2</v>
      </c>
    </row>
    <row r="220" spans="3:7">
      <c r="C220" s="43"/>
      <c r="D220" s="301">
        <v>30251</v>
      </c>
      <c r="E220" s="62">
        <v>0.17</v>
      </c>
      <c r="F220" s="62">
        <v>0.13123229946524068</v>
      </c>
      <c r="G220" s="46">
        <f t="shared" si="2"/>
        <v>3.8767700534759336E-2</v>
      </c>
    </row>
    <row r="221" spans="3:7">
      <c r="C221" s="43"/>
      <c r="D221" s="301">
        <v>30252</v>
      </c>
      <c r="E221" s="62">
        <v>0.14749999999999999</v>
      </c>
      <c r="F221" s="62">
        <v>0.13108310160427813</v>
      </c>
      <c r="G221" s="46">
        <f t="shared" si="2"/>
        <v>1.6416898395721857E-2</v>
      </c>
    </row>
    <row r="222" spans="3:7">
      <c r="C222" s="43"/>
      <c r="D222" s="301">
        <v>30257</v>
      </c>
      <c r="E222" s="62">
        <v>0.16250000000000001</v>
      </c>
      <c r="F222" s="62">
        <v>0.13072267379679148</v>
      </c>
      <c r="G222" s="46">
        <f t="shared" si="2"/>
        <v>3.1777326203208528E-2</v>
      </c>
    </row>
    <row r="223" spans="3:7">
      <c r="C223" s="43"/>
      <c r="D223" s="301">
        <v>30259</v>
      </c>
      <c r="E223" s="62">
        <v>0.1575</v>
      </c>
      <c r="F223" s="62">
        <v>0.13031786096256689</v>
      </c>
      <c r="G223" s="46">
        <f t="shared" si="2"/>
        <v>2.7182139037433106E-2</v>
      </c>
    </row>
    <row r="224" spans="3:7">
      <c r="C224" s="43"/>
      <c r="D224" s="301">
        <v>30260</v>
      </c>
      <c r="E224" s="62">
        <v>0.14730000000000001</v>
      </c>
      <c r="F224" s="62">
        <v>0.130112513368984</v>
      </c>
      <c r="G224" s="46">
        <f t="shared" si="2"/>
        <v>1.7187486631016019E-2</v>
      </c>
    </row>
    <row r="225" spans="3:7">
      <c r="C225" s="43"/>
      <c r="D225" s="301">
        <v>30272</v>
      </c>
      <c r="E225" s="62">
        <v>0.16</v>
      </c>
      <c r="F225" s="62">
        <v>0.12862053475935831</v>
      </c>
      <c r="G225" s="46">
        <f t="shared" si="2"/>
        <v>3.1379465240641696E-2</v>
      </c>
    </row>
    <row r="226" spans="3:7">
      <c r="C226" s="43"/>
      <c r="D226" s="301">
        <v>30278</v>
      </c>
      <c r="E226" s="62">
        <v>0.155</v>
      </c>
      <c r="F226" s="62">
        <v>0.12790128342245993</v>
      </c>
      <c r="G226" s="46">
        <f t="shared" si="2"/>
        <v>2.7098716577540066E-2</v>
      </c>
    </row>
    <row r="227" spans="3:7">
      <c r="C227" s="43"/>
      <c r="D227" s="301">
        <v>30279</v>
      </c>
      <c r="E227" s="62">
        <v>0.14499999999999999</v>
      </c>
      <c r="F227" s="62">
        <v>0.12773016042780752</v>
      </c>
      <c r="G227" s="46">
        <f t="shared" si="2"/>
        <v>1.7269839572192469E-2</v>
      </c>
    </row>
    <row r="228" spans="3:7">
      <c r="C228" s="43"/>
      <c r="D228" s="301">
        <v>30279</v>
      </c>
      <c r="E228" s="62">
        <v>0.16020000000000001</v>
      </c>
      <c r="F228" s="62">
        <v>0.12773016042780752</v>
      </c>
      <c r="G228" s="46">
        <f t="shared" si="2"/>
        <v>3.2469839572192488E-2</v>
      </c>
    </row>
    <row r="229" spans="3:7">
      <c r="C229" s="43"/>
      <c r="D229" s="301">
        <v>30285</v>
      </c>
      <c r="E229" s="62">
        <v>0.1298</v>
      </c>
      <c r="F229" s="62">
        <v>0.12724834224598935</v>
      </c>
      <c r="G229" s="46">
        <f t="shared" si="2"/>
        <v>2.5516577540106444E-3</v>
      </c>
    </row>
    <row r="230" spans="3:7">
      <c r="C230" s="43"/>
      <c r="D230" s="301">
        <v>30285</v>
      </c>
      <c r="E230" s="62">
        <v>0.155</v>
      </c>
      <c r="F230" s="62">
        <v>0.12724834224598935</v>
      </c>
      <c r="G230" s="46">
        <f t="shared" si="2"/>
        <v>2.7751657754010645E-2</v>
      </c>
    </row>
    <row r="231" spans="3:7">
      <c r="C231" s="43"/>
      <c r="D231" s="301">
        <v>30285</v>
      </c>
      <c r="E231" s="62">
        <v>0.155</v>
      </c>
      <c r="F231" s="62">
        <v>0.12724834224598935</v>
      </c>
      <c r="G231" s="46">
        <f t="shared" si="2"/>
        <v>2.7751657754010645E-2</v>
      </c>
    </row>
    <row r="232" spans="3:7">
      <c r="C232" s="43"/>
      <c r="D232" s="301">
        <v>30285</v>
      </c>
      <c r="E232" s="62">
        <v>0.1565</v>
      </c>
      <c r="F232" s="62">
        <v>0.12724834224598935</v>
      </c>
      <c r="G232" s="46">
        <f t="shared" si="2"/>
        <v>2.9251657754010646E-2</v>
      </c>
    </row>
    <row r="233" spans="3:7">
      <c r="C233" s="43"/>
      <c r="D233" s="301">
        <v>30285</v>
      </c>
      <c r="E233" s="62">
        <v>0.16</v>
      </c>
      <c r="F233" s="62">
        <v>0.12724834224598935</v>
      </c>
      <c r="G233" s="46">
        <f t="shared" si="2"/>
        <v>3.2751657754010649E-2</v>
      </c>
    </row>
    <row r="234" spans="3:7">
      <c r="C234" s="43"/>
      <c r="D234" s="301">
        <v>30285</v>
      </c>
      <c r="E234" s="62">
        <v>0.161</v>
      </c>
      <c r="F234" s="62">
        <v>0.12724834224598935</v>
      </c>
      <c r="G234" s="46">
        <f t="shared" si="2"/>
        <v>3.375165775401065E-2</v>
      </c>
    </row>
    <row r="235" spans="3:7">
      <c r="C235" s="43"/>
      <c r="D235" s="301">
        <v>30288</v>
      </c>
      <c r="E235" s="62">
        <v>0.15329999999999999</v>
      </c>
      <c r="F235" s="62">
        <v>0.1268028877005348</v>
      </c>
      <c r="G235" s="46">
        <f t="shared" si="2"/>
        <v>2.6497112299465192E-2</v>
      </c>
    </row>
    <row r="236" spans="3:7">
      <c r="C236" s="43"/>
      <c r="D236" s="301">
        <v>30293</v>
      </c>
      <c r="E236" s="62">
        <v>0.1575</v>
      </c>
      <c r="F236" s="62">
        <v>0.12632053475935831</v>
      </c>
      <c r="G236" s="46">
        <f t="shared" si="2"/>
        <v>3.1179465240641691E-2</v>
      </c>
    </row>
    <row r="237" spans="3:7">
      <c r="C237" s="43"/>
      <c r="D237" s="301">
        <v>30298</v>
      </c>
      <c r="E237" s="62">
        <v>0.16</v>
      </c>
      <c r="F237" s="62">
        <v>0.12583176470588239</v>
      </c>
      <c r="G237" s="46">
        <f t="shared" si="2"/>
        <v>3.416823529411761E-2</v>
      </c>
    </row>
    <row r="238" spans="3:7">
      <c r="C238" s="43"/>
      <c r="D238" s="301">
        <v>30299</v>
      </c>
      <c r="E238" s="62">
        <v>0.16399999999999998</v>
      </c>
      <c r="F238" s="62">
        <v>0.12566652406417114</v>
      </c>
      <c r="G238" s="46">
        <f t="shared" si="2"/>
        <v>3.8333475935828837E-2</v>
      </c>
    </row>
    <row r="239" spans="3:7">
      <c r="C239" s="43"/>
      <c r="D239" s="301">
        <v>30302</v>
      </c>
      <c r="E239" s="62">
        <v>0.16250000000000001</v>
      </c>
      <c r="F239" s="62">
        <v>0.12520181818181819</v>
      </c>
      <c r="G239" s="46">
        <f t="shared" si="2"/>
        <v>3.7298181818181814E-2</v>
      </c>
    </row>
    <row r="240" spans="3:7">
      <c r="C240" s="43"/>
      <c r="D240" s="301">
        <v>30305</v>
      </c>
      <c r="E240" s="62">
        <v>0.15</v>
      </c>
      <c r="F240" s="62">
        <v>0.12506278074866312</v>
      </c>
      <c r="G240" s="46">
        <f t="shared" si="2"/>
        <v>2.4937219251336878E-2</v>
      </c>
    </row>
    <row r="241" spans="3:7">
      <c r="C241" s="43"/>
      <c r="D241" s="301">
        <v>30306</v>
      </c>
      <c r="E241" s="62">
        <v>0.157</v>
      </c>
      <c r="F241" s="62">
        <v>0.12491144385026741</v>
      </c>
      <c r="G241" s="46">
        <f t="shared" ref="G241:G304" si="3">E241-F241</f>
        <v>3.2088556149732592E-2</v>
      </c>
    </row>
    <row r="242" spans="3:7">
      <c r="C242" s="43"/>
      <c r="D242" s="301">
        <v>30313</v>
      </c>
      <c r="E242" s="62">
        <v>0.1525</v>
      </c>
      <c r="F242" s="62">
        <v>0.12424192513368983</v>
      </c>
      <c r="G242" s="46">
        <f t="shared" si="3"/>
        <v>2.8258074866310171E-2</v>
      </c>
    </row>
    <row r="243" spans="3:7">
      <c r="C243" s="43"/>
      <c r="D243" s="301">
        <v>30313</v>
      </c>
      <c r="E243" s="62">
        <v>0.1525</v>
      </c>
      <c r="F243" s="62">
        <v>0.12424192513368983</v>
      </c>
      <c r="G243" s="46">
        <f t="shared" si="3"/>
        <v>2.8258074866310171E-2</v>
      </c>
    </row>
    <row r="244" spans="3:7">
      <c r="C244" s="43"/>
      <c r="D244" s="301">
        <v>30314</v>
      </c>
      <c r="E244" s="62">
        <v>0.16250000000000001</v>
      </c>
      <c r="F244" s="62">
        <v>0.12406438502673792</v>
      </c>
      <c r="G244" s="46">
        <f t="shared" si="3"/>
        <v>3.8435614973262089E-2</v>
      </c>
    </row>
    <row r="245" spans="3:7">
      <c r="C245" s="43"/>
      <c r="D245" s="301">
        <v>30314</v>
      </c>
      <c r="E245" s="62">
        <v>0.16250000000000001</v>
      </c>
      <c r="F245" s="62">
        <v>0.12406438502673792</v>
      </c>
      <c r="G245" s="46">
        <f t="shared" si="3"/>
        <v>3.8435614973262089E-2</v>
      </c>
    </row>
    <row r="246" spans="3:7">
      <c r="C246" s="43"/>
      <c r="D246" s="301">
        <v>30327</v>
      </c>
      <c r="E246" s="62">
        <v>0.159</v>
      </c>
      <c r="F246" s="62">
        <v>0.12256919786096253</v>
      </c>
      <c r="G246" s="46">
        <f t="shared" si="3"/>
        <v>3.6430802139037474E-2</v>
      </c>
    </row>
    <row r="247" spans="3:7">
      <c r="C247" s="43"/>
      <c r="D247" s="301">
        <v>30328</v>
      </c>
      <c r="E247" s="62">
        <v>0.155</v>
      </c>
      <c r="F247" s="62">
        <v>0.12241090909090906</v>
      </c>
      <c r="G247" s="46">
        <f t="shared" si="3"/>
        <v>3.2589090909090943E-2</v>
      </c>
    </row>
    <row r="248" spans="3:7">
      <c r="C248" s="43"/>
      <c r="D248" s="301">
        <v>30334</v>
      </c>
      <c r="E248" s="62">
        <v>0.15</v>
      </c>
      <c r="F248" s="62">
        <v>0.12183176470588228</v>
      </c>
      <c r="G248" s="46">
        <f t="shared" si="3"/>
        <v>2.8168235294117716E-2</v>
      </c>
    </row>
    <row r="249" spans="3:7">
      <c r="C249" s="43"/>
      <c r="D249" s="301">
        <v>30340</v>
      </c>
      <c r="E249" s="62">
        <v>0.155</v>
      </c>
      <c r="F249" s="62">
        <v>0.12130983957219242</v>
      </c>
      <c r="G249" s="46">
        <f t="shared" si="3"/>
        <v>3.3690160427807578E-2</v>
      </c>
    </row>
    <row r="250" spans="3:7">
      <c r="C250" s="43"/>
      <c r="D250" s="301">
        <v>30340</v>
      </c>
      <c r="E250" s="62">
        <v>0.16</v>
      </c>
      <c r="F250" s="62">
        <v>0.12130983957219242</v>
      </c>
      <c r="G250" s="46">
        <f t="shared" si="3"/>
        <v>3.8690160427807582E-2</v>
      </c>
    </row>
    <row r="251" spans="3:7">
      <c r="C251" s="43"/>
      <c r="D251" s="301">
        <v>30344</v>
      </c>
      <c r="E251" s="62">
        <v>0.14899999999999999</v>
      </c>
      <c r="F251" s="62">
        <v>0.12078898395721918</v>
      </c>
      <c r="G251" s="46">
        <f t="shared" si="3"/>
        <v>2.8211016042780812E-2</v>
      </c>
    </row>
    <row r="252" spans="3:7">
      <c r="C252" s="43"/>
      <c r="D252" s="301">
        <v>30347</v>
      </c>
      <c r="E252" s="62">
        <v>0.15</v>
      </c>
      <c r="F252" s="62">
        <v>0.12065743315508014</v>
      </c>
      <c r="G252" s="46">
        <f t="shared" si="3"/>
        <v>2.9342566844919857E-2</v>
      </c>
    </row>
    <row r="253" spans="3:7">
      <c r="C253" s="43"/>
      <c r="D253" s="301">
        <v>30357</v>
      </c>
      <c r="E253" s="62">
        <v>0.15</v>
      </c>
      <c r="F253" s="62">
        <v>0.1197365775401069</v>
      </c>
      <c r="G253" s="46">
        <f t="shared" si="3"/>
        <v>3.0263422459893094E-2</v>
      </c>
    </row>
    <row r="254" spans="3:7">
      <c r="C254" s="43"/>
      <c r="D254" s="301">
        <v>30372</v>
      </c>
      <c r="E254" s="62">
        <v>0.157</v>
      </c>
      <c r="F254" s="62">
        <v>0.11840663101604271</v>
      </c>
      <c r="G254" s="46">
        <f t="shared" si="3"/>
        <v>3.8593368983957294E-2</v>
      </c>
    </row>
    <row r="255" spans="3:7">
      <c r="C255" s="43"/>
      <c r="D255" s="301">
        <v>30377</v>
      </c>
      <c r="E255" s="62">
        <v>0.1525</v>
      </c>
      <c r="F255" s="62">
        <v>0.11791411764705872</v>
      </c>
      <c r="G255" s="46">
        <f t="shared" si="3"/>
        <v>3.4585882352941272E-2</v>
      </c>
    </row>
    <row r="256" spans="3:7">
      <c r="C256" s="43"/>
      <c r="D256" s="301">
        <v>30391</v>
      </c>
      <c r="E256" s="62">
        <v>0.16</v>
      </c>
      <c r="F256" s="62">
        <v>0.11623818181818173</v>
      </c>
      <c r="G256" s="46">
        <f t="shared" si="3"/>
        <v>4.3761818181818277E-2</v>
      </c>
    </row>
    <row r="257" spans="3:7">
      <c r="C257" s="43"/>
      <c r="D257" s="301">
        <v>30396</v>
      </c>
      <c r="E257" s="62">
        <v>0.14960000000000001</v>
      </c>
      <c r="F257" s="62">
        <v>0.11568524064171114</v>
      </c>
      <c r="G257" s="46">
        <f t="shared" si="3"/>
        <v>3.3914759358288873E-2</v>
      </c>
    </row>
    <row r="258" spans="3:7">
      <c r="C258" s="43"/>
      <c r="D258" s="301">
        <v>30398</v>
      </c>
      <c r="E258" s="62">
        <v>0.154</v>
      </c>
      <c r="F258" s="62">
        <v>0.11530449197860954</v>
      </c>
      <c r="G258" s="46">
        <f t="shared" si="3"/>
        <v>3.8695508021390462E-2</v>
      </c>
    </row>
    <row r="259" spans="3:7">
      <c r="C259" s="43"/>
      <c r="D259" s="301">
        <v>30398</v>
      </c>
      <c r="E259" s="62">
        <v>0.161</v>
      </c>
      <c r="F259" s="62">
        <v>0.11530449197860954</v>
      </c>
      <c r="G259" s="46">
        <f t="shared" si="3"/>
        <v>4.5695508021390469E-2</v>
      </c>
    </row>
    <row r="260" spans="3:7">
      <c r="C260" s="43"/>
      <c r="D260" s="301">
        <v>30399</v>
      </c>
      <c r="E260" s="62">
        <v>0.15</v>
      </c>
      <c r="F260" s="62">
        <v>0.11511251336898387</v>
      </c>
      <c r="G260" s="46">
        <f t="shared" si="3"/>
        <v>3.4887486631016124E-2</v>
      </c>
    </row>
    <row r="261" spans="3:7">
      <c r="C261" s="43"/>
      <c r="D261" s="301">
        <v>30418</v>
      </c>
      <c r="E261" s="62">
        <v>0.13250000000000001</v>
      </c>
      <c r="F261" s="62">
        <v>0.11300609625668444</v>
      </c>
      <c r="G261" s="46">
        <f t="shared" si="3"/>
        <v>1.9493903743315569E-2</v>
      </c>
    </row>
    <row r="262" spans="3:7">
      <c r="C262" s="43"/>
      <c r="D262" s="301">
        <v>30435</v>
      </c>
      <c r="E262" s="62">
        <v>0.15049999999999999</v>
      </c>
      <c r="F262" s="62">
        <v>0.11093764705882353</v>
      </c>
      <c r="G262" s="46">
        <f t="shared" si="3"/>
        <v>3.9562352941176465E-2</v>
      </c>
    </row>
    <row r="263" spans="3:7">
      <c r="C263" s="43"/>
      <c r="D263" s="301">
        <v>30439</v>
      </c>
      <c r="E263" s="62">
        <v>0.154</v>
      </c>
      <c r="F263" s="62">
        <v>0.11063443850267378</v>
      </c>
      <c r="G263" s="46">
        <f t="shared" si="3"/>
        <v>4.3365561497326219E-2</v>
      </c>
    </row>
    <row r="264" spans="3:7">
      <c r="C264" s="43"/>
      <c r="D264" s="301">
        <v>30445</v>
      </c>
      <c r="E264" s="62">
        <v>0.155</v>
      </c>
      <c r="F264" s="62">
        <v>0.10998951871657756</v>
      </c>
      <c r="G264" s="46">
        <f t="shared" si="3"/>
        <v>4.5010481283422443E-2</v>
      </c>
    </row>
    <row r="265" spans="3:7">
      <c r="C265" s="43"/>
      <c r="D265" s="301">
        <v>30455</v>
      </c>
      <c r="E265" s="62">
        <v>0.14849999999999999</v>
      </c>
      <c r="F265" s="62">
        <v>0.10897401069518721</v>
      </c>
      <c r="G265" s="46">
        <f t="shared" si="3"/>
        <v>3.9525989304812784E-2</v>
      </c>
    </row>
    <row r="266" spans="3:7">
      <c r="C266" s="43"/>
      <c r="D266" s="301">
        <v>30467</v>
      </c>
      <c r="E266" s="62">
        <v>0.14000000000000001</v>
      </c>
      <c r="F266" s="62">
        <v>0.10839128342245999</v>
      </c>
      <c r="G266" s="46">
        <f t="shared" si="3"/>
        <v>3.1608716577540025E-2</v>
      </c>
    </row>
    <row r="267" spans="3:7">
      <c r="C267" s="43"/>
      <c r="D267" s="301">
        <v>30469</v>
      </c>
      <c r="E267" s="62">
        <v>0.14499999999999999</v>
      </c>
      <c r="F267" s="62">
        <v>0.10822385026737977</v>
      </c>
      <c r="G267" s="46">
        <f t="shared" si="3"/>
        <v>3.6776149732620222E-2</v>
      </c>
    </row>
    <row r="268" spans="3:7">
      <c r="C268" s="43"/>
      <c r="D268" s="301">
        <v>30474</v>
      </c>
      <c r="E268" s="62">
        <v>0.14499999999999999</v>
      </c>
      <c r="F268" s="62">
        <v>0.10801508021390381</v>
      </c>
      <c r="G268" s="46">
        <f t="shared" si="3"/>
        <v>3.6984919786096179E-2</v>
      </c>
    </row>
    <row r="269" spans="3:7">
      <c r="C269" s="43"/>
      <c r="D269" s="301">
        <v>30476</v>
      </c>
      <c r="E269" s="62">
        <v>0.14849999999999999</v>
      </c>
      <c r="F269" s="62">
        <v>0.10788235294117653</v>
      </c>
      <c r="G269" s="46">
        <f t="shared" si="3"/>
        <v>4.0617647058823467E-2</v>
      </c>
    </row>
    <row r="270" spans="3:7">
      <c r="C270" s="43"/>
      <c r="D270" s="301">
        <v>30487</v>
      </c>
      <c r="E270" s="62">
        <v>0.14150000000000001</v>
      </c>
      <c r="F270" s="62">
        <v>0.10735101604278081</v>
      </c>
      <c r="G270" s="46">
        <f t="shared" si="3"/>
        <v>3.4148983957219201E-2</v>
      </c>
    </row>
    <row r="271" spans="3:7">
      <c r="C271" s="43"/>
      <c r="D271" s="301">
        <v>30487</v>
      </c>
      <c r="E271" s="62">
        <v>0.16500000000000001</v>
      </c>
      <c r="F271" s="62">
        <v>0.10735101604278081</v>
      </c>
      <c r="G271" s="46">
        <f t="shared" si="3"/>
        <v>5.7648983957219194E-2</v>
      </c>
    </row>
    <row r="272" spans="3:7">
      <c r="C272" s="43"/>
      <c r="D272" s="301">
        <v>30494</v>
      </c>
      <c r="E272" s="62">
        <v>0.14499999999999999</v>
      </c>
      <c r="F272" s="62">
        <v>0.10712283422459899</v>
      </c>
      <c r="G272" s="46">
        <f t="shared" si="3"/>
        <v>3.7877165775400998E-2</v>
      </c>
    </row>
    <row r="273" spans="3:7">
      <c r="C273" s="43"/>
      <c r="D273" s="301">
        <v>30497</v>
      </c>
      <c r="E273" s="62">
        <v>0.14800000000000002</v>
      </c>
      <c r="F273" s="62">
        <v>0.10700331550802143</v>
      </c>
      <c r="G273" s="46">
        <f t="shared" si="3"/>
        <v>4.0996684491978588E-2</v>
      </c>
    </row>
    <row r="274" spans="3:7">
      <c r="C274" s="43"/>
      <c r="D274" s="301">
        <v>30497</v>
      </c>
      <c r="E274" s="62">
        <v>0.159</v>
      </c>
      <c r="F274" s="62">
        <v>0.10700331550802143</v>
      </c>
      <c r="G274" s="46">
        <f t="shared" si="3"/>
        <v>5.199668449197857E-2</v>
      </c>
    </row>
    <row r="275" spans="3:7">
      <c r="C275" s="43"/>
      <c r="D275" s="301">
        <v>30498</v>
      </c>
      <c r="E275" s="62">
        <v>0.14800000000000002</v>
      </c>
      <c r="F275" s="62">
        <v>0.10697449197860968</v>
      </c>
      <c r="G275" s="46">
        <f t="shared" si="3"/>
        <v>4.1025508021390336E-2</v>
      </c>
    </row>
    <row r="276" spans="3:7">
      <c r="C276" s="43"/>
      <c r="D276" s="301">
        <v>30502</v>
      </c>
      <c r="E276" s="62">
        <v>0.15</v>
      </c>
      <c r="F276" s="62">
        <v>0.10694310160427813</v>
      </c>
      <c r="G276" s="46">
        <f t="shared" si="3"/>
        <v>4.3056898395721868E-2</v>
      </c>
    </row>
    <row r="277" spans="3:7">
      <c r="C277" s="43"/>
      <c r="D277" s="301">
        <v>30505</v>
      </c>
      <c r="E277" s="62">
        <v>0.155</v>
      </c>
      <c r="F277" s="62">
        <v>0.10688679144385031</v>
      </c>
      <c r="G277" s="46">
        <f t="shared" si="3"/>
        <v>4.8113208556149686E-2</v>
      </c>
    </row>
    <row r="278" spans="3:7">
      <c r="C278" s="43"/>
      <c r="D278" s="301">
        <v>30516</v>
      </c>
      <c r="E278" s="62">
        <v>0.15</v>
      </c>
      <c r="F278" s="62">
        <v>0.1070482887700535</v>
      </c>
      <c r="G278" s="46">
        <f t="shared" si="3"/>
        <v>4.2951711229946496E-2</v>
      </c>
    </row>
    <row r="279" spans="3:7">
      <c r="C279" s="43"/>
      <c r="D279" s="301">
        <v>30516</v>
      </c>
      <c r="E279" s="62">
        <v>0.151</v>
      </c>
      <c r="F279" s="62">
        <v>0.1070482887700535</v>
      </c>
      <c r="G279" s="46">
        <f t="shared" si="3"/>
        <v>4.3951711229946497E-2</v>
      </c>
    </row>
    <row r="280" spans="3:7">
      <c r="C280" s="43"/>
      <c r="D280" s="301">
        <v>30546</v>
      </c>
      <c r="E280" s="62">
        <v>0.153</v>
      </c>
      <c r="F280" s="62">
        <v>0.10811957219251338</v>
      </c>
      <c r="G280" s="46">
        <f t="shared" si="3"/>
        <v>4.488042780748662E-2</v>
      </c>
    </row>
    <row r="281" spans="3:7">
      <c r="C281" s="43"/>
      <c r="D281" s="301">
        <v>30547</v>
      </c>
      <c r="E281" s="62">
        <v>0.15789999999999998</v>
      </c>
      <c r="F281" s="62">
        <v>0.10818181818181818</v>
      </c>
      <c r="G281" s="46">
        <f t="shared" si="3"/>
        <v>4.97181818181818E-2</v>
      </c>
    </row>
    <row r="282" spans="3:7">
      <c r="C282" s="43"/>
      <c r="D282" s="301">
        <v>30557</v>
      </c>
      <c r="E282" s="62">
        <v>0.16</v>
      </c>
      <c r="F282" s="62">
        <v>0.10850807486631016</v>
      </c>
      <c r="G282" s="46">
        <f t="shared" si="3"/>
        <v>5.1491925133689845E-2</v>
      </c>
    </row>
    <row r="283" spans="3:7">
      <c r="C283" s="43"/>
      <c r="D283" s="301">
        <v>30559</v>
      </c>
      <c r="E283" s="62">
        <v>0.14749999999999999</v>
      </c>
      <c r="F283" s="62">
        <v>0.10865556149732621</v>
      </c>
      <c r="G283" s="46">
        <f t="shared" si="3"/>
        <v>3.8844438502673787E-2</v>
      </c>
    </row>
    <row r="284" spans="3:7">
      <c r="C284" s="43"/>
      <c r="D284" s="301">
        <v>30559</v>
      </c>
      <c r="E284" s="62">
        <v>0.1525</v>
      </c>
      <c r="F284" s="62">
        <v>0.10865556149732621</v>
      </c>
      <c r="G284" s="46">
        <f t="shared" si="3"/>
        <v>4.3844438502673791E-2</v>
      </c>
    </row>
    <row r="285" spans="3:7">
      <c r="C285" s="43"/>
      <c r="D285" s="301">
        <v>30567</v>
      </c>
      <c r="E285" s="62">
        <v>0.14749999999999999</v>
      </c>
      <c r="F285" s="62">
        <v>0.10893641711229947</v>
      </c>
      <c r="G285" s="46">
        <f t="shared" si="3"/>
        <v>3.8563582887700523E-2</v>
      </c>
    </row>
    <row r="286" spans="3:7">
      <c r="C286" s="43"/>
      <c r="D286" s="301">
        <v>30575</v>
      </c>
      <c r="E286" s="62">
        <v>0.15509999999999999</v>
      </c>
      <c r="F286" s="62">
        <v>0.10927160427807488</v>
      </c>
      <c r="G286" s="46">
        <f t="shared" si="3"/>
        <v>4.5828395721925111E-2</v>
      </c>
    </row>
    <row r="287" spans="3:7">
      <c r="C287" s="43"/>
      <c r="D287" s="301">
        <v>30585</v>
      </c>
      <c r="E287" s="62">
        <v>0.14499999999999999</v>
      </c>
      <c r="F287" s="62">
        <v>0.10958368983957219</v>
      </c>
      <c r="G287" s="46">
        <f t="shared" si="3"/>
        <v>3.5416310160427802E-2</v>
      </c>
    </row>
    <row r="288" spans="3:7">
      <c r="C288" s="43"/>
      <c r="D288" s="301">
        <v>30587</v>
      </c>
      <c r="E288" s="62">
        <v>0.14249999999999999</v>
      </c>
      <c r="F288" s="62">
        <v>0.10968604278074866</v>
      </c>
      <c r="G288" s="46">
        <f t="shared" si="3"/>
        <v>3.281395721925133E-2</v>
      </c>
    </row>
    <row r="289" spans="3:7">
      <c r="C289" s="43"/>
      <c r="D289" s="301">
        <v>30589</v>
      </c>
      <c r="E289" s="62">
        <v>0.16149999999999998</v>
      </c>
      <c r="F289" s="62">
        <v>0.10979379679144385</v>
      </c>
      <c r="G289" s="46">
        <f t="shared" si="3"/>
        <v>5.1706203208556123E-2</v>
      </c>
    </row>
    <row r="290" spans="3:7">
      <c r="C290" s="43"/>
      <c r="D290" s="301">
        <v>30589</v>
      </c>
      <c r="E290" s="62">
        <v>0.16250000000000001</v>
      </c>
      <c r="F290" s="62">
        <v>0.10979379679144385</v>
      </c>
      <c r="G290" s="46">
        <f t="shared" si="3"/>
        <v>5.2706203208556152E-2</v>
      </c>
    </row>
    <row r="291" spans="3:7">
      <c r="C291" s="43"/>
      <c r="D291" s="301">
        <v>30590</v>
      </c>
      <c r="E291" s="62">
        <v>0.16250000000000001</v>
      </c>
      <c r="F291" s="62">
        <v>0.10979379679144385</v>
      </c>
      <c r="G291" s="46">
        <f t="shared" si="3"/>
        <v>5.2706203208556152E-2</v>
      </c>
    </row>
    <row r="292" spans="3:7">
      <c r="C292" s="43"/>
      <c r="D292" s="301">
        <v>30602</v>
      </c>
      <c r="E292" s="62">
        <v>0.1552</v>
      </c>
      <c r="F292" s="62">
        <v>0.11021486631016045</v>
      </c>
      <c r="G292" s="46">
        <f t="shared" si="3"/>
        <v>4.4985133689839557E-2</v>
      </c>
    </row>
    <row r="293" spans="3:7">
      <c r="C293" s="43"/>
      <c r="D293" s="301">
        <v>30608</v>
      </c>
      <c r="E293" s="62">
        <v>0.152</v>
      </c>
      <c r="F293" s="62">
        <v>0.11041743315508022</v>
      </c>
      <c r="G293" s="46">
        <f t="shared" si="3"/>
        <v>4.1582566844919774E-2</v>
      </c>
    </row>
    <row r="294" spans="3:7">
      <c r="C294" s="43"/>
      <c r="D294" s="301">
        <v>30615</v>
      </c>
      <c r="E294" s="62">
        <v>0.14749999999999999</v>
      </c>
      <c r="F294" s="62">
        <v>0.11064074866310158</v>
      </c>
      <c r="G294" s="46">
        <f t="shared" si="3"/>
        <v>3.6859251336898408E-2</v>
      </c>
    </row>
    <row r="295" spans="3:7">
      <c r="C295" s="43"/>
      <c r="D295" s="301">
        <v>30616</v>
      </c>
      <c r="E295" s="62">
        <v>0.14880000000000002</v>
      </c>
      <c r="F295" s="62">
        <v>0.1106857754010695</v>
      </c>
      <c r="G295" s="46">
        <f t="shared" si="3"/>
        <v>3.8114224598930518E-2</v>
      </c>
    </row>
    <row r="296" spans="3:7">
      <c r="C296" s="43"/>
      <c r="D296" s="301">
        <v>30616</v>
      </c>
      <c r="E296" s="62">
        <v>0.15329999999999999</v>
      </c>
      <c r="F296" s="62">
        <v>0.1106857754010695</v>
      </c>
      <c r="G296" s="46">
        <f t="shared" si="3"/>
        <v>4.2614224598930495E-2</v>
      </c>
    </row>
    <row r="297" spans="3:7">
      <c r="C297" s="43"/>
      <c r="D297" s="301">
        <v>30629</v>
      </c>
      <c r="E297" s="62">
        <v>0.1482</v>
      </c>
      <c r="F297" s="62">
        <v>0.11102181818181817</v>
      </c>
      <c r="G297" s="46">
        <f t="shared" si="3"/>
        <v>3.7178181818181832E-2</v>
      </c>
    </row>
    <row r="298" spans="3:7">
      <c r="C298" s="43"/>
      <c r="D298" s="301">
        <v>30629</v>
      </c>
      <c r="E298" s="62">
        <v>0.16510000000000002</v>
      </c>
      <c r="F298" s="62">
        <v>0.11102181818181817</v>
      </c>
      <c r="G298" s="46">
        <f t="shared" si="3"/>
        <v>5.4078181818181859E-2</v>
      </c>
    </row>
    <row r="299" spans="3:7">
      <c r="C299" s="43"/>
      <c r="D299" s="301">
        <v>30629</v>
      </c>
      <c r="E299" s="62">
        <v>0.16510000000000002</v>
      </c>
      <c r="F299" s="62">
        <v>0.11102181818181817</v>
      </c>
      <c r="G299" s="46">
        <f t="shared" si="3"/>
        <v>5.4078181818181859E-2</v>
      </c>
    </row>
    <row r="300" spans="3:7">
      <c r="C300" s="43"/>
      <c r="D300" s="301">
        <v>30651</v>
      </c>
      <c r="E300" s="62">
        <v>0.14499999999999999</v>
      </c>
      <c r="F300" s="62">
        <v>0.1116904278074866</v>
      </c>
      <c r="G300" s="46">
        <f t="shared" si="3"/>
        <v>3.330957219251339E-2</v>
      </c>
    </row>
    <row r="301" spans="3:7">
      <c r="C301" s="43"/>
      <c r="D301" s="301">
        <v>30658</v>
      </c>
      <c r="E301" s="62">
        <v>0.159</v>
      </c>
      <c r="F301" s="62">
        <v>0.11203588235294111</v>
      </c>
      <c r="G301" s="46">
        <f t="shared" si="3"/>
        <v>4.6964117647058892E-2</v>
      </c>
    </row>
    <row r="302" spans="3:7">
      <c r="C302" s="43"/>
      <c r="D302" s="301">
        <v>30659</v>
      </c>
      <c r="E302" s="62">
        <v>0.153</v>
      </c>
      <c r="F302" s="62">
        <v>0.11210245989304807</v>
      </c>
      <c r="G302" s="46">
        <f t="shared" si="3"/>
        <v>4.089754010695193E-2</v>
      </c>
    </row>
    <row r="303" spans="3:7">
      <c r="C303" s="43"/>
      <c r="D303" s="301">
        <v>30662</v>
      </c>
      <c r="E303" s="62">
        <v>0.14499999999999999</v>
      </c>
      <c r="F303" s="62">
        <v>0.11216951871657749</v>
      </c>
      <c r="G303" s="46">
        <f t="shared" si="3"/>
        <v>3.2830481283422502E-2</v>
      </c>
    </row>
    <row r="304" spans="3:7">
      <c r="C304" s="43"/>
      <c r="D304" s="301">
        <v>30662</v>
      </c>
      <c r="E304" s="62">
        <v>0.155</v>
      </c>
      <c r="F304" s="62">
        <v>0.11216951871657749</v>
      </c>
      <c r="G304" s="46">
        <f t="shared" si="3"/>
        <v>4.2830481283422511E-2</v>
      </c>
    </row>
    <row r="305" spans="3:7">
      <c r="C305" s="43"/>
      <c r="D305" s="301">
        <v>30670</v>
      </c>
      <c r="E305" s="62">
        <v>0.154</v>
      </c>
      <c r="F305" s="62">
        <v>0.11258128342245981</v>
      </c>
      <c r="G305" s="46">
        <f t="shared" ref="G305:G368" si="4">E305-F305</f>
        <v>4.1418716577540191E-2</v>
      </c>
    </row>
    <row r="306" spans="3:7">
      <c r="C306" s="43"/>
      <c r="D306" s="301">
        <v>30670</v>
      </c>
      <c r="E306" s="62">
        <v>0.16</v>
      </c>
      <c r="F306" s="62">
        <v>0.11258128342245981</v>
      </c>
      <c r="G306" s="46">
        <f t="shared" si="4"/>
        <v>4.7418716577540196E-2</v>
      </c>
    </row>
    <row r="307" spans="3:7">
      <c r="C307" s="43"/>
      <c r="D307" s="301">
        <v>30672</v>
      </c>
      <c r="E307" s="62">
        <v>0.1575</v>
      </c>
      <c r="F307" s="62">
        <v>0.11270401069518708</v>
      </c>
      <c r="G307" s="46">
        <f t="shared" si="4"/>
        <v>4.4795989304812919E-2</v>
      </c>
    </row>
    <row r="308" spans="3:7">
      <c r="C308" s="43"/>
      <c r="D308" s="301">
        <v>30679</v>
      </c>
      <c r="E308" s="62">
        <v>0.15</v>
      </c>
      <c r="F308" s="62">
        <v>0.11295005347593576</v>
      </c>
      <c r="G308" s="46">
        <f t="shared" si="4"/>
        <v>3.7049946524064237E-2</v>
      </c>
    </row>
    <row r="309" spans="3:7">
      <c r="C309" s="43"/>
      <c r="D309" s="301">
        <v>30680</v>
      </c>
      <c r="E309" s="62">
        <v>0.15</v>
      </c>
      <c r="F309" s="62">
        <v>0.11301475935828872</v>
      </c>
      <c r="G309" s="46">
        <f t="shared" si="4"/>
        <v>3.698524064171127E-2</v>
      </c>
    </row>
    <row r="310" spans="3:7">
      <c r="C310" s="43"/>
      <c r="D310" s="301">
        <v>30691</v>
      </c>
      <c r="E310" s="62">
        <v>0.159</v>
      </c>
      <c r="F310" s="62">
        <v>0.11340700534759354</v>
      </c>
      <c r="G310" s="46">
        <f t="shared" si="4"/>
        <v>4.559299465240646E-2</v>
      </c>
    </row>
    <row r="311" spans="3:7">
      <c r="C311" s="43"/>
      <c r="D311" s="301">
        <v>30694</v>
      </c>
      <c r="E311" s="62">
        <v>0.155</v>
      </c>
      <c r="F311" s="62">
        <v>0.11360631016042777</v>
      </c>
      <c r="G311" s="46">
        <f t="shared" si="4"/>
        <v>4.1393689839572229E-2</v>
      </c>
    </row>
    <row r="312" spans="3:7">
      <c r="C312" s="43"/>
      <c r="D312" s="301">
        <v>30699</v>
      </c>
      <c r="E312" s="62">
        <v>0.15529999999999999</v>
      </c>
      <c r="F312" s="62">
        <v>0.11380278074866307</v>
      </c>
      <c r="G312" s="46">
        <f t="shared" si="4"/>
        <v>4.1497219251336925E-2</v>
      </c>
    </row>
    <row r="313" spans="3:7">
      <c r="C313" s="43"/>
      <c r="D313" s="301">
        <v>30707</v>
      </c>
      <c r="E313" s="62">
        <v>0.159</v>
      </c>
      <c r="F313" s="62">
        <v>0.11418951871657751</v>
      </c>
      <c r="G313" s="46">
        <f t="shared" si="4"/>
        <v>4.4810481283422493E-2</v>
      </c>
    </row>
    <row r="314" spans="3:7">
      <c r="C314" s="43"/>
      <c r="D314" s="301">
        <v>30726</v>
      </c>
      <c r="E314" s="62">
        <v>0.14249999999999999</v>
      </c>
      <c r="F314" s="62">
        <v>0.11509748663101602</v>
      </c>
      <c r="G314" s="46">
        <f t="shared" si="4"/>
        <v>2.7402513368983972E-2</v>
      </c>
    </row>
    <row r="315" spans="3:7">
      <c r="C315" s="43"/>
      <c r="D315" s="301">
        <v>30740</v>
      </c>
      <c r="E315" s="62">
        <v>0.14499999999999999</v>
      </c>
      <c r="F315" s="62">
        <v>0.11580732620320855</v>
      </c>
      <c r="G315" s="46">
        <f t="shared" si="4"/>
        <v>2.9192673796791441E-2</v>
      </c>
    </row>
    <row r="316" spans="3:7">
      <c r="C316" s="43"/>
      <c r="D316" s="301">
        <v>30761</v>
      </c>
      <c r="E316" s="62">
        <v>0.16</v>
      </c>
      <c r="F316" s="62">
        <v>0.11696823529411766</v>
      </c>
      <c r="G316" s="46">
        <f t="shared" si="4"/>
        <v>4.3031764705882339E-2</v>
      </c>
    </row>
    <row r="317" spans="3:7">
      <c r="C317" s="43"/>
      <c r="D317" s="301">
        <v>30764</v>
      </c>
      <c r="E317" s="62">
        <v>0.155</v>
      </c>
      <c r="F317" s="62">
        <v>0.11724770053475933</v>
      </c>
      <c r="G317" s="46">
        <f t="shared" si="4"/>
        <v>3.7752299465240668E-2</v>
      </c>
    </row>
    <row r="318" spans="3:7">
      <c r="C318" s="43"/>
      <c r="D318" s="301">
        <v>30781</v>
      </c>
      <c r="E318" s="62">
        <v>0.152</v>
      </c>
      <c r="F318" s="62">
        <v>0.1181162566844919</v>
      </c>
      <c r="G318" s="46">
        <f t="shared" si="4"/>
        <v>3.38837433155081E-2</v>
      </c>
    </row>
    <row r="319" spans="3:7">
      <c r="C319" s="43"/>
      <c r="D319" s="301">
        <v>30790</v>
      </c>
      <c r="E319" s="62">
        <v>0.16200000000000001</v>
      </c>
      <c r="F319" s="62">
        <v>0.11856887700534745</v>
      </c>
      <c r="G319" s="46">
        <f t="shared" si="4"/>
        <v>4.3431122994652557E-2</v>
      </c>
    </row>
    <row r="320" spans="3:7">
      <c r="C320" s="43"/>
      <c r="D320" s="301">
        <v>30799</v>
      </c>
      <c r="E320" s="62">
        <v>0.1585</v>
      </c>
      <c r="F320" s="62">
        <v>0.1190128877005346</v>
      </c>
      <c r="G320" s="46">
        <f t="shared" si="4"/>
        <v>3.9487112299465402E-2</v>
      </c>
    </row>
    <row r="321" spans="3:7">
      <c r="C321" s="43"/>
      <c r="D321" s="301">
        <v>30817</v>
      </c>
      <c r="E321" s="62">
        <v>0.13350000000000001</v>
      </c>
      <c r="F321" s="62">
        <v>0.11987663101604266</v>
      </c>
      <c r="G321" s="46">
        <f t="shared" si="4"/>
        <v>1.3623368983957343E-2</v>
      </c>
    </row>
    <row r="322" spans="3:7">
      <c r="C322" s="43"/>
      <c r="D322" s="301">
        <v>30818</v>
      </c>
      <c r="E322" s="62">
        <v>0.15</v>
      </c>
      <c r="F322" s="62">
        <v>0.119976844919786</v>
      </c>
      <c r="G322" s="46">
        <f t="shared" si="4"/>
        <v>3.0023155080213998E-2</v>
      </c>
    </row>
    <row r="323" spans="3:7">
      <c r="C323" s="43"/>
      <c r="D323" s="301">
        <v>30824</v>
      </c>
      <c r="E323" s="62">
        <v>0.14400000000000002</v>
      </c>
      <c r="F323" s="62">
        <v>0.12036860962566837</v>
      </c>
      <c r="G323" s="46">
        <f t="shared" si="4"/>
        <v>2.3631390374331651E-2</v>
      </c>
    </row>
    <row r="324" spans="3:7">
      <c r="C324" s="43"/>
      <c r="D324" s="301">
        <v>30846</v>
      </c>
      <c r="E324" s="62">
        <v>0.155</v>
      </c>
      <c r="F324" s="62">
        <v>0.12184566844919775</v>
      </c>
      <c r="G324" s="46">
        <f t="shared" si="4"/>
        <v>3.3154331550802246E-2</v>
      </c>
    </row>
    <row r="325" spans="3:7">
      <c r="C325" s="43"/>
      <c r="D325" s="301">
        <v>30873</v>
      </c>
      <c r="E325" s="62">
        <v>0.16</v>
      </c>
      <c r="F325" s="62">
        <v>0.12369272727272729</v>
      </c>
      <c r="G325" s="46">
        <f t="shared" si="4"/>
        <v>3.6307272727272716E-2</v>
      </c>
    </row>
    <row r="326" spans="3:7">
      <c r="C326" s="43"/>
      <c r="D326" s="301">
        <v>30901</v>
      </c>
      <c r="E326" s="62">
        <v>0.16690000000000002</v>
      </c>
      <c r="F326" s="62">
        <v>0.12505417112299466</v>
      </c>
      <c r="G326" s="46">
        <f t="shared" si="4"/>
        <v>4.1845828877005359E-2</v>
      </c>
    </row>
    <row r="327" spans="3:7">
      <c r="C327" s="43"/>
      <c r="D327" s="301">
        <v>30903</v>
      </c>
      <c r="E327" s="62">
        <v>0.15329999999999999</v>
      </c>
      <c r="F327" s="62">
        <v>0.12511780748663107</v>
      </c>
      <c r="G327" s="46">
        <f t="shared" si="4"/>
        <v>2.8182192513368926E-2</v>
      </c>
    </row>
    <row r="328" spans="3:7">
      <c r="C328" s="43"/>
      <c r="D328" s="301">
        <v>30911</v>
      </c>
      <c r="E328" s="62">
        <v>0.1482</v>
      </c>
      <c r="F328" s="62">
        <v>0.12536978609625674</v>
      </c>
      <c r="G328" s="46">
        <f t="shared" si="4"/>
        <v>2.2830213903743263E-2</v>
      </c>
    </row>
    <row r="329" spans="3:7">
      <c r="C329" s="43"/>
      <c r="D329" s="301">
        <v>30915</v>
      </c>
      <c r="E329" s="62">
        <v>0.1464</v>
      </c>
      <c r="F329" s="62">
        <v>0.12544374331550806</v>
      </c>
      <c r="G329" s="46">
        <f t="shared" si="4"/>
        <v>2.0956256684491942E-2</v>
      </c>
    </row>
    <row r="330" spans="3:7">
      <c r="C330" s="43"/>
      <c r="D330" s="301">
        <v>30921</v>
      </c>
      <c r="E330" s="62">
        <v>0.1452</v>
      </c>
      <c r="F330" s="62">
        <v>0.12562278074866315</v>
      </c>
      <c r="G330" s="46">
        <f t="shared" si="4"/>
        <v>1.9577219251336847E-2</v>
      </c>
    </row>
    <row r="331" spans="3:7">
      <c r="C331" s="43"/>
      <c r="D331" s="301">
        <v>30922</v>
      </c>
      <c r="E331" s="62">
        <v>0.14749999999999999</v>
      </c>
      <c r="F331" s="62">
        <v>0.12567053475935835</v>
      </c>
      <c r="G331" s="46">
        <f t="shared" si="4"/>
        <v>2.1829465240641638E-2</v>
      </c>
    </row>
    <row r="332" spans="3:7">
      <c r="C332" s="43"/>
      <c r="D332" s="301">
        <v>30924</v>
      </c>
      <c r="E332" s="62">
        <v>0.156</v>
      </c>
      <c r="F332" s="62">
        <v>0.1257608556149733</v>
      </c>
      <c r="G332" s="46">
        <f t="shared" si="4"/>
        <v>3.0239144385026701E-2</v>
      </c>
    </row>
    <row r="333" spans="3:7">
      <c r="C333" s="43"/>
      <c r="D333" s="301">
        <v>30937</v>
      </c>
      <c r="E333" s="62">
        <v>0.156</v>
      </c>
      <c r="F333" s="62">
        <v>0.12599470588235301</v>
      </c>
      <c r="G333" s="46">
        <f t="shared" si="4"/>
        <v>3.0005294117646991E-2</v>
      </c>
    </row>
    <row r="334" spans="3:7">
      <c r="C334" s="43"/>
      <c r="D334" s="301">
        <v>30937</v>
      </c>
      <c r="E334" s="62">
        <v>0.159</v>
      </c>
      <c r="F334" s="62">
        <v>0.12599470588235301</v>
      </c>
      <c r="G334" s="46">
        <f t="shared" si="4"/>
        <v>3.3005294117646994E-2</v>
      </c>
    </row>
    <row r="335" spans="3:7">
      <c r="C335" s="43"/>
      <c r="D335" s="301">
        <v>30950</v>
      </c>
      <c r="E335" s="62">
        <v>0.16250000000000001</v>
      </c>
      <c r="F335" s="62">
        <v>0.12613171122994657</v>
      </c>
      <c r="G335" s="46">
        <f t="shared" si="4"/>
        <v>3.6368288770053436E-2</v>
      </c>
    </row>
    <row r="336" spans="3:7">
      <c r="C336" s="43"/>
      <c r="D336" s="301">
        <v>30957</v>
      </c>
      <c r="E336" s="62">
        <v>0.14800000000000002</v>
      </c>
      <c r="F336" s="62">
        <v>0.12623508021390381</v>
      </c>
      <c r="G336" s="46">
        <f t="shared" si="4"/>
        <v>2.176491978609621E-2</v>
      </c>
    </row>
    <row r="337" spans="3:7">
      <c r="C337" s="43"/>
      <c r="D337" s="301">
        <v>30964</v>
      </c>
      <c r="E337" s="62">
        <v>0.14749999999999999</v>
      </c>
      <c r="F337" s="62">
        <v>0.12632780748663106</v>
      </c>
      <c r="G337" s="46">
        <f t="shared" si="4"/>
        <v>2.1172192513368937E-2</v>
      </c>
    </row>
    <row r="338" spans="3:7">
      <c r="C338" s="43"/>
      <c r="D338" s="301">
        <v>30965</v>
      </c>
      <c r="E338" s="62">
        <v>0.155</v>
      </c>
      <c r="F338" s="62">
        <v>0.12634689839572197</v>
      </c>
      <c r="G338" s="46">
        <f t="shared" si="4"/>
        <v>2.8653101604278031E-2</v>
      </c>
    </row>
    <row r="339" spans="3:7">
      <c r="C339" s="43"/>
      <c r="D339" s="301">
        <v>30973</v>
      </c>
      <c r="E339" s="62">
        <v>0.15</v>
      </c>
      <c r="F339" s="62">
        <v>0.12647860962566848</v>
      </c>
      <c r="G339" s="46">
        <f t="shared" si="4"/>
        <v>2.3521390374331513E-2</v>
      </c>
    </row>
    <row r="340" spans="3:7">
      <c r="C340" s="43"/>
      <c r="D340" s="301">
        <v>30979</v>
      </c>
      <c r="E340" s="62">
        <v>0.155</v>
      </c>
      <c r="F340" s="62">
        <v>0.12646582887700533</v>
      </c>
      <c r="G340" s="46">
        <f t="shared" si="4"/>
        <v>2.8534171122994667E-2</v>
      </c>
    </row>
    <row r="341" spans="3:7">
      <c r="C341" s="43"/>
      <c r="D341" s="301">
        <v>30993</v>
      </c>
      <c r="E341" s="62">
        <v>0.15</v>
      </c>
      <c r="F341" s="62">
        <v>0.1263957754010695</v>
      </c>
      <c r="G341" s="46">
        <f t="shared" si="4"/>
        <v>2.3604224598930496E-2</v>
      </c>
    </row>
    <row r="342" spans="3:7">
      <c r="C342" s="43"/>
      <c r="D342" s="301">
        <v>31006</v>
      </c>
      <c r="E342" s="62">
        <v>0.15920000000000001</v>
      </c>
      <c r="F342" s="62">
        <v>0.12627508021390371</v>
      </c>
      <c r="G342" s="46">
        <f t="shared" si="4"/>
        <v>3.2924919786096296E-2</v>
      </c>
    </row>
    <row r="343" spans="3:7">
      <c r="C343" s="43"/>
      <c r="D343" s="301">
        <v>31016</v>
      </c>
      <c r="E343" s="62">
        <v>0.155</v>
      </c>
      <c r="F343" s="62">
        <v>0.1259971122994652</v>
      </c>
      <c r="G343" s="46">
        <f t="shared" si="4"/>
        <v>2.9002887700534802E-2</v>
      </c>
    </row>
    <row r="344" spans="3:7">
      <c r="C344" s="43"/>
      <c r="D344" s="301">
        <v>31034</v>
      </c>
      <c r="E344" s="62">
        <v>0.15</v>
      </c>
      <c r="F344" s="62">
        <v>0.12547545454545456</v>
      </c>
      <c r="G344" s="46">
        <f t="shared" si="4"/>
        <v>2.4524545454545438E-2</v>
      </c>
    </row>
    <row r="345" spans="3:7">
      <c r="C345" s="43"/>
      <c r="D345" s="301">
        <v>31036</v>
      </c>
      <c r="E345" s="62">
        <v>0.15</v>
      </c>
      <c r="F345" s="62">
        <v>0.12535176470588236</v>
      </c>
      <c r="G345" s="46">
        <f t="shared" si="4"/>
        <v>2.4648235294117637E-2</v>
      </c>
    </row>
    <row r="346" spans="3:7">
      <c r="C346" s="43"/>
      <c r="D346" s="301">
        <v>31044</v>
      </c>
      <c r="E346" s="62">
        <v>0.1575</v>
      </c>
      <c r="F346" s="62">
        <v>0.12507149732620315</v>
      </c>
      <c r="G346" s="46">
        <f t="shared" si="4"/>
        <v>3.242850267379685E-2</v>
      </c>
    </row>
    <row r="347" spans="3:7">
      <c r="C347" s="43"/>
      <c r="D347" s="301">
        <v>31044</v>
      </c>
      <c r="E347" s="62">
        <v>0.16250000000000001</v>
      </c>
      <c r="F347" s="62">
        <v>0.12507149732620315</v>
      </c>
      <c r="G347" s="46">
        <f t="shared" si="4"/>
        <v>3.7428502673796854E-2</v>
      </c>
    </row>
    <row r="348" spans="3:7">
      <c r="C348" s="43"/>
      <c r="D348" s="301">
        <v>31049</v>
      </c>
      <c r="E348" s="62">
        <v>0.16</v>
      </c>
      <c r="F348" s="62">
        <v>0.12497641711229943</v>
      </c>
      <c r="G348" s="46">
        <f t="shared" si="4"/>
        <v>3.5023582887700577E-2</v>
      </c>
    </row>
    <row r="349" spans="3:7">
      <c r="C349" s="43"/>
      <c r="D349" s="301">
        <v>31078</v>
      </c>
      <c r="E349" s="62">
        <v>0.14749999999999999</v>
      </c>
      <c r="F349" s="62">
        <v>0.12371625668449197</v>
      </c>
      <c r="G349" s="46">
        <f t="shared" si="4"/>
        <v>2.3783743315508019E-2</v>
      </c>
    </row>
    <row r="350" spans="3:7">
      <c r="C350" s="43"/>
      <c r="D350" s="301">
        <v>31085</v>
      </c>
      <c r="E350" s="62">
        <v>0.14849999999999999</v>
      </c>
      <c r="F350" s="62">
        <v>0.12326727272727273</v>
      </c>
      <c r="G350" s="46">
        <f t="shared" si="4"/>
        <v>2.5232727272727268E-2</v>
      </c>
    </row>
    <row r="351" spans="3:7">
      <c r="C351" s="43"/>
      <c r="D351" s="301">
        <v>31093</v>
      </c>
      <c r="E351" s="62">
        <v>0.15</v>
      </c>
      <c r="F351" s="62">
        <v>0.12271240641711229</v>
      </c>
      <c r="G351" s="46">
        <f t="shared" si="4"/>
        <v>2.7287593582887709E-2</v>
      </c>
    </row>
    <row r="352" spans="3:7">
      <c r="C352" s="43"/>
      <c r="D352" s="301">
        <v>31098</v>
      </c>
      <c r="E352" s="62">
        <v>0.14499999999999999</v>
      </c>
      <c r="F352" s="62">
        <v>0.12249877005347594</v>
      </c>
      <c r="G352" s="46">
        <f t="shared" si="4"/>
        <v>2.2501229946524051E-2</v>
      </c>
    </row>
    <row r="353" spans="3:7">
      <c r="C353" s="43"/>
      <c r="D353" s="301">
        <v>31100</v>
      </c>
      <c r="E353" s="62">
        <v>0.14859999999999998</v>
      </c>
      <c r="F353" s="62">
        <v>0.12249877005347594</v>
      </c>
      <c r="G353" s="46">
        <f t="shared" si="4"/>
        <v>2.6101229946524043E-2</v>
      </c>
    </row>
    <row r="354" spans="3:7">
      <c r="C354" s="43"/>
      <c r="D354" s="301">
        <v>31120</v>
      </c>
      <c r="E354" s="62">
        <v>0.155</v>
      </c>
      <c r="F354" s="62">
        <v>0.12161748663101608</v>
      </c>
      <c r="G354" s="46">
        <f t="shared" si="4"/>
        <v>3.3382513368983915E-2</v>
      </c>
    </row>
    <row r="355" spans="3:7">
      <c r="C355" s="43"/>
      <c r="D355" s="301">
        <v>31134</v>
      </c>
      <c r="E355" s="62">
        <v>0.14800000000000002</v>
      </c>
      <c r="F355" s="62">
        <v>0.12082791443850273</v>
      </c>
      <c r="G355" s="46">
        <f t="shared" si="4"/>
        <v>2.7172085561497292E-2</v>
      </c>
    </row>
    <row r="356" spans="3:7">
      <c r="C356" s="43"/>
      <c r="D356" s="301">
        <v>31146</v>
      </c>
      <c r="E356" s="62">
        <v>0.155</v>
      </c>
      <c r="F356" s="62">
        <v>0.12021577540106958</v>
      </c>
      <c r="G356" s="46">
        <f t="shared" si="4"/>
        <v>3.4784224598930422E-2</v>
      </c>
    </row>
    <row r="357" spans="3:7">
      <c r="C357" s="43"/>
      <c r="D357" s="301">
        <v>31153</v>
      </c>
      <c r="E357" s="62">
        <v>0.157</v>
      </c>
      <c r="F357" s="62">
        <v>0.11964005347593584</v>
      </c>
      <c r="G357" s="46">
        <f t="shared" si="4"/>
        <v>3.7359946524064158E-2</v>
      </c>
    </row>
    <row r="358" spans="3:7">
      <c r="C358" s="43"/>
      <c r="D358" s="301">
        <v>31208</v>
      </c>
      <c r="E358" s="62">
        <v>0.1575</v>
      </c>
      <c r="F358" s="62">
        <v>0.11582689839572197</v>
      </c>
      <c r="G358" s="46">
        <f t="shared" si="4"/>
        <v>4.1673101604278034E-2</v>
      </c>
    </row>
    <row r="359" spans="3:7">
      <c r="C359" s="43"/>
      <c r="D359" s="301">
        <v>31224</v>
      </c>
      <c r="E359" s="62">
        <v>0.1482</v>
      </c>
      <c r="F359" s="62">
        <v>0.11461855614973261</v>
      </c>
      <c r="G359" s="46">
        <f t="shared" si="4"/>
        <v>3.3581443850267387E-2</v>
      </c>
    </row>
    <row r="360" spans="3:7">
      <c r="C360" s="43"/>
      <c r="D360" s="301">
        <v>31237</v>
      </c>
      <c r="E360" s="62">
        <v>0.15</v>
      </c>
      <c r="F360" s="62">
        <v>0.11384962566844922</v>
      </c>
      <c r="G360" s="46">
        <f t="shared" si="4"/>
        <v>3.6150374331550772E-2</v>
      </c>
    </row>
    <row r="361" spans="3:7">
      <c r="C361" s="43"/>
      <c r="D361" s="301">
        <v>31254</v>
      </c>
      <c r="E361" s="62">
        <v>0.14499999999999999</v>
      </c>
      <c r="F361" s="62">
        <v>0.11263502673796792</v>
      </c>
      <c r="G361" s="46">
        <f t="shared" si="4"/>
        <v>3.2364973262032068E-2</v>
      </c>
    </row>
    <row r="362" spans="3:7">
      <c r="C362" s="43"/>
      <c r="D362" s="301">
        <v>31288</v>
      </c>
      <c r="E362" s="62">
        <v>0.14499999999999999</v>
      </c>
      <c r="F362" s="62">
        <v>0.11111737967914435</v>
      </c>
      <c r="G362" s="46">
        <f t="shared" si="4"/>
        <v>3.3882620320855636E-2</v>
      </c>
    </row>
    <row r="363" spans="3:7">
      <c r="C363" s="43"/>
      <c r="D363" s="301">
        <v>31289</v>
      </c>
      <c r="E363" s="62">
        <v>0.14380000000000001</v>
      </c>
      <c r="F363" s="62">
        <v>0.11105267379679143</v>
      </c>
      <c r="G363" s="46">
        <f t="shared" si="4"/>
        <v>3.2747326203208582E-2</v>
      </c>
    </row>
    <row r="364" spans="3:7">
      <c r="C364" s="43"/>
      <c r="D364" s="301">
        <v>31302</v>
      </c>
      <c r="E364" s="62">
        <v>0.1525</v>
      </c>
      <c r="F364" s="62">
        <v>0.11069973262032085</v>
      </c>
      <c r="G364" s="46">
        <f t="shared" si="4"/>
        <v>4.1800267379679151E-2</v>
      </c>
    </row>
    <row r="365" spans="3:7">
      <c r="C365" s="43"/>
      <c r="D365" s="301">
        <v>31313</v>
      </c>
      <c r="E365" s="62">
        <v>0.153</v>
      </c>
      <c r="F365" s="62">
        <v>0.1103472727272727</v>
      </c>
      <c r="G365" s="46">
        <f t="shared" si="4"/>
        <v>4.26527272727273E-2</v>
      </c>
    </row>
    <row r="366" spans="3:7">
      <c r="C366" s="43"/>
      <c r="D366" s="301">
        <v>31315</v>
      </c>
      <c r="E366" s="62">
        <v>0.14499999999999999</v>
      </c>
      <c r="F366" s="62">
        <v>0.11023497326203206</v>
      </c>
      <c r="G366" s="46">
        <f t="shared" si="4"/>
        <v>3.4765026737967927E-2</v>
      </c>
    </row>
    <row r="367" spans="3:7">
      <c r="C367" s="43"/>
      <c r="D367" s="301">
        <v>31316</v>
      </c>
      <c r="E367" s="62">
        <v>0.13800000000000001</v>
      </c>
      <c r="F367" s="62">
        <v>0.11018053475935824</v>
      </c>
      <c r="G367" s="46">
        <f t="shared" si="4"/>
        <v>2.7819465240641772E-2</v>
      </c>
    </row>
    <row r="368" spans="3:7">
      <c r="C368" s="43"/>
      <c r="D368" s="301">
        <v>31316</v>
      </c>
      <c r="E368" s="62">
        <v>0.14499999999999999</v>
      </c>
      <c r="F368" s="62">
        <v>0.11018053475935824</v>
      </c>
      <c r="G368" s="46">
        <f t="shared" si="4"/>
        <v>3.481946524064175E-2</v>
      </c>
    </row>
    <row r="369" spans="3:7">
      <c r="C369" s="43"/>
      <c r="D369" s="301">
        <v>31345</v>
      </c>
      <c r="E369" s="62">
        <v>0.1525</v>
      </c>
      <c r="F369" s="62">
        <v>0.10913572192513366</v>
      </c>
      <c r="G369" s="46">
        <f t="shared" ref="G369:G432" si="5">E369-F369</f>
        <v>4.3364278074866341E-2</v>
      </c>
    </row>
    <row r="370" spans="3:7">
      <c r="C370" s="43"/>
      <c r="D370" s="301">
        <v>31359</v>
      </c>
      <c r="E370" s="62">
        <v>0.12939999999999999</v>
      </c>
      <c r="F370" s="62">
        <v>0.10854759358288767</v>
      </c>
      <c r="G370" s="46">
        <f t="shared" si="5"/>
        <v>2.0852406417112321E-2</v>
      </c>
    </row>
    <row r="371" spans="3:7">
      <c r="C371" s="43"/>
      <c r="D371" s="301">
        <v>31371</v>
      </c>
      <c r="E371" s="62">
        <v>0.14899999999999999</v>
      </c>
      <c r="F371" s="62">
        <v>0.10809010695187166</v>
      </c>
      <c r="G371" s="46">
        <f t="shared" si="5"/>
        <v>4.0909893048128337E-2</v>
      </c>
    </row>
    <row r="372" spans="3:7">
      <c r="C372" s="43"/>
      <c r="D372" s="301">
        <v>31376</v>
      </c>
      <c r="E372" s="62">
        <v>0.13300000000000001</v>
      </c>
      <c r="F372" s="62">
        <v>0.10787711229946524</v>
      </c>
      <c r="G372" s="46">
        <f t="shared" si="5"/>
        <v>2.5122887700534766E-2</v>
      </c>
    </row>
    <row r="373" spans="3:7">
      <c r="C373" s="43"/>
      <c r="D373" s="301">
        <v>31387</v>
      </c>
      <c r="E373" s="62">
        <v>0.12</v>
      </c>
      <c r="F373" s="62">
        <v>0.10713748663101605</v>
      </c>
      <c r="G373" s="46">
        <f t="shared" si="5"/>
        <v>1.2862513368983947E-2</v>
      </c>
    </row>
    <row r="374" spans="3:7">
      <c r="C374" s="43"/>
      <c r="D374" s="301">
        <v>31392</v>
      </c>
      <c r="E374" s="62">
        <v>0.14899999999999999</v>
      </c>
      <c r="F374" s="62">
        <v>0.10680561497326202</v>
      </c>
      <c r="G374" s="46">
        <f t="shared" si="5"/>
        <v>4.2194385026737974E-2</v>
      </c>
    </row>
    <row r="375" spans="3:7">
      <c r="C375" s="43"/>
      <c r="D375" s="301">
        <v>31401</v>
      </c>
      <c r="E375" s="62">
        <v>0.14880000000000002</v>
      </c>
      <c r="F375" s="62">
        <v>0.10590342245989304</v>
      </c>
      <c r="G375" s="46">
        <f t="shared" si="5"/>
        <v>4.2896577540106978E-2</v>
      </c>
    </row>
    <row r="376" spans="3:7">
      <c r="C376" s="43"/>
      <c r="D376" s="301">
        <v>31401</v>
      </c>
      <c r="E376" s="62">
        <v>0.15</v>
      </c>
      <c r="F376" s="62">
        <v>0.10590342245989304</v>
      </c>
      <c r="G376" s="46">
        <f t="shared" si="5"/>
        <v>4.4096577540106957E-2</v>
      </c>
    </row>
    <row r="377" spans="3:7">
      <c r="C377" s="43"/>
      <c r="D377" s="301">
        <v>31401</v>
      </c>
      <c r="E377" s="62">
        <v>0.15</v>
      </c>
      <c r="F377" s="62">
        <v>0.10590342245989304</v>
      </c>
      <c r="G377" s="46">
        <f t="shared" si="5"/>
        <v>4.4096577540106957E-2</v>
      </c>
    </row>
    <row r="378" spans="3:7">
      <c r="C378" s="43"/>
      <c r="D378" s="301">
        <v>31411</v>
      </c>
      <c r="E378" s="62">
        <v>0.1575</v>
      </c>
      <c r="F378" s="62">
        <v>0.10525342245989304</v>
      </c>
      <c r="G378" s="46">
        <f t="shared" si="5"/>
        <v>5.2246577540106962E-2</v>
      </c>
    </row>
    <row r="379" spans="3:7">
      <c r="C379" s="43"/>
      <c r="D379" s="301">
        <v>31412</v>
      </c>
      <c r="E379" s="62">
        <v>0.14000000000000001</v>
      </c>
      <c r="F379" s="62">
        <v>0.10512673796791441</v>
      </c>
      <c r="G379" s="46">
        <f t="shared" si="5"/>
        <v>3.48732620320856E-2</v>
      </c>
    </row>
    <row r="380" spans="3:7">
      <c r="C380" s="43"/>
      <c r="D380" s="301">
        <v>31412</v>
      </c>
      <c r="E380" s="62">
        <v>0.14499999999999999</v>
      </c>
      <c r="F380" s="62">
        <v>0.10512673796791441</v>
      </c>
      <c r="G380" s="46">
        <f t="shared" si="5"/>
        <v>3.9873262032085577E-2</v>
      </c>
    </row>
    <row r="381" spans="3:7">
      <c r="C381" s="43"/>
      <c r="D381" s="301">
        <v>31429</v>
      </c>
      <c r="E381" s="62">
        <v>0.14499999999999999</v>
      </c>
      <c r="F381" s="62">
        <v>0.10378272727272719</v>
      </c>
      <c r="G381" s="46">
        <f t="shared" si="5"/>
        <v>4.1217272727272797E-2</v>
      </c>
    </row>
    <row r="382" spans="3:7">
      <c r="C382" s="43"/>
      <c r="D382" s="301">
        <v>31454</v>
      </c>
      <c r="E382" s="62">
        <v>0.125</v>
      </c>
      <c r="F382" s="62">
        <v>0.10204844919786087</v>
      </c>
      <c r="G382" s="46">
        <f t="shared" si="5"/>
        <v>2.2951550802139134E-2</v>
      </c>
    </row>
    <row r="383" spans="3:7">
      <c r="C383" s="43"/>
      <c r="D383" s="301">
        <v>31455</v>
      </c>
      <c r="E383" s="62">
        <v>0.152</v>
      </c>
      <c r="F383" s="62">
        <v>0.10193941176470578</v>
      </c>
      <c r="G383" s="46">
        <f t="shared" si="5"/>
        <v>5.0060588235294218E-2</v>
      </c>
    </row>
    <row r="384" spans="3:7">
      <c r="C384" s="43"/>
      <c r="D384" s="301">
        <v>31482</v>
      </c>
      <c r="E384" s="62">
        <v>0.14000000000000001</v>
      </c>
      <c r="F384" s="62">
        <v>9.9772727272727207E-2</v>
      </c>
      <c r="G384" s="46">
        <f t="shared" si="5"/>
        <v>4.0227272727272806E-2</v>
      </c>
    </row>
    <row r="385" spans="3:7">
      <c r="C385" s="43"/>
      <c r="D385" s="301">
        <v>31504</v>
      </c>
      <c r="E385" s="62">
        <v>0.129</v>
      </c>
      <c r="F385" s="62">
        <v>9.7642941176470585E-2</v>
      </c>
      <c r="G385" s="46">
        <f t="shared" si="5"/>
        <v>3.1357058823529418E-2</v>
      </c>
    </row>
    <row r="386" spans="3:7">
      <c r="C386" s="43"/>
      <c r="D386" s="301">
        <v>31530</v>
      </c>
      <c r="E386" s="62">
        <v>0.13009999999999999</v>
      </c>
      <c r="F386" s="62">
        <v>9.4672406417112248E-2</v>
      </c>
      <c r="G386" s="46">
        <f t="shared" si="5"/>
        <v>3.5427593582887745E-2</v>
      </c>
    </row>
    <row r="387" spans="3:7">
      <c r="C387" s="43"/>
      <c r="D387" s="301">
        <v>31553</v>
      </c>
      <c r="E387" s="62">
        <v>0.13250000000000001</v>
      </c>
      <c r="F387" s="62">
        <v>9.180839572192509E-2</v>
      </c>
      <c r="G387" s="46">
        <f t="shared" si="5"/>
        <v>4.0691604278074917E-2</v>
      </c>
    </row>
    <row r="388" spans="3:7">
      <c r="C388" s="43"/>
      <c r="D388" s="301">
        <v>31560</v>
      </c>
      <c r="E388" s="62">
        <v>0.14000000000000001</v>
      </c>
      <c r="F388" s="62">
        <v>9.1172139037433098E-2</v>
      </c>
      <c r="G388" s="46">
        <f t="shared" si="5"/>
        <v>4.8827860962566916E-2</v>
      </c>
    </row>
    <row r="389" spans="3:7">
      <c r="C389" s="43"/>
      <c r="D389" s="301">
        <v>31561</v>
      </c>
      <c r="E389" s="62">
        <v>0.13900000000000001</v>
      </c>
      <c r="F389" s="62">
        <v>9.1029090909090851E-2</v>
      </c>
      <c r="G389" s="46">
        <f t="shared" si="5"/>
        <v>4.7970909090909161E-2</v>
      </c>
    </row>
    <row r="390" spans="3:7">
      <c r="C390" s="43"/>
      <c r="D390" s="301">
        <v>31565</v>
      </c>
      <c r="E390" s="62">
        <v>0.13</v>
      </c>
      <c r="F390" s="62">
        <v>9.0758556149732564E-2</v>
      </c>
      <c r="G390" s="46">
        <f t="shared" si="5"/>
        <v>3.9241443850267441E-2</v>
      </c>
    </row>
    <row r="391" spans="3:7">
      <c r="C391" s="43"/>
      <c r="D391" s="301">
        <v>31574</v>
      </c>
      <c r="E391" s="62">
        <v>0.14000000000000001</v>
      </c>
      <c r="F391" s="62">
        <v>8.9720748663101563E-2</v>
      </c>
      <c r="G391" s="46">
        <f t="shared" si="5"/>
        <v>5.0279251336898451E-2</v>
      </c>
    </row>
    <row r="392" spans="3:7">
      <c r="C392" s="43"/>
      <c r="D392" s="301">
        <v>31576</v>
      </c>
      <c r="E392" s="62">
        <v>0.13550000000000001</v>
      </c>
      <c r="F392" s="62">
        <v>8.9381229946524032E-2</v>
      </c>
      <c r="G392" s="46">
        <f t="shared" si="5"/>
        <v>4.6118770053475977E-2</v>
      </c>
    </row>
    <row r="393" spans="3:7">
      <c r="C393" s="43"/>
      <c r="D393" s="301">
        <v>31590</v>
      </c>
      <c r="E393" s="62">
        <v>0.1188</v>
      </c>
      <c r="F393" s="62">
        <v>8.76806951871658E-2</v>
      </c>
      <c r="G393" s="46">
        <f t="shared" si="5"/>
        <v>3.1119304812834203E-2</v>
      </c>
    </row>
    <row r="394" spans="3:7">
      <c r="C394" s="43"/>
      <c r="D394" s="301">
        <v>31607</v>
      </c>
      <c r="E394" s="62">
        <v>0.126</v>
      </c>
      <c r="F394" s="62">
        <v>8.5857754010695175E-2</v>
      </c>
      <c r="G394" s="46">
        <f t="shared" si="5"/>
        <v>4.0142245989304826E-2</v>
      </c>
    </row>
    <row r="395" spans="3:7">
      <c r="C395" s="43"/>
      <c r="D395" s="301">
        <v>31623</v>
      </c>
      <c r="E395" s="62">
        <v>0.13300000000000001</v>
      </c>
      <c r="F395" s="62">
        <v>8.3844278074866302E-2</v>
      </c>
      <c r="G395" s="46">
        <f t="shared" si="5"/>
        <v>4.9155721925133705E-2</v>
      </c>
    </row>
    <row r="396" spans="3:7">
      <c r="C396" s="43"/>
      <c r="D396" s="301">
        <v>31638</v>
      </c>
      <c r="E396" s="62">
        <v>0.13500000000000001</v>
      </c>
      <c r="F396" s="62">
        <v>8.2226042780748632E-2</v>
      </c>
      <c r="G396" s="46">
        <f t="shared" si="5"/>
        <v>5.2773957219251377E-2</v>
      </c>
    </row>
    <row r="397" spans="3:7">
      <c r="C397" s="43"/>
      <c r="D397" s="301">
        <v>31660</v>
      </c>
      <c r="E397" s="62">
        <v>0.13300000000000001</v>
      </c>
      <c r="F397" s="62">
        <v>8.0231978609625665E-2</v>
      </c>
      <c r="G397" s="46">
        <f t="shared" si="5"/>
        <v>5.2768021390374342E-2</v>
      </c>
    </row>
    <row r="398" spans="3:7">
      <c r="C398" s="43"/>
      <c r="D398" s="301">
        <v>31678</v>
      </c>
      <c r="E398" s="62">
        <v>0.1275</v>
      </c>
      <c r="F398" s="62">
        <v>7.9051818181818181E-2</v>
      </c>
      <c r="G398" s="46">
        <f t="shared" si="5"/>
        <v>4.8448181818181821E-2</v>
      </c>
    </row>
    <row r="399" spans="3:7">
      <c r="C399" s="43"/>
      <c r="D399" s="301">
        <v>31715</v>
      </c>
      <c r="E399" s="62">
        <v>0.13</v>
      </c>
      <c r="F399" s="62">
        <v>7.6721657754010714E-2</v>
      </c>
      <c r="G399" s="46">
        <f t="shared" si="5"/>
        <v>5.3278342245989291E-2</v>
      </c>
    </row>
    <row r="400" spans="3:7">
      <c r="C400" s="43"/>
      <c r="D400" s="301">
        <v>31716</v>
      </c>
      <c r="E400" s="62">
        <v>0.13750000000000001</v>
      </c>
      <c r="F400" s="62">
        <v>7.6634224598930489E-2</v>
      </c>
      <c r="G400" s="46">
        <f t="shared" si="5"/>
        <v>6.0865775401069522E-2</v>
      </c>
    </row>
    <row r="401" spans="3:7">
      <c r="C401" s="43"/>
      <c r="D401" s="301">
        <v>31726</v>
      </c>
      <c r="E401" s="62">
        <v>0.14000000000000001</v>
      </c>
      <c r="F401" s="62">
        <v>7.6105668449197875E-2</v>
      </c>
      <c r="G401" s="46">
        <f t="shared" si="5"/>
        <v>6.3894331550802139E-2</v>
      </c>
    </row>
    <row r="402" spans="3:7">
      <c r="C402" s="43"/>
      <c r="D402" s="301">
        <v>31735</v>
      </c>
      <c r="E402" s="62">
        <v>0.13750000000000001</v>
      </c>
      <c r="F402" s="62">
        <v>7.5642245989304829E-2</v>
      </c>
      <c r="G402" s="46">
        <f t="shared" si="5"/>
        <v>6.1857754010695182E-2</v>
      </c>
    </row>
    <row r="403" spans="3:7">
      <c r="C403" s="43"/>
      <c r="D403" s="301">
        <v>31741</v>
      </c>
      <c r="E403" s="62">
        <v>0.13150000000000001</v>
      </c>
      <c r="F403" s="62">
        <v>7.539342245989307E-2</v>
      </c>
      <c r="G403" s="46">
        <f t="shared" si="5"/>
        <v>5.6106577540106936E-2</v>
      </c>
    </row>
    <row r="404" spans="3:7">
      <c r="C404" s="43"/>
      <c r="D404" s="301">
        <v>31768</v>
      </c>
      <c r="E404" s="62">
        <v>0.13800000000000001</v>
      </c>
      <c r="F404" s="62">
        <v>7.4734278074866378E-2</v>
      </c>
      <c r="G404" s="46">
        <f t="shared" si="5"/>
        <v>6.3265721925133633E-2</v>
      </c>
    </row>
    <row r="405" spans="3:7">
      <c r="C405" s="43"/>
      <c r="D405" s="301">
        <v>31776</v>
      </c>
      <c r="E405" s="62">
        <v>0.13900000000000001</v>
      </c>
      <c r="F405" s="62">
        <v>7.4665989304812899E-2</v>
      </c>
      <c r="G405" s="46">
        <f t="shared" si="5"/>
        <v>6.4334010695187113E-2</v>
      </c>
    </row>
    <row r="406" spans="3:7">
      <c r="C406" s="43"/>
      <c r="D406" s="301">
        <v>31797</v>
      </c>
      <c r="E406" s="62">
        <v>0.1275</v>
      </c>
      <c r="F406" s="62">
        <v>7.4679518716577603E-2</v>
      </c>
      <c r="G406" s="46">
        <f t="shared" si="5"/>
        <v>5.2820481283422399E-2</v>
      </c>
    </row>
    <row r="407" spans="3:7">
      <c r="C407" s="43"/>
      <c r="D407" s="301">
        <v>31800</v>
      </c>
      <c r="E407" s="62">
        <v>0.13550000000000001</v>
      </c>
      <c r="F407" s="62">
        <v>7.4689411764705949E-2</v>
      </c>
      <c r="G407" s="46">
        <f t="shared" si="5"/>
        <v>6.0810588235294061E-2</v>
      </c>
    </row>
    <row r="408" spans="3:7">
      <c r="C408" s="43"/>
      <c r="D408" s="301">
        <v>31804</v>
      </c>
      <c r="E408" s="62">
        <v>0.1216</v>
      </c>
      <c r="F408" s="62">
        <v>7.4677058823529485E-2</v>
      </c>
      <c r="G408" s="46">
        <f t="shared" si="5"/>
        <v>4.6922941176470515E-2</v>
      </c>
    </row>
    <row r="409" spans="3:7">
      <c r="C409" s="43"/>
      <c r="D409" s="301">
        <v>31821</v>
      </c>
      <c r="E409" s="62">
        <v>0.126</v>
      </c>
      <c r="F409" s="62">
        <v>7.4710267379679215E-2</v>
      </c>
      <c r="G409" s="46">
        <f t="shared" si="5"/>
        <v>5.1289732620320785E-2</v>
      </c>
    </row>
    <row r="410" spans="3:7">
      <c r="C410" s="43"/>
      <c r="D410" s="301">
        <v>31832</v>
      </c>
      <c r="E410" s="62">
        <v>0.12</v>
      </c>
      <c r="F410" s="62">
        <v>7.4698663101604307E-2</v>
      </c>
      <c r="G410" s="46">
        <f t="shared" si="5"/>
        <v>4.5301336898395689E-2</v>
      </c>
    </row>
    <row r="411" spans="3:7">
      <c r="C411" s="43"/>
      <c r="D411" s="301">
        <v>31866</v>
      </c>
      <c r="E411" s="62">
        <v>0.122</v>
      </c>
      <c r="F411" s="62">
        <v>7.4624919786096269E-2</v>
      </c>
      <c r="G411" s="46">
        <f t="shared" si="5"/>
        <v>4.7375080213903728E-2</v>
      </c>
    </row>
    <row r="412" spans="3:7">
      <c r="C412" s="43"/>
      <c r="D412" s="301">
        <v>31867</v>
      </c>
      <c r="E412" s="62">
        <v>0.13</v>
      </c>
      <c r="F412" s="62">
        <v>7.4658930481283428E-2</v>
      </c>
      <c r="G412" s="46">
        <f t="shared" si="5"/>
        <v>5.5341069518716576E-2</v>
      </c>
    </row>
    <row r="413" spans="3:7">
      <c r="C413" s="43"/>
      <c r="D413" s="301">
        <v>31902</v>
      </c>
      <c r="E413" s="62">
        <v>0.1285</v>
      </c>
      <c r="F413" s="62">
        <v>7.5991604278074873E-2</v>
      </c>
      <c r="G413" s="46">
        <f t="shared" si="5"/>
        <v>5.250839572192513E-2</v>
      </c>
    </row>
    <row r="414" spans="3:7">
      <c r="C414" s="43"/>
      <c r="D414" s="301">
        <v>31925</v>
      </c>
      <c r="E414" s="62">
        <v>0.13500000000000001</v>
      </c>
      <c r="F414" s="62">
        <v>7.7253957219251365E-2</v>
      </c>
      <c r="G414" s="46">
        <f t="shared" si="5"/>
        <v>5.7746042780748644E-2</v>
      </c>
    </row>
    <row r="415" spans="3:7">
      <c r="C415" s="43"/>
      <c r="D415" s="301">
        <v>31943</v>
      </c>
      <c r="E415" s="62">
        <v>0.13200000000000001</v>
      </c>
      <c r="F415" s="62">
        <v>7.8042566844919781E-2</v>
      </c>
      <c r="G415" s="46">
        <f t="shared" si="5"/>
        <v>5.3957433155080226E-2</v>
      </c>
    </row>
    <row r="416" spans="3:7">
      <c r="C416" s="43"/>
      <c r="D416" s="301">
        <v>31958</v>
      </c>
      <c r="E416" s="62">
        <v>0.126</v>
      </c>
      <c r="F416" s="62">
        <v>7.8487700534759369E-2</v>
      </c>
      <c r="G416" s="46">
        <f t="shared" si="5"/>
        <v>4.7512299465240632E-2</v>
      </c>
    </row>
    <row r="417" spans="3:7">
      <c r="C417" s="43"/>
      <c r="D417" s="301">
        <v>31968</v>
      </c>
      <c r="E417" s="62">
        <v>0.129</v>
      </c>
      <c r="F417" s="62">
        <v>7.881438502673796E-2</v>
      </c>
      <c r="G417" s="46">
        <f t="shared" si="5"/>
        <v>5.0185614973262044E-2</v>
      </c>
    </row>
    <row r="418" spans="3:7">
      <c r="C418" s="43"/>
      <c r="D418" s="301">
        <v>31985</v>
      </c>
      <c r="E418" s="62">
        <v>0.13500000000000001</v>
      </c>
      <c r="F418" s="62">
        <v>7.9344064171122997E-2</v>
      </c>
      <c r="G418" s="46">
        <f t="shared" si="5"/>
        <v>5.5655935828877012E-2</v>
      </c>
    </row>
    <row r="419" spans="3:7">
      <c r="C419" s="43"/>
      <c r="D419" s="301">
        <v>32014</v>
      </c>
      <c r="E419" s="62">
        <v>0.114</v>
      </c>
      <c r="F419" s="62">
        <v>8.0856631016042735E-2</v>
      </c>
      <c r="G419" s="46">
        <f t="shared" si="5"/>
        <v>3.3143368983957269E-2</v>
      </c>
    </row>
    <row r="420" spans="3:7">
      <c r="C420" s="43"/>
      <c r="D420" s="301">
        <v>32038</v>
      </c>
      <c r="E420" s="62">
        <v>0.13</v>
      </c>
      <c r="F420" s="62">
        <v>8.2737379679144338E-2</v>
      </c>
      <c r="G420" s="46">
        <f t="shared" si="5"/>
        <v>4.7262620320855667E-2</v>
      </c>
    </row>
    <row r="421" spans="3:7">
      <c r="C421" s="43"/>
      <c r="D421" s="301">
        <v>32070</v>
      </c>
      <c r="E421" s="62">
        <v>0.126</v>
      </c>
      <c r="F421" s="62">
        <v>8.5470481283422453E-2</v>
      </c>
      <c r="G421" s="46">
        <f t="shared" si="5"/>
        <v>4.0529518716577548E-2</v>
      </c>
    </row>
    <row r="422" spans="3:7">
      <c r="C422" s="43"/>
      <c r="D422" s="301">
        <v>32070</v>
      </c>
      <c r="E422" s="62">
        <v>0.1298</v>
      </c>
      <c r="F422" s="62">
        <v>8.5470481283422453E-2</v>
      </c>
      <c r="G422" s="46">
        <f t="shared" si="5"/>
        <v>4.4329518716577546E-2</v>
      </c>
    </row>
    <row r="423" spans="3:7">
      <c r="C423" s="43"/>
      <c r="D423" s="301">
        <v>32093</v>
      </c>
      <c r="E423" s="62">
        <v>0.1275</v>
      </c>
      <c r="F423" s="62">
        <v>8.6754117647058801E-2</v>
      </c>
      <c r="G423" s="46">
        <f t="shared" si="5"/>
        <v>4.0745882352941201E-2</v>
      </c>
    </row>
    <row r="424" spans="3:7">
      <c r="C424" s="43"/>
      <c r="D424" s="301">
        <v>32094</v>
      </c>
      <c r="E424" s="62">
        <v>0.1275</v>
      </c>
      <c r="F424" s="62">
        <v>8.6825882352941142E-2</v>
      </c>
      <c r="G424" s="46">
        <f t="shared" si="5"/>
        <v>4.0674117647058861E-2</v>
      </c>
    </row>
    <row r="425" spans="3:7">
      <c r="C425" s="43"/>
      <c r="D425" s="301">
        <v>32105</v>
      </c>
      <c r="E425" s="62">
        <v>0.125</v>
      </c>
      <c r="F425" s="62">
        <v>8.7345882352941162E-2</v>
      </c>
      <c r="G425" s="46">
        <f t="shared" si="5"/>
        <v>3.7654117647058838E-2</v>
      </c>
    </row>
    <row r="426" spans="3:7">
      <c r="C426" s="43"/>
      <c r="D426" s="301">
        <v>32119</v>
      </c>
      <c r="E426" s="62">
        <v>0.125</v>
      </c>
      <c r="F426" s="62">
        <v>8.8140481283422459E-2</v>
      </c>
      <c r="G426" s="46">
        <f t="shared" si="5"/>
        <v>3.6859518716577541E-2</v>
      </c>
    </row>
    <row r="427" spans="3:7">
      <c r="C427" s="43"/>
      <c r="D427" s="301">
        <v>32133</v>
      </c>
      <c r="E427" s="62">
        <v>0.12</v>
      </c>
      <c r="F427" s="62">
        <v>8.9030160427807453E-2</v>
      </c>
      <c r="G427" s="46">
        <f t="shared" si="5"/>
        <v>3.0969839572192542E-2</v>
      </c>
    </row>
    <row r="428" spans="3:7">
      <c r="C428" s="43"/>
      <c r="D428" s="301">
        <v>32142</v>
      </c>
      <c r="E428" s="62">
        <v>0.1285</v>
      </c>
      <c r="F428" s="62">
        <v>8.9396149732620292E-2</v>
      </c>
      <c r="G428" s="46">
        <f t="shared" si="5"/>
        <v>3.9103850267379711E-2</v>
      </c>
    </row>
    <row r="429" spans="3:7">
      <c r="C429" s="43"/>
      <c r="D429" s="301">
        <v>32142</v>
      </c>
      <c r="E429" s="62">
        <v>0.13250000000000001</v>
      </c>
      <c r="F429" s="62">
        <v>8.9396149732620292E-2</v>
      </c>
      <c r="G429" s="46">
        <f t="shared" si="5"/>
        <v>4.3103850267379715E-2</v>
      </c>
    </row>
    <row r="430" spans="3:7">
      <c r="C430" s="43"/>
      <c r="D430" s="301">
        <v>32157</v>
      </c>
      <c r="E430" s="62">
        <v>0.13150000000000001</v>
      </c>
      <c r="F430" s="62">
        <v>8.986898395721922E-2</v>
      </c>
      <c r="G430" s="46">
        <f t="shared" si="5"/>
        <v>4.1631016042780786E-2</v>
      </c>
    </row>
    <row r="431" spans="3:7">
      <c r="C431" s="43"/>
      <c r="D431" s="301">
        <v>32162</v>
      </c>
      <c r="E431" s="62">
        <v>0.1275</v>
      </c>
      <c r="F431" s="62">
        <v>8.9915401069518675E-2</v>
      </c>
      <c r="G431" s="46">
        <f t="shared" si="5"/>
        <v>3.7584598930481328E-2</v>
      </c>
    </row>
    <row r="432" spans="3:7">
      <c r="C432" s="43"/>
      <c r="D432" s="301">
        <v>32171</v>
      </c>
      <c r="E432" s="62">
        <v>0.13200000000000001</v>
      </c>
      <c r="F432" s="62">
        <v>8.9927219251336885E-2</v>
      </c>
      <c r="G432" s="46">
        <f t="shared" si="5"/>
        <v>4.2072780748663122E-2</v>
      </c>
    </row>
    <row r="433" spans="3:7">
      <c r="C433" s="43"/>
      <c r="D433" s="301">
        <v>32177</v>
      </c>
      <c r="E433" s="62">
        <v>0.126</v>
      </c>
      <c r="F433" s="62">
        <v>8.986978609625669E-2</v>
      </c>
      <c r="G433" s="46">
        <f t="shared" ref="G433:G496" si="6">E433-F433</f>
        <v>3.6130213903743311E-2</v>
      </c>
    </row>
    <row r="434" spans="3:7">
      <c r="C434" s="43"/>
      <c r="D434" s="301">
        <v>32225</v>
      </c>
      <c r="E434" s="62">
        <v>0.13</v>
      </c>
      <c r="F434" s="62">
        <v>8.9460267379679159E-2</v>
      </c>
      <c r="G434" s="46">
        <f t="shared" si="6"/>
        <v>4.0539732620320845E-2</v>
      </c>
    </row>
    <row r="435" spans="3:7">
      <c r="C435" s="43"/>
      <c r="D435" s="301">
        <v>32290</v>
      </c>
      <c r="E435" s="62">
        <v>0.1318</v>
      </c>
      <c r="F435" s="62">
        <v>9.0162566844919842E-2</v>
      </c>
      <c r="G435" s="46">
        <f t="shared" si="6"/>
        <v>4.1637433155080159E-2</v>
      </c>
    </row>
    <row r="436" spans="3:7">
      <c r="C436" s="43"/>
      <c r="D436" s="301">
        <v>32308</v>
      </c>
      <c r="E436" s="62">
        <v>0.13500000000000001</v>
      </c>
      <c r="F436" s="62">
        <v>8.9977807486631062E-2</v>
      </c>
      <c r="G436" s="46">
        <f t="shared" si="6"/>
        <v>4.5022192513368947E-2</v>
      </c>
    </row>
    <row r="437" spans="3:7">
      <c r="C437" s="43"/>
      <c r="D437" s="301">
        <v>32311</v>
      </c>
      <c r="E437" s="62">
        <v>0.11720000000000001</v>
      </c>
      <c r="F437" s="62">
        <v>8.9858716577540146E-2</v>
      </c>
      <c r="G437" s="46">
        <f t="shared" si="6"/>
        <v>2.7341283422459867E-2</v>
      </c>
    </row>
    <row r="438" spans="3:7">
      <c r="C438" s="43"/>
      <c r="D438" s="301">
        <v>32318</v>
      </c>
      <c r="E438" s="62">
        <v>0.115</v>
      </c>
      <c r="F438" s="62">
        <v>8.971545454545457E-2</v>
      </c>
      <c r="G438" s="46">
        <f t="shared" si="6"/>
        <v>2.5284545454545435E-2</v>
      </c>
    </row>
    <row r="439" spans="3:7">
      <c r="C439" s="43"/>
      <c r="D439" s="301">
        <v>32325</v>
      </c>
      <c r="E439" s="62">
        <v>0.1275</v>
      </c>
      <c r="F439" s="62">
        <v>8.9493368983957225E-2</v>
      </c>
      <c r="G439" s="46">
        <f t="shared" si="6"/>
        <v>3.8006631016042777E-2</v>
      </c>
    </row>
    <row r="440" spans="3:7">
      <c r="C440" s="43"/>
      <c r="D440" s="301">
        <v>32332</v>
      </c>
      <c r="E440" s="62">
        <v>0.12</v>
      </c>
      <c r="F440" s="62">
        <v>8.9328395721925136E-2</v>
      </c>
      <c r="G440" s="46">
        <f t="shared" si="6"/>
        <v>3.067160427807486E-2</v>
      </c>
    </row>
    <row r="441" spans="3:7">
      <c r="C441" s="43"/>
      <c r="D441" s="301">
        <v>32342</v>
      </c>
      <c r="E441" s="62">
        <v>0.12</v>
      </c>
      <c r="F441" s="62">
        <v>8.9062620320855601E-2</v>
      </c>
      <c r="G441" s="46">
        <f t="shared" si="6"/>
        <v>3.0937379679144394E-2</v>
      </c>
    </row>
    <row r="442" spans="3:7">
      <c r="C442" s="43"/>
      <c r="D442" s="301">
        <v>32344</v>
      </c>
      <c r="E442" s="62">
        <v>0.13400000000000001</v>
      </c>
      <c r="F442" s="62">
        <v>8.8978877005347581E-2</v>
      </c>
      <c r="G442" s="46">
        <f t="shared" si="6"/>
        <v>4.5021122994652427E-2</v>
      </c>
    </row>
    <row r="443" spans="3:7">
      <c r="C443" s="43"/>
      <c r="D443" s="301">
        <v>32363</v>
      </c>
      <c r="E443" s="62">
        <v>0.12740000000000001</v>
      </c>
      <c r="F443" s="62">
        <v>8.9029144385026682E-2</v>
      </c>
      <c r="G443" s="46">
        <f t="shared" si="6"/>
        <v>3.8370855614973332E-2</v>
      </c>
    </row>
    <row r="444" spans="3:7">
      <c r="C444" s="43"/>
      <c r="D444" s="301">
        <v>32406</v>
      </c>
      <c r="E444" s="62">
        <v>0.129</v>
      </c>
      <c r="F444" s="62">
        <v>8.9309144385026698E-2</v>
      </c>
      <c r="G444" s="46">
        <f t="shared" si="6"/>
        <v>3.9690855614973305E-2</v>
      </c>
    </row>
    <row r="445" spans="3:7">
      <c r="C445" s="43"/>
      <c r="D445" s="301">
        <v>32412</v>
      </c>
      <c r="E445" s="62">
        <v>0.124</v>
      </c>
      <c r="F445" s="62">
        <v>8.9326149732620291E-2</v>
      </c>
      <c r="G445" s="46">
        <f t="shared" si="6"/>
        <v>3.4673850267379708E-2</v>
      </c>
    </row>
    <row r="446" spans="3:7">
      <c r="C446" s="43"/>
      <c r="D446" s="301">
        <v>32413</v>
      </c>
      <c r="E446" s="62">
        <v>0.13650000000000001</v>
      </c>
      <c r="F446" s="62">
        <v>8.933727272727271E-2</v>
      </c>
      <c r="G446" s="46">
        <f t="shared" si="6"/>
        <v>4.7162727272727301E-2</v>
      </c>
    </row>
    <row r="447" spans="3:7">
      <c r="C447" s="43"/>
      <c r="D447" s="301">
        <v>32416</v>
      </c>
      <c r="E447" s="62">
        <v>0.13250000000000001</v>
      </c>
      <c r="F447" s="62">
        <v>8.935941176470584E-2</v>
      </c>
      <c r="G447" s="46">
        <f t="shared" si="6"/>
        <v>4.3140588235294167E-2</v>
      </c>
    </row>
    <row r="448" spans="3:7">
      <c r="C448" s="43"/>
      <c r="D448" s="301">
        <v>32429</v>
      </c>
      <c r="E448" s="62">
        <v>0.13100000000000001</v>
      </c>
      <c r="F448" s="62">
        <v>8.9313475935828848E-2</v>
      </c>
      <c r="G448" s="46">
        <f t="shared" si="6"/>
        <v>4.1686524064171157E-2</v>
      </c>
    </row>
    <row r="449" spans="3:7">
      <c r="C449" s="43"/>
      <c r="D449" s="301">
        <v>32437</v>
      </c>
      <c r="E449" s="62">
        <v>0.128</v>
      </c>
      <c r="F449" s="62">
        <v>8.9362994652406352E-2</v>
      </c>
      <c r="G449" s="46">
        <f t="shared" si="6"/>
        <v>3.863700534759365E-2</v>
      </c>
    </row>
    <row r="450" spans="3:7">
      <c r="C450" s="43"/>
      <c r="D450" s="301">
        <v>32441</v>
      </c>
      <c r="E450" s="62">
        <v>0.13250000000000001</v>
      </c>
      <c r="F450" s="62">
        <v>8.9395614973261997E-2</v>
      </c>
      <c r="G450" s="46">
        <f t="shared" si="6"/>
        <v>4.310438502673801E-2</v>
      </c>
    </row>
    <row r="451" spans="3:7">
      <c r="C451" s="43"/>
      <c r="D451" s="301">
        <v>32442</v>
      </c>
      <c r="E451" s="62">
        <v>0.13500000000000001</v>
      </c>
      <c r="F451" s="62">
        <v>8.9417860962566792E-2</v>
      </c>
      <c r="G451" s="46">
        <f t="shared" si="6"/>
        <v>4.5582139037433217E-2</v>
      </c>
    </row>
    <row r="452" spans="3:7">
      <c r="C452" s="43"/>
      <c r="D452" s="301">
        <v>32443</v>
      </c>
      <c r="E452" s="62">
        <v>0.1295</v>
      </c>
      <c r="F452" s="62">
        <v>8.9439893048128299E-2</v>
      </c>
      <c r="G452" s="46">
        <f t="shared" si="6"/>
        <v>4.0060106951871705E-2</v>
      </c>
    </row>
    <row r="453" spans="3:7">
      <c r="C453" s="43"/>
      <c r="D453" s="301">
        <v>32444</v>
      </c>
      <c r="E453" s="62">
        <v>0.13</v>
      </c>
      <c r="F453" s="62">
        <v>8.9459786096256627E-2</v>
      </c>
      <c r="G453" s="46">
        <f t="shared" si="6"/>
        <v>4.0540213903743377E-2</v>
      </c>
    </row>
    <row r="454" spans="3:7">
      <c r="C454" s="43"/>
      <c r="D454" s="301">
        <v>32462</v>
      </c>
      <c r="E454" s="62">
        <v>0.12</v>
      </c>
      <c r="F454" s="62">
        <v>8.9764331550802087E-2</v>
      </c>
      <c r="G454" s="46">
        <f t="shared" si="6"/>
        <v>3.0235668449197908E-2</v>
      </c>
    </row>
    <row r="455" spans="3:7">
      <c r="C455" s="43"/>
      <c r="D455" s="301">
        <v>32476</v>
      </c>
      <c r="E455" s="62">
        <v>0.1275</v>
      </c>
      <c r="F455" s="62">
        <v>9.0120267379679125E-2</v>
      </c>
      <c r="G455" s="46">
        <f t="shared" si="6"/>
        <v>3.7379732620320877E-2</v>
      </c>
    </row>
    <row r="456" spans="3:7">
      <c r="C456" s="43"/>
      <c r="D456" s="301">
        <v>32496</v>
      </c>
      <c r="E456" s="62">
        <v>0.13</v>
      </c>
      <c r="F456" s="62">
        <v>9.0497433155080201E-2</v>
      </c>
      <c r="G456" s="46">
        <f t="shared" si="6"/>
        <v>3.9502566844919804E-2</v>
      </c>
    </row>
    <row r="457" spans="3:7">
      <c r="C457" s="43"/>
      <c r="D457" s="301">
        <v>32498</v>
      </c>
      <c r="E457" s="62">
        <v>0.129</v>
      </c>
      <c r="F457" s="62">
        <v>9.0521229946524048E-2</v>
      </c>
      <c r="G457" s="46">
        <f t="shared" si="6"/>
        <v>3.8478770053475955E-2</v>
      </c>
    </row>
    <row r="458" spans="3:7">
      <c r="C458" s="43"/>
      <c r="D458" s="301">
        <v>32499</v>
      </c>
      <c r="E458" s="62">
        <v>0.13500000000000001</v>
      </c>
      <c r="F458" s="62">
        <v>9.053229946524062E-2</v>
      </c>
      <c r="G458" s="46">
        <f t="shared" si="6"/>
        <v>4.4467700534759388E-2</v>
      </c>
    </row>
    <row r="459" spans="3:7">
      <c r="C459" s="43"/>
      <c r="D459" s="301">
        <v>32534</v>
      </c>
      <c r="E459" s="62">
        <v>0.126</v>
      </c>
      <c r="F459" s="62">
        <v>9.0639144385026738E-2</v>
      </c>
      <c r="G459" s="46">
        <f t="shared" si="6"/>
        <v>3.5360855614973263E-2</v>
      </c>
    </row>
    <row r="460" spans="3:7">
      <c r="C460" s="43"/>
      <c r="D460" s="301">
        <v>32535</v>
      </c>
      <c r="E460" s="62">
        <v>0.13</v>
      </c>
      <c r="F460" s="62">
        <v>9.0625668449197852E-2</v>
      </c>
      <c r="G460" s="46">
        <f t="shared" si="6"/>
        <v>3.9374331550802152E-2</v>
      </c>
    </row>
    <row r="461" spans="3:7">
      <c r="C461" s="43"/>
      <c r="D461" s="301">
        <v>32547</v>
      </c>
      <c r="E461" s="62">
        <v>0.13369999999999999</v>
      </c>
      <c r="F461" s="62">
        <v>9.0499358288770024E-2</v>
      </c>
      <c r="G461" s="46">
        <f t="shared" si="6"/>
        <v>4.3200641711229962E-2</v>
      </c>
    </row>
    <row r="462" spans="3:7">
      <c r="C462" s="43"/>
      <c r="D462" s="301">
        <v>32575</v>
      </c>
      <c r="E462" s="62">
        <v>0.13</v>
      </c>
      <c r="F462" s="62">
        <v>9.0372139037433158E-2</v>
      </c>
      <c r="G462" s="46">
        <f t="shared" si="6"/>
        <v>3.9627860962566847E-2</v>
      </c>
    </row>
    <row r="463" spans="3:7">
      <c r="C463" s="43"/>
      <c r="D463" s="301">
        <v>32632</v>
      </c>
      <c r="E463" s="62">
        <v>0.13</v>
      </c>
      <c r="F463" s="62">
        <v>9.0413796791443901E-2</v>
      </c>
      <c r="G463" s="46">
        <f t="shared" si="6"/>
        <v>3.9586203208556103E-2</v>
      </c>
    </row>
    <row r="464" spans="3:7">
      <c r="C464" s="43"/>
      <c r="D464" s="301">
        <v>32667</v>
      </c>
      <c r="E464" s="62">
        <v>0.13500000000000001</v>
      </c>
      <c r="F464" s="62">
        <v>8.9625347593582913E-2</v>
      </c>
      <c r="G464" s="46">
        <f t="shared" si="6"/>
        <v>4.5374652406417096E-2</v>
      </c>
    </row>
    <row r="465" spans="3:7">
      <c r="C465" s="43"/>
      <c r="D465" s="301">
        <v>32708</v>
      </c>
      <c r="E465" s="62">
        <v>0.11800000000000001</v>
      </c>
      <c r="F465" s="62">
        <v>8.8388235294117629E-2</v>
      </c>
      <c r="G465" s="46">
        <f t="shared" si="6"/>
        <v>2.9611764705882379E-2</v>
      </c>
    </row>
    <row r="466" spans="3:7">
      <c r="C466" s="43"/>
      <c r="D466" s="301">
        <v>32714</v>
      </c>
      <c r="E466" s="62">
        <v>0.128</v>
      </c>
      <c r="F466" s="62">
        <v>8.8225882352941154E-2</v>
      </c>
      <c r="G466" s="46">
        <f t="shared" si="6"/>
        <v>3.9774117647058849E-2</v>
      </c>
    </row>
    <row r="467" spans="3:7">
      <c r="C467" s="43"/>
      <c r="D467" s="301">
        <v>32720</v>
      </c>
      <c r="E467" s="62">
        <v>0.13</v>
      </c>
      <c r="F467" s="62">
        <v>8.8052994652406347E-2</v>
      </c>
      <c r="G467" s="46">
        <f t="shared" si="6"/>
        <v>4.1947005347593658E-2</v>
      </c>
    </row>
    <row r="468" spans="3:7">
      <c r="C468" s="43"/>
      <c r="D468" s="301">
        <v>32734</v>
      </c>
      <c r="E468" s="62">
        <v>0.125</v>
      </c>
      <c r="F468" s="62">
        <v>8.7587593582887688E-2</v>
      </c>
      <c r="G468" s="46">
        <f t="shared" si="6"/>
        <v>3.7412406417112312E-2</v>
      </c>
    </row>
    <row r="469" spans="3:7">
      <c r="C469" s="43"/>
      <c r="D469" s="301">
        <v>32742</v>
      </c>
      <c r="E469" s="62">
        <v>0.128</v>
      </c>
      <c r="F469" s="62">
        <v>8.728342245989297E-2</v>
      </c>
      <c r="G469" s="46">
        <f t="shared" si="6"/>
        <v>4.0716577540107032E-2</v>
      </c>
    </row>
    <row r="470" spans="3:7">
      <c r="C470" s="43"/>
      <c r="D470" s="301">
        <v>32743</v>
      </c>
      <c r="E470" s="62">
        <v>0.129</v>
      </c>
      <c r="F470" s="62">
        <v>8.7229786096256617E-2</v>
      </c>
      <c r="G470" s="46">
        <f t="shared" si="6"/>
        <v>4.1770213903743386E-2</v>
      </c>
    </row>
    <row r="471" spans="3:7">
      <c r="C471" s="43"/>
      <c r="D471" s="301">
        <v>32772</v>
      </c>
      <c r="E471" s="62">
        <v>0.121</v>
      </c>
      <c r="F471" s="62">
        <v>8.624754010695182E-2</v>
      </c>
      <c r="G471" s="46">
        <f t="shared" si="6"/>
        <v>3.4752459893048177E-2</v>
      </c>
    </row>
    <row r="472" spans="3:7">
      <c r="C472" s="43"/>
      <c r="D472" s="301">
        <v>32787</v>
      </c>
      <c r="E472" s="62">
        <v>0.13</v>
      </c>
      <c r="F472" s="62">
        <v>8.5751176470588192E-2</v>
      </c>
      <c r="G472" s="46">
        <f t="shared" si="6"/>
        <v>4.4248823529411813E-2</v>
      </c>
    </row>
    <row r="473" spans="3:7">
      <c r="C473" s="43"/>
      <c r="D473" s="301">
        <v>32798</v>
      </c>
      <c r="E473" s="62">
        <v>0.1241</v>
      </c>
      <c r="F473" s="62">
        <v>8.5431925133689801E-2</v>
      </c>
      <c r="G473" s="46">
        <f t="shared" si="6"/>
        <v>3.8668074866310201E-2</v>
      </c>
    </row>
    <row r="474" spans="3:7">
      <c r="C474" s="43"/>
      <c r="D474" s="301">
        <v>32799</v>
      </c>
      <c r="E474" s="62">
        <v>0.13250000000000001</v>
      </c>
      <c r="F474" s="62">
        <v>8.5390481283422415E-2</v>
      </c>
      <c r="G474" s="46">
        <f t="shared" si="6"/>
        <v>4.7109518716577592E-2</v>
      </c>
    </row>
    <row r="475" spans="3:7">
      <c r="C475" s="43"/>
      <c r="D475" s="301">
        <v>32801</v>
      </c>
      <c r="E475" s="62">
        <v>0.129</v>
      </c>
      <c r="F475" s="62">
        <v>8.5303636363636318E-2</v>
      </c>
      <c r="G475" s="46">
        <f t="shared" si="6"/>
        <v>4.3696363636363686E-2</v>
      </c>
    </row>
    <row r="476" spans="3:7">
      <c r="C476" s="43"/>
      <c r="D476" s="301">
        <v>32812</v>
      </c>
      <c r="E476" s="62">
        <v>0.13600000000000001</v>
      </c>
      <c r="F476" s="62">
        <v>8.496427807486627E-2</v>
      </c>
      <c r="G476" s="46">
        <f t="shared" si="6"/>
        <v>5.103572192513374E-2</v>
      </c>
    </row>
    <row r="477" spans="3:7">
      <c r="C477" s="43"/>
      <c r="D477" s="301">
        <v>32815</v>
      </c>
      <c r="E477" s="62">
        <v>0.1293</v>
      </c>
      <c r="F477" s="62">
        <v>8.4794973262032058E-2</v>
      </c>
      <c r="G477" s="46">
        <f t="shared" si="6"/>
        <v>4.450502673796794E-2</v>
      </c>
    </row>
    <row r="478" spans="3:7">
      <c r="C478" s="43"/>
      <c r="D478" s="301">
        <v>32817</v>
      </c>
      <c r="E478" s="62">
        <v>0.13200000000000001</v>
      </c>
      <c r="F478" s="62">
        <v>8.4794973262032058E-2</v>
      </c>
      <c r="G478" s="46">
        <f t="shared" si="6"/>
        <v>4.7205026737967948E-2</v>
      </c>
    </row>
    <row r="479" spans="3:7">
      <c r="C479" s="43"/>
      <c r="D479" s="301">
        <v>32821</v>
      </c>
      <c r="E479" s="62">
        <v>0.126</v>
      </c>
      <c r="F479" s="62">
        <v>8.454320855614969E-2</v>
      </c>
      <c r="G479" s="46">
        <f t="shared" si="6"/>
        <v>4.145679144385031E-2</v>
      </c>
    </row>
    <row r="480" spans="3:7">
      <c r="C480" s="43"/>
      <c r="D480" s="301">
        <v>32821</v>
      </c>
      <c r="E480" s="62">
        <v>0.13</v>
      </c>
      <c r="F480" s="62">
        <v>8.454320855614969E-2</v>
      </c>
      <c r="G480" s="46">
        <f t="shared" si="6"/>
        <v>4.5456791443850314E-2</v>
      </c>
    </row>
    <row r="481" spans="3:7">
      <c r="C481" s="43"/>
      <c r="D481" s="301">
        <v>32840</v>
      </c>
      <c r="E481" s="62">
        <v>0.1275</v>
      </c>
      <c r="F481" s="62">
        <v>8.3695080213903705E-2</v>
      </c>
      <c r="G481" s="46">
        <f t="shared" si="6"/>
        <v>4.3804919786096297E-2</v>
      </c>
    </row>
    <row r="482" spans="3:7">
      <c r="C482" s="43"/>
      <c r="D482" s="301">
        <v>32849</v>
      </c>
      <c r="E482" s="62">
        <v>0.13250000000000001</v>
      </c>
      <c r="F482" s="62">
        <v>8.3228502673796764E-2</v>
      </c>
      <c r="G482" s="46">
        <f t="shared" si="6"/>
        <v>4.9271497326203242E-2</v>
      </c>
    </row>
    <row r="483" spans="3:7">
      <c r="C483" s="43"/>
      <c r="D483" s="301">
        <v>32857</v>
      </c>
      <c r="E483" s="62">
        <v>0.13</v>
      </c>
      <c r="F483" s="62">
        <v>8.2788395721925118E-2</v>
      </c>
      <c r="G483" s="46">
        <f t="shared" si="6"/>
        <v>4.7211604278074887E-2</v>
      </c>
    </row>
    <row r="484" spans="3:7">
      <c r="C484" s="43"/>
      <c r="D484" s="301">
        <v>32862</v>
      </c>
      <c r="E484" s="62">
        <v>0.129</v>
      </c>
      <c r="F484" s="62">
        <v>8.2583208556149715E-2</v>
      </c>
      <c r="G484" s="46">
        <f t="shared" si="6"/>
        <v>4.6416791443850289E-2</v>
      </c>
    </row>
    <row r="485" spans="3:7">
      <c r="C485" s="43"/>
      <c r="D485" s="301">
        <v>32863</v>
      </c>
      <c r="E485" s="62">
        <v>0.128</v>
      </c>
      <c r="F485" s="62">
        <v>8.2518074866310145E-2</v>
      </c>
      <c r="G485" s="46">
        <f t="shared" si="6"/>
        <v>4.5481925133689857E-2</v>
      </c>
    </row>
    <row r="486" spans="3:7">
      <c r="C486" s="43"/>
      <c r="D486" s="301">
        <v>32863</v>
      </c>
      <c r="E486" s="62">
        <v>0.129</v>
      </c>
      <c r="F486" s="62">
        <v>8.2518074866310145E-2</v>
      </c>
      <c r="G486" s="46">
        <f t="shared" si="6"/>
        <v>4.6481925133689858E-2</v>
      </c>
    </row>
    <row r="487" spans="3:7">
      <c r="C487" s="43"/>
      <c r="D487" s="301">
        <v>32869</v>
      </c>
      <c r="E487" s="62">
        <v>0.125</v>
      </c>
      <c r="F487" s="62">
        <v>8.2345026737967897E-2</v>
      </c>
      <c r="G487" s="46">
        <f t="shared" si="6"/>
        <v>4.2654973262032103E-2</v>
      </c>
    </row>
    <row r="488" spans="3:7">
      <c r="C488" s="43"/>
      <c r="D488" s="301">
        <v>32882</v>
      </c>
      <c r="E488" s="62">
        <v>0.13</v>
      </c>
      <c r="F488" s="62">
        <v>8.1899037433155075E-2</v>
      </c>
      <c r="G488" s="46">
        <f t="shared" si="6"/>
        <v>4.8100962566844929E-2</v>
      </c>
    </row>
    <row r="489" spans="3:7">
      <c r="C489" s="43"/>
      <c r="D489" s="301">
        <v>32891</v>
      </c>
      <c r="E489" s="62">
        <v>0.125</v>
      </c>
      <c r="F489" s="62">
        <v>8.1612941176470596E-2</v>
      </c>
      <c r="G489" s="46">
        <f t="shared" si="6"/>
        <v>4.3387058823529404E-2</v>
      </c>
    </row>
    <row r="490" spans="3:7">
      <c r="C490" s="43"/>
      <c r="D490" s="301">
        <v>32899</v>
      </c>
      <c r="E490" s="62">
        <v>0.121</v>
      </c>
      <c r="F490" s="62">
        <v>8.1429037433155077E-2</v>
      </c>
      <c r="G490" s="46">
        <f t="shared" si="6"/>
        <v>3.9570962566844919E-2</v>
      </c>
    </row>
    <row r="491" spans="3:7">
      <c r="C491" s="43"/>
      <c r="D491" s="301">
        <v>32953</v>
      </c>
      <c r="E491" s="62">
        <v>0.128</v>
      </c>
      <c r="F491" s="62">
        <v>8.1466042780748635E-2</v>
      </c>
      <c r="G491" s="46">
        <f t="shared" si="6"/>
        <v>4.6533957219251368E-2</v>
      </c>
    </row>
    <row r="492" spans="3:7">
      <c r="C492" s="43"/>
      <c r="D492" s="301">
        <v>32960</v>
      </c>
      <c r="E492" s="62">
        <v>0.13</v>
      </c>
      <c r="F492" s="62">
        <v>8.1569465240641695E-2</v>
      </c>
      <c r="G492" s="46">
        <f t="shared" si="6"/>
        <v>4.843053475935831E-2</v>
      </c>
    </row>
    <row r="493" spans="3:7">
      <c r="C493" s="43"/>
      <c r="D493" s="301">
        <v>32968</v>
      </c>
      <c r="E493" s="62">
        <v>0.122</v>
      </c>
      <c r="F493" s="62">
        <v>8.1743315508021372E-2</v>
      </c>
      <c r="G493" s="46">
        <f t="shared" si="6"/>
        <v>4.0256684491978625E-2</v>
      </c>
    </row>
    <row r="494" spans="3:7">
      <c r="C494" s="43"/>
      <c r="D494" s="301">
        <v>32975</v>
      </c>
      <c r="E494" s="62">
        <v>0.13250000000000001</v>
      </c>
      <c r="F494" s="62">
        <v>8.1855133689839557E-2</v>
      </c>
      <c r="G494" s="46">
        <f t="shared" si="6"/>
        <v>5.064486631016045E-2</v>
      </c>
    </row>
    <row r="495" spans="3:7">
      <c r="C495" s="43"/>
      <c r="D495" s="301">
        <v>32993</v>
      </c>
      <c r="E495" s="62">
        <v>0.1245</v>
      </c>
      <c r="F495" s="62">
        <v>8.2412192513368968E-2</v>
      </c>
      <c r="G495" s="46">
        <f t="shared" si="6"/>
        <v>4.2087807486631032E-2</v>
      </c>
    </row>
    <row r="496" spans="3:7">
      <c r="C496" s="43"/>
      <c r="D496" s="301">
        <v>33024</v>
      </c>
      <c r="E496" s="62">
        <v>0.124</v>
      </c>
      <c r="F496" s="62">
        <v>8.3112727272727241E-2</v>
      </c>
      <c r="G496" s="46">
        <f t="shared" si="6"/>
        <v>4.0887272727272758E-2</v>
      </c>
    </row>
    <row r="497" spans="3:7">
      <c r="C497" s="43"/>
      <c r="D497" s="301">
        <v>33039</v>
      </c>
      <c r="E497" s="62">
        <v>0.13200000000000001</v>
      </c>
      <c r="F497" s="62">
        <v>8.3282085561497285E-2</v>
      </c>
      <c r="G497" s="46">
        <f t="shared" ref="G497:G560" si="7">E497-F497</f>
        <v>4.8717914438502721E-2</v>
      </c>
    </row>
    <row r="498" spans="3:7">
      <c r="C498" s="43"/>
      <c r="D498" s="301">
        <v>33051</v>
      </c>
      <c r="E498" s="62">
        <v>0.129</v>
      </c>
      <c r="F498" s="62">
        <v>8.3408021390374301E-2</v>
      </c>
      <c r="G498" s="46">
        <f t="shared" si="7"/>
        <v>4.5591978609625702E-2</v>
      </c>
    </row>
    <row r="499" spans="3:7">
      <c r="C499" s="43"/>
      <c r="D499" s="301">
        <v>33053</v>
      </c>
      <c r="E499" s="62">
        <v>0.13250000000000001</v>
      </c>
      <c r="F499" s="62">
        <v>8.3452406417112254E-2</v>
      </c>
      <c r="G499" s="46">
        <f t="shared" si="7"/>
        <v>4.9047593582887752E-2</v>
      </c>
    </row>
    <row r="500" spans="3:7">
      <c r="C500" s="43"/>
      <c r="D500" s="301">
        <v>33060</v>
      </c>
      <c r="E500" s="62">
        <v>0.121</v>
      </c>
      <c r="F500" s="62">
        <v>8.3565882352941157E-2</v>
      </c>
      <c r="G500" s="46">
        <f t="shared" si="7"/>
        <v>3.743411764705884E-2</v>
      </c>
    </row>
    <row r="501" spans="3:7">
      <c r="C501" s="43"/>
      <c r="D501" s="301">
        <v>33073</v>
      </c>
      <c r="E501" s="62">
        <v>0.11699999999999999</v>
      </c>
      <c r="F501" s="62">
        <v>8.3837165775401082E-2</v>
      </c>
      <c r="G501" s="46">
        <f t="shared" si="7"/>
        <v>3.3162834224598911E-2</v>
      </c>
    </row>
    <row r="502" spans="3:7">
      <c r="C502" s="43"/>
      <c r="D502" s="301">
        <v>33116</v>
      </c>
      <c r="E502" s="62">
        <v>0.125</v>
      </c>
      <c r="F502" s="62">
        <v>8.5283048128342254E-2</v>
      </c>
      <c r="G502" s="46">
        <f t="shared" si="7"/>
        <v>3.9716951871657746E-2</v>
      </c>
    </row>
    <row r="503" spans="3:7">
      <c r="C503" s="43"/>
      <c r="D503" s="301">
        <v>33116</v>
      </c>
      <c r="E503" s="62">
        <v>0.125</v>
      </c>
      <c r="F503" s="62">
        <v>8.5283048128342254E-2</v>
      </c>
      <c r="G503" s="46">
        <f t="shared" si="7"/>
        <v>3.9716951871657746E-2</v>
      </c>
    </row>
    <row r="504" spans="3:7">
      <c r="C504" s="43"/>
      <c r="D504" s="301">
        <v>33129</v>
      </c>
      <c r="E504" s="62">
        <v>0.125</v>
      </c>
      <c r="F504" s="62">
        <v>8.5813957219251322E-2</v>
      </c>
      <c r="G504" s="46">
        <f t="shared" si="7"/>
        <v>3.9186042780748678E-2</v>
      </c>
    </row>
    <row r="505" spans="3:7">
      <c r="C505" s="43"/>
      <c r="D505" s="301">
        <v>33134</v>
      </c>
      <c r="E505" s="62">
        <v>0.1275</v>
      </c>
      <c r="F505" s="62">
        <v>8.5985775401069511E-2</v>
      </c>
      <c r="G505" s="46">
        <f t="shared" si="7"/>
        <v>4.1514224598930491E-2</v>
      </c>
    </row>
    <row r="506" spans="3:7">
      <c r="C506" s="43"/>
      <c r="D506" s="301">
        <v>33136</v>
      </c>
      <c r="E506" s="62">
        <v>0.125</v>
      </c>
      <c r="F506" s="62">
        <v>8.609711229946522E-2</v>
      </c>
      <c r="G506" s="46">
        <f t="shared" si="7"/>
        <v>3.890288770053478E-2</v>
      </c>
    </row>
    <row r="507" spans="3:7">
      <c r="C507" s="43"/>
      <c r="D507" s="301">
        <v>33148</v>
      </c>
      <c r="E507" s="62">
        <v>0.13</v>
      </c>
      <c r="F507" s="62">
        <v>8.6499732620320888E-2</v>
      </c>
      <c r="G507" s="46">
        <f t="shared" si="7"/>
        <v>4.3500267379679117E-2</v>
      </c>
    </row>
    <row r="508" spans="3:7">
      <c r="C508" s="43"/>
      <c r="D508" s="301">
        <v>33163</v>
      </c>
      <c r="E508" s="62">
        <v>0.11900000000000001</v>
      </c>
      <c r="F508" s="62">
        <v>8.6824385026738032E-2</v>
      </c>
      <c r="G508" s="46">
        <f t="shared" si="7"/>
        <v>3.2175614973261976E-2</v>
      </c>
    </row>
    <row r="509" spans="3:7">
      <c r="C509" s="43"/>
      <c r="D509" s="301">
        <v>33177</v>
      </c>
      <c r="E509" s="62">
        <v>0.1295</v>
      </c>
      <c r="F509" s="62">
        <v>8.6984652406417118E-2</v>
      </c>
      <c r="G509" s="46">
        <f t="shared" si="7"/>
        <v>4.2515347593582886E-2</v>
      </c>
    </row>
    <row r="510" spans="3:7">
      <c r="C510" s="43"/>
      <c r="D510" s="301">
        <v>33186</v>
      </c>
      <c r="E510" s="62">
        <v>0.13250000000000001</v>
      </c>
      <c r="F510" s="62">
        <v>8.7044705882352982E-2</v>
      </c>
      <c r="G510" s="46">
        <f t="shared" si="7"/>
        <v>4.5455294117647024E-2</v>
      </c>
    </row>
    <row r="511" spans="3:7">
      <c r="C511" s="43"/>
      <c r="D511" s="301">
        <v>33196</v>
      </c>
      <c r="E511" s="62">
        <v>0.13</v>
      </c>
      <c r="F511" s="62">
        <v>8.7037860962566882E-2</v>
      </c>
      <c r="G511" s="46">
        <f t="shared" si="7"/>
        <v>4.2962139037433122E-2</v>
      </c>
    </row>
    <row r="512" spans="3:7">
      <c r="C512" s="43"/>
      <c r="D512" s="301">
        <v>33198</v>
      </c>
      <c r="E512" s="62">
        <v>0.121</v>
      </c>
      <c r="F512" s="62">
        <v>8.7020855614973275E-2</v>
      </c>
      <c r="G512" s="46">
        <f t="shared" si="7"/>
        <v>3.3979144385026722E-2</v>
      </c>
    </row>
    <row r="513" spans="3:7">
      <c r="C513" s="43"/>
      <c r="D513" s="301">
        <v>33198</v>
      </c>
      <c r="E513" s="62">
        <v>0.125</v>
      </c>
      <c r="F513" s="62">
        <v>8.7020855614973275E-2</v>
      </c>
      <c r="G513" s="46">
        <f t="shared" si="7"/>
        <v>3.7979144385026725E-2</v>
      </c>
    </row>
    <row r="514" spans="3:7">
      <c r="C514" s="43"/>
      <c r="D514" s="301">
        <v>33205</v>
      </c>
      <c r="E514" s="62">
        <v>0.1275</v>
      </c>
      <c r="F514" s="62">
        <v>8.6979197860962601E-2</v>
      </c>
      <c r="G514" s="46">
        <f t="shared" si="7"/>
        <v>4.0520802139037401E-2</v>
      </c>
    </row>
    <row r="515" spans="3:7">
      <c r="C515" s="43"/>
      <c r="D515" s="301">
        <v>33206</v>
      </c>
      <c r="E515" s="62">
        <v>0.1275</v>
      </c>
      <c r="F515" s="62">
        <v>8.6967058823529453E-2</v>
      </c>
      <c r="G515" s="46">
        <f t="shared" si="7"/>
        <v>4.0532941176470549E-2</v>
      </c>
    </row>
    <row r="516" spans="3:7">
      <c r="C516" s="43"/>
      <c r="D516" s="301">
        <v>33225</v>
      </c>
      <c r="E516" s="62">
        <v>0.13100000000000001</v>
      </c>
      <c r="F516" s="62">
        <v>8.6755775401069574E-2</v>
      </c>
      <c r="G516" s="46">
        <f t="shared" si="7"/>
        <v>4.4244224598930432E-2</v>
      </c>
    </row>
    <row r="517" spans="3:7">
      <c r="C517" s="43"/>
      <c r="D517" s="301">
        <v>33227</v>
      </c>
      <c r="E517" s="62">
        <v>0.125</v>
      </c>
      <c r="F517" s="62">
        <v>8.6711229946524124E-2</v>
      </c>
      <c r="G517" s="46">
        <f t="shared" si="7"/>
        <v>3.8288770053475876E-2</v>
      </c>
    </row>
    <row r="518" spans="3:7">
      <c r="C518" s="43"/>
      <c r="D518" s="301">
        <v>33228</v>
      </c>
      <c r="E518" s="62">
        <v>0.125</v>
      </c>
      <c r="F518" s="62">
        <v>8.6699037433155143E-2</v>
      </c>
      <c r="G518" s="46">
        <f t="shared" si="7"/>
        <v>3.8300962566844857E-2</v>
      </c>
    </row>
    <row r="519" spans="3:7">
      <c r="C519" s="43"/>
      <c r="D519" s="301">
        <v>33228</v>
      </c>
      <c r="E519" s="62">
        <v>0.13</v>
      </c>
      <c r="F519" s="62">
        <v>8.6699037433155143E-2</v>
      </c>
      <c r="G519" s="46">
        <f t="shared" si="7"/>
        <v>4.3300962566844861E-2</v>
      </c>
    </row>
    <row r="520" spans="3:7">
      <c r="C520" s="43"/>
      <c r="D520" s="301">
        <v>33228</v>
      </c>
      <c r="E520" s="62">
        <v>0.13600000000000001</v>
      </c>
      <c r="F520" s="62">
        <v>8.6699037433155143E-2</v>
      </c>
      <c r="G520" s="46">
        <f t="shared" si="7"/>
        <v>4.9300962566844866E-2</v>
      </c>
    </row>
    <row r="521" spans="3:7">
      <c r="C521" s="43"/>
      <c r="D521" s="301">
        <v>33241</v>
      </c>
      <c r="E521" s="62">
        <v>0.13019999999999998</v>
      </c>
      <c r="F521" s="62">
        <v>8.6591443850267388E-2</v>
      </c>
      <c r="G521" s="46">
        <f t="shared" si="7"/>
        <v>4.3608556149732594E-2</v>
      </c>
    </row>
    <row r="522" spans="3:7">
      <c r="C522" s="43"/>
      <c r="D522" s="301">
        <v>33254</v>
      </c>
      <c r="E522" s="62">
        <v>0.13250000000000001</v>
      </c>
      <c r="F522" s="62">
        <v>8.6338288770053478E-2</v>
      </c>
      <c r="G522" s="46">
        <f t="shared" si="7"/>
        <v>4.6161711229946528E-2</v>
      </c>
    </row>
    <row r="523" spans="3:7">
      <c r="C523" s="43"/>
      <c r="D523" s="301">
        <v>33263</v>
      </c>
      <c r="E523" s="62">
        <v>0.11699999999999999</v>
      </c>
      <c r="F523" s="62">
        <v>8.6054331550802179E-2</v>
      </c>
      <c r="G523" s="46">
        <f t="shared" si="7"/>
        <v>3.0945668449197813E-2</v>
      </c>
    </row>
    <row r="524" spans="3:7">
      <c r="C524" s="43"/>
      <c r="D524" s="301">
        <v>33284</v>
      </c>
      <c r="E524" s="62">
        <v>0.127</v>
      </c>
      <c r="F524" s="62">
        <v>8.5554759358288809E-2</v>
      </c>
      <c r="G524" s="46">
        <f t="shared" si="7"/>
        <v>4.1445240641711192E-2</v>
      </c>
    </row>
    <row r="525" spans="3:7">
      <c r="C525" s="43"/>
      <c r="D525" s="301">
        <v>33284</v>
      </c>
      <c r="E525" s="62">
        <v>0.128</v>
      </c>
      <c r="F525" s="62">
        <v>8.5554759358288809E-2</v>
      </c>
      <c r="G525" s="46">
        <f t="shared" si="7"/>
        <v>4.2445240641711193E-2</v>
      </c>
    </row>
    <row r="526" spans="3:7">
      <c r="C526" s="43"/>
      <c r="D526" s="301">
        <v>33331</v>
      </c>
      <c r="E526" s="62">
        <v>0.13</v>
      </c>
      <c r="F526" s="62">
        <v>8.5110695187165811E-2</v>
      </c>
      <c r="G526" s="46">
        <f t="shared" si="7"/>
        <v>4.4889304812834194E-2</v>
      </c>
    </row>
    <row r="527" spans="3:7">
      <c r="C527" s="43"/>
      <c r="D527" s="301">
        <v>33358</v>
      </c>
      <c r="E527" s="62">
        <v>0.1245</v>
      </c>
      <c r="F527" s="62">
        <v>8.4759625668449218E-2</v>
      </c>
      <c r="G527" s="46">
        <f t="shared" si="7"/>
        <v>3.9740374331550782E-2</v>
      </c>
    </row>
    <row r="528" spans="3:7">
      <c r="C528" s="43"/>
      <c r="D528" s="301">
        <v>33358</v>
      </c>
      <c r="E528" s="62">
        <v>0.13</v>
      </c>
      <c r="F528" s="62">
        <v>8.4759625668449218E-2</v>
      </c>
      <c r="G528" s="46">
        <f t="shared" si="7"/>
        <v>4.5240374331550787E-2</v>
      </c>
    </row>
    <row r="529" spans="3:7">
      <c r="C529" s="43"/>
      <c r="D529" s="301">
        <v>33414</v>
      </c>
      <c r="E529" s="62">
        <v>0.11699999999999999</v>
      </c>
      <c r="F529" s="62">
        <v>8.3433957219251342E-2</v>
      </c>
      <c r="G529" s="46">
        <f t="shared" si="7"/>
        <v>3.3566042780748651E-2</v>
      </c>
    </row>
    <row r="530" spans="3:7">
      <c r="C530" s="43"/>
      <c r="D530" s="301">
        <v>33417</v>
      </c>
      <c r="E530" s="62">
        <v>0.125</v>
      </c>
      <c r="F530" s="62">
        <v>8.3380802139037438E-2</v>
      </c>
      <c r="G530" s="46">
        <f t="shared" si="7"/>
        <v>4.1619197860962562E-2</v>
      </c>
    </row>
    <row r="531" spans="3:7">
      <c r="C531" s="43"/>
      <c r="D531" s="301">
        <v>33420</v>
      </c>
      <c r="E531" s="62">
        <v>0.11699999999999999</v>
      </c>
      <c r="F531" s="62">
        <v>8.3352513368983958E-2</v>
      </c>
      <c r="G531" s="46">
        <f t="shared" si="7"/>
        <v>3.3647486631016035E-2</v>
      </c>
    </row>
    <row r="532" spans="3:7">
      <c r="C532" s="43"/>
      <c r="D532" s="301">
        <v>33438</v>
      </c>
      <c r="E532" s="62">
        <v>0.121</v>
      </c>
      <c r="F532" s="62">
        <v>8.3058823529411741E-2</v>
      </c>
      <c r="G532" s="46">
        <f t="shared" si="7"/>
        <v>3.7941176470588256E-2</v>
      </c>
    </row>
    <row r="533" spans="3:7">
      <c r="C533" s="43"/>
      <c r="D533" s="301">
        <v>33438</v>
      </c>
      <c r="E533" s="62">
        <v>0.12300000000000001</v>
      </c>
      <c r="F533" s="62">
        <v>8.3058823529411741E-2</v>
      </c>
      <c r="G533" s="46">
        <f t="shared" si="7"/>
        <v>3.9941176470588272E-2</v>
      </c>
    </row>
    <row r="534" spans="3:7">
      <c r="C534" s="43"/>
      <c r="D534" s="301">
        <v>33441</v>
      </c>
      <c r="E534" s="62">
        <v>0.129</v>
      </c>
      <c r="F534" s="62">
        <v>8.3040053475935807E-2</v>
      </c>
      <c r="G534" s="46">
        <f t="shared" si="7"/>
        <v>4.5959946524064196E-2</v>
      </c>
    </row>
    <row r="535" spans="3:7">
      <c r="C535" s="43"/>
      <c r="D535" s="301">
        <v>33465</v>
      </c>
      <c r="E535" s="62">
        <v>0.1225</v>
      </c>
      <c r="F535" s="62">
        <v>8.2757112299465196E-2</v>
      </c>
      <c r="G535" s="46">
        <f t="shared" si="7"/>
        <v>3.9742887700534801E-2</v>
      </c>
    </row>
    <row r="536" spans="3:7">
      <c r="C536" s="43"/>
      <c r="D536" s="301">
        <v>33479</v>
      </c>
      <c r="E536" s="62">
        <v>0.13300000000000001</v>
      </c>
      <c r="F536" s="62">
        <v>8.2601069518716541E-2</v>
      </c>
      <c r="G536" s="46">
        <f t="shared" si="7"/>
        <v>5.0398930481283466E-2</v>
      </c>
    </row>
    <row r="537" spans="3:7">
      <c r="C537" s="43"/>
      <c r="D537" s="301">
        <v>33508</v>
      </c>
      <c r="E537" s="62">
        <v>0.125</v>
      </c>
      <c r="F537" s="62">
        <v>8.2297272727272733E-2</v>
      </c>
      <c r="G537" s="46">
        <f t="shared" si="7"/>
        <v>4.2702727272727267E-2</v>
      </c>
    </row>
    <row r="538" spans="3:7">
      <c r="C538" s="43"/>
      <c r="D538" s="301">
        <v>33511</v>
      </c>
      <c r="E538" s="62">
        <v>0.124</v>
      </c>
      <c r="F538" s="62">
        <v>8.2269625668449212E-2</v>
      </c>
      <c r="G538" s="46">
        <f t="shared" si="7"/>
        <v>4.1730374331550787E-2</v>
      </c>
    </row>
    <row r="539" spans="3:7">
      <c r="C539" s="43"/>
      <c r="D539" s="301">
        <v>33514</v>
      </c>
      <c r="E539" s="62">
        <v>0.113</v>
      </c>
      <c r="F539" s="62">
        <v>8.2181443850267377E-2</v>
      </c>
      <c r="G539" s="46">
        <f t="shared" si="7"/>
        <v>3.0818556149732626E-2</v>
      </c>
    </row>
    <row r="540" spans="3:7">
      <c r="C540" s="43"/>
      <c r="D540" s="301">
        <v>33520</v>
      </c>
      <c r="E540" s="62">
        <v>0.11699999999999999</v>
      </c>
      <c r="F540" s="62">
        <v>8.2092566844919765E-2</v>
      </c>
      <c r="G540" s="46">
        <f t="shared" si="7"/>
        <v>3.4907433155080228E-2</v>
      </c>
    </row>
    <row r="541" spans="3:7">
      <c r="C541" s="43"/>
      <c r="D541" s="301">
        <v>33526</v>
      </c>
      <c r="E541" s="62">
        <v>0.13400000000000001</v>
      </c>
      <c r="F541" s="62">
        <v>8.2024491978609601E-2</v>
      </c>
      <c r="G541" s="46">
        <f t="shared" si="7"/>
        <v>5.1975508021390407E-2</v>
      </c>
    </row>
    <row r="542" spans="3:7">
      <c r="C542" s="43"/>
      <c r="D542" s="301">
        <v>33543</v>
      </c>
      <c r="E542" s="62">
        <v>0.129</v>
      </c>
      <c r="F542" s="62">
        <v>8.1968449197860935E-2</v>
      </c>
      <c r="G542" s="46">
        <f t="shared" si="7"/>
        <v>4.7031550802139069E-2</v>
      </c>
    </row>
    <row r="543" spans="3:7">
      <c r="C543" s="43"/>
      <c r="D543" s="301">
        <v>33550</v>
      </c>
      <c r="E543" s="62">
        <v>0.1275</v>
      </c>
      <c r="F543" s="62">
        <v>8.1958770053475918E-2</v>
      </c>
      <c r="G543" s="46">
        <f t="shared" si="7"/>
        <v>4.5541229946524084E-2</v>
      </c>
    </row>
    <row r="544" spans="3:7">
      <c r="C544" s="43"/>
      <c r="D544" s="301">
        <v>33568</v>
      </c>
      <c r="E544" s="62">
        <v>0.11599999999999999</v>
      </c>
      <c r="F544" s="62">
        <v>8.1769090909090889E-2</v>
      </c>
      <c r="G544" s="46">
        <f t="shared" si="7"/>
        <v>3.4230909090909103E-2</v>
      </c>
    </row>
    <row r="545" spans="3:7">
      <c r="C545" s="43"/>
      <c r="D545" s="301">
        <v>33568</v>
      </c>
      <c r="E545" s="62">
        <v>0.12</v>
      </c>
      <c r="F545" s="62">
        <v>8.1769090909090889E-2</v>
      </c>
      <c r="G545" s="46">
        <f t="shared" si="7"/>
        <v>3.8230909090909107E-2</v>
      </c>
    </row>
    <row r="546" spans="3:7">
      <c r="C546" s="43"/>
      <c r="D546" s="301">
        <v>33569</v>
      </c>
      <c r="E546" s="62">
        <v>0.127</v>
      </c>
      <c r="F546" s="62">
        <v>8.1755401069518702E-2</v>
      </c>
      <c r="G546" s="46">
        <f t="shared" si="7"/>
        <v>4.52445989304813E-2</v>
      </c>
    </row>
    <row r="547" spans="3:7">
      <c r="C547" s="43"/>
      <c r="D547" s="301">
        <v>33578</v>
      </c>
      <c r="E547" s="62">
        <v>0.127</v>
      </c>
      <c r="F547" s="62">
        <v>8.1605347593582858E-2</v>
      </c>
      <c r="G547" s="46">
        <f t="shared" si="7"/>
        <v>4.5394652406417144E-2</v>
      </c>
    </row>
    <row r="548" spans="3:7">
      <c r="C548" s="43"/>
      <c r="D548" s="301">
        <v>33582</v>
      </c>
      <c r="E548" s="62">
        <v>0.11749999999999999</v>
      </c>
      <c r="F548" s="62">
        <v>8.1548609625668428E-2</v>
      </c>
      <c r="G548" s="46">
        <f t="shared" si="7"/>
        <v>3.5951390374331565E-2</v>
      </c>
    </row>
    <row r="549" spans="3:7">
      <c r="C549" s="43"/>
      <c r="D549" s="301">
        <v>33591</v>
      </c>
      <c r="E549" s="62">
        <v>0.126</v>
      </c>
      <c r="F549" s="62">
        <v>8.1357058823529435E-2</v>
      </c>
      <c r="G549" s="46">
        <f t="shared" si="7"/>
        <v>4.4642941176470566E-2</v>
      </c>
    </row>
    <row r="550" spans="3:7">
      <c r="C550" s="43"/>
      <c r="D550" s="301">
        <v>33591</v>
      </c>
      <c r="E550" s="62">
        <v>0.128</v>
      </c>
      <c r="F550" s="62">
        <v>8.1357058823529435E-2</v>
      </c>
      <c r="G550" s="46">
        <f t="shared" si="7"/>
        <v>4.6642941176470568E-2</v>
      </c>
    </row>
    <row r="551" spans="3:7">
      <c r="C551" s="43"/>
      <c r="D551" s="301">
        <v>33602</v>
      </c>
      <c r="E551" s="62">
        <v>0.121</v>
      </c>
      <c r="F551" s="62">
        <v>8.1097967914438504E-2</v>
      </c>
      <c r="G551" s="46">
        <f t="shared" si="7"/>
        <v>3.9902032085561492E-2</v>
      </c>
    </row>
    <row r="552" spans="3:7">
      <c r="C552" s="43"/>
      <c r="D552" s="301">
        <v>33625</v>
      </c>
      <c r="E552" s="62">
        <v>0.12839999999999999</v>
      </c>
      <c r="F552" s="62">
        <v>8.0512941176470579E-2</v>
      </c>
      <c r="G552" s="46">
        <f t="shared" si="7"/>
        <v>4.7887058823529408E-2</v>
      </c>
    </row>
    <row r="553" spans="3:7">
      <c r="C553" s="43"/>
      <c r="D553" s="301">
        <v>33634</v>
      </c>
      <c r="E553" s="62">
        <v>0.12</v>
      </c>
      <c r="F553" s="62">
        <v>8.0315294117647054E-2</v>
      </c>
      <c r="G553" s="46">
        <f t="shared" si="7"/>
        <v>3.9684705882352941E-2</v>
      </c>
    </row>
    <row r="554" spans="3:7">
      <c r="C554" s="43"/>
      <c r="D554" s="301">
        <v>33654</v>
      </c>
      <c r="E554" s="62">
        <v>0.13</v>
      </c>
      <c r="F554" s="62">
        <v>7.9981390374331579E-2</v>
      </c>
      <c r="G554" s="46">
        <f t="shared" si="7"/>
        <v>5.0018609625668425E-2</v>
      </c>
    </row>
    <row r="555" spans="3:7">
      <c r="C555" s="43"/>
      <c r="D555" s="301">
        <v>33661</v>
      </c>
      <c r="E555" s="62">
        <v>0.11749999999999999</v>
      </c>
      <c r="F555" s="62">
        <v>7.984647058823531E-2</v>
      </c>
      <c r="G555" s="46">
        <f t="shared" si="7"/>
        <v>3.7653529411764683E-2</v>
      </c>
    </row>
    <row r="556" spans="3:7">
      <c r="C556" s="43"/>
      <c r="D556" s="301">
        <v>33681</v>
      </c>
      <c r="E556" s="62">
        <v>0.125</v>
      </c>
      <c r="F556" s="62">
        <v>7.9440106951871661E-2</v>
      </c>
      <c r="G556" s="46">
        <f t="shared" si="7"/>
        <v>4.5559893048128339E-2</v>
      </c>
    </row>
    <row r="557" spans="3:7">
      <c r="C557" s="43"/>
      <c r="D557" s="301">
        <v>33739</v>
      </c>
      <c r="E557" s="62">
        <v>0.1275</v>
      </c>
      <c r="F557" s="62">
        <v>7.8637700534759353E-2</v>
      </c>
      <c r="G557" s="46">
        <f t="shared" si="7"/>
        <v>4.8862299465240649E-2</v>
      </c>
    </row>
    <row r="558" spans="3:7">
      <c r="C558" s="43"/>
      <c r="D558" s="301">
        <v>33779</v>
      </c>
      <c r="E558" s="62">
        <v>0.122</v>
      </c>
      <c r="F558" s="62">
        <v>7.8484010695187165E-2</v>
      </c>
      <c r="G558" s="46">
        <f t="shared" si="7"/>
        <v>4.3515989304812833E-2</v>
      </c>
    </row>
    <row r="559" spans="3:7">
      <c r="C559" s="43"/>
      <c r="D559" s="301">
        <v>33784</v>
      </c>
      <c r="E559" s="62">
        <v>0.11</v>
      </c>
      <c r="F559" s="62">
        <v>7.8479893048128344E-2</v>
      </c>
      <c r="G559" s="46">
        <f t="shared" si="7"/>
        <v>3.1520106951871657E-2</v>
      </c>
    </row>
    <row r="560" spans="3:7">
      <c r="C560" s="43"/>
      <c r="D560" s="301">
        <v>33799</v>
      </c>
      <c r="E560" s="62">
        <v>0.12</v>
      </c>
      <c r="F560" s="62">
        <v>7.8299251336898412E-2</v>
      </c>
      <c r="G560" s="46">
        <f t="shared" si="7"/>
        <v>4.1700748663101583E-2</v>
      </c>
    </row>
    <row r="561" spans="3:7">
      <c r="C561" s="43"/>
      <c r="D561" s="301">
        <v>33807</v>
      </c>
      <c r="E561" s="62">
        <v>0.11199999999999999</v>
      </c>
      <c r="F561" s="62">
        <v>7.8194117647058831E-2</v>
      </c>
      <c r="G561" s="46">
        <f t="shared" ref="G561:G624" si="8">E561-F561</f>
        <v>3.3805882352941158E-2</v>
      </c>
    </row>
    <row r="562" spans="3:7">
      <c r="C562" s="43"/>
      <c r="D562" s="301">
        <v>33826</v>
      </c>
      <c r="E562" s="62">
        <v>0.121</v>
      </c>
      <c r="F562" s="62">
        <v>7.7889144385026712E-2</v>
      </c>
      <c r="G562" s="46">
        <f t="shared" si="8"/>
        <v>4.3110855614973284E-2</v>
      </c>
    </row>
    <row r="563" spans="3:7">
      <c r="C563" s="43"/>
      <c r="D563" s="301">
        <v>33842</v>
      </c>
      <c r="E563" s="62">
        <v>0.12429999999999999</v>
      </c>
      <c r="F563" s="62">
        <v>7.7527058823529379E-2</v>
      </c>
      <c r="G563" s="46">
        <f t="shared" si="8"/>
        <v>4.6772941176470614E-2</v>
      </c>
    </row>
    <row r="564" spans="3:7">
      <c r="C564" s="43"/>
      <c r="D564" s="301">
        <v>33877</v>
      </c>
      <c r="E564" s="62">
        <v>0.11599999999999999</v>
      </c>
      <c r="F564" s="62">
        <v>7.7213368983957212E-2</v>
      </c>
      <c r="G564" s="46">
        <f t="shared" si="8"/>
        <v>3.878663101604278E-2</v>
      </c>
    </row>
    <row r="565" spans="3:7">
      <c r="C565" s="43"/>
      <c r="D565" s="301">
        <v>33883</v>
      </c>
      <c r="E565" s="62">
        <v>0.1225</v>
      </c>
      <c r="F565" s="62">
        <v>7.71770053475936E-2</v>
      </c>
      <c r="G565" s="46">
        <f t="shared" si="8"/>
        <v>4.5322994652406398E-2</v>
      </c>
    </row>
    <row r="566" spans="3:7">
      <c r="C566" s="43"/>
      <c r="D566" s="301">
        <v>33890</v>
      </c>
      <c r="E566" s="62">
        <v>0.1275</v>
      </c>
      <c r="F566" s="62">
        <v>7.714609625668449E-2</v>
      </c>
      <c r="G566" s="46">
        <f t="shared" si="8"/>
        <v>5.0353903743315512E-2</v>
      </c>
    </row>
    <row r="567" spans="3:7">
      <c r="C567" s="43"/>
      <c r="D567" s="301">
        <v>33900</v>
      </c>
      <c r="E567" s="62">
        <v>0.11650000000000001</v>
      </c>
      <c r="F567" s="62">
        <v>7.7075989304812839E-2</v>
      </c>
      <c r="G567" s="46">
        <f t="shared" si="8"/>
        <v>3.9424010695187167E-2</v>
      </c>
    </row>
    <row r="568" spans="3:7">
      <c r="C568" s="43"/>
      <c r="D568" s="301">
        <v>33905</v>
      </c>
      <c r="E568" s="62">
        <v>0.1225</v>
      </c>
      <c r="F568" s="62">
        <v>7.705716577540106E-2</v>
      </c>
      <c r="G568" s="46">
        <f t="shared" si="8"/>
        <v>4.5442834224598938E-2</v>
      </c>
    </row>
    <row r="569" spans="3:7">
      <c r="C569" s="43"/>
      <c r="D569" s="301">
        <v>33906</v>
      </c>
      <c r="E569" s="62">
        <v>0.1275</v>
      </c>
      <c r="F569" s="62">
        <v>7.7047540106951862E-2</v>
      </c>
      <c r="G569" s="46">
        <f t="shared" si="8"/>
        <v>5.045245989304814E-2</v>
      </c>
    </row>
    <row r="570" spans="3:7">
      <c r="C570" s="43"/>
      <c r="D570" s="301">
        <v>33907</v>
      </c>
      <c r="E570" s="62">
        <v>0.114</v>
      </c>
      <c r="F570" s="62">
        <v>7.7038930481283407E-2</v>
      </c>
      <c r="G570" s="46">
        <f t="shared" si="8"/>
        <v>3.6961069518716597E-2</v>
      </c>
    </row>
    <row r="571" spans="3:7">
      <c r="C571" s="43"/>
      <c r="D571" s="301">
        <v>33917</v>
      </c>
      <c r="E571" s="62">
        <v>0.106</v>
      </c>
      <c r="F571" s="62">
        <v>7.6974545454545448E-2</v>
      </c>
      <c r="G571" s="46">
        <f t="shared" si="8"/>
        <v>2.9025454545454549E-2</v>
      </c>
    </row>
    <row r="572" spans="3:7">
      <c r="C572" s="43"/>
      <c r="D572" s="301">
        <v>33933</v>
      </c>
      <c r="E572" s="62">
        <v>0.11</v>
      </c>
      <c r="F572" s="62">
        <v>7.6757486631016059E-2</v>
      </c>
      <c r="G572" s="46">
        <f t="shared" si="8"/>
        <v>3.3242513368983942E-2</v>
      </c>
    </row>
    <row r="573" spans="3:7">
      <c r="C573" s="43"/>
      <c r="D573" s="301">
        <v>33933</v>
      </c>
      <c r="E573" s="62">
        <v>0.12</v>
      </c>
      <c r="F573" s="62">
        <v>7.6757486631016059E-2</v>
      </c>
      <c r="G573" s="46">
        <f t="shared" si="8"/>
        <v>4.3242513368983937E-2</v>
      </c>
    </row>
    <row r="574" spans="3:7">
      <c r="C574" s="43"/>
      <c r="D574" s="301">
        <v>33941</v>
      </c>
      <c r="E574" s="62">
        <v>0.11849999999999999</v>
      </c>
      <c r="F574" s="62">
        <v>7.6631336898395783E-2</v>
      </c>
      <c r="G574" s="46">
        <f t="shared" si="8"/>
        <v>4.1868663101604212E-2</v>
      </c>
    </row>
    <row r="575" spans="3:7">
      <c r="C575" s="43"/>
      <c r="D575" s="301">
        <v>33954</v>
      </c>
      <c r="E575" s="62">
        <v>0.11900000000000001</v>
      </c>
      <c r="F575" s="62">
        <v>7.6363796791443894E-2</v>
      </c>
      <c r="G575" s="46">
        <f t="shared" si="8"/>
        <v>4.2636203208556114E-2</v>
      </c>
    </row>
    <row r="576" spans="3:7">
      <c r="C576" s="43"/>
      <c r="D576" s="301">
        <v>33960</v>
      </c>
      <c r="E576" s="62">
        <v>0.12300000000000001</v>
      </c>
      <c r="F576" s="62">
        <v>7.6248342245989364E-2</v>
      </c>
      <c r="G576" s="46">
        <f t="shared" si="8"/>
        <v>4.6751657754010648E-2</v>
      </c>
    </row>
    <row r="577" spans="3:7">
      <c r="C577" s="43"/>
      <c r="D577" s="301">
        <v>33960</v>
      </c>
      <c r="E577" s="62">
        <v>0.124</v>
      </c>
      <c r="F577" s="62">
        <v>7.6248342245989364E-2</v>
      </c>
      <c r="G577" s="46">
        <f t="shared" si="8"/>
        <v>4.7751657754010635E-2</v>
      </c>
    </row>
    <row r="578" spans="3:7">
      <c r="C578" s="43"/>
      <c r="D578" s="301">
        <v>33968</v>
      </c>
      <c r="E578" s="62">
        <v>0.12</v>
      </c>
      <c r="F578" s="62">
        <v>7.6081443850267397E-2</v>
      </c>
      <c r="G578" s="46">
        <f t="shared" si="8"/>
        <v>4.3918556149732599E-2</v>
      </c>
    </row>
    <row r="579" spans="3:7">
      <c r="C579" s="43"/>
      <c r="D579" s="301">
        <v>33969</v>
      </c>
      <c r="E579" s="62">
        <v>0.12</v>
      </c>
      <c r="F579" s="62">
        <v>7.6055240641711236E-2</v>
      </c>
      <c r="G579" s="46">
        <f t="shared" si="8"/>
        <v>4.394475935828876E-2</v>
      </c>
    </row>
    <row r="580" spans="3:7">
      <c r="C580" s="43"/>
      <c r="D580" s="301">
        <v>33981</v>
      </c>
      <c r="E580" s="62">
        <v>0.12</v>
      </c>
      <c r="F580" s="62">
        <v>7.5857647058823557E-2</v>
      </c>
      <c r="G580" s="46">
        <f t="shared" si="8"/>
        <v>4.4142352941176438E-2</v>
      </c>
    </row>
    <row r="581" spans="3:7">
      <c r="C581" s="43"/>
      <c r="D581" s="301">
        <v>33981</v>
      </c>
      <c r="E581" s="62">
        <v>0.12</v>
      </c>
      <c r="F581" s="62">
        <v>7.5857647058823557E-2</v>
      </c>
      <c r="G581" s="46">
        <f t="shared" si="8"/>
        <v>4.4142352941176438E-2</v>
      </c>
    </row>
    <row r="582" spans="3:7">
      <c r="C582" s="43"/>
      <c r="D582" s="301">
        <v>34002</v>
      </c>
      <c r="E582" s="62">
        <v>0.114</v>
      </c>
      <c r="F582" s="62">
        <v>7.5284759358288808E-2</v>
      </c>
      <c r="G582" s="46">
        <f t="shared" si="8"/>
        <v>3.8715240641711196E-2</v>
      </c>
    </row>
    <row r="583" spans="3:7">
      <c r="C583" s="43"/>
      <c r="D583" s="301">
        <v>34022</v>
      </c>
      <c r="E583" s="62">
        <v>0.11599999999999999</v>
      </c>
      <c r="F583" s="62">
        <v>7.4750053475935857E-2</v>
      </c>
      <c r="G583" s="46">
        <f t="shared" si="8"/>
        <v>4.1249946524064135E-2</v>
      </c>
    </row>
    <row r="584" spans="3:7">
      <c r="C584" s="43"/>
      <c r="D584" s="301">
        <v>34082</v>
      </c>
      <c r="E584" s="62">
        <v>0.11749999999999999</v>
      </c>
      <c r="F584" s="62">
        <v>7.2704598930481271E-2</v>
      </c>
      <c r="G584" s="46">
        <f t="shared" si="8"/>
        <v>4.4795401069518723E-2</v>
      </c>
    </row>
    <row r="585" spans="3:7">
      <c r="C585" s="43"/>
      <c r="D585" s="301">
        <v>34092</v>
      </c>
      <c r="E585" s="62">
        <v>0.115</v>
      </c>
      <c r="F585" s="62">
        <v>7.2540320855614959E-2</v>
      </c>
      <c r="G585" s="46">
        <f t="shared" si="8"/>
        <v>4.2459679144385046E-2</v>
      </c>
    </row>
    <row r="586" spans="3:7">
      <c r="C586" s="43"/>
      <c r="D586" s="301">
        <v>34092</v>
      </c>
      <c r="E586" s="62">
        <v>0.11749999999999999</v>
      </c>
      <c r="F586" s="62">
        <v>7.2540320855614959E-2</v>
      </c>
      <c r="G586" s="46">
        <f t="shared" si="8"/>
        <v>4.4959679144385034E-2</v>
      </c>
    </row>
    <row r="587" spans="3:7">
      <c r="C587" s="43"/>
      <c r="D587" s="301">
        <v>34123</v>
      </c>
      <c r="E587" s="62">
        <v>0.12</v>
      </c>
      <c r="F587" s="62">
        <v>7.2006791443850235E-2</v>
      </c>
      <c r="G587" s="46">
        <f t="shared" si="8"/>
        <v>4.7993208556149761E-2</v>
      </c>
    </row>
    <row r="588" spans="3:7">
      <c r="C588" s="43"/>
      <c r="D588" s="301">
        <v>34127</v>
      </c>
      <c r="E588" s="62">
        <v>0.115</v>
      </c>
      <c r="F588" s="62">
        <v>7.1960748663101579E-2</v>
      </c>
      <c r="G588" s="46">
        <f t="shared" si="8"/>
        <v>4.3039251336898426E-2</v>
      </c>
    </row>
    <row r="589" spans="3:7">
      <c r="C589" s="43"/>
      <c r="D589" s="301">
        <v>34142</v>
      </c>
      <c r="E589" s="62">
        <v>0.11749999999999999</v>
      </c>
      <c r="F589" s="62">
        <v>7.1636256684491958E-2</v>
      </c>
      <c r="G589" s="46">
        <f t="shared" si="8"/>
        <v>4.5863743315508035E-2</v>
      </c>
    </row>
    <row r="590" spans="3:7">
      <c r="C590" s="43"/>
      <c r="D590" s="301">
        <v>34171</v>
      </c>
      <c r="E590" s="62">
        <v>0.11779999999999999</v>
      </c>
      <c r="F590" s="62">
        <v>7.0628663101604289E-2</v>
      </c>
      <c r="G590" s="46">
        <f t="shared" si="8"/>
        <v>4.7171336898395699E-2</v>
      </c>
    </row>
    <row r="591" spans="3:7">
      <c r="C591" s="43"/>
      <c r="D591" s="301">
        <v>34171</v>
      </c>
      <c r="E591" s="62">
        <v>0.11900000000000001</v>
      </c>
      <c r="F591" s="62">
        <v>7.0628663101604289E-2</v>
      </c>
      <c r="G591" s="46">
        <f t="shared" si="8"/>
        <v>4.837133689839572E-2</v>
      </c>
    </row>
    <row r="592" spans="3:7">
      <c r="C592" s="43"/>
      <c r="D592" s="301">
        <v>34173</v>
      </c>
      <c r="E592" s="62">
        <v>0.115</v>
      </c>
      <c r="F592" s="62">
        <v>7.0524171122994653E-2</v>
      </c>
      <c r="G592" s="46">
        <f t="shared" si="8"/>
        <v>4.4475828877005352E-2</v>
      </c>
    </row>
    <row r="593" spans="3:7">
      <c r="C593" s="43"/>
      <c r="D593" s="301">
        <v>34179</v>
      </c>
      <c r="E593" s="62">
        <v>0.115</v>
      </c>
      <c r="F593" s="62">
        <v>7.0294759358288758E-2</v>
      </c>
      <c r="G593" s="46">
        <f t="shared" si="8"/>
        <v>4.4705240641711247E-2</v>
      </c>
    </row>
    <row r="594" spans="3:7">
      <c r="C594" s="43"/>
      <c r="D594" s="301">
        <v>34193</v>
      </c>
      <c r="E594" s="62">
        <v>0.1075</v>
      </c>
      <c r="F594" s="62">
        <v>6.9722941176470585E-2</v>
      </c>
      <c r="G594" s="46">
        <f t="shared" si="8"/>
        <v>3.7777058823529414E-2</v>
      </c>
    </row>
    <row r="595" spans="3:7">
      <c r="C595" s="43"/>
      <c r="D595" s="301">
        <v>34205</v>
      </c>
      <c r="E595" s="62">
        <v>0.115</v>
      </c>
      <c r="F595" s="62">
        <v>6.916513368983955E-2</v>
      </c>
      <c r="G595" s="46">
        <f t="shared" si="8"/>
        <v>4.5834866310160455E-2</v>
      </c>
    </row>
    <row r="596" spans="3:7">
      <c r="C596" s="43"/>
      <c r="D596" s="301">
        <v>34212</v>
      </c>
      <c r="E596" s="62">
        <v>0.11900000000000001</v>
      </c>
      <c r="F596" s="62">
        <v>6.881069518716576E-2</v>
      </c>
      <c r="G596" s="46">
        <f t="shared" si="8"/>
        <v>5.0189304812834248E-2</v>
      </c>
    </row>
    <row r="597" spans="3:7">
      <c r="C597" s="43"/>
      <c r="D597" s="301">
        <v>34213</v>
      </c>
      <c r="E597" s="62">
        <v>0.1125</v>
      </c>
      <c r="F597" s="62">
        <v>6.8738395721925138E-2</v>
      </c>
      <c r="G597" s="46">
        <f t="shared" si="8"/>
        <v>4.3761604278074864E-2</v>
      </c>
    </row>
    <row r="598" spans="3:7">
      <c r="C598" s="43"/>
      <c r="D598" s="301">
        <v>34213</v>
      </c>
      <c r="E598" s="62">
        <v>0.11470000000000001</v>
      </c>
      <c r="F598" s="62">
        <v>6.8738395721925138E-2</v>
      </c>
      <c r="G598" s="46">
        <f t="shared" si="8"/>
        <v>4.5961604278074872E-2</v>
      </c>
    </row>
    <row r="599" spans="3:7">
      <c r="C599" s="43"/>
      <c r="D599" s="301">
        <v>34239</v>
      </c>
      <c r="E599" s="62">
        <v>0.105</v>
      </c>
      <c r="F599" s="62">
        <v>6.7392941176470586E-2</v>
      </c>
      <c r="G599" s="46">
        <f t="shared" si="8"/>
        <v>3.760705882352941E-2</v>
      </c>
    </row>
    <row r="600" spans="3:7">
      <c r="C600" s="43"/>
      <c r="D600" s="301">
        <v>34241</v>
      </c>
      <c r="E600" s="62">
        <v>0.11</v>
      </c>
      <c r="F600" s="62">
        <v>6.7233850267379686E-2</v>
      </c>
      <c r="G600" s="46">
        <f t="shared" si="8"/>
        <v>4.2766149732620315E-2</v>
      </c>
    </row>
    <row r="601" spans="3:7">
      <c r="C601" s="43"/>
      <c r="D601" s="301">
        <v>34242</v>
      </c>
      <c r="E601" s="62">
        <v>0.11599999999999999</v>
      </c>
      <c r="F601" s="62">
        <v>6.7156256684491974E-2</v>
      </c>
      <c r="G601" s="46">
        <f t="shared" si="8"/>
        <v>4.8843743315508018E-2</v>
      </c>
    </row>
    <row r="602" spans="3:7">
      <c r="C602" s="43"/>
      <c r="D602" s="301">
        <v>34250</v>
      </c>
      <c r="E602" s="62">
        <v>0.115</v>
      </c>
      <c r="F602" s="62">
        <v>6.6717647058823507E-2</v>
      </c>
      <c r="G602" s="46">
        <f t="shared" si="8"/>
        <v>4.8282352941176498E-2</v>
      </c>
    </row>
    <row r="603" spans="3:7">
      <c r="C603" s="43"/>
      <c r="D603" s="301">
        <v>34256</v>
      </c>
      <c r="E603" s="62">
        <v>0.11199999999999999</v>
      </c>
      <c r="F603" s="62">
        <v>6.6498074866310139E-2</v>
      </c>
      <c r="G603" s="46">
        <f t="shared" si="8"/>
        <v>4.5501925133689849E-2</v>
      </c>
    </row>
    <row r="604" spans="3:7">
      <c r="C604" s="43"/>
      <c r="D604" s="301">
        <v>34257</v>
      </c>
      <c r="E604" s="62">
        <v>0.11749999999999999</v>
      </c>
      <c r="F604" s="62">
        <v>6.6419518716577516E-2</v>
      </c>
      <c r="G604" s="46">
        <f t="shared" si="8"/>
        <v>5.1080481283422477E-2</v>
      </c>
    </row>
    <row r="605" spans="3:7">
      <c r="C605" s="43"/>
      <c r="D605" s="301">
        <v>34267</v>
      </c>
      <c r="E605" s="62">
        <v>0.11550000000000001</v>
      </c>
      <c r="F605" s="62">
        <v>6.5997165775401059E-2</v>
      </c>
      <c r="G605" s="46">
        <f t="shared" si="8"/>
        <v>4.9502834224598946E-2</v>
      </c>
    </row>
    <row r="606" spans="3:7">
      <c r="C606" s="43"/>
      <c r="D606" s="301">
        <v>34270</v>
      </c>
      <c r="E606" s="62">
        <v>0.115</v>
      </c>
      <c r="F606" s="62">
        <v>6.5804598930481267E-2</v>
      </c>
      <c r="G606" s="46">
        <f t="shared" si="8"/>
        <v>4.9195401069518738E-2</v>
      </c>
    </row>
    <row r="607" spans="3:7">
      <c r="C607" s="43"/>
      <c r="D607" s="301">
        <v>34271</v>
      </c>
      <c r="E607" s="62">
        <v>0.10099999999999999</v>
      </c>
      <c r="F607" s="62">
        <v>6.5738877005347585E-2</v>
      </c>
      <c r="G607" s="46">
        <f t="shared" si="8"/>
        <v>3.5261122994652408E-2</v>
      </c>
    </row>
    <row r="608" spans="3:7">
      <c r="C608" s="43"/>
      <c r="D608" s="301">
        <v>34271</v>
      </c>
      <c r="E608" s="62">
        <v>0.10199999999999999</v>
      </c>
      <c r="F608" s="62">
        <v>6.5738877005347585E-2</v>
      </c>
      <c r="G608" s="46">
        <f t="shared" si="8"/>
        <v>3.6261122994652409E-2</v>
      </c>
    </row>
    <row r="609" spans="3:7">
      <c r="C609" s="43"/>
      <c r="D609" s="301">
        <v>34271</v>
      </c>
      <c r="E609" s="62">
        <v>0.1125</v>
      </c>
      <c r="F609" s="62">
        <v>6.5738877005347585E-2</v>
      </c>
      <c r="G609" s="46">
        <f t="shared" si="8"/>
        <v>4.6761122994652418E-2</v>
      </c>
    </row>
    <row r="610" spans="3:7">
      <c r="C610" s="43"/>
      <c r="D610" s="301">
        <v>34275</v>
      </c>
      <c r="E610" s="62">
        <v>0.10800000000000001</v>
      </c>
      <c r="F610" s="62">
        <v>6.5612727272727267E-2</v>
      </c>
      <c r="G610" s="46">
        <f t="shared" si="8"/>
        <v>4.2387272727272746E-2</v>
      </c>
    </row>
    <row r="611" spans="3:7">
      <c r="C611" s="43"/>
      <c r="D611" s="301">
        <v>34285</v>
      </c>
      <c r="E611" s="62">
        <v>0.11800000000000001</v>
      </c>
      <c r="F611" s="62">
        <v>6.5278930481283429E-2</v>
      </c>
      <c r="G611" s="46">
        <f t="shared" si="8"/>
        <v>5.2721069518716579E-2</v>
      </c>
    </row>
    <row r="612" spans="3:7">
      <c r="C612" s="43"/>
      <c r="D612" s="301">
        <v>34296</v>
      </c>
      <c r="E612" s="62">
        <v>0.125</v>
      </c>
      <c r="F612" s="62">
        <v>6.5055721925133703E-2</v>
      </c>
      <c r="G612" s="46">
        <f t="shared" si="8"/>
        <v>5.9944278074866297E-2</v>
      </c>
    </row>
    <row r="613" spans="3:7">
      <c r="C613" s="43"/>
      <c r="D613" s="301">
        <v>34299</v>
      </c>
      <c r="E613" s="62">
        <v>0.11</v>
      </c>
      <c r="F613" s="62">
        <v>6.4985614973262051E-2</v>
      </c>
      <c r="G613" s="46">
        <f t="shared" si="8"/>
        <v>4.5014385026737949E-2</v>
      </c>
    </row>
    <row r="614" spans="3:7">
      <c r="C614" s="43"/>
      <c r="D614" s="301">
        <v>34304</v>
      </c>
      <c r="E614" s="62">
        <v>0.11449999999999999</v>
      </c>
      <c r="F614" s="62">
        <v>6.4907540106951878E-2</v>
      </c>
      <c r="G614" s="46">
        <f t="shared" si="8"/>
        <v>4.9592459893048113E-2</v>
      </c>
    </row>
    <row r="615" spans="3:7">
      <c r="C615" s="43"/>
      <c r="D615" s="301">
        <v>34319</v>
      </c>
      <c r="E615" s="62">
        <v>0.106</v>
      </c>
      <c r="F615" s="62">
        <v>6.4546363636363624E-2</v>
      </c>
      <c r="G615" s="46">
        <f t="shared" si="8"/>
        <v>4.1453636363636373E-2</v>
      </c>
    </row>
    <row r="616" spans="3:7">
      <c r="C616" s="43"/>
      <c r="D616" s="301">
        <v>34319</v>
      </c>
      <c r="E616" s="62">
        <v>0.11199999999999999</v>
      </c>
      <c r="F616" s="62">
        <v>6.4546363636363624E-2</v>
      </c>
      <c r="G616" s="46">
        <f t="shared" si="8"/>
        <v>4.7453636363636365E-2</v>
      </c>
    </row>
    <row r="617" spans="3:7">
      <c r="C617" s="43"/>
      <c r="D617" s="301">
        <v>34324</v>
      </c>
      <c r="E617" s="62">
        <v>0.113</v>
      </c>
      <c r="F617" s="62">
        <v>6.4448288770053472E-2</v>
      </c>
      <c r="G617" s="46">
        <f t="shared" si="8"/>
        <v>4.8551711229946531E-2</v>
      </c>
    </row>
    <row r="618" spans="3:7">
      <c r="C618" s="43"/>
      <c r="D618" s="301">
        <v>34325</v>
      </c>
      <c r="E618" s="62">
        <v>0.11</v>
      </c>
      <c r="F618" s="62">
        <v>6.4408502673796775E-2</v>
      </c>
      <c r="G618" s="46">
        <f t="shared" si="8"/>
        <v>4.5591497326203226E-2</v>
      </c>
    </row>
    <row r="619" spans="3:7">
      <c r="C619" s="43"/>
      <c r="D619" s="301">
        <v>34326</v>
      </c>
      <c r="E619" s="62">
        <v>0.10099999999999999</v>
      </c>
      <c r="F619" s="62">
        <v>6.4363582887700527E-2</v>
      </c>
      <c r="G619" s="46">
        <f t="shared" si="8"/>
        <v>3.6636417112299466E-2</v>
      </c>
    </row>
    <row r="620" spans="3:7">
      <c r="C620" s="43"/>
      <c r="D620" s="301">
        <v>34339</v>
      </c>
      <c r="E620" s="62">
        <v>0.115</v>
      </c>
      <c r="F620" s="62">
        <v>6.4101443850267364E-2</v>
      </c>
      <c r="G620" s="46">
        <f t="shared" si="8"/>
        <v>5.0898556149732641E-2</v>
      </c>
    </row>
    <row r="621" spans="3:7">
      <c r="C621" s="43"/>
      <c r="D621" s="301">
        <v>34344</v>
      </c>
      <c r="E621" s="62">
        <v>0.11</v>
      </c>
      <c r="F621" s="62">
        <v>6.4025882352941169E-2</v>
      </c>
      <c r="G621" s="46">
        <f t="shared" si="8"/>
        <v>4.5974117647058832E-2</v>
      </c>
    </row>
    <row r="622" spans="3:7">
      <c r="C622" s="43"/>
      <c r="D622" s="301">
        <v>34359</v>
      </c>
      <c r="E622" s="62">
        <v>0.12</v>
      </c>
      <c r="F622" s="62">
        <v>6.3696791443850265E-2</v>
      </c>
      <c r="G622" s="46">
        <f t="shared" si="8"/>
        <v>5.6303208556149731E-2</v>
      </c>
    </row>
    <row r="623" spans="3:7">
      <c r="C623" s="43"/>
      <c r="D623" s="301">
        <v>34367</v>
      </c>
      <c r="E623" s="62">
        <v>0.10400000000000001</v>
      </c>
      <c r="F623" s="62">
        <v>6.3511925133689848E-2</v>
      </c>
      <c r="G623" s="46">
        <f t="shared" si="8"/>
        <v>4.0488074866310161E-2</v>
      </c>
    </row>
    <row r="624" spans="3:7">
      <c r="C624" s="43"/>
      <c r="D624" s="301">
        <v>34374</v>
      </c>
      <c r="E624" s="62">
        <v>0.107</v>
      </c>
      <c r="F624" s="62">
        <v>6.3352780748663101E-2</v>
      </c>
      <c r="G624" s="46">
        <f t="shared" si="8"/>
        <v>4.3647219251336897E-2</v>
      </c>
    </row>
    <row r="625" spans="3:7">
      <c r="C625" s="43"/>
      <c r="D625" s="301">
        <v>34430</v>
      </c>
      <c r="E625" s="62">
        <v>0.1124</v>
      </c>
      <c r="F625" s="62">
        <v>6.3452727272727258E-2</v>
      </c>
      <c r="G625" s="46">
        <f t="shared" ref="G625:G688" si="9">E625-F625</f>
        <v>4.8947272727272742E-2</v>
      </c>
    </row>
    <row r="626" spans="3:7">
      <c r="C626" s="43"/>
      <c r="D626" s="301">
        <v>34449</v>
      </c>
      <c r="E626" s="62">
        <v>0.11</v>
      </c>
      <c r="F626" s="62">
        <v>6.3913422459893024E-2</v>
      </c>
      <c r="G626" s="46">
        <f t="shared" si="9"/>
        <v>4.6086577540106977E-2</v>
      </c>
    </row>
    <row r="627" spans="3:7">
      <c r="C627" s="43"/>
      <c r="D627" s="301">
        <v>34501</v>
      </c>
      <c r="E627" s="62">
        <v>0.105</v>
      </c>
      <c r="F627" s="62">
        <v>6.6347112299465258E-2</v>
      </c>
      <c r="G627" s="46">
        <f t="shared" si="9"/>
        <v>3.8652887700534738E-2</v>
      </c>
    </row>
    <row r="628" spans="3:7">
      <c r="C628" s="43"/>
      <c r="D628" s="301">
        <v>34508</v>
      </c>
      <c r="E628" s="62">
        <v>0.106</v>
      </c>
      <c r="F628" s="62">
        <v>6.6737219251336924E-2</v>
      </c>
      <c r="G628" s="46">
        <f t="shared" si="9"/>
        <v>3.9262780748663073E-2</v>
      </c>
    </row>
    <row r="629" spans="3:7">
      <c r="C629" s="43"/>
      <c r="D629" s="301">
        <v>34534</v>
      </c>
      <c r="E629" s="62">
        <v>0.107</v>
      </c>
      <c r="F629" s="62">
        <v>6.8323850267379707E-2</v>
      </c>
      <c r="G629" s="46">
        <f t="shared" si="9"/>
        <v>3.8676149732620291E-2</v>
      </c>
    </row>
    <row r="630" spans="3:7">
      <c r="C630" s="43"/>
      <c r="D630" s="301">
        <v>34606</v>
      </c>
      <c r="E630" s="62">
        <v>0.109</v>
      </c>
      <c r="F630" s="62">
        <v>7.2045668449197839E-2</v>
      </c>
      <c r="G630" s="46">
        <f t="shared" si="9"/>
        <v>3.6954331550802161E-2</v>
      </c>
    </row>
    <row r="631" spans="3:7">
      <c r="C631" s="43"/>
      <c r="D631" s="301">
        <v>34606</v>
      </c>
      <c r="E631" s="62">
        <v>0.11</v>
      </c>
      <c r="F631" s="62">
        <v>7.2045668449197839E-2</v>
      </c>
      <c r="G631" s="46">
        <f t="shared" si="9"/>
        <v>3.7954331550802162E-2</v>
      </c>
    </row>
    <row r="632" spans="3:7">
      <c r="C632" s="43"/>
      <c r="D632" s="301">
        <v>34614</v>
      </c>
      <c r="E632" s="62">
        <v>0.11869999999999999</v>
      </c>
      <c r="F632" s="62">
        <v>7.2567647058823501E-2</v>
      </c>
      <c r="G632" s="46">
        <f t="shared" si="9"/>
        <v>4.6132352941176485E-2</v>
      </c>
    </row>
    <row r="633" spans="3:7">
      <c r="C633" s="43"/>
      <c r="D633" s="301">
        <v>34625</v>
      </c>
      <c r="E633" s="62">
        <v>0.115</v>
      </c>
      <c r="F633" s="62">
        <v>7.3159358288770016E-2</v>
      </c>
      <c r="G633" s="46">
        <f t="shared" si="9"/>
        <v>4.1840641711229989E-2</v>
      </c>
    </row>
    <row r="634" spans="3:7">
      <c r="C634" s="43"/>
      <c r="D634" s="301">
        <v>34625</v>
      </c>
      <c r="E634" s="62">
        <v>0.115</v>
      </c>
      <c r="F634" s="62">
        <v>7.3159358288770016E-2</v>
      </c>
      <c r="G634" s="46">
        <f t="shared" si="9"/>
        <v>4.1840641711229989E-2</v>
      </c>
    </row>
    <row r="635" spans="3:7">
      <c r="C635" s="43"/>
      <c r="D635" s="301">
        <v>34631</v>
      </c>
      <c r="E635" s="62">
        <v>0.11</v>
      </c>
      <c r="F635" s="62">
        <v>7.352133689839567E-2</v>
      </c>
      <c r="G635" s="46">
        <f t="shared" si="9"/>
        <v>3.6478663101604331E-2</v>
      </c>
    </row>
    <row r="636" spans="3:7">
      <c r="C636" s="43"/>
      <c r="D636" s="301">
        <v>34660</v>
      </c>
      <c r="E636" s="62">
        <v>0.12119999999999999</v>
      </c>
      <c r="F636" s="62">
        <v>7.5212513368983894E-2</v>
      </c>
      <c r="G636" s="46">
        <f t="shared" si="9"/>
        <v>4.5987486631016095E-2</v>
      </c>
    </row>
    <row r="637" spans="3:7">
      <c r="C637" s="43"/>
      <c r="D637" s="301">
        <v>34667</v>
      </c>
      <c r="E637" s="62">
        <v>0.113</v>
      </c>
      <c r="F637" s="62">
        <v>7.5506149732620279E-2</v>
      </c>
      <c r="G637" s="46">
        <f t="shared" si="9"/>
        <v>3.7493850267379725E-2</v>
      </c>
    </row>
    <row r="638" spans="3:7">
      <c r="C638" s="43"/>
      <c r="D638" s="301">
        <v>34669</v>
      </c>
      <c r="E638" s="62">
        <v>0.11</v>
      </c>
      <c r="F638" s="62">
        <v>7.5622994652406378E-2</v>
      </c>
      <c r="G638" s="46">
        <f t="shared" si="9"/>
        <v>3.4377005347593623E-2</v>
      </c>
    </row>
    <row r="639" spans="3:7">
      <c r="C639" s="43"/>
      <c r="D639" s="301">
        <v>34676</v>
      </c>
      <c r="E639" s="62">
        <v>0.115</v>
      </c>
      <c r="F639" s="62">
        <v>7.589470588235292E-2</v>
      </c>
      <c r="G639" s="46">
        <f t="shared" si="9"/>
        <v>3.9105294117647085E-2</v>
      </c>
    </row>
    <row r="640" spans="3:7">
      <c r="C640" s="43"/>
      <c r="D640" s="301">
        <v>34676</v>
      </c>
      <c r="E640" s="62">
        <v>0.11699999999999999</v>
      </c>
      <c r="F640" s="62">
        <v>7.589470588235292E-2</v>
      </c>
      <c r="G640" s="46">
        <f t="shared" si="9"/>
        <v>4.1105294117647073E-2</v>
      </c>
    </row>
    <row r="641" spans="3:7">
      <c r="C641" s="43"/>
      <c r="D641" s="301">
        <v>34680</v>
      </c>
      <c r="E641" s="62">
        <v>0.1182</v>
      </c>
      <c r="F641" s="62">
        <v>7.599850267379675E-2</v>
      </c>
      <c r="G641" s="46">
        <f t="shared" si="9"/>
        <v>4.2201497326203249E-2</v>
      </c>
    </row>
    <row r="642" spans="3:7">
      <c r="C642" s="43"/>
      <c r="D642" s="301">
        <v>34682</v>
      </c>
      <c r="E642" s="62">
        <v>0.115</v>
      </c>
      <c r="F642" s="62">
        <v>7.6090909090909042E-2</v>
      </c>
      <c r="G642" s="46">
        <f t="shared" si="9"/>
        <v>3.8909090909090963E-2</v>
      </c>
    </row>
    <row r="643" spans="3:7">
      <c r="C643" s="43"/>
      <c r="D643" s="301">
        <v>34687</v>
      </c>
      <c r="E643" s="62">
        <v>0.115</v>
      </c>
      <c r="F643" s="62">
        <v>7.6214331550802095E-2</v>
      </c>
      <c r="G643" s="46">
        <f t="shared" si="9"/>
        <v>3.878566844919791E-2</v>
      </c>
    </row>
    <row r="644" spans="3:7">
      <c r="C644" s="43"/>
      <c r="D644" s="301">
        <v>34808</v>
      </c>
      <c r="E644" s="62">
        <v>0.11</v>
      </c>
      <c r="F644" s="62">
        <v>7.7151176470588251E-2</v>
      </c>
      <c r="G644" s="46">
        <f t="shared" si="9"/>
        <v>3.284882352941175E-2</v>
      </c>
    </row>
    <row r="645" spans="3:7">
      <c r="C645" s="43"/>
      <c r="D645" s="301">
        <v>34953</v>
      </c>
      <c r="E645" s="62">
        <v>0.113</v>
      </c>
      <c r="F645" s="62">
        <v>7.1591550802139067E-2</v>
      </c>
      <c r="G645" s="46">
        <f t="shared" si="9"/>
        <v>4.1408449197860936E-2</v>
      </c>
    </row>
    <row r="646" spans="3:7">
      <c r="C646" s="43"/>
      <c r="D646" s="301">
        <v>34957</v>
      </c>
      <c r="E646" s="62">
        <v>0.10400000000000001</v>
      </c>
      <c r="F646" s="62">
        <v>7.1309465240641745E-2</v>
      </c>
      <c r="G646" s="46">
        <f t="shared" si="9"/>
        <v>3.2690534759358264E-2</v>
      </c>
    </row>
    <row r="647" spans="3:7">
      <c r="C647" s="43"/>
      <c r="D647" s="301">
        <v>34971</v>
      </c>
      <c r="E647" s="62">
        <v>0.115</v>
      </c>
      <c r="F647" s="62">
        <v>7.0600588235294165E-2</v>
      </c>
      <c r="G647" s="46">
        <f t="shared" si="9"/>
        <v>4.439941176470584E-2</v>
      </c>
    </row>
    <row r="648" spans="3:7">
      <c r="C648" s="43"/>
      <c r="D648" s="301">
        <v>34985</v>
      </c>
      <c r="E648" s="62">
        <v>0.1076</v>
      </c>
      <c r="F648" s="62">
        <v>6.9838877005347577E-2</v>
      </c>
      <c r="G648" s="46">
        <f t="shared" si="9"/>
        <v>3.7761122994652424E-2</v>
      </c>
    </row>
    <row r="649" spans="3:7">
      <c r="C649" s="43"/>
      <c r="D649" s="301">
        <v>35010</v>
      </c>
      <c r="E649" s="62">
        <v>0.125</v>
      </c>
      <c r="F649" s="62">
        <v>6.8613155080213886E-2</v>
      </c>
      <c r="G649" s="46">
        <f t="shared" si="9"/>
        <v>5.6386844919786114E-2</v>
      </c>
    </row>
    <row r="650" spans="3:7">
      <c r="C650" s="43"/>
      <c r="D650" s="301">
        <v>35011</v>
      </c>
      <c r="E650" s="62">
        <v>0.111</v>
      </c>
      <c r="F650" s="62">
        <v>6.8541711229946498E-2</v>
      </c>
      <c r="G650" s="46">
        <f t="shared" si="9"/>
        <v>4.2458288770053504E-2</v>
      </c>
    </row>
    <row r="651" spans="3:7">
      <c r="C651" s="43"/>
      <c r="D651" s="301">
        <v>35011</v>
      </c>
      <c r="E651" s="62">
        <v>0.113</v>
      </c>
      <c r="F651" s="62">
        <v>6.8541711229946498E-2</v>
      </c>
      <c r="G651" s="46">
        <f t="shared" si="9"/>
        <v>4.4458288770053506E-2</v>
      </c>
    </row>
    <row r="652" spans="3:7">
      <c r="C652" s="43"/>
      <c r="D652" s="301">
        <v>35020</v>
      </c>
      <c r="E652" s="62">
        <v>0.109</v>
      </c>
      <c r="F652" s="62">
        <v>6.8078823529411747E-2</v>
      </c>
      <c r="G652" s="46">
        <f t="shared" si="9"/>
        <v>4.0921176470588252E-2</v>
      </c>
    </row>
    <row r="653" spans="3:7">
      <c r="C653" s="43"/>
      <c r="D653" s="301">
        <v>35023</v>
      </c>
      <c r="E653" s="62">
        <v>0.114</v>
      </c>
      <c r="F653" s="62">
        <v>6.8012459893048105E-2</v>
      </c>
      <c r="G653" s="46">
        <f t="shared" si="9"/>
        <v>4.5987540106951899E-2</v>
      </c>
    </row>
    <row r="654" spans="3:7">
      <c r="C654" s="43"/>
      <c r="D654" s="301">
        <v>35030</v>
      </c>
      <c r="E654" s="62">
        <v>0.13600000000000001</v>
      </c>
      <c r="F654" s="62">
        <v>6.7664224598930456E-2</v>
      </c>
      <c r="G654" s="46">
        <f t="shared" si="9"/>
        <v>6.8335775401069554E-2</v>
      </c>
    </row>
    <row r="655" spans="3:7">
      <c r="C655" s="43"/>
      <c r="D655" s="301">
        <v>35047</v>
      </c>
      <c r="E655" s="62">
        <v>0.113</v>
      </c>
      <c r="F655" s="62">
        <v>6.6753529411764684E-2</v>
      </c>
      <c r="G655" s="46">
        <f t="shared" si="9"/>
        <v>4.6246470588235319E-2</v>
      </c>
    </row>
    <row r="656" spans="3:7">
      <c r="C656" s="43"/>
      <c r="D656" s="301">
        <v>35053</v>
      </c>
      <c r="E656" s="62">
        <v>0.11599999999999999</v>
      </c>
      <c r="F656" s="62">
        <v>6.6482299465240619E-2</v>
      </c>
      <c r="G656" s="46">
        <f t="shared" si="9"/>
        <v>4.9517700534759373E-2</v>
      </c>
    </row>
    <row r="657" spans="3:7">
      <c r="C657" s="43"/>
      <c r="D657" s="301">
        <v>35095</v>
      </c>
      <c r="E657" s="62">
        <v>0.113</v>
      </c>
      <c r="F657" s="62">
        <v>6.4544919786096236E-2</v>
      </c>
      <c r="G657" s="46">
        <f t="shared" si="9"/>
        <v>4.8455080213903767E-2</v>
      </c>
    </row>
    <row r="658" spans="3:7">
      <c r="C658" s="43"/>
      <c r="D658" s="301">
        <v>35135</v>
      </c>
      <c r="E658" s="62">
        <v>0.11599999999999999</v>
      </c>
      <c r="F658" s="62">
        <v>6.3988663101604226E-2</v>
      </c>
      <c r="G658" s="46">
        <f t="shared" si="9"/>
        <v>5.2011336898395766E-2</v>
      </c>
    </row>
    <row r="659" spans="3:7">
      <c r="C659" s="43"/>
      <c r="D659" s="301">
        <v>35158</v>
      </c>
      <c r="E659" s="62">
        <v>0.11130000000000001</v>
      </c>
      <c r="F659" s="62">
        <v>6.4065561497326201E-2</v>
      </c>
      <c r="G659" s="46">
        <f t="shared" si="9"/>
        <v>4.7234438502673809E-2</v>
      </c>
    </row>
    <row r="660" spans="3:7">
      <c r="C660" s="43"/>
      <c r="D660" s="301">
        <v>35170</v>
      </c>
      <c r="E660" s="62">
        <v>0.105</v>
      </c>
      <c r="F660" s="62">
        <v>6.4054866310160441E-2</v>
      </c>
      <c r="G660" s="46">
        <f t="shared" si="9"/>
        <v>4.0945133689839555E-2</v>
      </c>
    </row>
    <row r="661" spans="3:7">
      <c r="C661" s="43"/>
      <c r="D661" s="301">
        <v>35172</v>
      </c>
      <c r="E661" s="62">
        <v>0.10769999999999999</v>
      </c>
      <c r="F661" s="62">
        <v>6.4046951871657778E-2</v>
      </c>
      <c r="G661" s="46">
        <f t="shared" si="9"/>
        <v>4.3653048128342212E-2</v>
      </c>
    </row>
    <row r="662" spans="3:7">
      <c r="C662" s="43"/>
      <c r="D662" s="301">
        <v>35181</v>
      </c>
      <c r="E662" s="62">
        <v>0.106</v>
      </c>
      <c r="F662" s="62">
        <v>6.400732620320855E-2</v>
      </c>
      <c r="G662" s="46">
        <f t="shared" si="9"/>
        <v>4.1992673796791447E-2</v>
      </c>
    </row>
    <row r="663" spans="3:7">
      <c r="C663" s="43"/>
      <c r="D663" s="301">
        <v>35195</v>
      </c>
      <c r="E663" s="62">
        <v>0.11</v>
      </c>
      <c r="F663" s="62">
        <v>6.4046524064171134E-2</v>
      </c>
      <c r="G663" s="46">
        <f t="shared" si="9"/>
        <v>4.5953475935828866E-2</v>
      </c>
    </row>
    <row r="664" spans="3:7">
      <c r="C664" s="43"/>
      <c r="D664" s="301">
        <v>35198</v>
      </c>
      <c r="E664" s="62">
        <v>0.1125</v>
      </c>
      <c r="F664" s="62">
        <v>6.4050962566844935E-2</v>
      </c>
      <c r="G664" s="46">
        <f t="shared" si="9"/>
        <v>4.8449037433155068E-2</v>
      </c>
    </row>
    <row r="665" spans="3:7">
      <c r="C665" s="43"/>
      <c r="D665" s="301">
        <v>35249</v>
      </c>
      <c r="E665" s="62">
        <v>0.1125</v>
      </c>
      <c r="F665" s="62">
        <v>6.4934278074866333E-2</v>
      </c>
      <c r="G665" s="46">
        <f t="shared" si="9"/>
        <v>4.7565721925133669E-2</v>
      </c>
    </row>
    <row r="666" spans="3:7">
      <c r="C666" s="43"/>
      <c r="D666" s="301">
        <v>35268</v>
      </c>
      <c r="E666" s="62">
        <v>0.1125</v>
      </c>
      <c r="F666" s="62">
        <v>6.5434491978609649E-2</v>
      </c>
      <c r="G666" s="46">
        <f t="shared" si="9"/>
        <v>4.7065508021390354E-2</v>
      </c>
    </row>
    <row r="667" spans="3:7">
      <c r="C667" s="43"/>
      <c r="D667" s="301">
        <v>35341</v>
      </c>
      <c r="E667" s="62">
        <v>0.1</v>
      </c>
      <c r="F667" s="62">
        <v>6.7707272727272783E-2</v>
      </c>
      <c r="G667" s="46">
        <f t="shared" si="9"/>
        <v>3.2292727272727223E-2</v>
      </c>
    </row>
    <row r="668" spans="3:7">
      <c r="C668" s="43"/>
      <c r="D668" s="301">
        <v>35367</v>
      </c>
      <c r="E668" s="62">
        <v>0.113</v>
      </c>
      <c r="F668" s="62">
        <v>6.8419090909090916E-2</v>
      </c>
      <c r="G668" s="46">
        <f t="shared" si="9"/>
        <v>4.4580909090909088E-2</v>
      </c>
    </row>
    <row r="669" spans="3:7">
      <c r="C669" s="43"/>
      <c r="D669" s="301">
        <v>35395</v>
      </c>
      <c r="E669" s="62">
        <v>0.113</v>
      </c>
      <c r="F669" s="62">
        <v>6.8597914438502647E-2</v>
      </c>
      <c r="G669" s="46">
        <f t="shared" si="9"/>
        <v>4.4402085561497356E-2</v>
      </c>
    </row>
    <row r="670" spans="3:7">
      <c r="C670" s="43"/>
      <c r="D670" s="301">
        <v>35396</v>
      </c>
      <c r="E670" s="62">
        <v>0.113</v>
      </c>
      <c r="F670" s="62">
        <v>6.8587005347593558E-2</v>
      </c>
      <c r="G670" s="46">
        <f t="shared" si="9"/>
        <v>4.4412994652406446E-2</v>
      </c>
    </row>
    <row r="671" spans="3:7">
      <c r="C671" s="43"/>
      <c r="D671" s="301">
        <v>35398</v>
      </c>
      <c r="E671" s="62">
        <v>0.11</v>
      </c>
      <c r="F671" s="62">
        <v>6.8557058823529388E-2</v>
      </c>
      <c r="G671" s="46">
        <f t="shared" si="9"/>
        <v>4.1442941176470613E-2</v>
      </c>
    </row>
    <row r="672" spans="3:7">
      <c r="C672" s="43"/>
      <c r="D672" s="301">
        <v>35411</v>
      </c>
      <c r="E672" s="62">
        <v>0.11960000000000001</v>
      </c>
      <c r="F672" s="62">
        <v>6.8473208556149717E-2</v>
      </c>
      <c r="G672" s="46">
        <f t="shared" si="9"/>
        <v>5.1126791443850295E-2</v>
      </c>
    </row>
    <row r="673" spans="3:7">
      <c r="C673" s="43"/>
      <c r="D673" s="301">
        <v>35416</v>
      </c>
      <c r="E673" s="62">
        <v>0.115</v>
      </c>
      <c r="F673" s="62">
        <v>6.846160427807485E-2</v>
      </c>
      <c r="G673" s="46">
        <f t="shared" si="9"/>
        <v>4.6538395721925155E-2</v>
      </c>
    </row>
    <row r="674" spans="3:7">
      <c r="C674" s="43"/>
      <c r="D674" s="301">
        <v>35452</v>
      </c>
      <c r="E674" s="62">
        <v>0.113</v>
      </c>
      <c r="F674" s="62">
        <v>6.830352941176468E-2</v>
      </c>
      <c r="G674" s="46">
        <f t="shared" si="9"/>
        <v>4.4696470588235324E-2</v>
      </c>
    </row>
    <row r="675" spans="3:7">
      <c r="C675" s="43"/>
      <c r="D675" s="301">
        <v>35457</v>
      </c>
      <c r="E675" s="62">
        <v>0.1125</v>
      </c>
      <c r="F675" s="62">
        <v>6.8284117647058828E-2</v>
      </c>
      <c r="G675" s="46">
        <f t="shared" si="9"/>
        <v>4.4215882352941174E-2</v>
      </c>
    </row>
    <row r="676" spans="3:7">
      <c r="C676" s="43"/>
      <c r="D676" s="301">
        <v>35461</v>
      </c>
      <c r="E676" s="62">
        <v>0.1125</v>
      </c>
      <c r="F676" s="62">
        <v>6.8282887700534756E-2</v>
      </c>
      <c r="G676" s="46">
        <f t="shared" si="9"/>
        <v>4.4217112299465247E-2</v>
      </c>
    </row>
    <row r="677" spans="3:7">
      <c r="C677" s="43"/>
      <c r="D677" s="301">
        <v>35474</v>
      </c>
      <c r="E677" s="62">
        <v>0.11</v>
      </c>
      <c r="F677" s="62">
        <v>6.8217058823529408E-2</v>
      </c>
      <c r="G677" s="46">
        <f t="shared" si="9"/>
        <v>4.1782941176470592E-2</v>
      </c>
    </row>
    <row r="678" spans="3:7">
      <c r="C678" s="43"/>
      <c r="D678" s="301">
        <v>35474</v>
      </c>
      <c r="E678" s="62">
        <v>0.11800000000000001</v>
      </c>
      <c r="F678" s="62">
        <v>6.8217058823529408E-2</v>
      </c>
      <c r="G678" s="46">
        <f t="shared" si="9"/>
        <v>4.9782941176470599E-2</v>
      </c>
    </row>
    <row r="679" spans="3:7">
      <c r="C679" s="43"/>
      <c r="D679" s="301">
        <v>35481</v>
      </c>
      <c r="E679" s="62">
        <v>0.11800000000000001</v>
      </c>
      <c r="F679" s="62">
        <v>6.8108395721925133E-2</v>
      </c>
      <c r="G679" s="46">
        <f t="shared" si="9"/>
        <v>4.9891604278074875E-2</v>
      </c>
    </row>
    <row r="680" spans="3:7">
      <c r="C680" s="43"/>
      <c r="D680" s="301">
        <v>35516</v>
      </c>
      <c r="E680" s="62">
        <v>0.1075</v>
      </c>
      <c r="F680" s="62">
        <v>6.7869304812834208E-2</v>
      </c>
      <c r="G680" s="46">
        <f t="shared" si="9"/>
        <v>3.963069518716579E-2</v>
      </c>
    </row>
    <row r="681" spans="3:7">
      <c r="C681" s="43"/>
      <c r="D681" s="301">
        <v>35549</v>
      </c>
      <c r="E681" s="62">
        <v>0.11699999999999999</v>
      </c>
      <c r="F681" s="62">
        <v>6.8054117647058807E-2</v>
      </c>
      <c r="G681" s="46">
        <f t="shared" si="9"/>
        <v>4.8945882352941186E-2</v>
      </c>
    </row>
    <row r="682" spans="3:7">
      <c r="C682" s="43"/>
      <c r="D682" s="301">
        <v>35628</v>
      </c>
      <c r="E682" s="62">
        <v>0.12</v>
      </c>
      <c r="F682" s="62">
        <v>6.7693475935828903E-2</v>
      </c>
      <c r="G682" s="46">
        <f t="shared" si="9"/>
        <v>5.2306524064171092E-2</v>
      </c>
    </row>
    <row r="683" spans="3:7">
      <c r="C683" s="43"/>
      <c r="D683" s="301">
        <v>35732</v>
      </c>
      <c r="E683" s="62">
        <v>0.1075</v>
      </c>
      <c r="F683" s="62">
        <v>6.7025294117647044E-2</v>
      </c>
      <c r="G683" s="46">
        <f t="shared" si="9"/>
        <v>4.0474705882352954E-2</v>
      </c>
    </row>
    <row r="684" spans="3:7">
      <c r="C684" s="43"/>
      <c r="D684" s="301">
        <v>35734</v>
      </c>
      <c r="E684" s="62">
        <v>0.1125</v>
      </c>
      <c r="F684" s="62">
        <v>6.696540106951869E-2</v>
      </c>
      <c r="G684" s="46">
        <f t="shared" si="9"/>
        <v>4.5534598930481313E-2</v>
      </c>
    </row>
    <row r="685" spans="3:7">
      <c r="C685" s="43"/>
      <c r="D685" s="301">
        <v>35788</v>
      </c>
      <c r="E685" s="62">
        <v>0.1075</v>
      </c>
      <c r="F685" s="62">
        <v>6.5319518716577554E-2</v>
      </c>
      <c r="G685" s="46">
        <f t="shared" si="9"/>
        <v>4.2180481283422444E-2</v>
      </c>
    </row>
    <row r="686" spans="3:7">
      <c r="C686" s="43"/>
      <c r="D686" s="301">
        <v>35913</v>
      </c>
      <c r="E686" s="62">
        <v>0.109</v>
      </c>
      <c r="F686" s="62">
        <v>6.1051122994652388E-2</v>
      </c>
      <c r="G686" s="46">
        <f t="shared" si="9"/>
        <v>4.7948877005347612E-2</v>
      </c>
    </row>
    <row r="687" spans="3:7">
      <c r="C687" s="43"/>
      <c r="D687" s="301">
        <v>35915</v>
      </c>
      <c r="E687" s="62">
        <v>0.122</v>
      </c>
      <c r="F687" s="62">
        <v>6.0982513368983943E-2</v>
      </c>
      <c r="G687" s="46">
        <f t="shared" si="9"/>
        <v>6.1017486631016055E-2</v>
      </c>
    </row>
    <row r="688" spans="3:7">
      <c r="C688" s="43"/>
      <c r="D688" s="301">
        <v>35976</v>
      </c>
      <c r="E688" s="62">
        <v>0.11</v>
      </c>
      <c r="F688" s="62">
        <v>5.9409197860962576E-2</v>
      </c>
      <c r="G688" s="46">
        <f t="shared" si="9"/>
        <v>5.0590802139037425E-2</v>
      </c>
    </row>
    <row r="689" spans="3:7">
      <c r="C689" s="43"/>
      <c r="D689" s="301">
        <v>36033</v>
      </c>
      <c r="E689" s="62">
        <v>0.10929999999999999</v>
      </c>
      <c r="F689" s="62">
        <v>5.8200962566844941E-2</v>
      </c>
      <c r="G689" s="46">
        <f t="shared" ref="G689:G752" si="10">E689-F689</f>
        <v>5.1099037433155053E-2</v>
      </c>
    </row>
    <row r="690" spans="3:7">
      <c r="C690" s="43"/>
      <c r="D690" s="301">
        <v>36041</v>
      </c>
      <c r="E690" s="62">
        <v>0.114</v>
      </c>
      <c r="F690" s="62">
        <v>5.7980855614973272E-2</v>
      </c>
      <c r="G690" s="46">
        <f t="shared" si="10"/>
        <v>5.6019144385026733E-2</v>
      </c>
    </row>
    <row r="691" spans="3:7">
      <c r="C691" s="43"/>
      <c r="D691" s="301">
        <v>36053</v>
      </c>
      <c r="E691" s="62">
        <v>0.11900000000000001</v>
      </c>
      <c r="F691" s="62">
        <v>5.7701925133689838E-2</v>
      </c>
      <c r="G691" s="46">
        <f t="shared" si="10"/>
        <v>6.129807486631017E-2</v>
      </c>
    </row>
    <row r="692" spans="3:7">
      <c r="C692" s="43"/>
      <c r="D692" s="301">
        <v>36075</v>
      </c>
      <c r="E692" s="62">
        <v>0.1106</v>
      </c>
      <c r="F692" s="62">
        <v>5.7043903743315513E-2</v>
      </c>
      <c r="G692" s="46">
        <f t="shared" si="10"/>
        <v>5.3556096256684491E-2</v>
      </c>
    </row>
    <row r="693" spans="3:7">
      <c r="C693" s="43"/>
      <c r="D693" s="301">
        <v>36098</v>
      </c>
      <c r="E693" s="62">
        <v>0.114</v>
      </c>
      <c r="F693" s="62">
        <v>5.6306256684491962E-2</v>
      </c>
      <c r="G693" s="46">
        <f t="shared" si="10"/>
        <v>5.7693743315508042E-2</v>
      </c>
    </row>
    <row r="694" spans="3:7">
      <c r="C694" s="43"/>
      <c r="D694" s="301">
        <v>36139</v>
      </c>
      <c r="E694" s="62">
        <v>0.122</v>
      </c>
      <c r="F694" s="62">
        <v>5.5168716577540106E-2</v>
      </c>
      <c r="G694" s="46">
        <f t="shared" si="10"/>
        <v>6.6831283422459892E-2</v>
      </c>
    </row>
    <row r="695" spans="3:7">
      <c r="C695" s="43"/>
      <c r="D695" s="301">
        <v>36146</v>
      </c>
      <c r="E695" s="62">
        <v>0.121</v>
      </c>
      <c r="F695" s="62">
        <v>5.4915133689839565E-2</v>
      </c>
      <c r="G695" s="46">
        <f t="shared" si="10"/>
        <v>6.6084866310160431E-2</v>
      </c>
    </row>
    <row r="696" spans="3:7">
      <c r="C696" s="43"/>
      <c r="D696" s="301">
        <v>36210</v>
      </c>
      <c r="E696" s="62">
        <v>0.1115</v>
      </c>
      <c r="F696" s="62">
        <v>5.3170855614973291E-2</v>
      </c>
      <c r="G696" s="46">
        <f t="shared" si="10"/>
        <v>5.8329144385026711E-2</v>
      </c>
    </row>
    <row r="697" spans="3:7">
      <c r="C697" s="43"/>
      <c r="D697" s="301">
        <v>36220</v>
      </c>
      <c r="E697" s="62">
        <v>0.1065</v>
      </c>
      <c r="F697" s="62">
        <v>5.3099465240641713E-2</v>
      </c>
      <c r="G697" s="46">
        <f t="shared" si="10"/>
        <v>5.3400534759358284E-2</v>
      </c>
    </row>
    <row r="698" spans="3:7">
      <c r="C698" s="43"/>
      <c r="D698" s="301">
        <v>36220</v>
      </c>
      <c r="E698" s="62">
        <v>0.1065</v>
      </c>
      <c r="F698" s="62">
        <v>5.3099465240641713E-2</v>
      </c>
      <c r="G698" s="46">
        <f t="shared" si="10"/>
        <v>5.3400534759358284E-2</v>
      </c>
    </row>
    <row r="699" spans="3:7">
      <c r="C699" s="43"/>
      <c r="D699" s="301">
        <v>36319</v>
      </c>
      <c r="E699" s="62">
        <v>0.1125</v>
      </c>
      <c r="F699" s="62">
        <v>5.3540427807486662E-2</v>
      </c>
      <c r="G699" s="46">
        <f t="shared" si="10"/>
        <v>5.895957219251334E-2</v>
      </c>
    </row>
    <row r="700" spans="3:7">
      <c r="C700" s="43"/>
      <c r="D700" s="301">
        <v>36476</v>
      </c>
      <c r="E700" s="62">
        <v>0.10249999999999999</v>
      </c>
      <c r="F700" s="62">
        <v>5.9195080213903802E-2</v>
      </c>
      <c r="G700" s="46">
        <f t="shared" si="10"/>
        <v>4.3304919786096192E-2</v>
      </c>
    </row>
    <row r="701" spans="3:7">
      <c r="C701" s="43"/>
      <c r="D701" s="301">
        <v>36508</v>
      </c>
      <c r="E701" s="62">
        <v>0.105</v>
      </c>
      <c r="F701" s="62">
        <v>5.9942566844919824E-2</v>
      </c>
      <c r="G701" s="46">
        <f t="shared" si="10"/>
        <v>4.5057433155080172E-2</v>
      </c>
    </row>
    <row r="702" spans="3:7">
      <c r="C702" s="43"/>
      <c r="D702" s="301">
        <v>36553</v>
      </c>
      <c r="E702" s="62">
        <v>0.10710000000000001</v>
      </c>
      <c r="F702" s="62">
        <v>6.1620641711230009E-2</v>
      </c>
      <c r="G702" s="46">
        <f t="shared" si="10"/>
        <v>4.5479358288770005E-2</v>
      </c>
    </row>
    <row r="703" spans="3:7">
      <c r="C703" s="43"/>
      <c r="D703" s="301">
        <v>36573</v>
      </c>
      <c r="E703" s="62">
        <v>0.106</v>
      </c>
      <c r="F703" s="62">
        <v>6.1971978609625722E-2</v>
      </c>
      <c r="G703" s="46">
        <f t="shared" si="10"/>
        <v>4.4028021390374275E-2</v>
      </c>
    </row>
    <row r="704" spans="3:7">
      <c r="C704" s="43"/>
      <c r="D704" s="301">
        <v>36671</v>
      </c>
      <c r="E704" s="62">
        <v>0.10800000000000001</v>
      </c>
      <c r="F704" s="62">
        <v>6.1945347593582875E-2</v>
      </c>
      <c r="G704" s="46">
        <f t="shared" si="10"/>
        <v>4.6054652406417138E-2</v>
      </c>
    </row>
    <row r="705" spans="3:7">
      <c r="C705" s="43"/>
      <c r="D705" s="301">
        <v>36696</v>
      </c>
      <c r="E705" s="62">
        <v>0.1105</v>
      </c>
      <c r="F705" s="62">
        <v>6.1835294117647009E-2</v>
      </c>
      <c r="G705" s="46">
        <f t="shared" si="10"/>
        <v>4.8664705882352992E-2</v>
      </c>
    </row>
    <row r="706" spans="3:7">
      <c r="C706" s="43"/>
      <c r="D706" s="301">
        <v>36699</v>
      </c>
      <c r="E706" s="62">
        <v>0.1125</v>
      </c>
      <c r="F706" s="62">
        <v>6.1804652406417075E-2</v>
      </c>
      <c r="G706" s="46">
        <f t="shared" si="10"/>
        <v>5.0695347593582928E-2</v>
      </c>
    </row>
    <row r="707" spans="3:7">
      <c r="C707" s="43"/>
      <c r="D707" s="301">
        <v>36724</v>
      </c>
      <c r="E707" s="62">
        <v>0.1106</v>
      </c>
      <c r="F707" s="62">
        <v>6.1473957219251293E-2</v>
      </c>
      <c r="G707" s="46">
        <f t="shared" si="10"/>
        <v>4.912604278074871E-2</v>
      </c>
    </row>
    <row r="708" spans="3:7">
      <c r="C708" s="43"/>
      <c r="D708" s="301">
        <v>36727</v>
      </c>
      <c r="E708" s="62">
        <v>0.122</v>
      </c>
      <c r="F708" s="62">
        <v>6.1422406417112267E-2</v>
      </c>
      <c r="G708" s="46">
        <f t="shared" si="10"/>
        <v>6.057759358288773E-2</v>
      </c>
    </row>
    <row r="709" spans="3:7">
      <c r="C709" s="43"/>
      <c r="D709" s="301">
        <v>36749</v>
      </c>
      <c r="E709" s="62">
        <v>0.11</v>
      </c>
      <c r="F709" s="62">
        <v>6.1121818181818152E-2</v>
      </c>
      <c r="G709" s="46">
        <f t="shared" si="10"/>
        <v>4.8878181818181848E-2</v>
      </c>
    </row>
    <row r="710" spans="3:7">
      <c r="C710" s="43"/>
      <c r="D710" s="301">
        <v>36796</v>
      </c>
      <c r="E710" s="62">
        <v>0.1125</v>
      </c>
      <c r="F710" s="62">
        <v>6.0046363636363662E-2</v>
      </c>
      <c r="G710" s="46">
        <f t="shared" si="10"/>
        <v>5.2453636363636341E-2</v>
      </c>
    </row>
    <row r="711" spans="3:7">
      <c r="C711" s="43"/>
      <c r="D711" s="301">
        <v>36798</v>
      </c>
      <c r="E711" s="62">
        <v>0.1116</v>
      </c>
      <c r="F711" s="62">
        <v>5.9966791443850281E-2</v>
      </c>
      <c r="G711" s="46">
        <f t="shared" si="10"/>
        <v>5.1633208556149723E-2</v>
      </c>
    </row>
    <row r="712" spans="3:7">
      <c r="C712" s="43"/>
      <c r="D712" s="301">
        <v>36804</v>
      </c>
      <c r="E712" s="62">
        <v>0.113</v>
      </c>
      <c r="F712" s="62">
        <v>5.980283422459895E-2</v>
      </c>
      <c r="G712" s="46">
        <f t="shared" si="10"/>
        <v>5.3197165775401054E-2</v>
      </c>
    </row>
    <row r="713" spans="3:7">
      <c r="C713" s="43"/>
      <c r="D713" s="301">
        <v>36858</v>
      </c>
      <c r="E713" s="62">
        <v>0.129</v>
      </c>
      <c r="F713" s="62">
        <v>5.870566844919789E-2</v>
      </c>
      <c r="G713" s="46">
        <f t="shared" si="10"/>
        <v>7.0294331550802114E-2</v>
      </c>
    </row>
    <row r="714" spans="3:7">
      <c r="C714" s="43"/>
      <c r="D714" s="301">
        <v>36860</v>
      </c>
      <c r="E714" s="62">
        <v>0.121</v>
      </c>
      <c r="F714" s="62">
        <v>5.8647005347593623E-2</v>
      </c>
      <c r="G714" s="46">
        <f t="shared" si="10"/>
        <v>6.2352994652406374E-2</v>
      </c>
    </row>
    <row r="715" spans="3:7">
      <c r="C715" s="43"/>
      <c r="D715" s="301">
        <v>36927</v>
      </c>
      <c r="E715" s="62">
        <v>0.115</v>
      </c>
      <c r="F715" s="62">
        <v>5.7538823529411767E-2</v>
      </c>
      <c r="G715" s="46">
        <f t="shared" si="10"/>
        <v>5.7461176470588238E-2</v>
      </c>
    </row>
    <row r="716" spans="3:7">
      <c r="C716" s="43"/>
      <c r="D716" s="301">
        <v>36965</v>
      </c>
      <c r="E716" s="62">
        <v>0.1125</v>
      </c>
      <c r="F716" s="62">
        <v>5.6632085561497333E-2</v>
      </c>
      <c r="G716" s="46">
        <f t="shared" si="10"/>
        <v>5.5867914438502669E-2</v>
      </c>
    </row>
    <row r="717" spans="3:7">
      <c r="C717" s="43"/>
      <c r="D717" s="301">
        <v>37019</v>
      </c>
      <c r="E717" s="62">
        <v>0.1075</v>
      </c>
      <c r="F717" s="62">
        <v>5.6132406417112278E-2</v>
      </c>
      <c r="G717" s="46">
        <f t="shared" si="10"/>
        <v>5.136759358288772E-2</v>
      </c>
    </row>
    <row r="718" spans="3:7">
      <c r="C718" s="43"/>
      <c r="D718" s="301">
        <v>37188</v>
      </c>
      <c r="E718" s="62">
        <v>0.10300000000000001</v>
      </c>
      <c r="F718" s="62">
        <v>5.5390641711229927E-2</v>
      </c>
      <c r="G718" s="46">
        <f t="shared" si="10"/>
        <v>4.7609358288770082E-2</v>
      </c>
    </row>
    <row r="719" spans="3:7">
      <c r="C719" s="43"/>
      <c r="D719" s="301">
        <v>37188</v>
      </c>
      <c r="E719" s="62">
        <v>0.11</v>
      </c>
      <c r="F719" s="62">
        <v>5.5390641711229927E-2</v>
      </c>
      <c r="G719" s="46">
        <f t="shared" si="10"/>
        <v>5.4609358288770074E-2</v>
      </c>
    </row>
    <row r="720" spans="3:7">
      <c r="C720" s="43"/>
      <c r="D720" s="301">
        <v>37265</v>
      </c>
      <c r="E720" s="62">
        <v>0.1</v>
      </c>
      <c r="F720" s="62">
        <v>5.498112299465243E-2</v>
      </c>
      <c r="G720" s="46">
        <f t="shared" si="10"/>
        <v>4.5018877005347575E-2</v>
      </c>
    </row>
    <row r="721" spans="3:7">
      <c r="C721" s="43"/>
      <c r="D721" s="301">
        <v>37286</v>
      </c>
      <c r="E721" s="62">
        <v>0.11</v>
      </c>
      <c r="F721" s="62">
        <v>5.4715240641711217E-2</v>
      </c>
      <c r="G721" s="46">
        <f t="shared" si="10"/>
        <v>5.5284759358288783E-2</v>
      </c>
    </row>
    <row r="722" spans="3:7">
      <c r="C722" s="43"/>
      <c r="D722" s="301">
        <v>37287</v>
      </c>
      <c r="E722" s="62">
        <v>0.11</v>
      </c>
      <c r="F722" s="62">
        <v>5.4693262032085549E-2</v>
      </c>
      <c r="G722" s="46">
        <f t="shared" si="10"/>
        <v>5.5306737967914452E-2</v>
      </c>
    </row>
    <row r="723" spans="3:7">
      <c r="C723" s="43"/>
      <c r="D723" s="301">
        <v>37363</v>
      </c>
      <c r="E723" s="62">
        <v>0.115</v>
      </c>
      <c r="F723" s="62">
        <v>5.441401069518715E-2</v>
      </c>
      <c r="G723" s="46">
        <f t="shared" si="10"/>
        <v>6.0585989304812855E-2</v>
      </c>
    </row>
    <row r="724" spans="3:7">
      <c r="C724" s="43"/>
      <c r="D724" s="301">
        <v>37375</v>
      </c>
      <c r="E724" s="62">
        <v>0.11</v>
      </c>
      <c r="F724" s="62">
        <v>5.445424064171122E-2</v>
      </c>
      <c r="G724" s="46">
        <f t="shared" si="10"/>
        <v>5.5545759358288781E-2</v>
      </c>
    </row>
    <row r="725" spans="3:7">
      <c r="C725" s="43"/>
      <c r="D725" s="301">
        <v>37418</v>
      </c>
      <c r="E725" s="62">
        <v>0.1177</v>
      </c>
      <c r="F725" s="62">
        <v>5.4752021390374342E-2</v>
      </c>
      <c r="G725" s="46">
        <f t="shared" si="10"/>
        <v>6.2947978609625657E-2</v>
      </c>
    </row>
    <row r="726" spans="3:7">
      <c r="C726" s="43"/>
      <c r="D726" s="301">
        <v>37427</v>
      </c>
      <c r="E726" s="62">
        <v>0.12300000000000001</v>
      </c>
      <c r="F726" s="62">
        <v>5.4750887700534774E-2</v>
      </c>
      <c r="G726" s="46">
        <f t="shared" si="10"/>
        <v>6.8249112299465231E-2</v>
      </c>
    </row>
    <row r="727" spans="3:7">
      <c r="C727" s="43"/>
      <c r="D727" s="301">
        <v>37496</v>
      </c>
      <c r="E727" s="62">
        <v>0.11</v>
      </c>
      <c r="F727" s="62">
        <v>5.4853593582887661E-2</v>
      </c>
      <c r="G727" s="46">
        <f t="shared" si="10"/>
        <v>5.514640641711234E-2</v>
      </c>
    </row>
    <row r="728" spans="3:7">
      <c r="C728" s="43"/>
      <c r="D728" s="301">
        <v>37510</v>
      </c>
      <c r="E728" s="62">
        <v>0.11199999999999999</v>
      </c>
      <c r="F728" s="62">
        <v>5.4515224598930462E-2</v>
      </c>
      <c r="G728" s="46">
        <f t="shared" si="10"/>
        <v>5.7484775401069527E-2</v>
      </c>
    </row>
    <row r="729" spans="3:7">
      <c r="C729" s="43"/>
      <c r="D729" s="301">
        <v>37511</v>
      </c>
      <c r="E729" s="62">
        <v>0.12300000000000001</v>
      </c>
      <c r="F729" s="62">
        <v>5.4479106951871636E-2</v>
      </c>
      <c r="G729" s="46">
        <f t="shared" si="10"/>
        <v>6.8520893048128376E-2</v>
      </c>
    </row>
    <row r="730" spans="3:7">
      <c r="C730" s="43"/>
      <c r="D730" s="301">
        <v>37557</v>
      </c>
      <c r="E730" s="62">
        <v>0.113</v>
      </c>
      <c r="F730" s="62">
        <v>5.3450486631016092E-2</v>
      </c>
      <c r="G730" s="46">
        <f t="shared" si="10"/>
        <v>5.9549513368983911E-2</v>
      </c>
    </row>
    <row r="731" spans="3:7">
      <c r="C731" s="43"/>
      <c r="D731" s="301">
        <v>37559</v>
      </c>
      <c r="E731" s="62">
        <v>0.106</v>
      </c>
      <c r="F731" s="62">
        <v>5.3410893048128363E-2</v>
      </c>
      <c r="G731" s="46">
        <f t="shared" si="10"/>
        <v>5.2589106951871634E-2</v>
      </c>
    </row>
    <row r="732" spans="3:7">
      <c r="C732" s="43"/>
      <c r="D732" s="301">
        <v>37561</v>
      </c>
      <c r="E732" s="62">
        <v>0.126</v>
      </c>
      <c r="F732" s="62">
        <v>5.3363652406417134E-2</v>
      </c>
      <c r="G732" s="46">
        <f t="shared" si="10"/>
        <v>7.2636347593582867E-2</v>
      </c>
    </row>
    <row r="733" spans="3:7">
      <c r="C733" s="43"/>
      <c r="D733" s="301">
        <v>37567</v>
      </c>
      <c r="E733" s="62">
        <v>0.114</v>
      </c>
      <c r="F733" s="62">
        <v>5.328591443850271E-2</v>
      </c>
      <c r="G733" s="46">
        <f t="shared" si="10"/>
        <v>6.0714085561497294E-2</v>
      </c>
    </row>
    <row r="734" spans="3:7">
      <c r="C734" s="43"/>
      <c r="D734" s="301">
        <v>37568</v>
      </c>
      <c r="E734" s="62">
        <v>0.1075</v>
      </c>
      <c r="F734" s="62">
        <v>5.3252459893048151E-2</v>
      </c>
      <c r="G734" s="46">
        <f t="shared" si="10"/>
        <v>5.4247540106951847E-2</v>
      </c>
    </row>
    <row r="735" spans="3:7">
      <c r="C735" s="43"/>
      <c r="D735" s="301">
        <v>37580</v>
      </c>
      <c r="E735" s="62">
        <v>0.1</v>
      </c>
      <c r="F735" s="62">
        <v>5.3016631016042808E-2</v>
      </c>
      <c r="G735" s="46">
        <f t="shared" si="10"/>
        <v>4.6983368983957198E-2</v>
      </c>
    </row>
    <row r="736" spans="3:7">
      <c r="C736" s="43"/>
      <c r="D736" s="301">
        <v>37580</v>
      </c>
      <c r="E736" s="62">
        <v>0.105</v>
      </c>
      <c r="F736" s="62">
        <v>5.3016631016042808E-2</v>
      </c>
      <c r="G736" s="46">
        <f t="shared" si="10"/>
        <v>5.1983368983957189E-2</v>
      </c>
    </row>
    <row r="737" spans="3:7">
      <c r="C737" s="43"/>
      <c r="D737" s="301">
        <v>37594</v>
      </c>
      <c r="E737" s="62">
        <v>0.1075</v>
      </c>
      <c r="F737" s="62">
        <v>5.26638502673797E-2</v>
      </c>
      <c r="G737" s="46">
        <f t="shared" si="10"/>
        <v>5.4836149732620298E-2</v>
      </c>
    </row>
    <row r="738" spans="3:7">
      <c r="C738" s="43"/>
      <c r="D738" s="301">
        <v>37620</v>
      </c>
      <c r="E738" s="62">
        <v>0.11199999999999999</v>
      </c>
      <c r="F738" s="62">
        <v>5.1852914438502665E-2</v>
      </c>
      <c r="G738" s="46">
        <f t="shared" si="10"/>
        <v>6.0147085561497324E-2</v>
      </c>
    </row>
    <row r="739" spans="3:7">
      <c r="C739" s="43"/>
      <c r="D739" s="301">
        <v>37627</v>
      </c>
      <c r="E739" s="62">
        <v>0.1125</v>
      </c>
      <c r="F739" s="62">
        <v>5.1643465240641694E-2</v>
      </c>
      <c r="G739" s="46">
        <f t="shared" si="10"/>
        <v>6.0856534759358309E-2</v>
      </c>
    </row>
    <row r="740" spans="3:7">
      <c r="C740" s="43"/>
      <c r="D740" s="301">
        <v>37680</v>
      </c>
      <c r="E740" s="62">
        <v>0.12300000000000001</v>
      </c>
      <c r="F740" s="62">
        <v>5.0055117647058826E-2</v>
      </c>
      <c r="G740" s="46">
        <f t="shared" si="10"/>
        <v>7.2944882352941193E-2</v>
      </c>
    </row>
    <row r="741" spans="3:7">
      <c r="C741" s="43"/>
      <c r="D741" s="301">
        <v>37687</v>
      </c>
      <c r="E741" s="62">
        <v>9.9600000000000008E-2</v>
      </c>
      <c r="F741" s="62">
        <v>4.9850524064171148E-2</v>
      </c>
      <c r="G741" s="46">
        <f t="shared" si="10"/>
        <v>4.974947593582886E-2</v>
      </c>
    </row>
    <row r="742" spans="3:7">
      <c r="C742" s="43"/>
      <c r="D742" s="301">
        <v>37692</v>
      </c>
      <c r="E742" s="62">
        <v>0.114</v>
      </c>
      <c r="F742" s="62">
        <v>4.972314438502675E-2</v>
      </c>
      <c r="G742" s="46">
        <f t="shared" si="10"/>
        <v>6.4276855614973261E-2</v>
      </c>
    </row>
    <row r="743" spans="3:7">
      <c r="C743" s="43"/>
      <c r="D743" s="301">
        <v>37700</v>
      </c>
      <c r="E743" s="62">
        <v>0.12</v>
      </c>
      <c r="F743" s="62">
        <v>4.9517882352941162E-2</v>
      </c>
      <c r="G743" s="46">
        <f t="shared" si="10"/>
        <v>7.0482117647058834E-2</v>
      </c>
    </row>
    <row r="744" spans="3:7">
      <c r="C744" s="43"/>
      <c r="D744" s="301">
        <v>37714</v>
      </c>
      <c r="E744" s="62">
        <v>0.12</v>
      </c>
      <c r="F744" s="62">
        <v>4.9249074866310145E-2</v>
      </c>
      <c r="G744" s="46">
        <f t="shared" si="10"/>
        <v>7.0750925133689857E-2</v>
      </c>
    </row>
    <row r="745" spans="3:7">
      <c r="C745" s="43"/>
      <c r="D745" s="301">
        <v>37743</v>
      </c>
      <c r="E745" s="62">
        <v>0.114</v>
      </c>
      <c r="F745" s="62">
        <v>4.8844171122994676E-2</v>
      </c>
      <c r="G745" s="46">
        <f t="shared" si="10"/>
        <v>6.5155828877005328E-2</v>
      </c>
    </row>
    <row r="746" spans="3:7">
      <c r="C746" s="43"/>
      <c r="D746" s="301">
        <v>37756</v>
      </c>
      <c r="E746" s="62">
        <v>0.1105</v>
      </c>
      <c r="F746" s="62">
        <v>4.8658946524064203E-2</v>
      </c>
      <c r="G746" s="46">
        <f t="shared" si="10"/>
        <v>6.1841053475935798E-2</v>
      </c>
    </row>
    <row r="747" spans="3:7">
      <c r="C747" s="43"/>
      <c r="D747" s="301">
        <v>37798</v>
      </c>
      <c r="E747" s="62">
        <v>0.11</v>
      </c>
      <c r="F747" s="62">
        <v>4.7977363636363624E-2</v>
      </c>
      <c r="G747" s="46">
        <f t="shared" si="10"/>
        <v>6.2022636363636377E-2</v>
      </c>
    </row>
    <row r="748" spans="3:7">
      <c r="C748" s="43"/>
      <c r="D748" s="301">
        <v>37803</v>
      </c>
      <c r="E748" s="62">
        <v>0.11</v>
      </c>
      <c r="F748" s="62">
        <v>4.7953336898395718E-2</v>
      </c>
      <c r="G748" s="46">
        <f t="shared" si="10"/>
        <v>6.2046663101604282E-2</v>
      </c>
    </row>
    <row r="749" spans="3:7">
      <c r="C749" s="43"/>
      <c r="D749" s="301">
        <v>37831</v>
      </c>
      <c r="E749" s="62">
        <v>0.11710000000000001</v>
      </c>
      <c r="F749" s="62">
        <v>4.7807438502673785E-2</v>
      </c>
      <c r="G749" s="46">
        <f t="shared" si="10"/>
        <v>6.9292561497326224E-2</v>
      </c>
    </row>
    <row r="750" spans="3:7">
      <c r="C750" s="43"/>
      <c r="D750" s="301">
        <v>37855</v>
      </c>
      <c r="E750" s="62">
        <v>0.10199999999999999</v>
      </c>
      <c r="F750" s="62">
        <v>4.8141203208556117E-2</v>
      </c>
      <c r="G750" s="46">
        <f t="shared" si="10"/>
        <v>5.3858796791443876E-2</v>
      </c>
    </row>
    <row r="751" spans="3:7">
      <c r="C751" s="43"/>
      <c r="D751" s="301">
        <v>37881</v>
      </c>
      <c r="E751" s="62">
        <v>9.9000000000000005E-2</v>
      </c>
      <c r="F751" s="62">
        <v>4.8453497326203174E-2</v>
      </c>
      <c r="G751" s="46">
        <f t="shared" si="10"/>
        <v>5.0546502673796831E-2</v>
      </c>
    </row>
    <row r="752" spans="3:7">
      <c r="C752" s="43"/>
      <c r="D752" s="301">
        <v>37889</v>
      </c>
      <c r="E752" s="62">
        <v>0.10249999999999999</v>
      </c>
      <c r="F752" s="62">
        <v>4.8506139037433137E-2</v>
      </c>
      <c r="G752" s="46">
        <f t="shared" si="10"/>
        <v>5.3993860962566857E-2</v>
      </c>
    </row>
    <row r="753" spans="3:7">
      <c r="C753" s="43"/>
      <c r="D753" s="301">
        <v>37911</v>
      </c>
      <c r="E753" s="62">
        <v>0.10539999999999999</v>
      </c>
      <c r="F753" s="62">
        <v>4.8654786096256654E-2</v>
      </c>
      <c r="G753" s="46">
        <f t="shared" ref="G753:G816" si="11">E753-F753</f>
        <v>5.674521390374334E-2</v>
      </c>
    </row>
    <row r="754" spans="3:7">
      <c r="C754" s="43"/>
      <c r="D754" s="301">
        <v>37916</v>
      </c>
      <c r="E754" s="62">
        <v>0.10460000000000001</v>
      </c>
      <c r="F754" s="62">
        <v>4.8709711229946502E-2</v>
      </c>
      <c r="G754" s="46">
        <f t="shared" si="11"/>
        <v>5.589028877005351E-2</v>
      </c>
    </row>
    <row r="755" spans="3:7">
      <c r="C755" s="43"/>
      <c r="D755" s="301">
        <v>37916</v>
      </c>
      <c r="E755" s="62">
        <v>0.10710000000000001</v>
      </c>
      <c r="F755" s="62">
        <v>4.8709711229946502E-2</v>
      </c>
      <c r="G755" s="46">
        <f t="shared" si="11"/>
        <v>5.8390288770053513E-2</v>
      </c>
    </row>
    <row r="756" spans="3:7">
      <c r="C756" s="43"/>
      <c r="D756" s="301">
        <v>37924</v>
      </c>
      <c r="E756" s="62">
        <v>0.11</v>
      </c>
      <c r="F756" s="62">
        <v>4.8813614973262011E-2</v>
      </c>
      <c r="G756" s="46">
        <f t="shared" si="11"/>
        <v>6.118638502673799E-2</v>
      </c>
    </row>
    <row r="757" spans="3:7">
      <c r="C757" s="43"/>
      <c r="D757" s="301">
        <v>37925</v>
      </c>
      <c r="E757" s="62">
        <v>0.10199999999999999</v>
      </c>
      <c r="F757" s="62">
        <v>4.8828989304812817E-2</v>
      </c>
      <c r="G757" s="46">
        <f t="shared" si="11"/>
        <v>5.3171010695187176E-2</v>
      </c>
    </row>
    <row r="758" spans="3:7">
      <c r="C758" s="43"/>
      <c r="D758" s="301">
        <v>37925</v>
      </c>
      <c r="E758" s="62">
        <v>0.1075</v>
      </c>
      <c r="F758" s="62">
        <v>4.8828989304812817E-2</v>
      </c>
      <c r="G758" s="46">
        <f t="shared" si="11"/>
        <v>5.8671010695187181E-2</v>
      </c>
    </row>
    <row r="759" spans="3:7">
      <c r="C759" s="43"/>
      <c r="D759" s="301">
        <v>37935</v>
      </c>
      <c r="E759" s="62">
        <v>0.106</v>
      </c>
      <c r="F759" s="62">
        <v>4.894509090909091E-2</v>
      </c>
      <c r="G759" s="46">
        <f t="shared" si="11"/>
        <v>5.7054909090909087E-2</v>
      </c>
    </row>
    <row r="760" spans="3:7">
      <c r="C760" s="43"/>
      <c r="D760" s="301">
        <v>37964</v>
      </c>
      <c r="E760" s="62">
        <v>0.105</v>
      </c>
      <c r="F760" s="62">
        <v>4.9333240641711219E-2</v>
      </c>
      <c r="G760" s="46">
        <f t="shared" si="11"/>
        <v>5.5666759358288777E-2</v>
      </c>
    </row>
    <row r="761" spans="3:7">
      <c r="C761" s="43"/>
      <c r="D761" s="301">
        <v>37973</v>
      </c>
      <c r="E761" s="62">
        <v>0.105</v>
      </c>
      <c r="F761" s="62">
        <v>4.9397807486631001E-2</v>
      </c>
      <c r="G761" s="46">
        <f t="shared" si="11"/>
        <v>5.5602192513368995E-2</v>
      </c>
    </row>
    <row r="762" spans="3:7">
      <c r="C762" s="43"/>
      <c r="D762" s="301">
        <v>37974</v>
      </c>
      <c r="E762" s="62">
        <v>0.12</v>
      </c>
      <c r="F762" s="62">
        <v>4.9400149732620316E-2</v>
      </c>
      <c r="G762" s="46">
        <f t="shared" si="11"/>
        <v>7.059985026737968E-2</v>
      </c>
    </row>
    <row r="763" spans="3:7">
      <c r="C763" s="43"/>
      <c r="D763" s="301">
        <v>37974</v>
      </c>
      <c r="E763" s="62">
        <v>0.12</v>
      </c>
      <c r="F763" s="62">
        <v>4.9400149732620316E-2</v>
      </c>
      <c r="G763" s="46">
        <f t="shared" si="11"/>
        <v>7.059985026737968E-2</v>
      </c>
    </row>
    <row r="764" spans="3:7">
      <c r="C764" s="43"/>
      <c r="D764" s="301">
        <v>37999</v>
      </c>
      <c r="E764" s="62">
        <v>0.10249999999999999</v>
      </c>
      <c r="F764" s="62">
        <v>4.9516748663101601E-2</v>
      </c>
      <c r="G764" s="46">
        <f t="shared" si="11"/>
        <v>5.2983251336898393E-2</v>
      </c>
    </row>
    <row r="765" spans="3:7">
      <c r="C765" s="43"/>
      <c r="D765" s="301">
        <v>37999</v>
      </c>
      <c r="E765" s="62">
        <v>0.12</v>
      </c>
      <c r="F765" s="62">
        <v>4.9516748663101601E-2</v>
      </c>
      <c r="G765" s="46">
        <f t="shared" si="11"/>
        <v>7.0483251336898395E-2</v>
      </c>
    </row>
    <row r="766" spans="3:7">
      <c r="C766" s="43"/>
      <c r="D766" s="301">
        <v>38026</v>
      </c>
      <c r="E766" s="62">
        <v>0.1125</v>
      </c>
      <c r="F766" s="62">
        <v>4.9836919786096279E-2</v>
      </c>
      <c r="G766" s="46">
        <f t="shared" si="11"/>
        <v>6.2663080213903724E-2</v>
      </c>
    </row>
    <row r="767" spans="3:7">
      <c r="C767" s="43"/>
      <c r="D767" s="301">
        <v>38062</v>
      </c>
      <c r="E767" s="62">
        <v>0.109</v>
      </c>
      <c r="F767" s="62">
        <v>5.0502347593582908E-2</v>
      </c>
      <c r="G767" s="46">
        <f t="shared" si="11"/>
        <v>5.8497652406417092E-2</v>
      </c>
    </row>
    <row r="768" spans="3:7">
      <c r="C768" s="43"/>
      <c r="D768" s="301">
        <v>38062</v>
      </c>
      <c r="E768" s="62">
        <v>0.109</v>
      </c>
      <c r="F768" s="62">
        <v>5.0502347593582908E-2</v>
      </c>
      <c r="G768" s="46">
        <f t="shared" si="11"/>
        <v>5.8497652406417092E-2</v>
      </c>
    </row>
    <row r="769" spans="3:7">
      <c r="C769" s="43"/>
      <c r="D769" s="301">
        <v>38132</v>
      </c>
      <c r="E769" s="62">
        <v>0.1</v>
      </c>
      <c r="F769" s="62">
        <v>5.0618133689839591E-2</v>
      </c>
      <c r="G769" s="46">
        <f t="shared" si="11"/>
        <v>4.9381866310160415E-2</v>
      </c>
    </row>
    <row r="770" spans="3:7">
      <c r="C770" s="43"/>
      <c r="D770" s="301">
        <v>38140</v>
      </c>
      <c r="E770" s="62">
        <v>0.11220000000000001</v>
      </c>
      <c r="F770" s="62">
        <v>5.0671770053475944E-2</v>
      </c>
      <c r="G770" s="46">
        <f t="shared" si="11"/>
        <v>6.1528229946524064E-2</v>
      </c>
    </row>
    <row r="771" spans="3:7">
      <c r="C771" s="43"/>
      <c r="D771" s="301">
        <v>38168</v>
      </c>
      <c r="E771" s="62">
        <v>0.105</v>
      </c>
      <c r="F771" s="62">
        <v>5.1032716577540105E-2</v>
      </c>
      <c r="G771" s="46">
        <f t="shared" si="11"/>
        <v>5.3967283422459891E-2</v>
      </c>
    </row>
    <row r="772" spans="3:7">
      <c r="C772" s="43"/>
      <c r="D772" s="301">
        <v>38176</v>
      </c>
      <c r="E772" s="62">
        <v>0.1</v>
      </c>
      <c r="F772" s="62">
        <v>5.1023614973262042E-2</v>
      </c>
      <c r="G772" s="46">
        <f t="shared" si="11"/>
        <v>4.8976385026737963E-2</v>
      </c>
    </row>
    <row r="773" spans="3:7">
      <c r="C773" s="43"/>
      <c r="D773" s="301">
        <v>38190</v>
      </c>
      <c r="E773" s="62">
        <v>0.10249999999999999</v>
      </c>
      <c r="F773" s="62">
        <v>5.1042524064171126E-2</v>
      </c>
      <c r="G773" s="46">
        <f t="shared" si="11"/>
        <v>5.1457475935828868E-2</v>
      </c>
    </row>
    <row r="774" spans="3:7">
      <c r="C774" s="43"/>
      <c r="D774" s="301">
        <v>38225</v>
      </c>
      <c r="E774" s="62">
        <v>0.105</v>
      </c>
      <c r="F774" s="62">
        <v>5.1027598930481324E-2</v>
      </c>
      <c r="G774" s="46">
        <f t="shared" si="11"/>
        <v>5.3972401069518672E-2</v>
      </c>
    </row>
    <row r="775" spans="3:7">
      <c r="C775" s="43"/>
      <c r="D775" s="301">
        <v>38225</v>
      </c>
      <c r="E775" s="62">
        <v>0.105</v>
      </c>
      <c r="F775" s="62">
        <v>5.1027598930481324E-2</v>
      </c>
      <c r="G775" s="46">
        <f t="shared" si="11"/>
        <v>5.3972401069518672E-2</v>
      </c>
    </row>
    <row r="776" spans="3:7">
      <c r="C776" s="43"/>
      <c r="D776" s="301">
        <v>38239</v>
      </c>
      <c r="E776" s="62">
        <v>0.10400000000000001</v>
      </c>
      <c r="F776" s="62">
        <v>5.0998705882352967E-2</v>
      </c>
      <c r="G776" s="46">
        <f t="shared" si="11"/>
        <v>5.3001294117647042E-2</v>
      </c>
    </row>
    <row r="777" spans="3:7">
      <c r="C777" s="43"/>
      <c r="D777" s="301">
        <v>38251</v>
      </c>
      <c r="E777" s="62">
        <v>0.105</v>
      </c>
      <c r="F777" s="62">
        <v>5.0941288770053501E-2</v>
      </c>
      <c r="G777" s="46">
        <f t="shared" si="11"/>
        <v>5.4058711229946495E-2</v>
      </c>
    </row>
    <row r="778" spans="3:7">
      <c r="C778" s="43"/>
      <c r="D778" s="301">
        <v>38257</v>
      </c>
      <c r="E778" s="62">
        <v>0.10300000000000001</v>
      </c>
      <c r="F778" s="62">
        <v>5.0871310160427841E-2</v>
      </c>
      <c r="G778" s="46">
        <f t="shared" si="11"/>
        <v>5.2128689839572168E-2</v>
      </c>
    </row>
    <row r="779" spans="3:7">
      <c r="C779" s="43"/>
      <c r="D779" s="301">
        <v>38257</v>
      </c>
      <c r="E779" s="62">
        <v>0.105</v>
      </c>
      <c r="F779" s="62">
        <v>5.0871310160427841E-2</v>
      </c>
      <c r="G779" s="46">
        <f t="shared" si="11"/>
        <v>5.4128689839572156E-2</v>
      </c>
    </row>
    <row r="780" spans="3:7">
      <c r="C780" s="43"/>
      <c r="D780" s="301">
        <v>38280</v>
      </c>
      <c r="E780" s="62">
        <v>0.10199999999999999</v>
      </c>
      <c r="F780" s="62">
        <v>5.0823278074866307E-2</v>
      </c>
      <c r="G780" s="46">
        <f t="shared" si="11"/>
        <v>5.1176721925133686E-2</v>
      </c>
    </row>
    <row r="781" spans="3:7">
      <c r="C781" s="43"/>
      <c r="D781" s="301">
        <v>38321</v>
      </c>
      <c r="E781" s="62">
        <v>0.106</v>
      </c>
      <c r="F781" s="62">
        <v>5.0813245989304819E-2</v>
      </c>
      <c r="G781" s="46">
        <f t="shared" si="11"/>
        <v>5.5186754010695178E-2</v>
      </c>
    </row>
    <row r="782" spans="3:7">
      <c r="C782" s="43"/>
      <c r="D782" s="301">
        <v>38329</v>
      </c>
      <c r="E782" s="62">
        <v>9.9000000000000005E-2</v>
      </c>
      <c r="F782" s="62">
        <v>5.089249197860965E-2</v>
      </c>
      <c r="G782" s="46">
        <f t="shared" si="11"/>
        <v>4.8107508021390355E-2</v>
      </c>
    </row>
    <row r="783" spans="3:7">
      <c r="C783" s="43"/>
      <c r="D783" s="301">
        <v>38342</v>
      </c>
      <c r="E783" s="62">
        <v>0.115</v>
      </c>
      <c r="F783" s="62">
        <v>5.0906197860962572E-2</v>
      </c>
      <c r="G783" s="46">
        <f t="shared" si="11"/>
        <v>6.4093802139037426E-2</v>
      </c>
    </row>
    <row r="784" spans="3:7">
      <c r="C784" s="43"/>
      <c r="D784" s="301">
        <v>38343</v>
      </c>
      <c r="E784" s="62">
        <v>0.115</v>
      </c>
      <c r="F784" s="62">
        <v>5.0894759358288771E-2</v>
      </c>
      <c r="G784" s="46">
        <f t="shared" si="11"/>
        <v>6.4105240641711234E-2</v>
      </c>
    </row>
    <row r="785" spans="3:7">
      <c r="C785" s="43"/>
      <c r="D785" s="301">
        <v>38349</v>
      </c>
      <c r="E785" s="62">
        <v>0.10249999999999999</v>
      </c>
      <c r="F785" s="62">
        <v>5.0866106951871659E-2</v>
      </c>
      <c r="G785" s="46">
        <f t="shared" si="11"/>
        <v>5.1633893048128335E-2</v>
      </c>
    </row>
    <row r="786" spans="3:7">
      <c r="C786" s="43"/>
      <c r="D786" s="301">
        <v>38401</v>
      </c>
      <c r="E786" s="62">
        <v>0.10300000000000001</v>
      </c>
      <c r="F786" s="62">
        <v>4.9480358288770052E-2</v>
      </c>
      <c r="G786" s="46">
        <f t="shared" si="11"/>
        <v>5.3519641711229957E-2</v>
      </c>
    </row>
    <row r="787" spans="3:7">
      <c r="C787" s="43"/>
      <c r="D787" s="301">
        <v>38440</v>
      </c>
      <c r="E787" s="62">
        <v>0.11</v>
      </c>
      <c r="F787" s="62">
        <v>4.8618967914438524E-2</v>
      </c>
      <c r="G787" s="46">
        <f t="shared" si="11"/>
        <v>6.1381032085561477E-2</v>
      </c>
    </row>
    <row r="788" spans="3:7">
      <c r="C788" s="43"/>
      <c r="D788" s="301">
        <v>38455</v>
      </c>
      <c r="E788" s="62">
        <v>0.106</v>
      </c>
      <c r="F788" s="62">
        <v>4.835826737967916E-2</v>
      </c>
      <c r="G788" s="46">
        <f t="shared" si="11"/>
        <v>5.7641732620320837E-2</v>
      </c>
    </row>
    <row r="789" spans="3:7">
      <c r="C789" s="43"/>
      <c r="D789" s="301">
        <v>38470</v>
      </c>
      <c r="E789" s="62">
        <v>0.11</v>
      </c>
      <c r="F789" s="62">
        <v>4.8005727272727283E-2</v>
      </c>
      <c r="G789" s="46">
        <f t="shared" si="11"/>
        <v>6.1994272727272717E-2</v>
      </c>
    </row>
    <row r="790" spans="3:7">
      <c r="C790" s="43"/>
      <c r="D790" s="301">
        <v>38489</v>
      </c>
      <c r="E790" s="62">
        <v>0.1</v>
      </c>
      <c r="F790" s="62">
        <v>4.76597860962567E-2</v>
      </c>
      <c r="G790" s="46">
        <f t="shared" si="11"/>
        <v>5.2340213903743306E-2</v>
      </c>
    </row>
    <row r="791" spans="3:7">
      <c r="C791" s="43"/>
      <c r="D791" s="301">
        <v>38511</v>
      </c>
      <c r="E791" s="62">
        <v>0.1018</v>
      </c>
      <c r="F791" s="62">
        <v>4.7132582887700558E-2</v>
      </c>
      <c r="G791" s="46">
        <f t="shared" si="11"/>
        <v>5.4667417112299443E-2</v>
      </c>
    </row>
    <row r="792" spans="3:7">
      <c r="C792" s="43"/>
      <c r="D792" s="301">
        <v>38513</v>
      </c>
      <c r="E792" s="62">
        <v>0.109</v>
      </c>
      <c r="F792" s="62">
        <v>4.7076144385026754E-2</v>
      </c>
      <c r="G792" s="46">
        <f t="shared" si="11"/>
        <v>6.1923855614973246E-2</v>
      </c>
    </row>
    <row r="793" spans="3:7">
      <c r="C793" s="43"/>
      <c r="D793" s="301">
        <v>38539</v>
      </c>
      <c r="E793" s="62">
        <v>0.105</v>
      </c>
      <c r="F793" s="62">
        <v>4.6529721925133667E-2</v>
      </c>
      <c r="G793" s="46">
        <f t="shared" si="11"/>
        <v>5.8470278074866329E-2</v>
      </c>
    </row>
    <row r="794" spans="3:7">
      <c r="C794" s="43"/>
      <c r="D794" s="301">
        <v>38552</v>
      </c>
      <c r="E794" s="62">
        <v>0.115</v>
      </c>
      <c r="F794" s="62">
        <v>4.633637967914437E-2</v>
      </c>
      <c r="G794" s="46">
        <f t="shared" si="11"/>
        <v>6.8663620320855628E-2</v>
      </c>
    </row>
    <row r="795" spans="3:7">
      <c r="C795" s="43"/>
      <c r="D795" s="301">
        <v>38575</v>
      </c>
      <c r="E795" s="62">
        <v>0.10400000000000001</v>
      </c>
      <c r="F795" s="62">
        <v>4.5994839572192518E-2</v>
      </c>
      <c r="G795" s="46">
        <f t="shared" si="11"/>
        <v>5.8005160427807491E-2</v>
      </c>
    </row>
    <row r="796" spans="3:7">
      <c r="C796" s="43"/>
      <c r="D796" s="301">
        <v>38614</v>
      </c>
      <c r="E796" s="62">
        <v>9.4499999999999987E-2</v>
      </c>
      <c r="F796" s="62">
        <v>4.5328224598930524E-2</v>
      </c>
      <c r="G796" s="46">
        <f t="shared" si="11"/>
        <v>4.9171775401069463E-2</v>
      </c>
    </row>
    <row r="797" spans="3:7">
      <c r="C797" s="43"/>
      <c r="D797" s="301">
        <v>38625</v>
      </c>
      <c r="E797" s="62">
        <v>0.1051</v>
      </c>
      <c r="F797" s="62">
        <v>4.5181609625668494E-2</v>
      </c>
      <c r="G797" s="46">
        <f t="shared" si="11"/>
        <v>5.9918390374331505E-2</v>
      </c>
    </row>
    <row r="798" spans="3:7">
      <c r="C798" s="43"/>
      <c r="D798" s="301">
        <v>38629</v>
      </c>
      <c r="E798" s="62">
        <v>9.9000000000000005E-2</v>
      </c>
      <c r="F798" s="62">
        <v>4.5171155080213951E-2</v>
      </c>
      <c r="G798" s="46">
        <f t="shared" si="11"/>
        <v>5.3828844919786054E-2</v>
      </c>
    </row>
    <row r="799" spans="3:7">
      <c r="C799" s="43"/>
      <c r="D799" s="301">
        <v>38629</v>
      </c>
      <c r="E799" s="62">
        <v>0.1075</v>
      </c>
      <c r="F799" s="62">
        <v>4.5171155080213951E-2</v>
      </c>
      <c r="G799" s="46">
        <f t="shared" si="11"/>
        <v>6.2328844919786047E-2</v>
      </c>
    </row>
    <row r="800" spans="3:7">
      <c r="C800" s="43"/>
      <c r="D800" s="301">
        <v>38639</v>
      </c>
      <c r="E800" s="62">
        <v>0.10400000000000001</v>
      </c>
      <c r="F800" s="62">
        <v>4.5152566844919827E-2</v>
      </c>
      <c r="G800" s="46">
        <f t="shared" si="11"/>
        <v>5.8847433155080182E-2</v>
      </c>
    </row>
    <row r="801" spans="3:7">
      <c r="C801" s="43"/>
      <c r="D801" s="301">
        <v>38656</v>
      </c>
      <c r="E801" s="62">
        <v>0.10249999999999999</v>
      </c>
      <c r="F801" s="62">
        <v>4.5264331550802152E-2</v>
      </c>
      <c r="G801" s="46">
        <f t="shared" si="11"/>
        <v>5.7235668449197842E-2</v>
      </c>
    </row>
    <row r="802" spans="3:7">
      <c r="C802" s="43"/>
      <c r="D802" s="301">
        <v>38658</v>
      </c>
      <c r="E802" s="62">
        <v>9.6999999999999989E-2</v>
      </c>
      <c r="F802" s="62">
        <v>4.5297941176470596E-2</v>
      </c>
      <c r="G802" s="46">
        <f t="shared" si="11"/>
        <v>5.1702058823529393E-2</v>
      </c>
    </row>
    <row r="803" spans="3:7">
      <c r="C803" s="43"/>
      <c r="D803" s="301">
        <v>38686</v>
      </c>
      <c r="E803" s="62">
        <v>0.1</v>
      </c>
      <c r="F803" s="62">
        <v>4.534712834224601E-2</v>
      </c>
      <c r="G803" s="46">
        <f t="shared" si="11"/>
        <v>5.4652871657753996E-2</v>
      </c>
    </row>
    <row r="804" spans="3:7">
      <c r="C804" s="43"/>
      <c r="D804" s="301">
        <v>38695</v>
      </c>
      <c r="E804" s="62">
        <v>9.6999999999999989E-2</v>
      </c>
      <c r="F804" s="62">
        <v>4.5303737967914433E-2</v>
      </c>
      <c r="G804" s="46">
        <f t="shared" si="11"/>
        <v>5.1696262032085556E-2</v>
      </c>
    </row>
    <row r="805" spans="3:7">
      <c r="C805" s="43"/>
      <c r="D805" s="301">
        <v>38698</v>
      </c>
      <c r="E805" s="62">
        <v>0.11</v>
      </c>
      <c r="F805" s="62">
        <v>4.5298459893048128E-2</v>
      </c>
      <c r="G805" s="46">
        <f t="shared" si="11"/>
        <v>6.4701540106951866E-2</v>
      </c>
    </row>
    <row r="806" spans="3:7">
      <c r="C806" s="43"/>
      <c r="D806" s="301">
        <v>38706</v>
      </c>
      <c r="E806" s="62">
        <v>0.1013</v>
      </c>
      <c r="F806" s="62">
        <v>4.5252775401069534E-2</v>
      </c>
      <c r="G806" s="46">
        <f t="shared" si="11"/>
        <v>5.6047224598930467E-2</v>
      </c>
    </row>
    <row r="807" spans="3:7">
      <c r="C807" s="43"/>
      <c r="D807" s="301">
        <v>38707</v>
      </c>
      <c r="E807" s="62">
        <v>0.10400000000000001</v>
      </c>
      <c r="F807" s="62">
        <v>4.5249582887700555E-2</v>
      </c>
      <c r="G807" s="46">
        <f t="shared" si="11"/>
        <v>5.8750417112299454E-2</v>
      </c>
    </row>
    <row r="808" spans="3:7">
      <c r="C808" s="43"/>
      <c r="D808" s="301">
        <v>38707</v>
      </c>
      <c r="E808" s="62">
        <v>0.11</v>
      </c>
      <c r="F808" s="62">
        <v>4.5249582887700555E-2</v>
      </c>
      <c r="G808" s="46">
        <f t="shared" si="11"/>
        <v>6.4750417112299452E-2</v>
      </c>
    </row>
    <row r="809" spans="3:7">
      <c r="C809" s="43"/>
      <c r="D809" s="301">
        <v>38708</v>
      </c>
      <c r="E809" s="62">
        <v>0.10199999999999999</v>
      </c>
      <c r="F809" s="62">
        <v>4.5241802139037453E-2</v>
      </c>
      <c r="G809" s="46">
        <f t="shared" si="11"/>
        <v>5.6758197860962541E-2</v>
      </c>
    </row>
    <row r="810" spans="3:7">
      <c r="C810" s="43"/>
      <c r="D810" s="301">
        <v>38708</v>
      </c>
      <c r="E810" s="62">
        <v>0.11</v>
      </c>
      <c r="F810" s="62">
        <v>4.5241802139037453E-2</v>
      </c>
      <c r="G810" s="46">
        <f t="shared" si="11"/>
        <v>6.4758197860962541E-2</v>
      </c>
    </row>
    <row r="811" spans="3:7">
      <c r="C811" s="43"/>
      <c r="D811" s="301">
        <v>38714</v>
      </c>
      <c r="E811" s="62">
        <v>0.1</v>
      </c>
      <c r="F811" s="62">
        <v>4.5203491978609636E-2</v>
      </c>
      <c r="G811" s="46">
        <f t="shared" si="11"/>
        <v>5.4796508021390369E-2</v>
      </c>
    </row>
    <row r="812" spans="3:7">
      <c r="C812" s="43"/>
      <c r="D812" s="301">
        <v>38722</v>
      </c>
      <c r="E812" s="62">
        <v>0.11</v>
      </c>
      <c r="F812" s="62">
        <v>4.5163347593582891E-2</v>
      </c>
      <c r="G812" s="46">
        <f t="shared" si="11"/>
        <v>6.4836652406417117E-2</v>
      </c>
    </row>
    <row r="813" spans="3:7">
      <c r="C813" s="43"/>
      <c r="D813" s="301">
        <v>38742</v>
      </c>
      <c r="E813" s="62">
        <v>0.11199999999999999</v>
      </c>
      <c r="F813" s="62">
        <v>4.5166935828877021E-2</v>
      </c>
      <c r="G813" s="46">
        <f t="shared" si="11"/>
        <v>6.6833064171122974E-2</v>
      </c>
    </row>
    <row r="814" spans="3:7">
      <c r="C814" s="43"/>
      <c r="D814" s="301">
        <v>38742</v>
      </c>
      <c r="E814" s="62">
        <v>0.11199999999999999</v>
      </c>
      <c r="F814" s="62">
        <v>4.5166935828877021E-2</v>
      </c>
      <c r="G814" s="46">
        <f t="shared" si="11"/>
        <v>6.6833064171122974E-2</v>
      </c>
    </row>
    <row r="815" spans="3:7">
      <c r="C815" s="43"/>
      <c r="D815" s="301">
        <v>38751</v>
      </c>
      <c r="E815" s="62">
        <v>0.105</v>
      </c>
      <c r="F815" s="62">
        <v>4.5225139037433151E-2</v>
      </c>
      <c r="G815" s="46">
        <f t="shared" si="11"/>
        <v>5.9774860962566845E-2</v>
      </c>
    </row>
    <row r="816" spans="3:7">
      <c r="C816" s="43"/>
      <c r="D816" s="301">
        <v>38763</v>
      </c>
      <c r="E816" s="62">
        <v>9.5000000000000001E-2</v>
      </c>
      <c r="F816" s="62">
        <v>4.5306550802139058E-2</v>
      </c>
      <c r="G816" s="46">
        <f t="shared" si="11"/>
        <v>4.9693449197860944E-2</v>
      </c>
    </row>
    <row r="817" spans="3:7">
      <c r="C817" s="43"/>
      <c r="D817" s="301">
        <v>38833</v>
      </c>
      <c r="E817" s="62">
        <v>0.106</v>
      </c>
      <c r="F817" s="62">
        <v>4.6509229946524067E-2</v>
      </c>
      <c r="G817" s="46">
        <f t="shared" ref="G817:G880" si="12">E817-F817</f>
        <v>5.949077005347593E-2</v>
      </c>
    </row>
    <row r="818" spans="3:7">
      <c r="C818" s="43"/>
      <c r="D818" s="301">
        <v>38922</v>
      </c>
      <c r="E818" s="62">
        <v>9.6000000000000002E-2</v>
      </c>
      <c r="F818" s="62">
        <v>4.8652770053475923E-2</v>
      </c>
      <c r="G818" s="46">
        <f t="shared" si="12"/>
        <v>4.7347229946524079E-2</v>
      </c>
    </row>
    <row r="819" spans="3:7">
      <c r="C819" s="43"/>
      <c r="D819" s="301">
        <v>38922</v>
      </c>
      <c r="E819" s="62">
        <v>0.1</v>
      </c>
      <c r="F819" s="62">
        <v>4.8652770053475923E-2</v>
      </c>
      <c r="G819" s="46">
        <f t="shared" si="12"/>
        <v>5.1347229946524083E-2</v>
      </c>
    </row>
    <row r="820" spans="3:7">
      <c r="C820" s="43"/>
      <c r="D820" s="301">
        <v>38980</v>
      </c>
      <c r="E820" s="62">
        <v>0.11</v>
      </c>
      <c r="F820" s="62">
        <v>4.9311181818181789E-2</v>
      </c>
      <c r="G820" s="46">
        <f t="shared" si="12"/>
        <v>6.0688818181818212E-2</v>
      </c>
    </row>
    <row r="821" spans="3:7">
      <c r="C821" s="43"/>
      <c r="D821" s="301">
        <v>38986</v>
      </c>
      <c r="E821" s="62">
        <v>0.1075</v>
      </c>
      <c r="F821" s="62">
        <v>4.9349652406417074E-2</v>
      </c>
      <c r="G821" s="46">
        <f t="shared" si="12"/>
        <v>5.8150347593582924E-2</v>
      </c>
    </row>
    <row r="822" spans="3:7">
      <c r="C822" s="43"/>
      <c r="D822" s="301">
        <v>39010</v>
      </c>
      <c r="E822" s="62">
        <v>9.8000000000000004E-2</v>
      </c>
      <c r="F822" s="62">
        <v>4.9579390374331546E-2</v>
      </c>
      <c r="G822" s="46">
        <f t="shared" si="12"/>
        <v>4.8420609625668458E-2</v>
      </c>
    </row>
    <row r="823" spans="3:7">
      <c r="C823" s="43"/>
      <c r="D823" s="301">
        <v>39023</v>
      </c>
      <c r="E823" s="62">
        <v>9.7100000000000006E-2</v>
      </c>
      <c r="F823" s="62">
        <v>4.9669764705882392E-2</v>
      </c>
      <c r="G823" s="46">
        <f t="shared" si="12"/>
        <v>4.7430235294117613E-2</v>
      </c>
    </row>
    <row r="824" spans="3:7">
      <c r="C824" s="43"/>
      <c r="D824" s="301">
        <v>39030</v>
      </c>
      <c r="E824" s="62">
        <v>0.1</v>
      </c>
      <c r="F824" s="62">
        <v>4.9729935828877039E-2</v>
      </c>
      <c r="G824" s="46">
        <f t="shared" si="12"/>
        <v>5.0270064171122966E-2</v>
      </c>
    </row>
    <row r="825" spans="3:7">
      <c r="C825" s="43"/>
      <c r="D825" s="301">
        <v>39042</v>
      </c>
      <c r="E825" s="62">
        <v>0.11</v>
      </c>
      <c r="F825" s="62">
        <v>4.9790465240641728E-2</v>
      </c>
      <c r="G825" s="46">
        <f t="shared" si="12"/>
        <v>6.0209534759358273E-2</v>
      </c>
    </row>
    <row r="826" spans="3:7">
      <c r="C826" s="43"/>
      <c r="D826" s="301">
        <v>39056</v>
      </c>
      <c r="E826" s="62">
        <v>0.10199999999999999</v>
      </c>
      <c r="F826" s="62">
        <v>4.9721914438502698E-2</v>
      </c>
      <c r="G826" s="46">
        <f t="shared" si="12"/>
        <v>5.2278085561497295E-2</v>
      </c>
    </row>
    <row r="827" spans="3:7">
      <c r="C827" s="43"/>
      <c r="D827" s="301">
        <v>39087</v>
      </c>
      <c r="E827" s="62">
        <v>0.10400000000000001</v>
      </c>
      <c r="F827" s="62">
        <v>4.9477090909090922E-2</v>
      </c>
      <c r="G827" s="46">
        <f t="shared" si="12"/>
        <v>5.4522909090909087E-2</v>
      </c>
    </row>
    <row r="828" spans="3:7">
      <c r="C828" s="43"/>
      <c r="D828" s="301">
        <v>39091</v>
      </c>
      <c r="E828" s="62">
        <v>0.11</v>
      </c>
      <c r="F828" s="62">
        <v>4.9436459893048131E-2</v>
      </c>
      <c r="G828" s="46">
        <f t="shared" si="12"/>
        <v>6.056354010695187E-2</v>
      </c>
    </row>
    <row r="829" spans="3:7">
      <c r="C829" s="43"/>
      <c r="D829" s="301">
        <v>39093</v>
      </c>
      <c r="E829" s="62">
        <v>0.109</v>
      </c>
      <c r="F829" s="62">
        <v>4.9403310160427816E-2</v>
      </c>
      <c r="G829" s="46">
        <f t="shared" si="12"/>
        <v>5.9596689839572184E-2</v>
      </c>
    </row>
    <row r="830" spans="3:7">
      <c r="C830" s="43"/>
      <c r="D830" s="301">
        <v>39101</v>
      </c>
      <c r="E830" s="62">
        <v>0.10800000000000001</v>
      </c>
      <c r="F830" s="62">
        <v>4.9293711229946531E-2</v>
      </c>
      <c r="G830" s="46">
        <f t="shared" si="12"/>
        <v>5.8706288770053482E-2</v>
      </c>
    </row>
    <row r="831" spans="3:7">
      <c r="C831" s="43"/>
      <c r="D831" s="301">
        <v>39108</v>
      </c>
      <c r="E831" s="62">
        <v>0.1</v>
      </c>
      <c r="F831" s="62">
        <v>4.9219106951871643E-2</v>
      </c>
      <c r="G831" s="46">
        <f t="shared" si="12"/>
        <v>5.0780893048128363E-2</v>
      </c>
    </row>
    <row r="832" spans="3:7">
      <c r="C832" s="43"/>
      <c r="D832" s="301">
        <v>39121</v>
      </c>
      <c r="E832" s="62">
        <v>0.10400000000000001</v>
      </c>
      <c r="F832" s="62">
        <v>4.9077962566844928E-2</v>
      </c>
      <c r="G832" s="46">
        <f t="shared" si="12"/>
        <v>5.4922037433155081E-2</v>
      </c>
    </row>
    <row r="833" spans="3:7">
      <c r="C833" s="43"/>
      <c r="D833" s="301">
        <v>39155</v>
      </c>
      <c r="E833" s="62">
        <v>0.10099999999999999</v>
      </c>
      <c r="F833" s="62">
        <v>4.8560171122994662E-2</v>
      </c>
      <c r="G833" s="46">
        <f t="shared" si="12"/>
        <v>5.243982887700533E-2</v>
      </c>
    </row>
    <row r="834" spans="3:7">
      <c r="C834" s="43"/>
      <c r="D834" s="301">
        <v>39161</v>
      </c>
      <c r="E834" s="62">
        <v>0.10249999999999999</v>
      </c>
      <c r="F834" s="62">
        <v>4.8446112299465244E-2</v>
      </c>
      <c r="G834" s="46">
        <f t="shared" si="12"/>
        <v>5.405388770053475E-2</v>
      </c>
    </row>
    <row r="835" spans="3:7">
      <c r="C835" s="43"/>
      <c r="D835" s="301">
        <v>39162</v>
      </c>
      <c r="E835" s="62">
        <v>0.11349999999999999</v>
      </c>
      <c r="F835" s="62">
        <v>4.8420486631016044E-2</v>
      </c>
      <c r="G835" s="46">
        <f t="shared" si="12"/>
        <v>6.5079513368983946E-2</v>
      </c>
    </row>
    <row r="836" spans="3:7">
      <c r="C836" s="43"/>
      <c r="D836" s="301">
        <v>39163</v>
      </c>
      <c r="E836" s="62">
        <v>0.105</v>
      </c>
      <c r="F836" s="62">
        <v>4.8397754010695182E-2</v>
      </c>
      <c r="G836" s="46">
        <f t="shared" si="12"/>
        <v>5.6602245989304814E-2</v>
      </c>
    </row>
    <row r="837" spans="3:7">
      <c r="C837" s="43"/>
      <c r="D837" s="301">
        <v>39170</v>
      </c>
      <c r="E837" s="62">
        <v>0.1</v>
      </c>
      <c r="F837" s="62">
        <v>4.829593048128341E-2</v>
      </c>
      <c r="G837" s="46">
        <f t="shared" si="12"/>
        <v>5.1704069518716596E-2</v>
      </c>
    </row>
    <row r="838" spans="3:7">
      <c r="C838" s="43"/>
      <c r="D838" s="301">
        <v>39246</v>
      </c>
      <c r="E838" s="62">
        <v>0.1075</v>
      </c>
      <c r="F838" s="62">
        <v>4.8148540106951861E-2</v>
      </c>
      <c r="G838" s="46">
        <f t="shared" si="12"/>
        <v>5.9351459893048138E-2</v>
      </c>
    </row>
    <row r="839" spans="3:7">
      <c r="C839" s="43"/>
      <c r="D839" s="301">
        <v>39262</v>
      </c>
      <c r="E839" s="62">
        <v>9.5299999999999996E-2</v>
      </c>
      <c r="F839" s="62">
        <v>4.8432823529411757E-2</v>
      </c>
      <c r="G839" s="46">
        <f t="shared" si="12"/>
        <v>4.6867176470588238E-2</v>
      </c>
    </row>
    <row r="840" spans="3:7">
      <c r="C840" s="43"/>
      <c r="D840" s="301">
        <v>39262</v>
      </c>
      <c r="E840" s="62">
        <v>0.10099999999999999</v>
      </c>
      <c r="F840" s="62">
        <v>4.8432823529411757E-2</v>
      </c>
      <c r="G840" s="46">
        <f t="shared" si="12"/>
        <v>5.2567176470588235E-2</v>
      </c>
    </row>
    <row r="841" spans="3:7">
      <c r="C841" s="43"/>
      <c r="D841" s="301">
        <v>39266</v>
      </c>
      <c r="E841" s="62">
        <v>0.10249999999999999</v>
      </c>
      <c r="F841" s="62">
        <v>4.8453652406417115E-2</v>
      </c>
      <c r="G841" s="46">
        <f t="shared" si="12"/>
        <v>5.4046347593582879E-2</v>
      </c>
    </row>
    <row r="842" spans="3:7">
      <c r="C842" s="43"/>
      <c r="D842" s="301">
        <v>39276</v>
      </c>
      <c r="E842" s="62">
        <v>9.5000000000000001E-2</v>
      </c>
      <c r="F842" s="62">
        <v>4.8576737967914445E-2</v>
      </c>
      <c r="G842" s="46">
        <f t="shared" si="12"/>
        <v>4.6423262032085556E-2</v>
      </c>
    </row>
    <row r="843" spans="3:7">
      <c r="C843" s="43"/>
      <c r="D843" s="301">
        <v>39287</v>
      </c>
      <c r="E843" s="62">
        <v>0.10400000000000001</v>
      </c>
      <c r="F843" s="62">
        <v>4.8700069518716589E-2</v>
      </c>
      <c r="G843" s="46">
        <f t="shared" si="12"/>
        <v>5.529993048128342E-2</v>
      </c>
    </row>
    <row r="844" spans="3:7">
      <c r="C844" s="43"/>
      <c r="D844" s="301">
        <v>39295</v>
      </c>
      <c r="E844" s="62">
        <v>0.10150000000000001</v>
      </c>
      <c r="F844" s="62">
        <v>4.876901604278075E-2</v>
      </c>
      <c r="G844" s="46">
        <f t="shared" si="12"/>
        <v>5.2730983957219257E-2</v>
      </c>
    </row>
    <row r="845" spans="3:7">
      <c r="C845" s="43"/>
      <c r="D845" s="301">
        <v>39323</v>
      </c>
      <c r="E845" s="62">
        <v>0.105</v>
      </c>
      <c r="F845" s="62">
        <v>4.9109887700534774E-2</v>
      </c>
      <c r="G845" s="46">
        <f t="shared" si="12"/>
        <v>5.5890112299465222E-2</v>
      </c>
    </row>
    <row r="846" spans="3:7">
      <c r="C846" s="43"/>
      <c r="D846" s="301">
        <v>39335</v>
      </c>
      <c r="E846" s="62">
        <v>9.7100000000000006E-2</v>
      </c>
      <c r="F846" s="62">
        <v>4.9143491978609628E-2</v>
      </c>
      <c r="G846" s="46">
        <f t="shared" si="12"/>
        <v>4.7956508021390377E-2</v>
      </c>
    </row>
    <row r="847" spans="3:7">
      <c r="C847" s="43"/>
      <c r="D847" s="301">
        <v>39344</v>
      </c>
      <c r="E847" s="62">
        <v>0.1</v>
      </c>
      <c r="F847" s="62">
        <v>4.9123684491978618E-2</v>
      </c>
      <c r="G847" s="46">
        <f t="shared" si="12"/>
        <v>5.0876315508021387E-2</v>
      </c>
    </row>
    <row r="848" spans="3:7">
      <c r="C848" s="43"/>
      <c r="D848" s="301">
        <v>39350</v>
      </c>
      <c r="E848" s="62">
        <v>9.6999999999999989E-2</v>
      </c>
      <c r="F848" s="62">
        <v>4.9157887700534746E-2</v>
      </c>
      <c r="G848" s="46">
        <f t="shared" si="12"/>
        <v>4.7842112299465243E-2</v>
      </c>
    </row>
    <row r="849" spans="3:7">
      <c r="C849" s="43"/>
      <c r="D849" s="301">
        <v>39363</v>
      </c>
      <c r="E849" s="62">
        <v>0.1048</v>
      </c>
      <c r="F849" s="62">
        <v>4.9161342245989295E-2</v>
      </c>
      <c r="G849" s="46">
        <f t="shared" si="12"/>
        <v>5.5638657754010709E-2</v>
      </c>
    </row>
    <row r="850" spans="3:7">
      <c r="C850" s="43"/>
      <c r="D850" s="301">
        <v>39374</v>
      </c>
      <c r="E850" s="62">
        <v>0.105</v>
      </c>
      <c r="F850" s="62">
        <v>4.9120983957219228E-2</v>
      </c>
      <c r="G850" s="46">
        <f t="shared" si="12"/>
        <v>5.5879016042780769E-2</v>
      </c>
    </row>
    <row r="851" spans="3:7">
      <c r="C851" s="43"/>
      <c r="D851" s="301">
        <v>39380</v>
      </c>
      <c r="E851" s="62">
        <v>9.6500000000000002E-2</v>
      </c>
      <c r="F851" s="62">
        <v>4.9071855614973237E-2</v>
      </c>
      <c r="G851" s="46">
        <f t="shared" si="12"/>
        <v>4.7428144385026766E-2</v>
      </c>
    </row>
    <row r="852" spans="3:7">
      <c r="C852" s="43"/>
      <c r="D852" s="301">
        <v>39401</v>
      </c>
      <c r="E852" s="62">
        <v>0.1</v>
      </c>
      <c r="F852" s="62">
        <v>4.8938026737967891E-2</v>
      </c>
      <c r="G852" s="46">
        <f t="shared" si="12"/>
        <v>5.1061973262032115E-2</v>
      </c>
    </row>
    <row r="853" spans="3:7">
      <c r="C853" s="43"/>
      <c r="D853" s="301">
        <v>39406</v>
      </c>
      <c r="E853" s="62">
        <v>9.9000000000000005E-2</v>
      </c>
      <c r="F853" s="62">
        <v>4.8912021390374316E-2</v>
      </c>
      <c r="G853" s="46">
        <f t="shared" si="12"/>
        <v>5.0087978609625688E-2</v>
      </c>
    </row>
    <row r="854" spans="3:7">
      <c r="C854" s="43"/>
      <c r="D854" s="301">
        <v>39413</v>
      </c>
      <c r="E854" s="62">
        <v>0.1</v>
      </c>
      <c r="F854" s="62">
        <v>4.8842395721925114E-2</v>
      </c>
      <c r="G854" s="46">
        <f t="shared" si="12"/>
        <v>5.1157604278074892E-2</v>
      </c>
    </row>
    <row r="855" spans="3:7">
      <c r="C855" s="43"/>
      <c r="D855" s="301">
        <v>39415</v>
      </c>
      <c r="E855" s="62">
        <v>0.109</v>
      </c>
      <c r="F855" s="62">
        <v>4.8810871657753989E-2</v>
      </c>
      <c r="G855" s="46">
        <f t="shared" si="12"/>
        <v>6.0189128342246011E-2</v>
      </c>
    </row>
    <row r="856" spans="3:7">
      <c r="C856" s="43"/>
      <c r="D856" s="301">
        <v>39430</v>
      </c>
      <c r="E856" s="62">
        <v>0.10800000000000001</v>
      </c>
      <c r="F856" s="62">
        <v>4.8661342245989288E-2</v>
      </c>
      <c r="G856" s="46">
        <f t="shared" si="12"/>
        <v>5.9338657754010725E-2</v>
      </c>
    </row>
    <row r="857" spans="3:7">
      <c r="C857" s="43"/>
      <c r="D857" s="301">
        <v>39434</v>
      </c>
      <c r="E857" s="62">
        <v>0.10400000000000001</v>
      </c>
      <c r="F857" s="62">
        <v>4.863074331550802E-2</v>
      </c>
      <c r="G857" s="46">
        <f t="shared" si="12"/>
        <v>5.536925668449199E-2</v>
      </c>
    </row>
    <row r="858" spans="3:7">
      <c r="C858" s="43"/>
      <c r="D858" s="301">
        <v>39435</v>
      </c>
      <c r="E858" s="62">
        <v>9.8000000000000004E-2</v>
      </c>
      <c r="F858" s="62">
        <v>4.8609946524064168E-2</v>
      </c>
      <c r="G858" s="46">
        <f t="shared" si="12"/>
        <v>4.9390053475935836E-2</v>
      </c>
    </row>
    <row r="859" spans="3:7">
      <c r="C859" s="43"/>
      <c r="D859" s="301">
        <v>39435</v>
      </c>
      <c r="E859" s="62">
        <v>9.8000000000000004E-2</v>
      </c>
      <c r="F859" s="62">
        <v>4.8609946524064168E-2</v>
      </c>
      <c r="G859" s="46">
        <f t="shared" si="12"/>
        <v>4.9390053475935836E-2</v>
      </c>
    </row>
    <row r="860" spans="3:7">
      <c r="C860" s="43"/>
      <c r="D860" s="301">
        <v>39435</v>
      </c>
      <c r="E860" s="62">
        <v>0.10199999999999999</v>
      </c>
      <c r="F860" s="62">
        <v>4.8609946524064168E-2</v>
      </c>
      <c r="G860" s="46">
        <f t="shared" si="12"/>
        <v>5.3390053475935825E-2</v>
      </c>
    </row>
    <row r="861" spans="3:7">
      <c r="C861" s="43"/>
      <c r="D861" s="301">
        <v>39437</v>
      </c>
      <c r="E861" s="62">
        <v>9.0999999999999998E-2</v>
      </c>
      <c r="F861" s="62">
        <v>4.8576294117647051E-2</v>
      </c>
      <c r="G861" s="46">
        <f t="shared" si="12"/>
        <v>4.2423705882352947E-2</v>
      </c>
    </row>
    <row r="862" spans="3:7">
      <c r="C862" s="43"/>
      <c r="D862" s="301">
        <v>39455</v>
      </c>
      <c r="E862" s="62">
        <v>0.1075</v>
      </c>
      <c r="F862" s="62">
        <v>4.8312294117647051E-2</v>
      </c>
      <c r="G862" s="46">
        <f t="shared" si="12"/>
        <v>5.9187705882352948E-2</v>
      </c>
    </row>
    <row r="863" spans="3:7">
      <c r="C863" s="43"/>
      <c r="D863" s="301">
        <v>39464</v>
      </c>
      <c r="E863" s="62">
        <v>0.1075</v>
      </c>
      <c r="F863" s="62">
        <v>4.812744385026739E-2</v>
      </c>
      <c r="G863" s="46">
        <f t="shared" si="12"/>
        <v>5.9372556149732608E-2</v>
      </c>
    </row>
    <row r="864" spans="3:7">
      <c r="C864" s="43"/>
      <c r="D864" s="301">
        <v>39464</v>
      </c>
      <c r="E864" s="62">
        <v>0.1075</v>
      </c>
      <c r="F864" s="62">
        <v>4.812744385026739E-2</v>
      </c>
      <c r="G864" s="46">
        <f t="shared" si="12"/>
        <v>5.9372556149732608E-2</v>
      </c>
    </row>
    <row r="865" spans="3:7">
      <c r="C865" s="43"/>
      <c r="D865" s="301">
        <v>39483</v>
      </c>
      <c r="E865" s="62">
        <v>9.9900000000000003E-2</v>
      </c>
      <c r="F865" s="62">
        <v>4.7755042780748685E-2</v>
      </c>
      <c r="G865" s="46">
        <f t="shared" si="12"/>
        <v>5.2144957219251317E-2</v>
      </c>
    </row>
    <row r="866" spans="3:7">
      <c r="C866" s="43"/>
      <c r="D866" s="301">
        <v>39483</v>
      </c>
      <c r="E866" s="62">
        <v>0.10189999999999999</v>
      </c>
      <c r="F866" s="62">
        <v>4.7755042780748685E-2</v>
      </c>
      <c r="G866" s="46">
        <f t="shared" si="12"/>
        <v>5.4144957219251305E-2</v>
      </c>
    </row>
    <row r="867" spans="3:7">
      <c r="C867" s="43"/>
      <c r="D867" s="301">
        <v>39491</v>
      </c>
      <c r="E867" s="62">
        <v>0.10199999999999999</v>
      </c>
      <c r="F867" s="62">
        <v>4.758215508021392E-2</v>
      </c>
      <c r="G867" s="46">
        <f t="shared" si="12"/>
        <v>5.4417844919786074E-2</v>
      </c>
    </row>
    <row r="868" spans="3:7">
      <c r="C868" s="43"/>
      <c r="D868" s="301">
        <v>39538</v>
      </c>
      <c r="E868" s="62">
        <v>0.1</v>
      </c>
      <c r="F868" s="62">
        <v>4.6300080213903735E-2</v>
      </c>
      <c r="G868" s="46">
        <f t="shared" si="12"/>
        <v>5.369991978609627E-2</v>
      </c>
    </row>
    <row r="869" spans="3:7">
      <c r="C869" s="43"/>
      <c r="D869" s="301">
        <v>39596</v>
      </c>
      <c r="E869" s="62">
        <v>0.105</v>
      </c>
      <c r="F869" s="62">
        <v>4.5317465240641688E-2</v>
      </c>
      <c r="G869" s="46">
        <f t="shared" si="12"/>
        <v>5.9682534759358308E-2</v>
      </c>
    </row>
    <row r="870" spans="3:7">
      <c r="C870" s="43"/>
      <c r="D870" s="301">
        <v>39623</v>
      </c>
      <c r="E870" s="62">
        <v>0.1</v>
      </c>
      <c r="F870" s="62">
        <v>4.5222604278074834E-2</v>
      </c>
      <c r="G870" s="46">
        <f t="shared" si="12"/>
        <v>5.4777395721925172E-2</v>
      </c>
    </row>
    <row r="871" spans="3:7">
      <c r="C871" s="43"/>
      <c r="D871" s="301">
        <v>39626</v>
      </c>
      <c r="E871" s="62">
        <v>0.1</v>
      </c>
      <c r="F871" s="62">
        <v>4.5178251336898366E-2</v>
      </c>
      <c r="G871" s="46">
        <f t="shared" si="12"/>
        <v>5.482174866310164E-2</v>
      </c>
    </row>
    <row r="872" spans="3:7">
      <c r="C872" s="43"/>
      <c r="D872" s="301">
        <v>39660</v>
      </c>
      <c r="E872" s="62">
        <v>0.107</v>
      </c>
      <c r="F872" s="62">
        <v>4.4982417112299437E-2</v>
      </c>
      <c r="G872" s="46">
        <f t="shared" si="12"/>
        <v>6.2017582887700561E-2</v>
      </c>
    </row>
    <row r="873" spans="3:7">
      <c r="C873" s="43"/>
      <c r="D873" s="301">
        <v>39660</v>
      </c>
      <c r="E873" s="62">
        <v>0.1082</v>
      </c>
      <c r="F873" s="62">
        <v>4.4982417112299437E-2</v>
      </c>
      <c r="G873" s="46">
        <f t="shared" si="12"/>
        <v>6.3217582887700574E-2</v>
      </c>
    </row>
    <row r="874" spans="3:7">
      <c r="C874" s="43"/>
      <c r="D874" s="301">
        <v>39687</v>
      </c>
      <c r="E874" s="62">
        <v>0.10249999999999999</v>
      </c>
      <c r="F874" s="62">
        <v>4.504281818181817E-2</v>
      </c>
      <c r="G874" s="46">
        <f t="shared" si="12"/>
        <v>5.7457181818181824E-2</v>
      </c>
    </row>
    <row r="875" spans="3:7">
      <c r="C875" s="43"/>
      <c r="D875" s="301">
        <v>39693</v>
      </c>
      <c r="E875" s="62">
        <v>0.10249999999999999</v>
      </c>
      <c r="F875" s="62">
        <v>4.5005406417112294E-2</v>
      </c>
      <c r="G875" s="46">
        <f t="shared" si="12"/>
        <v>5.74945935828877E-2</v>
      </c>
    </row>
    <row r="876" spans="3:7">
      <c r="C876" s="43"/>
      <c r="D876" s="301">
        <v>39710</v>
      </c>
      <c r="E876" s="62">
        <v>0.107</v>
      </c>
      <c r="F876" s="62">
        <v>4.4788877005347581E-2</v>
      </c>
      <c r="G876" s="46">
        <f t="shared" si="12"/>
        <v>6.2211122994652417E-2</v>
      </c>
    </row>
    <row r="877" spans="3:7">
      <c r="C877" s="43"/>
      <c r="D877" s="301">
        <v>39715</v>
      </c>
      <c r="E877" s="62">
        <v>0.10679999999999999</v>
      </c>
      <c r="F877" s="62">
        <v>4.4796122994652396E-2</v>
      </c>
      <c r="G877" s="46">
        <f t="shared" si="12"/>
        <v>6.2003877005347596E-2</v>
      </c>
    </row>
    <row r="878" spans="3:7">
      <c r="C878" s="43"/>
      <c r="D878" s="301">
        <v>39715</v>
      </c>
      <c r="E878" s="62">
        <v>0.10679999999999999</v>
      </c>
      <c r="F878" s="62">
        <v>4.4796122994652396E-2</v>
      </c>
      <c r="G878" s="46">
        <f t="shared" si="12"/>
        <v>6.2003877005347596E-2</v>
      </c>
    </row>
    <row r="879" spans="3:7">
      <c r="C879" s="43"/>
      <c r="D879" s="301">
        <v>39715</v>
      </c>
      <c r="E879" s="62">
        <v>0.10679999999999999</v>
      </c>
      <c r="F879" s="62">
        <v>4.4796122994652396E-2</v>
      </c>
      <c r="G879" s="46">
        <f t="shared" si="12"/>
        <v>6.2003877005347596E-2</v>
      </c>
    </row>
    <row r="880" spans="3:7">
      <c r="C880" s="43"/>
      <c r="D880" s="301">
        <v>39721</v>
      </c>
      <c r="E880" s="62">
        <v>0.10199999999999999</v>
      </c>
      <c r="F880" s="62">
        <v>4.4781545454545463E-2</v>
      </c>
      <c r="G880" s="46">
        <f t="shared" si="12"/>
        <v>5.7218454545454531E-2</v>
      </c>
    </row>
    <row r="881" spans="3:7">
      <c r="C881" s="43"/>
      <c r="D881" s="301">
        <v>39724</v>
      </c>
      <c r="E881" s="62">
        <v>0.10300000000000001</v>
      </c>
      <c r="F881" s="62">
        <v>4.4753754010695181E-2</v>
      </c>
      <c r="G881" s="46">
        <f t="shared" ref="G881:G944" si="13">E881-F881</f>
        <v>5.8246245989304828E-2</v>
      </c>
    </row>
    <row r="882" spans="3:7">
      <c r="C882" s="43"/>
      <c r="D882" s="301">
        <v>39729</v>
      </c>
      <c r="E882" s="62">
        <v>0.10150000000000001</v>
      </c>
      <c r="F882" s="62">
        <v>4.4712754010695188E-2</v>
      </c>
      <c r="G882" s="46">
        <f t="shared" si="13"/>
        <v>5.6787245989304819E-2</v>
      </c>
    </row>
    <row r="883" spans="3:7">
      <c r="C883" s="43"/>
      <c r="D883" s="301">
        <v>39741</v>
      </c>
      <c r="E883" s="62">
        <v>0.10060000000000001</v>
      </c>
      <c r="F883" s="62">
        <v>4.4668475935828886E-2</v>
      </c>
      <c r="G883" s="46">
        <f t="shared" si="13"/>
        <v>5.5931524064171123E-2</v>
      </c>
    </row>
    <row r="884" spans="3:7">
      <c r="C884" s="43"/>
      <c r="D884" s="301">
        <v>39745</v>
      </c>
      <c r="E884" s="62">
        <v>0.106</v>
      </c>
      <c r="F884" s="62">
        <v>4.4616197860962568E-2</v>
      </c>
      <c r="G884" s="46">
        <f t="shared" si="13"/>
        <v>6.1383802139037429E-2</v>
      </c>
    </row>
    <row r="885" spans="3:7">
      <c r="C885" s="43"/>
      <c r="D885" s="301">
        <v>39745</v>
      </c>
      <c r="E885" s="62">
        <v>0.106</v>
      </c>
      <c r="F885" s="62">
        <v>4.4616197860962568E-2</v>
      </c>
      <c r="G885" s="46">
        <f t="shared" si="13"/>
        <v>6.1383802139037429E-2</v>
      </c>
    </row>
    <row r="886" spans="3:7">
      <c r="C886" s="43"/>
      <c r="D886" s="301">
        <v>39773</v>
      </c>
      <c r="E886" s="62">
        <v>0.105</v>
      </c>
      <c r="F886" s="62">
        <v>4.4184614973262003E-2</v>
      </c>
      <c r="G886" s="46">
        <f t="shared" si="13"/>
        <v>6.0815385026737993E-2</v>
      </c>
    </row>
    <row r="887" spans="3:7">
      <c r="C887" s="43"/>
      <c r="D887" s="301">
        <v>39773</v>
      </c>
      <c r="E887" s="62">
        <v>0.105</v>
      </c>
      <c r="F887" s="62">
        <v>4.4184614973262003E-2</v>
      </c>
      <c r="G887" s="46">
        <f t="shared" si="13"/>
        <v>6.0815385026737993E-2</v>
      </c>
    </row>
    <row r="888" spans="3:7">
      <c r="C888" s="43"/>
      <c r="D888" s="301">
        <v>39773</v>
      </c>
      <c r="E888" s="62">
        <v>0.105</v>
      </c>
      <c r="F888" s="62">
        <v>4.4184614973262003E-2</v>
      </c>
      <c r="G888" s="46">
        <f t="shared" si="13"/>
        <v>6.0815385026737993E-2</v>
      </c>
    </row>
    <row r="889" spans="3:7">
      <c r="C889" s="43"/>
      <c r="D889" s="301">
        <v>39776</v>
      </c>
      <c r="E889" s="62">
        <v>0.105</v>
      </c>
      <c r="F889" s="62">
        <v>4.4142903743315483E-2</v>
      </c>
      <c r="G889" s="46">
        <f t="shared" si="13"/>
        <v>6.0857096256684513E-2</v>
      </c>
    </row>
    <row r="890" spans="3:7">
      <c r="C890" s="43"/>
      <c r="D890" s="301">
        <v>39785</v>
      </c>
      <c r="E890" s="62">
        <v>0.10390000000000001</v>
      </c>
      <c r="F890" s="62">
        <v>4.3749021390374294E-2</v>
      </c>
      <c r="G890" s="46">
        <f t="shared" si="13"/>
        <v>6.0150978609625712E-2</v>
      </c>
    </row>
    <row r="891" spans="3:7">
      <c r="C891" s="43"/>
      <c r="D891" s="301">
        <v>39806</v>
      </c>
      <c r="E891" s="62">
        <v>0.1</v>
      </c>
      <c r="F891" s="62">
        <v>4.2581176470588199E-2</v>
      </c>
      <c r="G891" s="46">
        <f t="shared" si="13"/>
        <v>5.7418823529411807E-2</v>
      </c>
    </row>
    <row r="892" spans="3:7">
      <c r="C892" s="43"/>
      <c r="D892" s="301">
        <v>39808</v>
      </c>
      <c r="E892" s="62">
        <v>0.10099999999999999</v>
      </c>
      <c r="F892" s="62">
        <v>4.2396005347593552E-2</v>
      </c>
      <c r="G892" s="46">
        <f t="shared" si="13"/>
        <v>5.8603994652406441E-2</v>
      </c>
    </row>
    <row r="893" spans="3:7">
      <c r="C893" s="43"/>
      <c r="D893" s="301">
        <v>39811</v>
      </c>
      <c r="E893" s="62">
        <v>0.10199999999999999</v>
      </c>
      <c r="F893" s="62">
        <v>4.2304219251336858E-2</v>
      </c>
      <c r="G893" s="46">
        <f t="shared" si="13"/>
        <v>5.9695780748663135E-2</v>
      </c>
    </row>
    <row r="894" spans="3:7">
      <c r="C894" s="43"/>
      <c r="D894" s="301">
        <v>39826</v>
      </c>
      <c r="E894" s="62">
        <v>0.1045</v>
      </c>
      <c r="F894" s="62">
        <v>4.1378689839572158E-2</v>
      </c>
      <c r="G894" s="46">
        <f t="shared" si="13"/>
        <v>6.3121310160427838E-2</v>
      </c>
    </row>
    <row r="895" spans="3:7">
      <c r="C895" s="43"/>
      <c r="D895" s="301">
        <v>39846</v>
      </c>
      <c r="E895" s="62">
        <v>0.10050000000000001</v>
      </c>
      <c r="F895" s="62">
        <v>4.0363866310160409E-2</v>
      </c>
      <c r="G895" s="46">
        <f t="shared" si="13"/>
        <v>6.0136133689839597E-2</v>
      </c>
    </row>
    <row r="896" spans="3:7">
      <c r="C896" s="43"/>
      <c r="D896" s="301">
        <v>39881</v>
      </c>
      <c r="E896" s="62">
        <v>0.10300000000000001</v>
      </c>
      <c r="F896" s="62">
        <v>3.8927919786096277E-2</v>
      </c>
      <c r="G896" s="46">
        <f t="shared" si="13"/>
        <v>6.4072080213903732E-2</v>
      </c>
    </row>
    <row r="897" spans="3:7">
      <c r="C897" s="43"/>
      <c r="D897" s="301">
        <v>39897</v>
      </c>
      <c r="E897" s="62">
        <v>0.1017</v>
      </c>
      <c r="F897" s="62">
        <v>3.8350005347593606E-2</v>
      </c>
      <c r="G897" s="46">
        <f t="shared" si="13"/>
        <v>6.3349994652406399E-2</v>
      </c>
    </row>
    <row r="898" spans="3:7">
      <c r="C898" s="43"/>
      <c r="D898" s="301">
        <v>39905</v>
      </c>
      <c r="E898" s="62">
        <v>0.1075</v>
      </c>
      <c r="F898" s="62">
        <v>3.8070278074866341E-2</v>
      </c>
      <c r="G898" s="46">
        <f t="shared" si="13"/>
        <v>6.9429721925133664E-2</v>
      </c>
    </row>
    <row r="899" spans="3:7">
      <c r="C899" s="43"/>
      <c r="D899" s="301">
        <v>39938</v>
      </c>
      <c r="E899" s="62">
        <v>0.1075</v>
      </c>
      <c r="F899" s="62">
        <v>3.7107684491978626E-2</v>
      </c>
      <c r="G899" s="46">
        <f t="shared" si="13"/>
        <v>7.0392315508021372E-2</v>
      </c>
    </row>
    <row r="900" spans="3:7">
      <c r="C900" s="43"/>
      <c r="D900" s="301">
        <v>39948</v>
      </c>
      <c r="E900" s="62">
        <v>0.10199999999999999</v>
      </c>
      <c r="F900" s="62">
        <v>3.6990663101604281E-2</v>
      </c>
      <c r="G900" s="46">
        <f t="shared" si="13"/>
        <v>6.500933689839572E-2</v>
      </c>
    </row>
    <row r="901" spans="3:7">
      <c r="C901" s="43"/>
      <c r="D901" s="301">
        <v>39962</v>
      </c>
      <c r="E901" s="62">
        <v>9.5399999999999985E-2</v>
      </c>
      <c r="F901" s="62">
        <v>3.7015165775401079E-2</v>
      </c>
      <c r="G901" s="46">
        <f t="shared" si="13"/>
        <v>5.8384834224598905E-2</v>
      </c>
    </row>
    <row r="902" spans="3:7">
      <c r="C902" s="43"/>
      <c r="D902" s="301">
        <v>39967</v>
      </c>
      <c r="E902" s="62">
        <v>0.10099999999999999</v>
      </c>
      <c r="F902" s="62">
        <v>3.7063443850267386E-2</v>
      </c>
      <c r="G902" s="46">
        <f t="shared" si="13"/>
        <v>6.3936556149732607E-2</v>
      </c>
    </row>
    <row r="903" spans="3:7">
      <c r="C903" s="43"/>
      <c r="D903" s="301">
        <v>39986</v>
      </c>
      <c r="E903" s="62">
        <v>0.1</v>
      </c>
      <c r="F903" s="62">
        <v>3.7285395721925144E-2</v>
      </c>
      <c r="G903" s="46">
        <f t="shared" si="13"/>
        <v>6.2714604278074862E-2</v>
      </c>
    </row>
    <row r="904" spans="3:7">
      <c r="C904" s="43"/>
      <c r="D904" s="301">
        <v>39993</v>
      </c>
      <c r="E904" s="62">
        <v>0.10210000000000001</v>
      </c>
      <c r="F904" s="62">
        <v>3.7365689839572197E-2</v>
      </c>
      <c r="G904" s="46">
        <f t="shared" si="13"/>
        <v>6.4734310160427813E-2</v>
      </c>
    </row>
    <row r="905" spans="3:7">
      <c r="C905" s="43"/>
      <c r="D905" s="301">
        <v>39994</v>
      </c>
      <c r="E905" s="62">
        <v>9.3100000000000002E-2</v>
      </c>
      <c r="F905" s="62">
        <v>3.7376016042780756E-2</v>
      </c>
      <c r="G905" s="46">
        <f t="shared" si="13"/>
        <v>5.5723983957219246E-2</v>
      </c>
    </row>
    <row r="906" spans="3:7">
      <c r="C906" s="43"/>
      <c r="D906" s="301">
        <v>40011</v>
      </c>
      <c r="E906" s="62">
        <v>9.2600000000000002E-2</v>
      </c>
      <c r="F906" s="62">
        <v>3.7488486631016046E-2</v>
      </c>
      <c r="G906" s="46">
        <f t="shared" si="13"/>
        <v>5.5111513368983955E-2</v>
      </c>
    </row>
    <row r="907" spans="3:7">
      <c r="C907" s="43"/>
      <c r="D907" s="301">
        <v>40011</v>
      </c>
      <c r="E907" s="62">
        <v>0.105</v>
      </c>
      <c r="F907" s="62">
        <v>3.7488486631016046E-2</v>
      </c>
      <c r="G907" s="46">
        <f t="shared" si="13"/>
        <v>6.751151336898395E-2</v>
      </c>
    </row>
    <row r="908" spans="3:7">
      <c r="C908" s="43"/>
      <c r="D908" s="301">
        <v>40102</v>
      </c>
      <c r="E908" s="62">
        <v>0.10400000000000001</v>
      </c>
      <c r="F908" s="62">
        <v>4.0894909090909093E-2</v>
      </c>
      <c r="G908" s="46">
        <f t="shared" si="13"/>
        <v>6.3105090909090916E-2</v>
      </c>
    </row>
    <row r="909" spans="3:7">
      <c r="C909" s="43"/>
      <c r="D909" s="301">
        <v>40112</v>
      </c>
      <c r="E909" s="62">
        <v>0.10099999999999999</v>
      </c>
      <c r="F909" s="62">
        <v>4.1096866310160428E-2</v>
      </c>
      <c r="G909" s="46">
        <f t="shared" si="13"/>
        <v>5.9903133689839565E-2</v>
      </c>
    </row>
    <row r="910" spans="3:7">
      <c r="C910" s="43"/>
      <c r="D910" s="301">
        <v>40114</v>
      </c>
      <c r="E910" s="62">
        <v>0.10150000000000001</v>
      </c>
      <c r="F910" s="62">
        <v>4.1160679144385037E-2</v>
      </c>
      <c r="G910" s="46">
        <f t="shared" si="13"/>
        <v>6.033932085561497E-2</v>
      </c>
    </row>
    <row r="911" spans="3:7">
      <c r="C911" s="43"/>
      <c r="D911" s="301">
        <v>40114</v>
      </c>
      <c r="E911" s="62">
        <v>0.10150000000000001</v>
      </c>
      <c r="F911" s="62">
        <v>4.1160679144385037E-2</v>
      </c>
      <c r="G911" s="46">
        <f t="shared" si="13"/>
        <v>6.033932085561497E-2</v>
      </c>
    </row>
    <row r="912" spans="3:7">
      <c r="C912" s="43"/>
      <c r="D912" s="301">
        <v>40116</v>
      </c>
      <c r="E912" s="62">
        <v>9.9499999999999991E-2</v>
      </c>
      <c r="F912" s="62">
        <v>4.1247780748663115E-2</v>
      </c>
      <c r="G912" s="46">
        <f t="shared" si="13"/>
        <v>5.8252219251336876E-2</v>
      </c>
    </row>
    <row r="913" spans="3:7">
      <c r="C913" s="43"/>
      <c r="D913" s="301">
        <v>40137</v>
      </c>
      <c r="E913" s="62">
        <v>9.4499999999999987E-2</v>
      </c>
      <c r="F913" s="62">
        <v>4.1845470588235303E-2</v>
      </c>
      <c r="G913" s="46">
        <f t="shared" si="13"/>
        <v>5.2654529411764683E-2</v>
      </c>
    </row>
    <row r="914" spans="3:7">
      <c r="C914" s="43"/>
      <c r="D914" s="301">
        <v>40161</v>
      </c>
      <c r="E914" s="62">
        <v>0.105</v>
      </c>
      <c r="F914" s="62">
        <v>4.2428010695187181E-2</v>
      </c>
      <c r="G914" s="46">
        <f t="shared" si="13"/>
        <v>6.2571989304812808E-2</v>
      </c>
    </row>
    <row r="915" spans="3:7">
      <c r="C915" s="43"/>
      <c r="D915" s="301">
        <v>40163</v>
      </c>
      <c r="E915" s="62">
        <v>0.1075</v>
      </c>
      <c r="F915" s="62">
        <v>4.2526128342246006E-2</v>
      </c>
      <c r="G915" s="46">
        <f t="shared" si="13"/>
        <v>6.4973871657753993E-2</v>
      </c>
    </row>
    <row r="916" spans="3:7">
      <c r="C916" s="43"/>
      <c r="D916" s="301">
        <v>40164</v>
      </c>
      <c r="E916" s="62">
        <v>0.10300000000000001</v>
      </c>
      <c r="F916" s="62">
        <v>4.2573320855614993E-2</v>
      </c>
      <c r="G916" s="46">
        <f t="shared" si="13"/>
        <v>6.0426679144385015E-2</v>
      </c>
    </row>
    <row r="917" spans="3:7">
      <c r="C917" s="43"/>
      <c r="D917" s="301">
        <v>40165</v>
      </c>
      <c r="E917" s="62">
        <v>0.10400000000000001</v>
      </c>
      <c r="F917" s="62">
        <v>4.2624443850267403E-2</v>
      </c>
      <c r="G917" s="46">
        <f t="shared" si="13"/>
        <v>6.1375556149732606E-2</v>
      </c>
    </row>
    <row r="918" spans="3:7">
      <c r="C918" s="43"/>
      <c r="D918" s="301">
        <v>40165</v>
      </c>
      <c r="E918" s="62">
        <v>0.10400000000000001</v>
      </c>
      <c r="F918" s="62">
        <v>4.2624443850267403E-2</v>
      </c>
      <c r="G918" s="46">
        <f t="shared" si="13"/>
        <v>6.1375556149732606E-2</v>
      </c>
    </row>
    <row r="919" spans="3:7">
      <c r="C919" s="43"/>
      <c r="D919" s="301">
        <v>40165</v>
      </c>
      <c r="E919" s="62">
        <v>0.105</v>
      </c>
      <c r="F919" s="62">
        <v>4.2624443850267403E-2</v>
      </c>
      <c r="G919" s="46">
        <f t="shared" si="13"/>
        <v>6.2375556149732593E-2</v>
      </c>
    </row>
    <row r="920" spans="3:7">
      <c r="C920" s="43"/>
      <c r="D920" s="301">
        <v>40169</v>
      </c>
      <c r="E920" s="62">
        <v>0.10199999999999999</v>
      </c>
      <c r="F920" s="62">
        <v>4.2725080213903761E-2</v>
      </c>
      <c r="G920" s="46">
        <f t="shared" si="13"/>
        <v>5.9274919786096232E-2</v>
      </c>
    </row>
    <row r="921" spans="3:7">
      <c r="C921" s="43"/>
      <c r="D921" s="301">
        <v>40169</v>
      </c>
      <c r="E921" s="62">
        <v>0.10400000000000001</v>
      </c>
      <c r="F921" s="62">
        <v>4.2725080213903761E-2</v>
      </c>
      <c r="G921" s="46">
        <f t="shared" si="13"/>
        <v>6.1274919786096248E-2</v>
      </c>
    </row>
    <row r="922" spans="3:7">
      <c r="C922" s="43"/>
      <c r="D922" s="301">
        <v>40175</v>
      </c>
      <c r="E922" s="62">
        <v>0.1085</v>
      </c>
      <c r="F922" s="62">
        <v>4.2928513368983963E-2</v>
      </c>
      <c r="G922" s="46">
        <f t="shared" si="13"/>
        <v>6.5571486631016029E-2</v>
      </c>
    </row>
    <row r="923" spans="3:7">
      <c r="C923" s="43"/>
      <c r="D923" s="301">
        <v>40176</v>
      </c>
      <c r="E923" s="62">
        <v>0.1038</v>
      </c>
      <c r="F923" s="62">
        <v>4.2975951871657751E-2</v>
      </c>
      <c r="G923" s="46">
        <f t="shared" si="13"/>
        <v>6.0824048128342252E-2</v>
      </c>
    </row>
    <row r="924" spans="3:7">
      <c r="C924" s="43"/>
      <c r="D924" s="301">
        <v>40189</v>
      </c>
      <c r="E924" s="62">
        <v>0.1024</v>
      </c>
      <c r="F924" s="62">
        <v>4.3424438502673801E-2</v>
      </c>
      <c r="G924" s="46">
        <f t="shared" si="13"/>
        <v>5.8975561497326204E-2</v>
      </c>
    </row>
    <row r="925" spans="3:7">
      <c r="C925" s="43"/>
      <c r="D925" s="301">
        <v>40199</v>
      </c>
      <c r="E925" s="62">
        <v>0.1023</v>
      </c>
      <c r="F925" s="62">
        <v>4.3682491978609635E-2</v>
      </c>
      <c r="G925" s="46">
        <f t="shared" si="13"/>
        <v>5.8617508021390367E-2</v>
      </c>
    </row>
    <row r="926" spans="3:7">
      <c r="C926" s="43"/>
      <c r="D926" s="301">
        <v>40199</v>
      </c>
      <c r="E926" s="62">
        <v>0.1033</v>
      </c>
      <c r="F926" s="62">
        <v>4.3682491978609635E-2</v>
      </c>
      <c r="G926" s="46">
        <f t="shared" si="13"/>
        <v>5.9617508021390368E-2</v>
      </c>
    </row>
    <row r="927" spans="3:7">
      <c r="C927" s="43"/>
      <c r="D927" s="301">
        <v>40204</v>
      </c>
      <c r="E927" s="62">
        <v>0.10400000000000001</v>
      </c>
      <c r="F927" s="62">
        <v>4.3733973262032114E-2</v>
      </c>
      <c r="G927" s="46">
        <f t="shared" si="13"/>
        <v>6.0266026737967895E-2</v>
      </c>
    </row>
    <row r="928" spans="3:7">
      <c r="C928" s="43"/>
      <c r="D928" s="301">
        <v>40219</v>
      </c>
      <c r="E928" s="62">
        <v>0.1</v>
      </c>
      <c r="F928" s="62">
        <v>4.3944609625668464E-2</v>
      </c>
      <c r="G928" s="46">
        <f t="shared" si="13"/>
        <v>5.6055390374331542E-2</v>
      </c>
    </row>
    <row r="929" spans="3:7">
      <c r="C929" s="43"/>
      <c r="D929" s="301">
        <v>40232</v>
      </c>
      <c r="E929" s="62">
        <v>0.105</v>
      </c>
      <c r="F929" s="62">
        <v>4.4022705882352929E-2</v>
      </c>
      <c r="G929" s="46">
        <f t="shared" si="13"/>
        <v>6.0977294117647067E-2</v>
      </c>
    </row>
    <row r="930" spans="3:7">
      <c r="C930" s="43"/>
      <c r="D930" s="301">
        <v>40246</v>
      </c>
      <c r="E930" s="62">
        <v>9.6000000000000002E-2</v>
      </c>
      <c r="F930" s="62">
        <v>4.4023588235294106E-2</v>
      </c>
      <c r="G930" s="46">
        <f t="shared" si="13"/>
        <v>5.1976411764705896E-2</v>
      </c>
    </row>
    <row r="931" spans="3:7">
      <c r="C931" s="43"/>
      <c r="D931" s="301">
        <v>40261</v>
      </c>
      <c r="E931" s="62">
        <v>0.1013</v>
      </c>
      <c r="F931" s="62">
        <v>4.4184262032085558E-2</v>
      </c>
      <c r="G931" s="46">
        <f t="shared" si="13"/>
        <v>5.7115737967914443E-2</v>
      </c>
    </row>
    <row r="932" spans="3:7">
      <c r="C932" s="43"/>
      <c r="D932" s="301">
        <v>40268</v>
      </c>
      <c r="E932" s="62">
        <v>0.107</v>
      </c>
      <c r="F932" s="62">
        <v>4.4317759358288779E-2</v>
      </c>
      <c r="G932" s="46">
        <f t="shared" si="13"/>
        <v>6.2682240641711212E-2</v>
      </c>
    </row>
    <row r="933" spans="3:7">
      <c r="C933" s="43"/>
      <c r="D933" s="301">
        <v>40269</v>
      </c>
      <c r="E933" s="62">
        <v>9.5000000000000001E-2</v>
      </c>
      <c r="F933" s="62">
        <v>4.4336673796791459E-2</v>
      </c>
      <c r="G933" s="46">
        <f t="shared" si="13"/>
        <v>5.0663326203208542E-2</v>
      </c>
    </row>
    <row r="934" spans="3:7">
      <c r="C934" s="43"/>
      <c r="D934" s="301">
        <v>40270</v>
      </c>
      <c r="E934" s="62">
        <v>0.10099999999999999</v>
      </c>
      <c r="F934" s="62">
        <v>4.4353647058823546E-2</v>
      </c>
      <c r="G934" s="46">
        <f t="shared" si="13"/>
        <v>5.6646352941176446E-2</v>
      </c>
    </row>
    <row r="935" spans="3:7">
      <c r="C935" s="43"/>
      <c r="D935" s="301">
        <v>40276</v>
      </c>
      <c r="E935" s="62">
        <v>0.10349999999999999</v>
      </c>
      <c r="F935" s="62">
        <v>4.4421834224598951E-2</v>
      </c>
      <c r="G935" s="46">
        <f t="shared" si="13"/>
        <v>5.9078165775401044E-2</v>
      </c>
    </row>
    <row r="936" spans="3:7">
      <c r="C936" s="43"/>
      <c r="D936" s="301">
        <v>40297</v>
      </c>
      <c r="E936" s="62">
        <v>9.1899999999999996E-2</v>
      </c>
      <c r="F936" s="62">
        <v>4.4556577540106966E-2</v>
      </c>
      <c r="G936" s="46">
        <f t="shared" si="13"/>
        <v>4.7343422459893029E-2</v>
      </c>
    </row>
    <row r="937" spans="3:7">
      <c r="C937" s="43"/>
      <c r="D937" s="301">
        <v>40297</v>
      </c>
      <c r="E937" s="62">
        <v>9.4E-2</v>
      </c>
      <c r="F937" s="62">
        <v>4.4556577540106966E-2</v>
      </c>
      <c r="G937" s="46">
        <f t="shared" si="13"/>
        <v>4.9443422459893034E-2</v>
      </c>
    </row>
    <row r="938" spans="3:7">
      <c r="C938" s="43"/>
      <c r="D938" s="301">
        <v>40297</v>
      </c>
      <c r="E938" s="62">
        <v>9.4E-2</v>
      </c>
      <c r="F938" s="62">
        <v>4.4556577540106966E-2</v>
      </c>
      <c r="G938" s="46">
        <f t="shared" si="13"/>
        <v>4.9443422459893034E-2</v>
      </c>
    </row>
    <row r="939" spans="3:7">
      <c r="C939" s="43"/>
      <c r="D939" s="301">
        <v>40315</v>
      </c>
      <c r="E939" s="62">
        <v>0.10550000000000001</v>
      </c>
      <c r="F939" s="62">
        <v>4.4603096256684488E-2</v>
      </c>
      <c r="G939" s="46">
        <f t="shared" si="13"/>
        <v>6.0896903743315522E-2</v>
      </c>
    </row>
    <row r="940" spans="3:7">
      <c r="C940" s="43"/>
      <c r="D940" s="301">
        <v>40322</v>
      </c>
      <c r="E940" s="62">
        <v>0.10050000000000001</v>
      </c>
      <c r="F940" s="62">
        <v>4.4597326203208547E-2</v>
      </c>
      <c r="G940" s="46">
        <f t="shared" si="13"/>
        <v>5.5902673796791459E-2</v>
      </c>
    </row>
    <row r="941" spans="3:7">
      <c r="C941" s="43"/>
      <c r="D941" s="301">
        <v>40332</v>
      </c>
      <c r="E941" s="62">
        <v>0.11</v>
      </c>
      <c r="F941" s="62">
        <v>4.4567909090909102E-2</v>
      </c>
      <c r="G941" s="46">
        <f t="shared" si="13"/>
        <v>6.5432090909090898E-2</v>
      </c>
    </row>
    <row r="942" spans="3:7">
      <c r="C942" s="43"/>
      <c r="D942" s="301">
        <v>40345</v>
      </c>
      <c r="E942" s="62">
        <v>0.1</v>
      </c>
      <c r="F942" s="62">
        <v>4.4558893048128337E-2</v>
      </c>
      <c r="G942" s="46">
        <f t="shared" si="13"/>
        <v>5.5441106951871669E-2</v>
      </c>
    </row>
    <row r="943" spans="3:7">
      <c r="C943" s="43"/>
      <c r="D943" s="301">
        <v>40347</v>
      </c>
      <c r="E943" s="62">
        <v>0.10300000000000001</v>
      </c>
      <c r="F943" s="62">
        <v>4.4569475935828863E-2</v>
      </c>
      <c r="G943" s="46">
        <f t="shared" si="13"/>
        <v>5.8430524064171145E-2</v>
      </c>
    </row>
    <row r="944" spans="3:7">
      <c r="C944" s="43"/>
      <c r="D944" s="301">
        <v>40399</v>
      </c>
      <c r="E944" s="62">
        <v>0.1255</v>
      </c>
      <c r="F944" s="62">
        <v>4.410867914438503E-2</v>
      </c>
      <c r="G944" s="46">
        <f t="shared" si="13"/>
        <v>8.1391320855614971E-2</v>
      </c>
    </row>
    <row r="945" spans="3:7">
      <c r="C945" s="43"/>
      <c r="D945" s="301">
        <v>40407</v>
      </c>
      <c r="E945" s="62">
        <v>0.10099999999999999</v>
      </c>
      <c r="F945" s="62">
        <v>4.3986379679144386E-2</v>
      </c>
      <c r="G945" s="46">
        <f t="shared" ref="G945:G1008" si="14">E945-F945</f>
        <v>5.7013620320855607E-2</v>
      </c>
    </row>
    <row r="946" spans="3:7">
      <c r="C946" s="43"/>
      <c r="D946" s="301">
        <v>40437</v>
      </c>
      <c r="E946" s="62">
        <v>9.6000000000000002E-2</v>
      </c>
      <c r="F946" s="62">
        <v>4.3083016042780753E-2</v>
      </c>
      <c r="G946" s="46">
        <f t="shared" si="14"/>
        <v>5.2916983957219249E-2</v>
      </c>
    </row>
    <row r="947" spans="3:7">
      <c r="C947" s="43"/>
      <c r="D947" s="301">
        <v>40437</v>
      </c>
      <c r="E947" s="62">
        <v>0.1</v>
      </c>
      <c r="F947" s="62">
        <v>4.3083016042780753E-2</v>
      </c>
      <c r="G947" s="46">
        <f t="shared" si="14"/>
        <v>5.6916983957219253E-2</v>
      </c>
    </row>
    <row r="948" spans="3:7">
      <c r="C948" s="43"/>
      <c r="D948" s="301">
        <v>40437</v>
      </c>
      <c r="E948" s="62">
        <v>0.1</v>
      </c>
      <c r="F948" s="62">
        <v>4.3083016042780753E-2</v>
      </c>
      <c r="G948" s="46">
        <f t="shared" si="14"/>
        <v>5.6916983957219253E-2</v>
      </c>
    </row>
    <row r="949" spans="3:7">
      <c r="C949" s="43"/>
      <c r="D949" s="301">
        <v>40437</v>
      </c>
      <c r="E949" s="62">
        <v>0.10300000000000001</v>
      </c>
      <c r="F949" s="62">
        <v>4.3083016042780753E-2</v>
      </c>
      <c r="G949" s="46">
        <f t="shared" si="14"/>
        <v>5.9916983957219255E-2</v>
      </c>
    </row>
    <row r="950" spans="3:7">
      <c r="C950" s="43"/>
      <c r="D950" s="301">
        <v>40472</v>
      </c>
      <c r="E950" s="62">
        <v>0.10400000000000001</v>
      </c>
      <c r="F950" s="62">
        <v>4.2005342245989299E-2</v>
      </c>
      <c r="G950" s="46">
        <f t="shared" si="14"/>
        <v>6.199465775401071E-2</v>
      </c>
    </row>
    <row r="951" spans="3:7">
      <c r="C951" s="43"/>
      <c r="D951" s="301">
        <v>40484</v>
      </c>
      <c r="E951" s="62">
        <v>9.7500000000000003E-2</v>
      </c>
      <c r="F951" s="62">
        <v>4.1744181818181812E-2</v>
      </c>
      <c r="G951" s="46">
        <f t="shared" si="14"/>
        <v>5.5755818181818191E-2</v>
      </c>
    </row>
    <row r="952" spans="3:7">
      <c r="C952" s="43"/>
      <c r="D952" s="301">
        <v>40484</v>
      </c>
      <c r="E952" s="62">
        <v>9.7500000000000003E-2</v>
      </c>
      <c r="F952" s="62">
        <v>4.1744181818181812E-2</v>
      </c>
      <c r="G952" s="46">
        <f t="shared" si="14"/>
        <v>5.5755818181818191E-2</v>
      </c>
    </row>
    <row r="953" spans="3:7">
      <c r="C953" s="43"/>
      <c r="D953" s="301">
        <v>40485</v>
      </c>
      <c r="E953" s="62">
        <v>0.1075</v>
      </c>
      <c r="F953" s="62">
        <v>4.1711588235294104E-2</v>
      </c>
      <c r="G953" s="46">
        <f t="shared" si="14"/>
        <v>6.5788411764705901E-2</v>
      </c>
    </row>
    <row r="954" spans="3:7">
      <c r="C954" s="43"/>
      <c r="D954" s="301">
        <v>40501</v>
      </c>
      <c r="E954" s="62">
        <v>0.10199999999999999</v>
      </c>
      <c r="F954" s="62">
        <v>4.1455411764705886E-2</v>
      </c>
      <c r="G954" s="46">
        <f t="shared" si="14"/>
        <v>6.0544588235294107E-2</v>
      </c>
    </row>
    <row r="955" spans="3:7">
      <c r="C955" s="43"/>
      <c r="D955" s="301">
        <v>40513</v>
      </c>
      <c r="E955" s="62">
        <v>0.1</v>
      </c>
      <c r="F955" s="62">
        <v>4.1267176470588224E-2</v>
      </c>
      <c r="G955" s="46">
        <f t="shared" si="14"/>
        <v>5.8732823529411782E-2</v>
      </c>
    </row>
    <row r="956" spans="3:7">
      <c r="C956" s="43"/>
      <c r="D956" s="301">
        <v>40518</v>
      </c>
      <c r="E956" s="62">
        <v>9.5600000000000004E-2</v>
      </c>
      <c r="F956" s="62">
        <v>4.121714438502673E-2</v>
      </c>
      <c r="G956" s="46">
        <f t="shared" si="14"/>
        <v>5.4382855614973274E-2</v>
      </c>
    </row>
    <row r="957" spans="3:7">
      <c r="C957" s="43"/>
      <c r="D957" s="301">
        <v>40518</v>
      </c>
      <c r="E957" s="62">
        <v>0.1009</v>
      </c>
      <c r="F957" s="62">
        <v>4.121714438502673E-2</v>
      </c>
      <c r="G957" s="46">
        <f t="shared" si="14"/>
        <v>5.9682855614973274E-2</v>
      </c>
    </row>
    <row r="958" spans="3:7">
      <c r="C958" s="43"/>
      <c r="D958" s="301">
        <v>40521</v>
      </c>
      <c r="E958" s="62">
        <v>0.10249999999999999</v>
      </c>
      <c r="F958" s="62">
        <v>4.1188737967914432E-2</v>
      </c>
      <c r="G958" s="46">
        <f t="shared" si="14"/>
        <v>6.1311262032085562E-2</v>
      </c>
    </row>
    <row r="959" spans="3:7">
      <c r="C959" s="43"/>
      <c r="D959" s="301">
        <v>40526</v>
      </c>
      <c r="E959" s="62">
        <v>0.1033</v>
      </c>
      <c r="F959" s="62">
        <v>4.1142219251336896E-2</v>
      </c>
      <c r="G959" s="46">
        <f t="shared" si="14"/>
        <v>6.2157780748663106E-2</v>
      </c>
    </row>
    <row r="960" spans="3:7">
      <c r="C960" s="43"/>
      <c r="D960" s="301">
        <v>40529</v>
      </c>
      <c r="E960" s="62">
        <v>0.10099999999999999</v>
      </c>
      <c r="F960" s="62">
        <v>4.1106866310160431E-2</v>
      </c>
      <c r="G960" s="46">
        <f t="shared" si="14"/>
        <v>5.9893133689839562E-2</v>
      </c>
    </row>
    <row r="961" spans="3:7">
      <c r="C961" s="43"/>
      <c r="D961" s="301">
        <v>40532</v>
      </c>
      <c r="E961" s="62">
        <v>0.10099999999999999</v>
      </c>
      <c r="F961" s="62">
        <v>4.1091556149732623E-2</v>
      </c>
      <c r="G961" s="46">
        <f t="shared" si="14"/>
        <v>5.9908443850267369E-2</v>
      </c>
    </row>
    <row r="962" spans="3:7">
      <c r="C962" s="43"/>
      <c r="D962" s="301">
        <v>40535</v>
      </c>
      <c r="E962" s="62">
        <v>9.9199999999999997E-2</v>
      </c>
      <c r="F962" s="62">
        <v>4.1030411764705885E-2</v>
      </c>
      <c r="G962" s="46">
        <f t="shared" si="14"/>
        <v>5.8169588235294112E-2</v>
      </c>
    </row>
    <row r="963" spans="3:7">
      <c r="C963" s="43"/>
      <c r="D963" s="301">
        <v>40549</v>
      </c>
      <c r="E963" s="62">
        <v>0.10349999999999999</v>
      </c>
      <c r="F963" s="62">
        <v>4.0889465240641715E-2</v>
      </c>
      <c r="G963" s="46">
        <f t="shared" si="14"/>
        <v>6.261053475935828E-2</v>
      </c>
    </row>
    <row r="964" spans="3:7">
      <c r="C964" s="43"/>
      <c r="D964" s="301">
        <v>40555</v>
      </c>
      <c r="E964" s="62">
        <v>0.10300000000000001</v>
      </c>
      <c r="F964" s="62">
        <v>4.0856727272727274E-2</v>
      </c>
      <c r="G964" s="46">
        <f t="shared" si="14"/>
        <v>6.2143272727272734E-2</v>
      </c>
    </row>
    <row r="965" spans="3:7">
      <c r="C965" s="43"/>
      <c r="D965" s="301">
        <v>40556</v>
      </c>
      <c r="E965" s="62">
        <v>0.10300000000000001</v>
      </c>
      <c r="F965" s="62">
        <v>4.0852561497326211E-2</v>
      </c>
      <c r="G965" s="46">
        <f t="shared" si="14"/>
        <v>6.2147438502673798E-2</v>
      </c>
    </row>
    <row r="966" spans="3:7">
      <c r="C966" s="43"/>
      <c r="D966" s="301">
        <v>40612</v>
      </c>
      <c r="E966" s="62">
        <v>0.10099999999999999</v>
      </c>
      <c r="F966" s="62">
        <v>4.1610000000000008E-2</v>
      </c>
      <c r="G966" s="46">
        <f t="shared" si="14"/>
        <v>5.9389999999999984E-2</v>
      </c>
    </row>
    <row r="967" spans="3:7">
      <c r="C967" s="43"/>
      <c r="D967" s="301">
        <v>40633</v>
      </c>
      <c r="E967" s="62">
        <v>9.4499999999999987E-2</v>
      </c>
      <c r="F967" s="62">
        <v>4.1996502673796794E-2</v>
      </c>
      <c r="G967" s="46">
        <f t="shared" si="14"/>
        <v>5.2503497326203193E-2</v>
      </c>
    </row>
    <row r="968" spans="3:7">
      <c r="C968" s="43"/>
      <c r="D968" s="301">
        <v>40651</v>
      </c>
      <c r="E968" s="62">
        <v>0.10050000000000001</v>
      </c>
      <c r="F968" s="62">
        <v>4.2347475935828882E-2</v>
      </c>
      <c r="G968" s="46">
        <f t="shared" si="14"/>
        <v>5.8152524064171124E-2</v>
      </c>
    </row>
    <row r="969" spans="3:7">
      <c r="C969" s="43"/>
      <c r="D969" s="301">
        <v>40689</v>
      </c>
      <c r="E969" s="62">
        <v>0.105</v>
      </c>
      <c r="F969" s="62">
        <v>4.3171417112299444E-2</v>
      </c>
      <c r="G969" s="46">
        <f t="shared" si="14"/>
        <v>6.1828582887700552E-2</v>
      </c>
    </row>
    <row r="970" spans="3:7">
      <c r="C970" s="43"/>
      <c r="D970" s="301">
        <v>40715</v>
      </c>
      <c r="E970" s="62">
        <v>0.1</v>
      </c>
      <c r="F970" s="62">
        <v>4.3584791443850253E-2</v>
      </c>
      <c r="G970" s="46">
        <f t="shared" si="14"/>
        <v>5.6415208556149753E-2</v>
      </c>
    </row>
    <row r="971" spans="3:7">
      <c r="C971" s="43"/>
      <c r="D971" s="301">
        <v>40723</v>
      </c>
      <c r="E971" s="62">
        <v>8.8300000000000003E-2</v>
      </c>
      <c r="F971" s="62">
        <v>4.3757219251336861E-2</v>
      </c>
      <c r="G971" s="46">
        <f t="shared" si="14"/>
        <v>4.4542780748663142E-2</v>
      </c>
    </row>
    <row r="972" spans="3:7">
      <c r="C972" s="43"/>
      <c r="D972" s="301">
        <v>40756</v>
      </c>
      <c r="E972" s="62">
        <v>9.1999999999999998E-2</v>
      </c>
      <c r="F972" s="62">
        <v>4.4082128342245973E-2</v>
      </c>
      <c r="G972" s="46">
        <f t="shared" si="14"/>
        <v>4.7917871657754026E-2</v>
      </c>
    </row>
    <row r="973" spans="3:7">
      <c r="C973" s="43"/>
      <c r="D973" s="301">
        <v>40787</v>
      </c>
      <c r="E973" s="62">
        <v>0.10099999999999999</v>
      </c>
      <c r="F973" s="62">
        <v>4.3254032085561507E-2</v>
      </c>
      <c r="G973" s="46">
        <f t="shared" si="14"/>
        <v>5.7745967914438485E-2</v>
      </c>
    </row>
    <row r="974" spans="3:7">
      <c r="C974" s="43"/>
      <c r="D974" s="301">
        <v>40861</v>
      </c>
      <c r="E974" s="62">
        <v>9.6000000000000002E-2</v>
      </c>
      <c r="F974" s="62">
        <v>3.9298128342246004E-2</v>
      </c>
      <c r="G974" s="46">
        <f t="shared" si="14"/>
        <v>5.6701871657753998E-2</v>
      </c>
    </row>
    <row r="975" spans="3:7">
      <c r="C975" s="43"/>
      <c r="D975" s="301">
        <v>40890</v>
      </c>
      <c r="E975" s="62">
        <v>9.5000000000000001E-2</v>
      </c>
      <c r="F975" s="62">
        <v>3.759755080213905E-2</v>
      </c>
      <c r="G975" s="46">
        <f t="shared" si="14"/>
        <v>5.7402449197860951E-2</v>
      </c>
    </row>
    <row r="976" spans="3:7">
      <c r="C976" s="43"/>
      <c r="D976" s="301">
        <v>40897</v>
      </c>
      <c r="E976" s="62">
        <v>0.1</v>
      </c>
      <c r="F976" s="62">
        <v>3.716172727272727E-2</v>
      </c>
      <c r="G976" s="46">
        <f t="shared" si="14"/>
        <v>6.2838272727272743E-2</v>
      </c>
    </row>
    <row r="977" spans="3:7">
      <c r="C977" s="43"/>
      <c r="D977" s="301">
        <v>40899</v>
      </c>
      <c r="E977" s="62">
        <v>0.10400000000000001</v>
      </c>
      <c r="F977" s="62">
        <v>3.7001379679144387E-2</v>
      </c>
      <c r="G977" s="46">
        <f t="shared" si="14"/>
        <v>6.6998620320855629E-2</v>
      </c>
    </row>
    <row r="978" spans="3:7">
      <c r="C978" s="43"/>
      <c r="D978" s="301">
        <v>40918</v>
      </c>
      <c r="E978" s="62">
        <v>9.06E-2</v>
      </c>
      <c r="F978" s="62">
        <v>3.5929614973262025E-2</v>
      </c>
      <c r="G978" s="46">
        <f t="shared" si="14"/>
        <v>5.4670385026737975E-2</v>
      </c>
    </row>
    <row r="979" spans="3:7">
      <c r="C979" s="43"/>
      <c r="D979" s="301">
        <v>40918</v>
      </c>
      <c r="E979" s="62">
        <v>9.4499999999999987E-2</v>
      </c>
      <c r="F979" s="62">
        <v>3.5929614973262025E-2</v>
      </c>
      <c r="G979" s="46">
        <f t="shared" si="14"/>
        <v>5.8570385026737962E-2</v>
      </c>
    </row>
    <row r="980" spans="3:7">
      <c r="C980" s="43"/>
      <c r="D980" s="301">
        <v>40918</v>
      </c>
      <c r="E980" s="62">
        <v>9.4499999999999987E-2</v>
      </c>
      <c r="F980" s="62">
        <v>3.5929614973262025E-2</v>
      </c>
      <c r="G980" s="46">
        <f t="shared" si="14"/>
        <v>5.8570385026737962E-2</v>
      </c>
    </row>
    <row r="981" spans="3:7">
      <c r="C981" s="43"/>
      <c r="D981" s="301">
        <v>40931</v>
      </c>
      <c r="E981" s="62">
        <v>0.10199999999999999</v>
      </c>
      <c r="F981" s="62">
        <v>3.5259272727272729E-2</v>
      </c>
      <c r="G981" s="46">
        <f t="shared" si="14"/>
        <v>6.6740727272727257E-2</v>
      </c>
    </row>
    <row r="982" spans="3:7">
      <c r="C982" s="43"/>
      <c r="D982" s="301">
        <v>40939</v>
      </c>
      <c r="E982" s="62">
        <v>0.1</v>
      </c>
      <c r="F982" s="62">
        <v>3.4857085561497324E-2</v>
      </c>
      <c r="G982" s="46">
        <f t="shared" si="14"/>
        <v>6.5142914438502675E-2</v>
      </c>
    </row>
    <row r="983" spans="3:7">
      <c r="C983" s="43"/>
      <c r="D983" s="301">
        <v>41023</v>
      </c>
      <c r="E983" s="62">
        <v>9.5000000000000001E-2</v>
      </c>
      <c r="F983" s="62">
        <v>3.1563855614973255E-2</v>
      </c>
      <c r="G983" s="46">
        <f t="shared" si="14"/>
        <v>6.3436144385026746E-2</v>
      </c>
    </row>
    <row r="984" spans="3:7">
      <c r="C984" s="43"/>
      <c r="D984" s="301">
        <v>41023</v>
      </c>
      <c r="E984" s="62">
        <v>9.7500000000000003E-2</v>
      </c>
      <c r="F984" s="62">
        <v>3.1563855614973255E-2</v>
      </c>
      <c r="G984" s="46">
        <f t="shared" si="14"/>
        <v>6.5936144385026749E-2</v>
      </c>
    </row>
    <row r="985" spans="3:7">
      <c r="C985" s="43"/>
      <c r="D985" s="301">
        <v>41036</v>
      </c>
      <c r="E985" s="62">
        <v>9.8000000000000004E-2</v>
      </c>
      <c r="F985" s="62">
        <v>3.1312978609625661E-2</v>
      </c>
      <c r="G985" s="46">
        <f t="shared" si="14"/>
        <v>6.6687021390374343E-2</v>
      </c>
    </row>
    <row r="986" spans="3:7">
      <c r="C986" s="43"/>
      <c r="D986" s="301">
        <v>41051</v>
      </c>
      <c r="E986" s="62">
        <v>9.6000000000000002E-2</v>
      </c>
      <c r="F986" s="62">
        <v>3.0966021390374326E-2</v>
      </c>
      <c r="G986" s="46">
        <f t="shared" si="14"/>
        <v>6.5033978609625676E-2</v>
      </c>
    </row>
    <row r="987" spans="3:7">
      <c r="C987" s="43"/>
      <c r="D987" s="301">
        <v>41053</v>
      </c>
      <c r="E987" s="62">
        <v>9.6999999999999989E-2</v>
      </c>
      <c r="F987" s="62">
        <v>3.0918882352941175E-2</v>
      </c>
      <c r="G987" s="46">
        <f t="shared" si="14"/>
        <v>6.6081117647058818E-2</v>
      </c>
    </row>
    <row r="988" spans="3:7">
      <c r="C988" s="43"/>
      <c r="D988" s="301">
        <v>41067</v>
      </c>
      <c r="E988" s="62">
        <v>0.10300000000000001</v>
      </c>
      <c r="F988" s="62">
        <v>3.0610267379679135E-2</v>
      </c>
      <c r="G988" s="46">
        <f t="shared" si="14"/>
        <v>7.2389732620320876E-2</v>
      </c>
    </row>
    <row r="989" spans="3:7">
      <c r="C989" s="43"/>
      <c r="D989" s="301">
        <v>41075</v>
      </c>
      <c r="E989" s="62">
        <v>0.10400000000000001</v>
      </c>
      <c r="F989" s="62">
        <v>3.0531780748663088E-2</v>
      </c>
      <c r="G989" s="46">
        <f t="shared" si="14"/>
        <v>7.3468219251336925E-2</v>
      </c>
    </row>
    <row r="990" spans="3:7">
      <c r="C990" s="43"/>
      <c r="D990" s="301">
        <v>41078</v>
      </c>
      <c r="E990" s="62">
        <v>9.6000000000000002E-2</v>
      </c>
      <c r="F990" s="62">
        <v>3.0510759358288755E-2</v>
      </c>
      <c r="G990" s="46">
        <f t="shared" si="14"/>
        <v>6.5489240641711244E-2</v>
      </c>
    </row>
    <row r="991" spans="3:7">
      <c r="C991" s="43"/>
      <c r="D991" s="301">
        <v>41092</v>
      </c>
      <c r="E991" s="62">
        <v>9.7500000000000003E-2</v>
      </c>
      <c r="F991" s="62">
        <v>3.0371021390374314E-2</v>
      </c>
      <c r="G991" s="46">
        <f t="shared" si="14"/>
        <v>6.7128978609625689E-2</v>
      </c>
    </row>
    <row r="992" spans="3:7">
      <c r="C992" s="43"/>
      <c r="D992" s="301">
        <v>41206</v>
      </c>
      <c r="E992" s="62">
        <v>0.10300000000000001</v>
      </c>
      <c r="F992" s="62">
        <v>2.9224208556149753E-2</v>
      </c>
      <c r="G992" s="46">
        <f t="shared" si="14"/>
        <v>7.3775791443850255E-2</v>
      </c>
    </row>
    <row r="993" spans="3:7">
      <c r="C993" s="43"/>
      <c r="D993" s="301">
        <v>41208</v>
      </c>
      <c r="E993" s="62">
        <v>9.5000000000000001E-2</v>
      </c>
      <c r="F993" s="62">
        <v>2.920211764705884E-2</v>
      </c>
      <c r="G993" s="46">
        <f t="shared" si="14"/>
        <v>6.5797882352941164E-2</v>
      </c>
    </row>
    <row r="994" spans="3:7">
      <c r="C994" s="43"/>
      <c r="D994" s="301">
        <v>41213</v>
      </c>
      <c r="E994" s="62">
        <v>9.3000000000000013E-2</v>
      </c>
      <c r="F994" s="62">
        <v>2.9158385026737978E-2</v>
      </c>
      <c r="G994" s="46">
        <f t="shared" si="14"/>
        <v>6.3841614973262031E-2</v>
      </c>
    </row>
    <row r="995" spans="3:7">
      <c r="C995" s="43"/>
      <c r="D995" s="301">
        <v>41213</v>
      </c>
      <c r="E995" s="62">
        <v>9.9000000000000005E-2</v>
      </c>
      <c r="F995" s="62">
        <v>2.9158385026737978E-2</v>
      </c>
      <c r="G995" s="46">
        <f t="shared" si="14"/>
        <v>6.9841614973262023E-2</v>
      </c>
    </row>
    <row r="996" spans="3:7">
      <c r="C996" s="43"/>
      <c r="D996" s="301">
        <v>41213</v>
      </c>
      <c r="E996" s="62">
        <v>0.1</v>
      </c>
      <c r="F996" s="62">
        <v>2.9158385026737978E-2</v>
      </c>
      <c r="G996" s="46">
        <f t="shared" si="14"/>
        <v>7.0841614973262024E-2</v>
      </c>
    </row>
    <row r="997" spans="3:7">
      <c r="C997" s="43"/>
      <c r="D997" s="301">
        <v>41214</v>
      </c>
      <c r="E997" s="62">
        <v>9.4499999999999987E-2</v>
      </c>
      <c r="F997" s="62">
        <v>2.9148422459893058E-2</v>
      </c>
      <c r="G997" s="46">
        <f t="shared" si="14"/>
        <v>6.5351577540106925E-2</v>
      </c>
    </row>
    <row r="998" spans="3:7">
      <c r="C998" s="43"/>
      <c r="D998" s="301">
        <v>41221</v>
      </c>
      <c r="E998" s="62">
        <v>0.10099999999999999</v>
      </c>
      <c r="F998" s="62">
        <v>2.9070834224598958E-2</v>
      </c>
      <c r="G998" s="46">
        <f t="shared" si="14"/>
        <v>7.1929165775401038E-2</v>
      </c>
    </row>
    <row r="999" spans="3:7">
      <c r="C999" s="43"/>
      <c r="D999" s="301">
        <v>41222</v>
      </c>
      <c r="E999" s="62">
        <v>0.10300000000000001</v>
      </c>
      <c r="F999" s="62">
        <v>2.9049080213903768E-2</v>
      </c>
      <c r="G999" s="46">
        <f t="shared" si="14"/>
        <v>7.3950919786096247E-2</v>
      </c>
    </row>
    <row r="1000" spans="3:7">
      <c r="C1000" s="43"/>
      <c r="D1000" s="301">
        <v>41239</v>
      </c>
      <c r="E1000" s="62">
        <v>0.1</v>
      </c>
      <c r="F1000" s="62">
        <v>2.8850935828877034E-2</v>
      </c>
      <c r="G1000" s="46">
        <f t="shared" si="14"/>
        <v>7.1149064171122975E-2</v>
      </c>
    </row>
    <row r="1001" spans="3:7">
      <c r="C1001" s="43"/>
      <c r="D1001" s="301">
        <v>41241</v>
      </c>
      <c r="E1001" s="62">
        <v>0.10400000000000001</v>
      </c>
      <c r="F1001" s="62">
        <v>2.8809951871657788E-2</v>
      </c>
      <c r="G1001" s="46">
        <f t="shared" si="14"/>
        <v>7.5190048128342221E-2</v>
      </c>
    </row>
    <row r="1002" spans="3:7">
      <c r="C1002" s="43"/>
      <c r="D1002" s="301">
        <v>41241</v>
      </c>
      <c r="E1002" s="62">
        <v>0.105</v>
      </c>
      <c r="F1002" s="62">
        <v>2.8809951871657788E-2</v>
      </c>
      <c r="G1002" s="46">
        <f t="shared" si="14"/>
        <v>7.6190048128342208E-2</v>
      </c>
    </row>
    <row r="1003" spans="3:7">
      <c r="C1003" s="43"/>
      <c r="D1003" s="301">
        <v>41247</v>
      </c>
      <c r="E1003" s="62">
        <v>0.1</v>
      </c>
      <c r="F1003" s="62">
        <v>2.8686534759358315E-2</v>
      </c>
      <c r="G1003" s="46">
        <f t="shared" si="14"/>
        <v>7.1313465240641694E-2</v>
      </c>
    </row>
    <row r="1004" spans="3:7">
      <c r="C1004" s="43"/>
      <c r="D1004" s="301">
        <v>41247</v>
      </c>
      <c r="E1004" s="62">
        <v>0.105</v>
      </c>
      <c r="F1004" s="62">
        <v>2.8686534759358315E-2</v>
      </c>
      <c r="G1004" s="46">
        <f t="shared" si="14"/>
        <v>7.6313465240641684E-2</v>
      </c>
    </row>
    <row r="1005" spans="3:7">
      <c r="C1005" s="43"/>
      <c r="D1005" s="301">
        <v>41263</v>
      </c>
      <c r="E1005" s="62">
        <v>9.5000000000000001E-2</v>
      </c>
      <c r="F1005" s="62">
        <v>2.8380326203208569E-2</v>
      </c>
      <c r="G1005" s="46">
        <f t="shared" si="14"/>
        <v>6.6619673796791429E-2</v>
      </c>
    </row>
    <row r="1006" spans="3:7">
      <c r="C1006" s="43"/>
      <c r="D1006" s="301">
        <v>41263</v>
      </c>
      <c r="E1006" s="62">
        <v>0.10099999999999999</v>
      </c>
      <c r="F1006" s="62">
        <v>2.8380326203208569E-2</v>
      </c>
      <c r="G1006" s="46">
        <f t="shared" si="14"/>
        <v>7.261967379679142E-2</v>
      </c>
    </row>
    <row r="1007" spans="3:7">
      <c r="C1007" s="43"/>
      <c r="D1007" s="301">
        <v>41263</v>
      </c>
      <c r="E1007" s="62">
        <v>0.10249999999999999</v>
      </c>
      <c r="F1007" s="62">
        <v>2.8380326203208569E-2</v>
      </c>
      <c r="G1007" s="46">
        <f t="shared" si="14"/>
        <v>7.4119673796791422E-2</v>
      </c>
    </row>
    <row r="1008" spans="3:7">
      <c r="C1008" s="43"/>
      <c r="D1008" s="301">
        <v>41263</v>
      </c>
      <c r="E1008" s="62">
        <v>0.10300000000000001</v>
      </c>
      <c r="F1008" s="62">
        <v>2.8380326203208569E-2</v>
      </c>
      <c r="G1008" s="46">
        <f t="shared" si="14"/>
        <v>7.4619673796791436E-2</v>
      </c>
    </row>
    <row r="1009" spans="3:7">
      <c r="C1009" s="43"/>
      <c r="D1009" s="301">
        <v>41263</v>
      </c>
      <c r="E1009" s="62">
        <v>0.10400000000000001</v>
      </c>
      <c r="F1009" s="62">
        <v>2.8380326203208569E-2</v>
      </c>
      <c r="G1009" s="46">
        <f t="shared" ref="G1009:G1072" si="15">E1009-F1009</f>
        <v>7.5619673796791437E-2</v>
      </c>
    </row>
    <row r="1010" spans="3:7">
      <c r="C1010" s="43"/>
      <c r="D1010" s="301">
        <v>41263</v>
      </c>
      <c r="E1010" s="62">
        <v>0.105</v>
      </c>
      <c r="F1010" s="62">
        <v>2.8380326203208569E-2</v>
      </c>
      <c r="G1010" s="46">
        <f t="shared" si="15"/>
        <v>7.6619673796791424E-2</v>
      </c>
    </row>
    <row r="1011" spans="3:7">
      <c r="C1011" s="43"/>
      <c r="D1011" s="301">
        <v>41269</v>
      </c>
      <c r="E1011" s="62">
        <v>9.8000000000000004E-2</v>
      </c>
      <c r="F1011" s="62">
        <v>2.8307347593582905E-2</v>
      </c>
      <c r="G1011" s="46">
        <f t="shared" si="15"/>
        <v>6.9692652406417102E-2</v>
      </c>
    </row>
    <row r="1012" spans="3:7">
      <c r="C1012" s="43"/>
      <c r="D1012" s="301">
        <v>41327</v>
      </c>
      <c r="E1012" s="62">
        <v>9.6000000000000002E-2</v>
      </c>
      <c r="F1012" s="62">
        <v>2.860982352941176E-2</v>
      </c>
      <c r="G1012" s="46">
        <f t="shared" si="15"/>
        <v>6.7390176470588245E-2</v>
      </c>
    </row>
    <row r="1013" spans="3:7">
      <c r="C1013" s="43"/>
      <c r="D1013" s="301">
        <v>41347</v>
      </c>
      <c r="E1013" s="62">
        <v>9.3000000000000013E-2</v>
      </c>
      <c r="F1013" s="62">
        <v>2.893312834224598E-2</v>
      </c>
      <c r="G1013" s="46">
        <f t="shared" si="15"/>
        <v>6.4066871657754029E-2</v>
      </c>
    </row>
    <row r="1014" spans="3:7">
      <c r="C1014" s="43"/>
      <c r="D1014" s="301">
        <v>41360</v>
      </c>
      <c r="E1014" s="62">
        <v>9.8000000000000004E-2</v>
      </c>
      <c r="F1014" s="62">
        <v>2.9151304812834223E-2</v>
      </c>
      <c r="G1014" s="46">
        <f t="shared" si="15"/>
        <v>6.8848695187165784E-2</v>
      </c>
    </row>
    <row r="1015" spans="3:7">
      <c r="C1015" s="43"/>
      <c r="D1015" s="301">
        <v>41387</v>
      </c>
      <c r="E1015" s="62">
        <v>9.8000000000000004E-2</v>
      </c>
      <c r="F1015" s="62">
        <v>2.9552860962566846E-2</v>
      </c>
      <c r="G1015" s="46">
        <f t="shared" si="15"/>
        <v>6.8447139037433158E-2</v>
      </c>
    </row>
    <row r="1016" spans="3:7">
      <c r="C1016" s="43"/>
      <c r="D1016" s="301">
        <v>41404</v>
      </c>
      <c r="E1016" s="62">
        <v>9.2499999999999999E-2</v>
      </c>
      <c r="F1016" s="62">
        <v>2.9628743315508018E-2</v>
      </c>
      <c r="G1016" s="46">
        <f t="shared" si="15"/>
        <v>6.2871256684491977E-2</v>
      </c>
    </row>
    <row r="1017" spans="3:7">
      <c r="C1017" s="43"/>
      <c r="D1017" s="301">
        <v>41438</v>
      </c>
      <c r="E1017" s="62">
        <v>9.4E-2</v>
      </c>
      <c r="F1017" s="62">
        <v>3.0137759358288777E-2</v>
      </c>
      <c r="G1017" s="46">
        <f t="shared" si="15"/>
        <v>6.3862240641711226E-2</v>
      </c>
    </row>
    <row r="1018" spans="3:7">
      <c r="C1018" s="43"/>
      <c r="D1018" s="301">
        <v>41443</v>
      </c>
      <c r="E1018" s="62">
        <v>9.2799999999999994E-2</v>
      </c>
      <c r="F1018" s="62">
        <v>3.0221026737967924E-2</v>
      </c>
      <c r="G1018" s="46">
        <f t="shared" si="15"/>
        <v>6.2578973262032073E-2</v>
      </c>
    </row>
    <row r="1019" spans="3:7">
      <c r="C1019" s="43"/>
      <c r="D1019" s="301">
        <v>41443</v>
      </c>
      <c r="E1019" s="62">
        <v>9.2799999999999994E-2</v>
      </c>
      <c r="F1019" s="62">
        <v>3.0221026737967924E-2</v>
      </c>
      <c r="G1019" s="46">
        <f t="shared" si="15"/>
        <v>6.2578973262032073E-2</v>
      </c>
    </row>
    <row r="1020" spans="3:7">
      <c r="C1020" s="43"/>
      <c r="D1020" s="301">
        <v>41450</v>
      </c>
      <c r="E1020" s="62">
        <v>9.8000000000000004E-2</v>
      </c>
      <c r="F1020" s="62">
        <v>3.0400775401069533E-2</v>
      </c>
      <c r="G1020" s="46">
        <f t="shared" si="15"/>
        <v>6.7599224598930474E-2</v>
      </c>
    </row>
    <row r="1021" spans="3:7">
      <c r="C1021" s="43"/>
      <c r="D1021" s="301">
        <v>41540</v>
      </c>
      <c r="E1021" s="62">
        <v>9.6000000000000002E-2</v>
      </c>
      <c r="F1021" s="62">
        <v>3.3251941176470588E-2</v>
      </c>
      <c r="G1021" s="46">
        <f t="shared" si="15"/>
        <v>6.2748058823529407E-2</v>
      </c>
    </row>
    <row r="1022" spans="3:7">
      <c r="C1022" s="43"/>
      <c r="D1022" s="301">
        <v>41584</v>
      </c>
      <c r="E1022" s="62">
        <v>0.10199999999999999</v>
      </c>
      <c r="F1022" s="62">
        <v>3.4223679144385025E-2</v>
      </c>
      <c r="G1022" s="46">
        <f t="shared" si="15"/>
        <v>6.7776320855614969E-2</v>
      </c>
    </row>
    <row r="1023" spans="3:7">
      <c r="C1023" s="43"/>
      <c r="D1023" s="301">
        <v>41591</v>
      </c>
      <c r="E1023" s="62">
        <v>9.8400000000000001E-2</v>
      </c>
      <c r="F1023" s="62">
        <v>3.4399368983957214E-2</v>
      </c>
      <c r="G1023" s="46">
        <f t="shared" si="15"/>
        <v>6.400063101604278E-2</v>
      </c>
    </row>
    <row r="1024" spans="3:7">
      <c r="C1024" s="43"/>
      <c r="D1024" s="301">
        <v>41592</v>
      </c>
      <c r="E1024" s="62">
        <v>0.10249999999999999</v>
      </c>
      <c r="F1024" s="62">
        <v>3.443724598930481E-2</v>
      </c>
      <c r="G1024" s="46">
        <f t="shared" si="15"/>
        <v>6.8062754010695184E-2</v>
      </c>
    </row>
    <row r="1025" spans="3:7">
      <c r="C1025" s="43"/>
      <c r="D1025" s="301">
        <v>41600</v>
      </c>
      <c r="E1025" s="62">
        <v>9.5000000000000001E-2</v>
      </c>
      <c r="F1025" s="62">
        <v>3.4672417112299458E-2</v>
      </c>
      <c r="G1025" s="46">
        <f t="shared" si="15"/>
        <v>6.0327582887700543E-2</v>
      </c>
    </row>
    <row r="1026" spans="3:7">
      <c r="C1026" s="43"/>
      <c r="D1026" s="301">
        <v>41613</v>
      </c>
      <c r="E1026" s="62">
        <v>0.10199999999999999</v>
      </c>
      <c r="F1026" s="62">
        <v>3.4975743315508019E-2</v>
      </c>
      <c r="G1026" s="46">
        <f t="shared" si="15"/>
        <v>6.7024256684491967E-2</v>
      </c>
    </row>
    <row r="1027" spans="3:7">
      <c r="C1027" s="43"/>
      <c r="D1027" s="301">
        <v>41621</v>
      </c>
      <c r="E1027" s="62">
        <v>9.6000000000000002E-2</v>
      </c>
      <c r="F1027" s="62">
        <v>3.5210727272727255E-2</v>
      </c>
      <c r="G1027" s="46">
        <f t="shared" si="15"/>
        <v>6.0789272727272747E-2</v>
      </c>
    </row>
    <row r="1028" spans="3:7">
      <c r="C1028" s="43"/>
      <c r="D1028" s="301">
        <v>41624</v>
      </c>
      <c r="E1028" s="62">
        <v>9.7299999999999998E-2</v>
      </c>
      <c r="F1028" s="62">
        <v>3.5253053475935811E-2</v>
      </c>
      <c r="G1028" s="46">
        <f t="shared" si="15"/>
        <v>6.2046946524064187E-2</v>
      </c>
    </row>
    <row r="1029" spans="3:7">
      <c r="C1029" s="43"/>
      <c r="D1029" s="301">
        <v>41625</v>
      </c>
      <c r="E1029" s="62">
        <v>0.1</v>
      </c>
      <c r="F1029" s="62">
        <v>3.5293887700534744E-2</v>
      </c>
      <c r="G1029" s="46">
        <f t="shared" si="15"/>
        <v>6.4706112299465268E-2</v>
      </c>
    </row>
    <row r="1030" spans="3:7">
      <c r="C1030" s="43"/>
      <c r="D1030" s="301">
        <v>41626</v>
      </c>
      <c r="E1030" s="62">
        <v>9.0800000000000006E-2</v>
      </c>
      <c r="F1030" s="62">
        <v>3.5338390374331528E-2</v>
      </c>
      <c r="G1030" s="46">
        <f t="shared" si="15"/>
        <v>5.5461609625668477E-2</v>
      </c>
    </row>
    <row r="1031" spans="3:7">
      <c r="C1031" s="43"/>
      <c r="D1031" s="301">
        <v>41631</v>
      </c>
      <c r="E1031" s="62">
        <v>9.7200000000000009E-2</v>
      </c>
      <c r="F1031" s="62">
        <v>3.5468973262032057E-2</v>
      </c>
      <c r="G1031" s="46">
        <f t="shared" si="15"/>
        <v>6.1731026737967952E-2</v>
      </c>
    </row>
    <row r="1032" spans="3:7">
      <c r="C1032" s="43"/>
      <c r="D1032" s="301">
        <v>41638</v>
      </c>
      <c r="E1032" s="62">
        <v>0.1</v>
      </c>
      <c r="F1032" s="62">
        <v>3.5726844919786067E-2</v>
      </c>
      <c r="G1032" s="46">
        <f t="shared" si="15"/>
        <v>6.4273155080213945E-2</v>
      </c>
    </row>
    <row r="1033" spans="3:7">
      <c r="C1033" s="43"/>
      <c r="D1033" s="301">
        <v>41660</v>
      </c>
      <c r="E1033" s="62">
        <v>9.6500000000000002E-2</v>
      </c>
      <c r="F1033" s="62">
        <v>3.6552839572192485E-2</v>
      </c>
      <c r="G1033" s="46">
        <f t="shared" si="15"/>
        <v>5.9947160427807518E-2</v>
      </c>
    </row>
    <row r="1034" spans="3:7">
      <c r="C1034" s="43"/>
      <c r="D1034" s="301">
        <v>41661</v>
      </c>
      <c r="E1034" s="62">
        <v>9.1799999999999993E-2</v>
      </c>
      <c r="F1034" s="62">
        <v>3.6594721925133661E-2</v>
      </c>
      <c r="G1034" s="46">
        <f t="shared" si="15"/>
        <v>5.5205278074866332E-2</v>
      </c>
    </row>
    <row r="1035" spans="3:7">
      <c r="C1035" s="43"/>
      <c r="D1035" s="301">
        <v>41690</v>
      </c>
      <c r="E1035" s="62">
        <v>9.3000000000000013E-2</v>
      </c>
      <c r="F1035" s="62">
        <v>3.7144631016042755E-2</v>
      </c>
      <c r="G1035" s="46">
        <f t="shared" si="15"/>
        <v>5.5855368983957258E-2</v>
      </c>
    </row>
    <row r="1036" spans="3:7">
      <c r="C1036" s="43"/>
      <c r="D1036" s="301">
        <v>41691</v>
      </c>
      <c r="E1036" s="62">
        <v>9.849999999999999E-2</v>
      </c>
      <c r="F1036" s="62">
        <v>3.7168540106951843E-2</v>
      </c>
      <c r="G1036" s="46">
        <f t="shared" si="15"/>
        <v>6.1331459893048147E-2</v>
      </c>
    </row>
    <row r="1037" spans="3:7">
      <c r="C1037" s="43"/>
      <c r="D1037" s="301">
        <v>41698</v>
      </c>
      <c r="E1037" s="62">
        <v>9.5500000000000002E-2</v>
      </c>
      <c r="F1037" s="62">
        <v>3.725001069518713E-2</v>
      </c>
      <c r="G1037" s="46">
        <f t="shared" si="15"/>
        <v>5.8249989304812871E-2</v>
      </c>
    </row>
    <row r="1038" spans="3:7">
      <c r="C1038" s="43"/>
      <c r="D1038" s="301">
        <v>41714</v>
      </c>
      <c r="E1038" s="62">
        <v>9.7200000000000009E-2</v>
      </c>
      <c r="F1038" s="62">
        <v>3.7356085561497304E-2</v>
      </c>
      <c r="G1038" s="46">
        <f t="shared" si="15"/>
        <v>5.9843914438502704E-2</v>
      </c>
    </row>
    <row r="1039" spans="3:7">
      <c r="C1039" s="43"/>
      <c r="D1039" s="301">
        <v>41750</v>
      </c>
      <c r="E1039" s="62">
        <v>9.5000000000000001E-2</v>
      </c>
      <c r="F1039" s="62">
        <v>3.7302614973262052E-2</v>
      </c>
      <c r="G1039" s="46">
        <f t="shared" si="15"/>
        <v>5.7697385026737949E-2</v>
      </c>
    </row>
    <row r="1040" spans="3:7">
      <c r="C1040" s="43"/>
      <c r="D1040" s="301">
        <v>41751</v>
      </c>
      <c r="E1040" s="62">
        <v>9.8000000000000004E-2</v>
      </c>
      <c r="F1040" s="62">
        <v>3.7292449197860983E-2</v>
      </c>
      <c r="G1040" s="46">
        <f t="shared" si="15"/>
        <v>6.0707550802139021E-2</v>
      </c>
    </row>
    <row r="1041" spans="3:7">
      <c r="C1041" s="43"/>
      <c r="D1041" s="301">
        <v>41767</v>
      </c>
      <c r="E1041" s="62">
        <v>9.0999999999999998E-2</v>
      </c>
      <c r="F1041" s="62">
        <v>3.7087181818181846E-2</v>
      </c>
      <c r="G1041" s="46">
        <f t="shared" si="15"/>
        <v>5.3912818181818152E-2</v>
      </c>
    </row>
    <row r="1042" spans="3:7">
      <c r="C1042" s="43"/>
      <c r="D1042" s="301">
        <v>41767</v>
      </c>
      <c r="E1042" s="62">
        <v>9.5899999999999999E-2</v>
      </c>
      <c r="F1042" s="62">
        <v>3.7087181818181846E-2</v>
      </c>
      <c r="G1042" s="46">
        <f t="shared" si="15"/>
        <v>5.8812818181818154E-2</v>
      </c>
    </row>
    <row r="1043" spans="3:7">
      <c r="C1043" s="43"/>
      <c r="D1043" s="301">
        <v>41796</v>
      </c>
      <c r="E1043" s="62">
        <v>0.10400000000000001</v>
      </c>
      <c r="F1043" s="62">
        <v>3.6622197860962595E-2</v>
      </c>
      <c r="G1043" s="46">
        <f t="shared" si="15"/>
        <v>6.7377802139037407E-2</v>
      </c>
    </row>
    <row r="1044" spans="3:7">
      <c r="C1044" s="43"/>
      <c r="D1044" s="301">
        <v>41802</v>
      </c>
      <c r="E1044" s="62">
        <v>0.10099999999999999</v>
      </c>
      <c r="F1044" s="62">
        <v>3.6559855614973283E-2</v>
      </c>
      <c r="G1044" s="46">
        <f t="shared" si="15"/>
        <v>6.444014438502671E-2</v>
      </c>
    </row>
    <row r="1045" spans="3:7">
      <c r="C1045" s="43"/>
      <c r="D1045" s="301">
        <v>41802</v>
      </c>
      <c r="E1045" s="62">
        <v>0.10099999999999999</v>
      </c>
      <c r="F1045" s="62">
        <v>3.6559855614973283E-2</v>
      </c>
      <c r="G1045" s="46">
        <f t="shared" si="15"/>
        <v>6.444014438502671E-2</v>
      </c>
    </row>
    <row r="1046" spans="3:7">
      <c r="C1046" s="43"/>
      <c r="D1046" s="301">
        <v>41802</v>
      </c>
      <c r="E1046" s="62">
        <v>0.10099999999999999</v>
      </c>
      <c r="F1046" s="62">
        <v>3.6559855614973283E-2</v>
      </c>
      <c r="G1046" s="46">
        <f t="shared" si="15"/>
        <v>6.444014438502671E-2</v>
      </c>
    </row>
    <row r="1047" spans="3:7">
      <c r="C1047" s="43"/>
      <c r="D1047" s="301">
        <v>41827</v>
      </c>
      <c r="E1047" s="62">
        <v>9.3000000000000013E-2</v>
      </c>
      <c r="F1047" s="62">
        <v>3.6292818181818211E-2</v>
      </c>
      <c r="G1047" s="46">
        <f t="shared" si="15"/>
        <v>5.6707181818181802E-2</v>
      </c>
    </row>
    <row r="1048" spans="3:7">
      <c r="C1048" s="43"/>
      <c r="D1048" s="301">
        <v>41845</v>
      </c>
      <c r="E1048" s="62">
        <v>9.3000000000000013E-2</v>
      </c>
      <c r="F1048" s="62">
        <v>3.6037090909090935E-2</v>
      </c>
      <c r="G1048" s="46">
        <f t="shared" si="15"/>
        <v>5.6962909090909078E-2</v>
      </c>
    </row>
    <row r="1049" spans="3:7">
      <c r="C1049" s="43"/>
      <c r="D1049" s="301">
        <v>41851</v>
      </c>
      <c r="E1049" s="62">
        <v>9.9000000000000005E-2</v>
      </c>
      <c r="F1049" s="62">
        <v>3.5922240641711255E-2</v>
      </c>
      <c r="G1049" s="46">
        <f t="shared" si="15"/>
        <v>6.3077759358288743E-2</v>
      </c>
    </row>
    <row r="1050" spans="3:7">
      <c r="C1050" s="43"/>
      <c r="D1050" s="301">
        <v>41886</v>
      </c>
      <c r="E1050" s="62">
        <v>9.0999999999999998E-2</v>
      </c>
      <c r="F1050" s="62">
        <v>3.5046721925133702E-2</v>
      </c>
      <c r="G1050" s="46">
        <f t="shared" si="15"/>
        <v>5.5953278074866296E-2</v>
      </c>
    </row>
    <row r="1051" spans="3:7">
      <c r="C1051" s="43"/>
      <c r="D1051" s="301">
        <v>41906</v>
      </c>
      <c r="E1051" s="62">
        <v>9.35E-2</v>
      </c>
      <c r="F1051" s="62">
        <v>3.4585679144385047E-2</v>
      </c>
      <c r="G1051" s="46">
        <f t="shared" si="15"/>
        <v>5.8914320855614953E-2</v>
      </c>
    </row>
    <row r="1052" spans="3:7">
      <c r="C1052" s="43"/>
      <c r="D1052" s="301">
        <v>41912</v>
      </c>
      <c r="E1052" s="62">
        <v>9.7500000000000003E-2</v>
      </c>
      <c r="F1052" s="62">
        <v>3.444292513368985E-2</v>
      </c>
      <c r="G1052" s="46">
        <f t="shared" si="15"/>
        <v>6.3057074866310153E-2</v>
      </c>
    </row>
    <row r="1053" spans="3:7">
      <c r="C1053" s="43"/>
      <c r="D1053" s="301">
        <v>41941</v>
      </c>
      <c r="E1053" s="62">
        <v>0.10800000000000001</v>
      </c>
      <c r="F1053" s="62">
        <v>3.3703871657753993E-2</v>
      </c>
      <c r="G1053" s="46">
        <f t="shared" si="15"/>
        <v>7.4296128342246026E-2</v>
      </c>
    </row>
    <row r="1054" spans="3:7">
      <c r="C1054" s="43"/>
      <c r="D1054" s="301">
        <v>41949</v>
      </c>
      <c r="E1054" s="62">
        <v>0.10199999999999999</v>
      </c>
      <c r="F1054" s="62">
        <v>3.3501925133689825E-2</v>
      </c>
      <c r="G1054" s="46">
        <f t="shared" si="15"/>
        <v>6.8498074866310169E-2</v>
      </c>
    </row>
    <row r="1055" spans="3:7">
      <c r="C1055" s="43"/>
      <c r="D1055" s="301">
        <v>41957</v>
      </c>
      <c r="E1055" s="62">
        <v>0.10199999999999999</v>
      </c>
      <c r="F1055" s="62">
        <v>3.3305454545454541E-2</v>
      </c>
      <c r="G1055" s="46">
        <f t="shared" si="15"/>
        <v>6.8694545454545453E-2</v>
      </c>
    </row>
    <row r="1056" spans="3:7">
      <c r="C1056" s="43"/>
      <c r="D1056" s="301">
        <v>41957</v>
      </c>
      <c r="E1056" s="62">
        <v>0.10300000000000001</v>
      </c>
      <c r="F1056" s="62">
        <v>3.3305454545454541E-2</v>
      </c>
      <c r="G1056" s="46">
        <f t="shared" si="15"/>
        <v>6.9694545454545467E-2</v>
      </c>
    </row>
    <row r="1057" spans="3:7">
      <c r="C1057" s="43"/>
      <c r="D1057" s="301">
        <v>41969</v>
      </c>
      <c r="E1057" s="62">
        <v>0.10199999999999999</v>
      </c>
      <c r="F1057" s="62">
        <v>3.3039647058823535E-2</v>
      </c>
      <c r="G1057" s="46">
        <f t="shared" si="15"/>
        <v>6.8960352941176459E-2</v>
      </c>
    </row>
    <row r="1058" spans="3:7">
      <c r="C1058" s="43"/>
      <c r="D1058" s="301">
        <v>41976</v>
      </c>
      <c r="E1058" s="62">
        <v>0.1</v>
      </c>
      <c r="F1058" s="62">
        <v>3.2857978609625679E-2</v>
      </c>
      <c r="G1058" s="46">
        <f t="shared" si="15"/>
        <v>6.7142021390374326E-2</v>
      </c>
    </row>
    <row r="1059" spans="3:7">
      <c r="C1059" s="43"/>
      <c r="D1059" s="301">
        <v>42017</v>
      </c>
      <c r="E1059" s="62">
        <v>0.10300000000000001</v>
      </c>
      <c r="F1059" s="62">
        <v>3.1602005347593588E-2</v>
      </c>
      <c r="G1059" s="46">
        <f t="shared" si="15"/>
        <v>7.1397994652406427E-2</v>
      </c>
    </row>
    <row r="1060" spans="3:7">
      <c r="C1060" s="43"/>
      <c r="D1060" s="301">
        <v>42025</v>
      </c>
      <c r="E1060" s="62">
        <v>9.0500000000000011E-2</v>
      </c>
      <c r="F1060" s="62">
        <v>3.1279128342245999E-2</v>
      </c>
      <c r="G1060" s="46">
        <f t="shared" si="15"/>
        <v>5.9220871657754012E-2</v>
      </c>
    </row>
    <row r="1061" spans="3:7">
      <c r="C1061" s="43"/>
      <c r="D1061" s="301">
        <v>42025</v>
      </c>
      <c r="E1061" s="62">
        <v>9.0500000000000011E-2</v>
      </c>
      <c r="F1061" s="62">
        <v>3.1279128342245999E-2</v>
      </c>
      <c r="G1061" s="46">
        <f t="shared" si="15"/>
        <v>5.9220871657754012E-2</v>
      </c>
    </row>
    <row r="1062" spans="3:7">
      <c r="C1062" s="43"/>
      <c r="D1062" s="301">
        <v>42103</v>
      </c>
      <c r="E1062" s="62">
        <v>9.5000000000000001E-2</v>
      </c>
      <c r="F1062" s="62">
        <v>2.8785310160427801E-2</v>
      </c>
      <c r="G1062" s="46">
        <f t="shared" si="15"/>
        <v>6.6214689839572197E-2</v>
      </c>
    </row>
    <row r="1063" spans="3:7">
      <c r="C1063" s="43"/>
      <c r="D1063" s="301">
        <v>42135</v>
      </c>
      <c r="E1063" s="62">
        <v>9.8000000000000004E-2</v>
      </c>
      <c r="F1063" s="62">
        <v>2.8158358288770068E-2</v>
      </c>
      <c r="G1063" s="46">
        <f t="shared" si="15"/>
        <v>6.9841641711229932E-2</v>
      </c>
    </row>
    <row r="1064" spans="3:7">
      <c r="C1064" s="43"/>
      <c r="D1064" s="301">
        <v>42172</v>
      </c>
      <c r="E1064" s="62">
        <v>0.09</v>
      </c>
      <c r="F1064" s="62">
        <v>2.7882475935828877E-2</v>
      </c>
      <c r="G1064" s="46">
        <f t="shared" si="15"/>
        <v>6.211752406417112E-2</v>
      </c>
    </row>
    <row r="1065" spans="3:7">
      <c r="C1065" s="43"/>
      <c r="D1065" s="301">
        <v>42237</v>
      </c>
      <c r="E1065" s="62">
        <v>9.7500000000000003E-2</v>
      </c>
      <c r="F1065" s="62">
        <v>2.7823342245989299E-2</v>
      </c>
      <c r="G1065" s="46">
        <f t="shared" si="15"/>
        <v>6.9676657754010704E-2</v>
      </c>
    </row>
    <row r="1066" spans="3:7">
      <c r="C1066" s="43"/>
      <c r="D1066" s="301">
        <v>42284</v>
      </c>
      <c r="E1066" s="62">
        <v>9.5500000000000002E-2</v>
      </c>
      <c r="F1066" s="62">
        <v>2.8216085561497323E-2</v>
      </c>
      <c r="G1066" s="46">
        <f t="shared" si="15"/>
        <v>6.7283914438502679E-2</v>
      </c>
    </row>
    <row r="1067" spans="3:7">
      <c r="C1067" s="43"/>
      <c r="D1067" s="301">
        <v>42290</v>
      </c>
      <c r="E1067" s="62">
        <v>9.7500000000000003E-2</v>
      </c>
      <c r="F1067" s="62">
        <v>2.8323449197860961E-2</v>
      </c>
      <c r="G1067" s="46">
        <f t="shared" si="15"/>
        <v>6.9176550802139039E-2</v>
      </c>
    </row>
    <row r="1068" spans="3:7">
      <c r="C1068" s="43"/>
      <c r="D1068" s="301">
        <v>42292</v>
      </c>
      <c r="E1068" s="62">
        <v>0.09</v>
      </c>
      <c r="F1068" s="62">
        <v>2.8371561497326201E-2</v>
      </c>
      <c r="G1068" s="46">
        <f t="shared" si="15"/>
        <v>6.1628438502673799E-2</v>
      </c>
    </row>
    <row r="1069" spans="3:7">
      <c r="C1069" s="43"/>
      <c r="D1069" s="301">
        <v>42307</v>
      </c>
      <c r="E1069" s="62">
        <v>9.8000000000000004E-2</v>
      </c>
      <c r="F1069" s="62">
        <v>2.8655524064171111E-2</v>
      </c>
      <c r="G1069" s="46">
        <f t="shared" si="15"/>
        <v>6.9344475935828889E-2</v>
      </c>
    </row>
    <row r="1070" spans="3:7">
      <c r="C1070" s="43"/>
      <c r="D1070" s="301">
        <v>42327</v>
      </c>
      <c r="E1070" s="62">
        <v>0.1</v>
      </c>
      <c r="F1070" s="62">
        <v>2.8947967914438502E-2</v>
      </c>
      <c r="G1070" s="46">
        <f t="shared" si="15"/>
        <v>7.1052032085561503E-2</v>
      </c>
    </row>
    <row r="1071" spans="3:7">
      <c r="C1071" s="43"/>
      <c r="D1071" s="301">
        <v>42341</v>
      </c>
      <c r="E1071" s="62">
        <v>0.1</v>
      </c>
      <c r="F1071" s="62">
        <v>2.9092096256684487E-2</v>
      </c>
      <c r="G1071" s="46">
        <f t="shared" si="15"/>
        <v>7.0907903743315515E-2</v>
      </c>
    </row>
    <row r="1072" spans="3:7">
      <c r="C1072" s="43"/>
      <c r="D1072" s="301">
        <v>42347</v>
      </c>
      <c r="E1072" s="62">
        <v>9.6000000000000002E-2</v>
      </c>
      <c r="F1072" s="62">
        <v>2.9190486631016047E-2</v>
      </c>
      <c r="G1072" s="46">
        <f t="shared" si="15"/>
        <v>6.6809513368983955E-2</v>
      </c>
    </row>
    <row r="1073" spans="3:7">
      <c r="C1073" s="43"/>
      <c r="D1073" s="301">
        <v>42349</v>
      </c>
      <c r="E1073" s="62">
        <v>9.9000000000000005E-2</v>
      </c>
      <c r="F1073" s="62">
        <v>2.9236834224598936E-2</v>
      </c>
      <c r="G1073" s="46">
        <f t="shared" ref="G1073:G1136" si="16">E1073-F1073</f>
        <v>6.9763165775401065E-2</v>
      </c>
    </row>
    <row r="1074" spans="3:7">
      <c r="C1074" s="43"/>
      <c r="D1074" s="301">
        <v>42356</v>
      </c>
      <c r="E1074" s="62">
        <v>9.5000000000000001E-2</v>
      </c>
      <c r="F1074" s="62">
        <v>2.9350288770053481E-2</v>
      </c>
      <c r="G1074" s="46">
        <f t="shared" si="16"/>
        <v>6.564971122994652E-2</v>
      </c>
    </row>
    <row r="1075" spans="3:7">
      <c r="C1075" s="43"/>
      <c r="D1075" s="301">
        <v>42375</v>
      </c>
      <c r="E1075" s="62">
        <v>9.5000000000000001E-2</v>
      </c>
      <c r="F1075" s="62">
        <v>2.9651385026737993E-2</v>
      </c>
      <c r="G1075" s="46">
        <f t="shared" si="16"/>
        <v>6.5348614973262012E-2</v>
      </c>
    </row>
    <row r="1076" spans="3:7">
      <c r="C1076" s="43"/>
      <c r="D1076" s="301">
        <v>42375</v>
      </c>
      <c r="E1076" s="62">
        <v>9.5000000000000001E-2</v>
      </c>
      <c r="F1076" s="62">
        <v>2.9651385026737993E-2</v>
      </c>
      <c r="G1076" s="46">
        <f t="shared" si="16"/>
        <v>6.5348614973262012E-2</v>
      </c>
    </row>
    <row r="1077" spans="3:7">
      <c r="C1077" s="43"/>
      <c r="D1077" s="301">
        <v>42397</v>
      </c>
      <c r="E1077" s="62">
        <v>9.4E-2</v>
      </c>
      <c r="F1077" s="62">
        <v>2.9686903743315517E-2</v>
      </c>
      <c r="G1077" s="46">
        <f t="shared" si="16"/>
        <v>6.4313096256684479E-2</v>
      </c>
    </row>
    <row r="1078" spans="3:7">
      <c r="C1078" s="43"/>
      <c r="D1078" s="301">
        <v>42410</v>
      </c>
      <c r="E1078" s="62">
        <v>9.6000000000000002E-2</v>
      </c>
      <c r="F1078" s="62">
        <v>2.9508133689839591E-2</v>
      </c>
      <c r="G1078" s="46">
        <f t="shared" si="16"/>
        <v>6.6491866310160408E-2</v>
      </c>
    </row>
    <row r="1079" spans="3:7">
      <c r="C1079" s="43"/>
      <c r="D1079" s="301">
        <v>42416</v>
      </c>
      <c r="E1079" s="62">
        <v>9.5000000000000001E-2</v>
      </c>
      <c r="F1079" s="62">
        <v>2.9444524064171137E-2</v>
      </c>
      <c r="G1079" s="46">
        <f t="shared" si="16"/>
        <v>6.5555475935828861E-2</v>
      </c>
    </row>
    <row r="1080" spans="3:7">
      <c r="C1080" s="43"/>
      <c r="D1080" s="301">
        <v>42429</v>
      </c>
      <c r="E1080" s="62">
        <v>9.4E-2</v>
      </c>
      <c r="F1080" s="62">
        <v>2.9216652406417121E-2</v>
      </c>
      <c r="G1080" s="46">
        <f t="shared" si="16"/>
        <v>6.4783347593582882E-2</v>
      </c>
    </row>
    <row r="1081" spans="3:7">
      <c r="C1081" s="43"/>
      <c r="D1081" s="301">
        <v>42489</v>
      </c>
      <c r="E1081" s="62">
        <v>9.8000000000000004E-2</v>
      </c>
      <c r="F1081" s="62">
        <v>2.8283294117647077E-2</v>
      </c>
      <c r="G1081" s="46">
        <f t="shared" si="16"/>
        <v>6.9716705882352931E-2</v>
      </c>
    </row>
    <row r="1082" spans="3:7">
      <c r="C1082" s="43"/>
      <c r="D1082" s="301">
        <v>42495</v>
      </c>
      <c r="E1082" s="62">
        <v>9.4899999999999998E-2</v>
      </c>
      <c r="F1082" s="62">
        <v>2.8243064171123013E-2</v>
      </c>
      <c r="G1082" s="46">
        <f t="shared" si="16"/>
        <v>6.6656935828876981E-2</v>
      </c>
    </row>
    <row r="1083" spans="3:7">
      <c r="C1083" s="43"/>
      <c r="D1083" s="301">
        <v>42522</v>
      </c>
      <c r="E1083" s="62">
        <v>9.5500000000000002E-2</v>
      </c>
      <c r="F1083" s="62">
        <v>2.797083957219252E-2</v>
      </c>
      <c r="G1083" s="46">
        <f t="shared" si="16"/>
        <v>6.7529160427807489E-2</v>
      </c>
    </row>
    <row r="1084" spans="3:7">
      <c r="C1084" s="43"/>
      <c r="D1084" s="301">
        <v>42524</v>
      </c>
      <c r="E1084" s="62">
        <v>9.6500000000000002E-2</v>
      </c>
      <c r="F1084" s="62">
        <v>2.7914187165775407E-2</v>
      </c>
      <c r="G1084" s="46">
        <f t="shared" si="16"/>
        <v>6.8585812834224602E-2</v>
      </c>
    </row>
    <row r="1085" spans="3:7">
      <c r="C1085" s="43"/>
      <c r="D1085" s="301">
        <v>42536</v>
      </c>
      <c r="E1085" s="62">
        <v>0.09</v>
      </c>
      <c r="F1085" s="62">
        <v>2.771113903743315E-2</v>
      </c>
      <c r="G1085" s="46">
        <f t="shared" si="16"/>
        <v>6.2288860962566847E-2</v>
      </c>
    </row>
    <row r="1086" spans="3:7">
      <c r="C1086" s="43"/>
      <c r="D1086" s="301">
        <v>42536</v>
      </c>
      <c r="E1086" s="62">
        <v>0.09</v>
      </c>
      <c r="F1086" s="62">
        <v>2.771113903743315E-2</v>
      </c>
      <c r="G1086" s="46">
        <f t="shared" si="16"/>
        <v>6.2288860962566847E-2</v>
      </c>
    </row>
    <row r="1087" spans="3:7">
      <c r="C1087" s="43"/>
      <c r="D1087" s="301">
        <v>42615</v>
      </c>
      <c r="E1087" s="62">
        <v>9.5000000000000001E-2</v>
      </c>
      <c r="F1087" s="62">
        <v>2.5641486631016029E-2</v>
      </c>
      <c r="G1087" s="46">
        <f t="shared" si="16"/>
        <v>6.9358513368983965E-2</v>
      </c>
    </row>
    <row r="1088" spans="3:7">
      <c r="C1088" s="43"/>
      <c r="D1088" s="301">
        <v>42636</v>
      </c>
      <c r="E1088" s="62">
        <v>9.7500000000000003E-2</v>
      </c>
      <c r="F1088" s="62">
        <v>2.5160331550802131E-2</v>
      </c>
      <c r="G1088" s="46">
        <f t="shared" si="16"/>
        <v>7.2339668449197869E-2</v>
      </c>
    </row>
    <row r="1089" spans="3:7">
      <c r="C1089" s="43"/>
      <c r="D1089" s="301">
        <v>42640</v>
      </c>
      <c r="E1089" s="62">
        <v>9.5000000000000001E-2</v>
      </c>
      <c r="F1089" s="62">
        <v>2.5094165775401061E-2</v>
      </c>
      <c r="G1089" s="46">
        <f t="shared" si="16"/>
        <v>6.9905834224598937E-2</v>
      </c>
    </row>
    <row r="1090" spans="3:7">
      <c r="C1090" s="43"/>
      <c r="D1090" s="301">
        <v>42642</v>
      </c>
      <c r="E1090" s="62">
        <v>9.11E-2</v>
      </c>
      <c r="F1090" s="62">
        <v>2.5025625668449188E-2</v>
      </c>
      <c r="G1090" s="46">
        <f t="shared" si="16"/>
        <v>6.6074374331550806E-2</v>
      </c>
    </row>
    <row r="1091" spans="3:7">
      <c r="C1091" s="43"/>
      <c r="D1091" s="301">
        <v>42656</v>
      </c>
      <c r="E1091" s="62">
        <v>0.10199999999999999</v>
      </c>
      <c r="F1091" s="62">
        <v>2.4819272727272728E-2</v>
      </c>
      <c r="G1091" s="46">
        <f t="shared" si="16"/>
        <v>7.7180727272727262E-2</v>
      </c>
    </row>
    <row r="1092" spans="3:7">
      <c r="C1092" s="43"/>
      <c r="D1092" s="301">
        <v>42671</v>
      </c>
      <c r="E1092" s="62">
        <v>9.6999999999999989E-2</v>
      </c>
      <c r="F1092" s="62">
        <v>2.4736358288770049E-2</v>
      </c>
      <c r="G1092" s="46">
        <f t="shared" si="16"/>
        <v>7.226364171122994E-2</v>
      </c>
    </row>
    <row r="1093" spans="3:7">
      <c r="C1093" s="43"/>
      <c r="D1093" s="301">
        <v>42683</v>
      </c>
      <c r="E1093" s="62">
        <v>9.8000000000000004E-2</v>
      </c>
      <c r="F1093" s="62">
        <v>2.4741663101604274E-2</v>
      </c>
      <c r="G1093" s="46">
        <f t="shared" si="16"/>
        <v>7.3258336898395726E-2</v>
      </c>
    </row>
    <row r="1094" spans="3:7">
      <c r="C1094" s="43"/>
      <c r="D1094" s="301">
        <v>42692</v>
      </c>
      <c r="E1094" s="62">
        <v>0.1</v>
      </c>
      <c r="F1094" s="62">
        <v>2.487041711229946E-2</v>
      </c>
      <c r="G1094" s="46">
        <f t="shared" si="16"/>
        <v>7.5129582887700552E-2</v>
      </c>
    </row>
    <row r="1095" spans="3:7">
      <c r="C1095" s="43"/>
      <c r="D1095" s="301">
        <v>42713</v>
      </c>
      <c r="E1095" s="62">
        <v>0.10099999999999999</v>
      </c>
      <c r="F1095" s="62">
        <v>2.514591443850267E-2</v>
      </c>
      <c r="G1095" s="46">
        <f t="shared" si="16"/>
        <v>7.5854085561497323E-2</v>
      </c>
    </row>
    <row r="1096" spans="3:7">
      <c r="C1096" s="43"/>
      <c r="D1096" s="301">
        <v>42719</v>
      </c>
      <c r="E1096" s="62">
        <v>0.09</v>
      </c>
      <c r="F1096" s="62">
        <v>2.5254192513368981E-2</v>
      </c>
      <c r="G1096" s="46">
        <f t="shared" si="16"/>
        <v>6.4745807486631016E-2</v>
      </c>
    </row>
    <row r="1097" spans="3:7">
      <c r="C1097" s="43"/>
      <c r="D1097" s="301">
        <v>42719</v>
      </c>
      <c r="E1097" s="62">
        <v>0.09</v>
      </c>
      <c r="F1097" s="62">
        <v>2.5254192513368981E-2</v>
      </c>
      <c r="G1097" s="46">
        <f t="shared" si="16"/>
        <v>6.4745807486631016E-2</v>
      </c>
    </row>
    <row r="1098" spans="3:7">
      <c r="C1098" s="43"/>
      <c r="D1098" s="301">
        <v>42724</v>
      </c>
      <c r="E1098" s="62">
        <v>9.7500000000000003E-2</v>
      </c>
      <c r="F1098" s="62">
        <v>2.5338133689839573E-2</v>
      </c>
      <c r="G1098" s="46">
        <f t="shared" si="16"/>
        <v>7.216186631016043E-2</v>
      </c>
    </row>
    <row r="1099" spans="3:7">
      <c r="C1099" s="43"/>
      <c r="D1099" s="301">
        <v>42726</v>
      </c>
      <c r="E1099" s="62">
        <v>9.5000000000000001E-2</v>
      </c>
      <c r="F1099" s="62">
        <v>2.5396647058823527E-2</v>
      </c>
      <c r="G1099" s="46">
        <f t="shared" si="16"/>
        <v>6.9603352941176477E-2</v>
      </c>
    </row>
    <row r="1100" spans="3:7">
      <c r="C1100" s="43"/>
      <c r="D1100" s="301">
        <v>42759</v>
      </c>
      <c r="E1100" s="62">
        <v>0.09</v>
      </c>
      <c r="F1100" s="62">
        <v>2.587957219251338E-2</v>
      </c>
      <c r="G1100" s="46">
        <f t="shared" si="16"/>
        <v>6.4120427807486613E-2</v>
      </c>
    </row>
    <row r="1101" spans="3:7">
      <c r="C1101" s="43"/>
      <c r="D1101" s="301">
        <v>42787</v>
      </c>
      <c r="E1101" s="62">
        <v>0.10550000000000001</v>
      </c>
      <c r="F1101" s="62">
        <v>2.6343144385026745E-2</v>
      </c>
      <c r="G1101" s="46">
        <f t="shared" si="16"/>
        <v>7.9156855614973265E-2</v>
      </c>
    </row>
    <row r="1102" spans="3:7">
      <c r="C1102" s="43"/>
      <c r="D1102" s="301">
        <v>42795</v>
      </c>
      <c r="E1102" s="62">
        <v>9.2499999999999999E-2</v>
      </c>
      <c r="F1102" s="62">
        <v>2.6506994652406409E-2</v>
      </c>
      <c r="G1102" s="46">
        <f t="shared" si="16"/>
        <v>6.5993005347593586E-2</v>
      </c>
    </row>
    <row r="1103" spans="3:7">
      <c r="C1103" s="43"/>
      <c r="D1103" s="301">
        <v>42836</v>
      </c>
      <c r="E1103" s="62">
        <v>9.5000000000000001E-2</v>
      </c>
      <c r="F1103" s="62">
        <v>2.7681679144385015E-2</v>
      </c>
      <c r="G1103" s="46">
        <f t="shared" si="16"/>
        <v>6.7318320855614983E-2</v>
      </c>
    </row>
    <row r="1104" spans="3:7">
      <c r="C1104" s="43"/>
      <c r="D1104" s="301">
        <v>42845</v>
      </c>
      <c r="E1104" s="62">
        <v>8.6999999999999994E-2</v>
      </c>
      <c r="F1104" s="62">
        <v>2.7916893048128329E-2</v>
      </c>
      <c r="G1104" s="46">
        <f t="shared" si="16"/>
        <v>5.9083106951871661E-2</v>
      </c>
    </row>
    <row r="1105" spans="3:7">
      <c r="C1105" s="43"/>
      <c r="D1105" s="301">
        <v>42853</v>
      </c>
      <c r="E1105" s="62">
        <v>9.5000000000000001E-2</v>
      </c>
      <c r="F1105" s="62">
        <v>2.813245454545454E-2</v>
      </c>
      <c r="G1105" s="46">
        <f t="shared" si="16"/>
        <v>6.6867545454545457E-2</v>
      </c>
    </row>
    <row r="1106" spans="3:7">
      <c r="C1106" s="43"/>
      <c r="D1106" s="301">
        <v>42878</v>
      </c>
      <c r="E1106" s="62">
        <v>9.6000000000000002E-2</v>
      </c>
      <c r="F1106" s="62">
        <v>2.8787925133689843E-2</v>
      </c>
      <c r="G1106" s="46">
        <f t="shared" si="16"/>
        <v>6.7212074866310159E-2</v>
      </c>
    </row>
    <row r="1107" spans="3:7">
      <c r="C1107" s="43"/>
      <c r="D1107" s="301">
        <v>42892</v>
      </c>
      <c r="E1107" s="62">
        <v>9.6999999999999989E-2</v>
      </c>
      <c r="F1107" s="62">
        <v>2.9059748663101612E-2</v>
      </c>
      <c r="G1107" s="46">
        <f t="shared" si="16"/>
        <v>6.7940251336898377E-2</v>
      </c>
    </row>
    <row r="1108" spans="3:7">
      <c r="C1108" s="43"/>
      <c r="D1108" s="301">
        <v>42908</v>
      </c>
      <c r="E1108" s="62">
        <v>9.6999999999999989E-2</v>
      </c>
      <c r="F1108" s="62">
        <v>2.9348647058823545E-2</v>
      </c>
      <c r="G1108" s="46">
        <f t="shared" si="16"/>
        <v>6.765135294117644E-2</v>
      </c>
    </row>
    <row r="1109" spans="3:7">
      <c r="C1109" s="43"/>
      <c r="D1109" s="301">
        <v>42916</v>
      </c>
      <c r="E1109" s="62">
        <v>9.6000000000000002E-2</v>
      </c>
      <c r="F1109" s="62">
        <v>2.9445668449197885E-2</v>
      </c>
      <c r="G1109" s="46">
        <f t="shared" si="16"/>
        <v>6.655433155080212E-2</v>
      </c>
    </row>
    <row r="1110" spans="3:7">
      <c r="C1110" s="43"/>
      <c r="D1110" s="301">
        <v>42936</v>
      </c>
      <c r="E1110" s="62">
        <v>9.5500000000000002E-2</v>
      </c>
      <c r="F1110" s="62">
        <v>2.9708112299465256E-2</v>
      </c>
      <c r="G1110" s="46">
        <f t="shared" si="16"/>
        <v>6.5791887700534749E-2</v>
      </c>
    </row>
    <row r="1111" spans="3:7">
      <c r="C1111" s="43"/>
      <c r="D1111" s="301">
        <v>42947</v>
      </c>
      <c r="E1111" s="62">
        <v>0.10099999999999999</v>
      </c>
      <c r="F1111" s="62">
        <v>2.9784021390374338E-2</v>
      </c>
      <c r="G1111" s="46">
        <f t="shared" si="16"/>
        <v>7.1215978609625655E-2</v>
      </c>
    </row>
    <row r="1112" spans="3:7">
      <c r="C1112" s="43"/>
      <c r="D1112" s="301">
        <v>42991</v>
      </c>
      <c r="E1112" s="62">
        <v>9.4E-2</v>
      </c>
      <c r="F1112" s="62">
        <v>2.9291957219251329E-2</v>
      </c>
      <c r="G1112" s="46">
        <f t="shared" si="16"/>
        <v>6.4708042780748667E-2</v>
      </c>
    </row>
    <row r="1113" spans="3:7">
      <c r="C1113" s="43"/>
      <c r="D1113" s="301">
        <v>42997</v>
      </c>
      <c r="E1113" s="62">
        <v>9.6999999999999989E-2</v>
      </c>
      <c r="F1113" s="62">
        <v>2.922682887700534E-2</v>
      </c>
      <c r="G1113" s="46">
        <f t="shared" si="16"/>
        <v>6.7773171122994649E-2</v>
      </c>
    </row>
    <row r="1114" spans="3:7">
      <c r="C1114" s="43"/>
      <c r="D1114" s="301">
        <v>43000</v>
      </c>
      <c r="E1114" s="62">
        <v>0.1188</v>
      </c>
      <c r="F1114" s="62">
        <v>2.9186304812834223E-2</v>
      </c>
      <c r="G1114" s="46">
        <f t="shared" si="16"/>
        <v>8.9613695187165776E-2</v>
      </c>
    </row>
    <row r="1115" spans="3:7">
      <c r="C1115" s="43"/>
      <c r="D1115" s="301">
        <v>43005</v>
      </c>
      <c r="E1115" s="62">
        <v>0.10199999999999999</v>
      </c>
      <c r="F1115" s="62">
        <v>2.9158855614973257E-2</v>
      </c>
      <c r="G1115" s="46">
        <f t="shared" si="16"/>
        <v>7.2841144385026729E-2</v>
      </c>
    </row>
    <row r="1116" spans="3:7">
      <c r="C1116" s="43"/>
      <c r="D1116" s="301">
        <v>43028</v>
      </c>
      <c r="E1116" s="62">
        <v>9.6000000000000002E-2</v>
      </c>
      <c r="F1116" s="62">
        <v>2.9012598930481272E-2</v>
      </c>
      <c r="G1116" s="46">
        <f t="shared" si="16"/>
        <v>6.6987401069518726E-2</v>
      </c>
    </row>
    <row r="1117" spans="3:7">
      <c r="C1117" s="43"/>
      <c r="D1117" s="301">
        <v>43034</v>
      </c>
      <c r="E1117" s="62">
        <v>0.10199999999999999</v>
      </c>
      <c r="F1117" s="62">
        <v>2.8985064171122989E-2</v>
      </c>
      <c r="G1117" s="46">
        <f t="shared" si="16"/>
        <v>7.3014935828876998E-2</v>
      </c>
    </row>
    <row r="1118" spans="3:7">
      <c r="C1118" s="43"/>
      <c r="D1118" s="301">
        <v>43038</v>
      </c>
      <c r="E1118" s="62">
        <v>0.10050000000000001</v>
      </c>
      <c r="F1118" s="62">
        <v>2.897680213903742E-2</v>
      </c>
      <c r="G1118" s="46">
        <f t="shared" si="16"/>
        <v>7.152319786096259E-2</v>
      </c>
    </row>
    <row r="1119" spans="3:7">
      <c r="C1119" s="43"/>
      <c r="D1119" s="301">
        <v>43074</v>
      </c>
      <c r="E1119" s="62">
        <v>9.5000000000000001E-2</v>
      </c>
      <c r="F1119" s="62">
        <v>2.8588935828876994E-2</v>
      </c>
      <c r="G1119" s="46">
        <f t="shared" si="16"/>
        <v>6.641106417112301E-2</v>
      </c>
    </row>
    <row r="1120" spans="3:7">
      <c r="C1120" s="43"/>
      <c r="D1120" s="301">
        <v>43076</v>
      </c>
      <c r="E1120" s="62">
        <v>9.8000000000000004E-2</v>
      </c>
      <c r="F1120" s="62">
        <v>2.8555748663101593E-2</v>
      </c>
      <c r="G1120" s="46">
        <f t="shared" si="16"/>
        <v>6.944425133689841E-2</v>
      </c>
    </row>
    <row r="1121" spans="3:7">
      <c r="C1121" s="43"/>
      <c r="D1121" s="301">
        <v>43082</v>
      </c>
      <c r="E1121" s="62">
        <v>9.2499999999999999E-2</v>
      </c>
      <c r="F1121" s="62">
        <v>2.8502422459893036E-2</v>
      </c>
      <c r="G1121" s="46">
        <f t="shared" si="16"/>
        <v>6.3997577540106959E-2</v>
      </c>
    </row>
    <row r="1122" spans="3:7">
      <c r="C1122" s="43"/>
      <c r="D1122" s="301">
        <v>43097</v>
      </c>
      <c r="E1122" s="62">
        <v>9.5000000000000001E-2</v>
      </c>
      <c r="F1122" s="62">
        <v>2.8382379679144372E-2</v>
      </c>
      <c r="G1122" s="46">
        <f t="shared" si="16"/>
        <v>6.6617620320855636E-2</v>
      </c>
    </row>
    <row r="1123" spans="3:7">
      <c r="C1123" s="43"/>
      <c r="D1123" s="301">
        <v>43131</v>
      </c>
      <c r="E1123" s="62">
        <v>9.8000000000000004E-2</v>
      </c>
      <c r="F1123" s="62">
        <v>2.826713368983956E-2</v>
      </c>
      <c r="G1123" s="46">
        <f t="shared" si="16"/>
        <v>6.9732866310160443E-2</v>
      </c>
    </row>
    <row r="1124" spans="3:7">
      <c r="C1124" s="43"/>
      <c r="D1124" s="301">
        <v>43152</v>
      </c>
      <c r="E1124" s="62">
        <v>9.8000000000000004E-2</v>
      </c>
      <c r="F1124" s="62">
        <v>2.8444780748663086E-2</v>
      </c>
      <c r="G1124" s="46">
        <f t="shared" si="16"/>
        <v>6.9555219251336925E-2</v>
      </c>
    </row>
    <row r="1125" spans="3:7">
      <c r="C1125" s="43"/>
      <c r="D1125" s="301">
        <v>43152</v>
      </c>
      <c r="E1125" s="62">
        <v>9.8000000000000004E-2</v>
      </c>
      <c r="F1125" s="62">
        <v>2.8444780748663086E-2</v>
      </c>
      <c r="G1125" s="46">
        <f t="shared" si="16"/>
        <v>6.9555219251336925E-2</v>
      </c>
    </row>
    <row r="1126" spans="3:7">
      <c r="C1126" s="43"/>
      <c r="D1126" s="301">
        <v>43159</v>
      </c>
      <c r="E1126" s="62">
        <v>9.5000000000000001E-2</v>
      </c>
      <c r="F1126" s="62">
        <v>2.8528930481283403E-2</v>
      </c>
      <c r="G1126" s="46">
        <f t="shared" si="16"/>
        <v>6.6471069518716591E-2</v>
      </c>
    </row>
    <row r="1127" spans="3:7">
      <c r="C1127" s="43"/>
      <c r="D1127" s="301">
        <v>43174</v>
      </c>
      <c r="E1127" s="62">
        <v>0.09</v>
      </c>
      <c r="F1127" s="62">
        <v>2.8741427807486633E-2</v>
      </c>
      <c r="G1127" s="46">
        <f t="shared" si="16"/>
        <v>6.1258572192513364E-2</v>
      </c>
    </row>
    <row r="1128" spans="3:7">
      <c r="C1128" s="43"/>
      <c r="D1128" s="301">
        <v>43185</v>
      </c>
      <c r="E1128" s="62">
        <v>0.10189999999999999</v>
      </c>
      <c r="F1128" s="62">
        <v>2.8832823529411772E-2</v>
      </c>
      <c r="G1128" s="46">
        <f t="shared" si="16"/>
        <v>7.3067176470588219E-2</v>
      </c>
    </row>
    <row r="1129" spans="3:7">
      <c r="C1129" s="43"/>
      <c r="D1129" s="301">
        <v>43216</v>
      </c>
      <c r="E1129" s="62">
        <v>9.5000000000000001E-2</v>
      </c>
      <c r="F1129" s="62">
        <v>2.9053192513369009E-2</v>
      </c>
      <c r="G1129" s="46">
        <f t="shared" si="16"/>
        <v>6.5946807486630996E-2</v>
      </c>
    </row>
    <row r="1130" spans="3:7">
      <c r="C1130" s="43"/>
      <c r="D1130" s="301">
        <v>43217</v>
      </c>
      <c r="E1130" s="62">
        <v>9.3000000000000013E-2</v>
      </c>
      <c r="F1130" s="62">
        <v>2.9069358288770074E-2</v>
      </c>
      <c r="G1130" s="46">
        <f t="shared" si="16"/>
        <v>6.3930641711229946E-2</v>
      </c>
    </row>
    <row r="1131" spans="3:7">
      <c r="C1131" s="43"/>
      <c r="D1131" s="301">
        <v>43222</v>
      </c>
      <c r="E1131" s="62">
        <v>9.5000000000000001E-2</v>
      </c>
      <c r="F1131" s="62">
        <v>2.9124582887700555E-2</v>
      </c>
      <c r="G1131" s="46">
        <f t="shared" si="16"/>
        <v>6.5875417112299439E-2</v>
      </c>
    </row>
    <row r="1132" spans="3:7">
      <c r="C1132" s="43"/>
      <c r="D1132" s="301">
        <v>43223</v>
      </c>
      <c r="E1132" s="62">
        <v>9.6999999999999989E-2</v>
      </c>
      <c r="F1132" s="62">
        <v>2.9139155080213929E-2</v>
      </c>
      <c r="G1132" s="46">
        <f t="shared" si="16"/>
        <v>6.7860844919786056E-2</v>
      </c>
    </row>
    <row r="1133" spans="3:7">
      <c r="C1133" s="43"/>
      <c r="D1133" s="301">
        <v>43249</v>
      </c>
      <c r="E1133" s="62">
        <v>9.4E-2</v>
      </c>
      <c r="F1133" s="62">
        <v>2.9522994652406428E-2</v>
      </c>
      <c r="G1133" s="46">
        <f t="shared" si="16"/>
        <v>6.4477005347593569E-2</v>
      </c>
    </row>
    <row r="1134" spans="3:7">
      <c r="C1134" s="43"/>
      <c r="D1134" s="301">
        <v>43257</v>
      </c>
      <c r="E1134" s="62">
        <v>9.8000000000000004E-2</v>
      </c>
      <c r="F1134" s="62">
        <v>2.9616946524064179E-2</v>
      </c>
      <c r="G1134" s="46">
        <f t="shared" si="16"/>
        <v>6.8383053475935818E-2</v>
      </c>
    </row>
    <row r="1135" spans="3:7">
      <c r="C1135" s="43"/>
      <c r="D1135" s="301">
        <v>43265</v>
      </c>
      <c r="E1135" s="62">
        <v>8.8000000000000009E-2</v>
      </c>
      <c r="F1135" s="62">
        <v>2.9710005347593584E-2</v>
      </c>
      <c r="G1135" s="46">
        <f t="shared" si="16"/>
        <v>5.8289994652406425E-2</v>
      </c>
    </row>
    <row r="1136" spans="3:7">
      <c r="C1136" s="43"/>
      <c r="D1136" s="301">
        <v>43297</v>
      </c>
      <c r="E1136" s="62">
        <v>9.6000000000000002E-2</v>
      </c>
      <c r="F1136" s="62">
        <v>2.9844155080213902E-2</v>
      </c>
      <c r="G1136" s="46">
        <f t="shared" si="16"/>
        <v>6.61558449197861E-2</v>
      </c>
    </row>
    <row r="1137" spans="3:7">
      <c r="C1137" s="43"/>
      <c r="D1137" s="301">
        <v>43301</v>
      </c>
      <c r="E1137" s="62">
        <v>9.4E-2</v>
      </c>
      <c r="F1137" s="62">
        <v>2.9865759358288772E-2</v>
      </c>
      <c r="G1137" s="46">
        <f t="shared" ref="G1137:G1170" si="17">E1137-F1137</f>
        <v>6.4134240641711221E-2</v>
      </c>
    </row>
    <row r="1138" spans="3:7">
      <c r="C1138" s="43"/>
      <c r="D1138" s="301">
        <v>43336</v>
      </c>
      <c r="E1138" s="62">
        <v>9.2799999999999994E-2</v>
      </c>
      <c r="F1138" s="62">
        <v>3.0228262032085586E-2</v>
      </c>
      <c r="G1138" s="46">
        <f t="shared" si="17"/>
        <v>6.2571737967914404E-2</v>
      </c>
    </row>
    <row r="1139" spans="3:7">
      <c r="C1139" s="43"/>
      <c r="D1139" s="301">
        <v>43340</v>
      </c>
      <c r="E1139" s="62">
        <v>0.1</v>
      </c>
      <c r="F1139" s="62">
        <v>3.0254716577540138E-2</v>
      </c>
      <c r="G1139" s="46">
        <f t="shared" si="17"/>
        <v>6.9745283422459864E-2</v>
      </c>
    </row>
    <row r="1140" spans="3:7">
      <c r="C1140" s="43"/>
      <c r="D1140" s="301">
        <v>43356</v>
      </c>
      <c r="E1140" s="62">
        <v>0.1</v>
      </c>
      <c r="F1140" s="62">
        <v>3.0432524064171129E-2</v>
      </c>
      <c r="G1140" s="46">
        <f t="shared" si="17"/>
        <v>6.9567475935828876E-2</v>
      </c>
    </row>
    <row r="1141" spans="3:7">
      <c r="C1141" s="43"/>
      <c r="D1141" s="301">
        <v>43357</v>
      </c>
      <c r="E1141" s="62">
        <v>0.1</v>
      </c>
      <c r="F1141" s="62">
        <v>3.0453101604278082E-2</v>
      </c>
      <c r="G1141" s="46">
        <f t="shared" si="17"/>
        <v>6.9546898395721923E-2</v>
      </c>
    </row>
    <row r="1142" spans="3:7">
      <c r="C1142" s="43"/>
      <c r="D1142" s="301">
        <v>43362</v>
      </c>
      <c r="E1142" s="62">
        <v>9.849999999999999E-2</v>
      </c>
      <c r="F1142" s="62">
        <v>3.0522818181818193E-2</v>
      </c>
      <c r="G1142" s="46">
        <f t="shared" si="17"/>
        <v>6.7977181818181798E-2</v>
      </c>
    </row>
    <row r="1143" spans="3:7">
      <c r="C1143" s="43"/>
      <c r="D1143" s="301">
        <v>43363</v>
      </c>
      <c r="E1143" s="62">
        <v>9.8000000000000004E-2</v>
      </c>
      <c r="F1143" s="62">
        <v>3.0543245989304829E-2</v>
      </c>
      <c r="G1143" s="46">
        <f t="shared" si="17"/>
        <v>6.7456754010695175E-2</v>
      </c>
    </row>
    <row r="1144" spans="3:7">
      <c r="C1144" s="43"/>
      <c r="D1144" s="301">
        <v>43369</v>
      </c>
      <c r="E1144" s="62">
        <v>9.4E-2</v>
      </c>
      <c r="F1144" s="62">
        <v>3.0630903743315535E-2</v>
      </c>
      <c r="G1144" s="46">
        <f t="shared" si="17"/>
        <v>6.3369096256684465E-2</v>
      </c>
    </row>
    <row r="1145" spans="3:7">
      <c r="C1145" s="43"/>
      <c r="D1145" s="301">
        <v>43369</v>
      </c>
      <c r="E1145" s="62">
        <v>0.10199999999999999</v>
      </c>
      <c r="F1145" s="62">
        <v>3.0630903743315535E-2</v>
      </c>
      <c r="G1145" s="46">
        <f t="shared" si="17"/>
        <v>7.1369096256684458E-2</v>
      </c>
    </row>
    <row r="1146" spans="3:7">
      <c r="C1146" s="43"/>
      <c r="D1146" s="301">
        <v>43371</v>
      </c>
      <c r="E1146" s="62">
        <v>9.5000000000000001E-2</v>
      </c>
      <c r="F1146" s="62">
        <v>3.0662732620320869E-2</v>
      </c>
      <c r="G1146" s="46">
        <f t="shared" si="17"/>
        <v>6.4337267379679125E-2</v>
      </c>
    </row>
    <row r="1147" spans="3:7">
      <c r="C1147" s="43"/>
      <c r="D1147" s="301">
        <v>43371</v>
      </c>
      <c r="E1147" s="62">
        <v>9.5000000000000001E-2</v>
      </c>
      <c r="F1147" s="62">
        <v>3.0662732620320869E-2</v>
      </c>
      <c r="G1147" s="46">
        <f t="shared" si="17"/>
        <v>6.4337267379679125E-2</v>
      </c>
    </row>
    <row r="1148" spans="3:7">
      <c r="C1148" s="43"/>
      <c r="D1148" s="301">
        <v>43378</v>
      </c>
      <c r="E1148" s="62">
        <v>9.6099999999999991E-2</v>
      </c>
      <c r="F1148" s="62">
        <v>3.0785208556149749E-2</v>
      </c>
      <c r="G1148" s="46">
        <f t="shared" si="17"/>
        <v>6.5314791443850245E-2</v>
      </c>
    </row>
    <row r="1149" spans="3:7">
      <c r="C1149" s="43"/>
      <c r="D1149" s="301">
        <v>43388</v>
      </c>
      <c r="E1149" s="62">
        <v>9.8000000000000004E-2</v>
      </c>
      <c r="F1149" s="62">
        <v>3.0927508021390385E-2</v>
      </c>
      <c r="G1149" s="46">
        <f t="shared" si="17"/>
        <v>6.7072491978609622E-2</v>
      </c>
    </row>
    <row r="1150" spans="3:7">
      <c r="C1150" s="43"/>
      <c r="D1150" s="301">
        <v>43399</v>
      </c>
      <c r="E1150" s="62">
        <v>9.4E-2</v>
      </c>
      <c r="F1150" s="62">
        <v>3.1094812834224612E-2</v>
      </c>
      <c r="G1150" s="46">
        <f t="shared" si="17"/>
        <v>6.2905187165775395E-2</v>
      </c>
    </row>
    <row r="1151" spans="3:7">
      <c r="C1151" s="43"/>
      <c r="D1151" s="301">
        <v>43402</v>
      </c>
      <c r="E1151" s="62">
        <v>9.6000000000000002E-2</v>
      </c>
      <c r="F1151" s="62">
        <v>3.1105577540106965E-2</v>
      </c>
      <c r="G1151" s="46">
        <f t="shared" si="17"/>
        <v>6.4894422459893034E-2</v>
      </c>
    </row>
    <row r="1152" spans="3:7">
      <c r="C1152" s="43"/>
      <c r="D1152" s="301">
        <v>43405</v>
      </c>
      <c r="E1152" s="62">
        <v>9.8699999999999996E-2</v>
      </c>
      <c r="F1152" s="62">
        <v>3.1143866310160445E-2</v>
      </c>
      <c r="G1152" s="46">
        <f t="shared" si="17"/>
        <v>6.7556133689839551E-2</v>
      </c>
    </row>
    <row r="1153" spans="3:7">
      <c r="C1153" s="43"/>
      <c r="D1153" s="301">
        <v>43412</v>
      </c>
      <c r="E1153" s="62">
        <v>9.6999999999999989E-2</v>
      </c>
      <c r="F1153" s="62">
        <v>3.1221882352941179E-2</v>
      </c>
      <c r="G1153" s="46">
        <f t="shared" si="17"/>
        <v>6.5778117647058806E-2</v>
      </c>
    </row>
    <row r="1154" spans="3:7">
      <c r="C1154" s="43"/>
      <c r="D1154" s="301">
        <v>43412</v>
      </c>
      <c r="E1154" s="62">
        <v>9.6999999999999989E-2</v>
      </c>
      <c r="F1154" s="62">
        <v>3.1221882352941179E-2</v>
      </c>
      <c r="G1154" s="46">
        <f t="shared" si="17"/>
        <v>6.5778117647058806E-2</v>
      </c>
    </row>
    <row r="1155" spans="3:7">
      <c r="C1155" s="43"/>
      <c r="D1155" s="301">
        <v>43445</v>
      </c>
      <c r="E1155" s="62">
        <v>9.6999999999999989E-2</v>
      </c>
      <c r="F1155" s="62">
        <v>3.1416149732620323E-2</v>
      </c>
      <c r="G1155" s="46">
        <f t="shared" si="17"/>
        <v>6.5583850267379673E-2</v>
      </c>
    </row>
    <row r="1156" spans="3:7">
      <c r="C1156" s="43"/>
      <c r="D1156" s="301">
        <v>43446</v>
      </c>
      <c r="E1156" s="62">
        <v>9.3000000000000013E-2</v>
      </c>
      <c r="F1156" s="62">
        <v>3.1419561497326207E-2</v>
      </c>
      <c r="G1156" s="46">
        <f t="shared" si="17"/>
        <v>6.1580438502673807E-2</v>
      </c>
    </row>
    <row r="1157" spans="3:7">
      <c r="C1157" s="43"/>
      <c r="D1157" s="301">
        <v>43447</v>
      </c>
      <c r="E1157" s="62">
        <v>9.6000000000000002E-2</v>
      </c>
      <c r="F1157" s="62">
        <v>3.1427090909090905E-2</v>
      </c>
      <c r="G1157" s="46">
        <f t="shared" si="17"/>
        <v>6.4572909090909097E-2</v>
      </c>
    </row>
    <row r="1158" spans="3:7">
      <c r="C1158" s="43"/>
      <c r="D1158" s="301">
        <v>43453</v>
      </c>
      <c r="E1158" s="62">
        <v>9.3000000000000013E-2</v>
      </c>
      <c r="F1158" s="62">
        <v>3.1447080213903744E-2</v>
      </c>
      <c r="G1158" s="46">
        <f>E1158-F1158</f>
        <v>6.1552919786096269E-2</v>
      </c>
    </row>
    <row r="1159" spans="3:7">
      <c r="C1159" s="43"/>
      <c r="D1159" s="301">
        <v>43455</v>
      </c>
      <c r="E1159" s="62">
        <v>9.35E-2</v>
      </c>
      <c r="F1159" s="62">
        <v>3.1448807486631022E-2</v>
      </c>
      <c r="G1159" s="46">
        <f t="shared" si="17"/>
        <v>6.2051192513368977E-2</v>
      </c>
    </row>
    <row r="1160" spans="3:7">
      <c r="C1160" s="43"/>
      <c r="D1160" s="301">
        <v>43458</v>
      </c>
      <c r="E1160" s="62">
        <v>9.2499999999999999E-2</v>
      </c>
      <c r="F1160" s="62">
        <v>3.1444550802139037E-2</v>
      </c>
      <c r="G1160" s="46">
        <f t="shared" si="17"/>
        <v>6.1055449197860961E-2</v>
      </c>
    </row>
    <row r="1161" spans="3:7">
      <c r="C1161" s="43"/>
      <c r="D1161" s="301">
        <v>43458</v>
      </c>
      <c r="E1161" s="62">
        <v>9.2499999999999999E-2</v>
      </c>
      <c r="F1161" s="62">
        <v>3.1444550802139037E-2</v>
      </c>
      <c r="G1161" s="46">
        <f t="shared" si="17"/>
        <v>6.1055449197860961E-2</v>
      </c>
    </row>
    <row r="1162" spans="3:7">
      <c r="C1162" s="43"/>
      <c r="D1162" s="301">
        <v>43469</v>
      </c>
      <c r="E1162" s="62">
        <v>9.8000000000000004E-2</v>
      </c>
      <c r="F1162" s="62">
        <v>3.1432748663101612E-2</v>
      </c>
      <c r="G1162" s="46">
        <f t="shared" si="17"/>
        <v>6.6567251336898392E-2</v>
      </c>
    </row>
    <row r="1163" spans="3:7">
      <c r="C1163" s="43"/>
      <c r="D1163" s="301">
        <v>43483</v>
      </c>
      <c r="E1163" s="62">
        <v>9.6999999999999989E-2</v>
      </c>
      <c r="F1163" s="62">
        <v>3.137917112299466E-2</v>
      </c>
      <c r="G1163" s="46">
        <f t="shared" si="17"/>
        <v>6.5620828877005322E-2</v>
      </c>
    </row>
    <row r="1164" spans="3:7">
      <c r="C1164" s="43"/>
      <c r="D1164" s="301">
        <v>43538</v>
      </c>
      <c r="E1164" s="62">
        <v>0.09</v>
      </c>
      <c r="F1164" s="62">
        <v>3.1238844919786103E-2</v>
      </c>
      <c r="G1164" s="46">
        <f t="shared" si="17"/>
        <v>5.8761155080213893E-2</v>
      </c>
    </row>
    <row r="1165" spans="3:7">
      <c r="C1165" s="43"/>
      <c r="D1165" s="301">
        <v>43551</v>
      </c>
      <c r="E1165" s="62">
        <v>9.6999999999999989E-2</v>
      </c>
      <c r="F1165" s="62">
        <v>3.1224823529411767E-2</v>
      </c>
      <c r="G1165" s="46">
        <f t="shared" si="17"/>
        <v>6.5775176470588226E-2</v>
      </c>
    </row>
    <row r="1166" spans="3:7">
      <c r="C1166" s="43"/>
      <c r="D1166" s="301">
        <v>43585</v>
      </c>
      <c r="E1166" s="62">
        <v>9.7299999999999998E-2</v>
      </c>
      <c r="F1166" s="62">
        <v>3.1077502673796789E-2</v>
      </c>
      <c r="G1166" s="46">
        <f t="shared" si="17"/>
        <v>6.6222497326203209E-2</v>
      </c>
    </row>
    <row r="1167" spans="3:7">
      <c r="C1167" s="43"/>
      <c r="D1167" s="301">
        <v>43592</v>
      </c>
      <c r="E1167" s="62">
        <v>9.6500000000000002E-2</v>
      </c>
      <c r="F1167" s="62">
        <v>3.1040764705882344E-2</v>
      </c>
      <c r="G1167" s="46">
        <f t="shared" si="17"/>
        <v>6.5459235294117651E-2</v>
      </c>
    </row>
    <row r="1168" spans="3:7">
      <c r="C1168" s="43"/>
      <c r="D1168" s="301">
        <v>43606</v>
      </c>
      <c r="E1168" s="62">
        <v>9.8000000000000004E-2</v>
      </c>
      <c r="F1168" s="62">
        <v>3.0961534759358283E-2</v>
      </c>
      <c r="G1168" s="46">
        <f t="shared" si="17"/>
        <v>6.703846524064172E-2</v>
      </c>
    </row>
    <row r="1169" spans="3:7">
      <c r="C1169" s="43"/>
      <c r="D1169" s="301">
        <v>43712</v>
      </c>
      <c r="E1169" s="62">
        <v>0.1</v>
      </c>
      <c r="F1169" s="62">
        <v>2.7556112299465248E-2</v>
      </c>
      <c r="G1169" s="46">
        <f t="shared" si="17"/>
        <v>7.2443887700534754E-2</v>
      </c>
    </row>
    <row r="1170" spans="3:7">
      <c r="C1170" s="43"/>
      <c r="D1170" s="302">
        <v>43734</v>
      </c>
      <c r="E1170" s="303">
        <v>9.9000000000000005E-2</v>
      </c>
      <c r="F1170" s="303">
        <v>2.6859481283422471E-2</v>
      </c>
      <c r="G1170" s="304">
        <f t="shared" si="17"/>
        <v>7.2140518716577534E-2</v>
      </c>
    </row>
    <row r="1171" spans="3:7">
      <c r="F1171" s="305" t="s">
        <v>1218</v>
      </c>
      <c r="G1171" s="46">
        <f>AVERAGE(G48:G1170)</f>
        <v>4.704821237994105E-2</v>
      </c>
    </row>
    <row r="1172" spans="3:7">
      <c r="F1172" s="305" t="s">
        <v>1219</v>
      </c>
      <c r="G1172" s="61">
        <f>COUNT(G48:G1170)</f>
        <v>1123</v>
      </c>
    </row>
  </sheetData>
  <printOptions horizontalCentered="1"/>
  <pageMargins left="0.7" right="0.7" top="0.75" bottom="0.75" header="0.3" footer="0.3"/>
  <pageSetup scale="98" fitToHeight="22" orientation="portrait" useFirstPageNumber="1" r:id="rId1"/>
  <headerFooter scaleWithDoc="0">
    <oddHeader>&amp;R&amp;10DEU Exhibit 2.06R
Page &amp;P of 23</oddHeader>
  </headerFooter>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5"/>
  <sheetViews>
    <sheetView view="pageLayout" zoomScale="85" zoomScaleNormal="100" zoomScaleSheetLayoutView="80" zoomScalePageLayoutView="85" workbookViewId="0"/>
  </sheetViews>
  <sheetFormatPr defaultColWidth="8" defaultRowHeight="12.75"/>
  <cols>
    <col min="1" max="1" width="2.25" style="135" customWidth="1"/>
    <col min="2" max="2" width="31.875" style="135" customWidth="1"/>
    <col min="3" max="3" width="8.375" style="135" customWidth="1"/>
    <col min="4" max="9" width="9.875" style="135" customWidth="1"/>
    <col min="10" max="10" width="2.25" style="135" customWidth="1"/>
    <col min="11" max="11" width="7.25" style="135" customWidth="1"/>
    <col min="12" max="16384" width="8" style="135"/>
  </cols>
  <sheetData>
    <row r="2" spans="1:13">
      <c r="B2" s="829" t="s">
        <v>1141</v>
      </c>
      <c r="C2" s="829"/>
      <c r="D2" s="829"/>
      <c r="E2" s="829"/>
      <c r="F2" s="829"/>
      <c r="G2" s="829"/>
      <c r="H2" s="829"/>
      <c r="I2" s="829"/>
    </row>
    <row r="3" spans="1:13">
      <c r="B3" s="151"/>
      <c r="C3" s="151"/>
      <c r="D3" s="151"/>
      <c r="E3" s="151"/>
      <c r="F3" s="151"/>
      <c r="G3" s="151"/>
      <c r="H3" s="151"/>
      <c r="I3" s="151"/>
    </row>
    <row r="4" spans="1:13">
      <c r="B4" s="151"/>
      <c r="C4" s="151"/>
      <c r="D4" s="151" t="s">
        <v>50</v>
      </c>
      <c r="E4" s="151" t="s">
        <v>51</v>
      </c>
      <c r="F4" s="151" t="s">
        <v>52</v>
      </c>
      <c r="G4" s="151" t="s">
        <v>53</v>
      </c>
      <c r="H4" s="151" t="s">
        <v>54</v>
      </c>
      <c r="I4" s="151" t="s">
        <v>55</v>
      </c>
    </row>
    <row r="5" spans="1:13">
      <c r="B5" s="151"/>
      <c r="C5" s="151"/>
      <c r="D5" s="151" t="s">
        <v>1140</v>
      </c>
      <c r="E5" s="151"/>
      <c r="F5" s="151"/>
      <c r="G5" s="151"/>
      <c r="H5" s="151"/>
      <c r="I5" s="151"/>
    </row>
    <row r="6" spans="1:13">
      <c r="D6" s="151" t="s">
        <v>1134</v>
      </c>
      <c r="E6" s="830" t="s">
        <v>1139</v>
      </c>
      <c r="F6" s="830"/>
      <c r="G6" s="830"/>
      <c r="H6" s="151" t="s">
        <v>1138</v>
      </c>
      <c r="I6" s="151" t="s">
        <v>611</v>
      </c>
      <c r="K6" s="151"/>
    </row>
    <row r="7" spans="1:13">
      <c r="B7" s="156" t="s">
        <v>1</v>
      </c>
      <c r="C7" s="290" t="s">
        <v>0</v>
      </c>
      <c r="D7" s="154" t="s">
        <v>1137</v>
      </c>
      <c r="E7" s="293">
        <v>2019</v>
      </c>
      <c r="F7" s="293" t="s">
        <v>1137</v>
      </c>
      <c r="G7" s="155" t="s">
        <v>1136</v>
      </c>
      <c r="H7" s="154" t="s">
        <v>1135</v>
      </c>
      <c r="I7" s="154" t="s">
        <v>1134</v>
      </c>
      <c r="K7" s="153"/>
    </row>
    <row r="8" spans="1:13">
      <c r="B8" s="152"/>
      <c r="C8" s="152"/>
      <c r="E8" s="151"/>
      <c r="F8" s="151"/>
      <c r="G8" s="151"/>
      <c r="H8" s="151"/>
      <c r="I8" s="151"/>
    </row>
    <row r="9" spans="1:13">
      <c r="B9" s="135" t="str">
        <f>'DEU 2.04R Beta'!B7</f>
        <v>Atmos Energy Corporation</v>
      </c>
      <c r="C9" s="151" t="str">
        <f>'DEU 2.04R Beta'!C7</f>
        <v>ATO</v>
      </c>
      <c r="D9" s="233">
        <v>0.1</v>
      </c>
      <c r="E9" s="234">
        <v>120</v>
      </c>
      <c r="F9" s="234">
        <v>145</v>
      </c>
      <c r="G9" s="136">
        <f t="shared" ref="G9:G15" si="0">(F9/E9)^(1/4)-1</f>
        <v>4.8447501398811044E-2</v>
      </c>
      <c r="H9" s="148">
        <f t="shared" ref="H9:H15" si="1">2*(1+G9)/(2+G9)</f>
        <v>1.0236508386794039</v>
      </c>
      <c r="I9" s="136">
        <f t="shared" ref="I9:I15" si="2">D9*H9</f>
        <v>0.1023650838679404</v>
      </c>
      <c r="K9" s="141"/>
      <c r="M9" s="136"/>
    </row>
    <row r="10" spans="1:13">
      <c r="B10" s="135" t="str">
        <f>'DEU 2.04R Beta'!B8</f>
        <v>New Jersey Resources Corporation</v>
      </c>
      <c r="C10" s="237" t="str">
        <f>'DEU 2.04R Beta'!C8</f>
        <v>NJR</v>
      </c>
      <c r="D10" s="233">
        <v>0.115</v>
      </c>
      <c r="E10" s="234">
        <v>88</v>
      </c>
      <c r="F10" s="234">
        <v>89</v>
      </c>
      <c r="G10" s="136">
        <f t="shared" si="0"/>
        <v>2.8288825716431543E-3</v>
      </c>
      <c r="H10" s="148">
        <f t="shared" si="1"/>
        <v>1.0014124434674672</v>
      </c>
      <c r="I10" s="136">
        <f t="shared" si="2"/>
        <v>0.11516243099875872</v>
      </c>
      <c r="K10" s="141"/>
      <c r="L10" s="285"/>
      <c r="M10" s="136"/>
    </row>
    <row r="11" spans="1:13">
      <c r="B11" s="135" t="str">
        <f>'DEU 2.04R Beta'!B9</f>
        <v>Northwest Natural Holding Company</v>
      </c>
      <c r="C11" s="237" t="str">
        <f>'DEU 2.04R Beta'!C9</f>
        <v>NWN</v>
      </c>
      <c r="D11" s="233">
        <v>0.12</v>
      </c>
      <c r="E11" s="234">
        <v>30.5</v>
      </c>
      <c r="F11" s="234">
        <v>32</v>
      </c>
      <c r="G11" s="136">
        <f t="shared" si="0"/>
        <v>1.2074621489526205E-2</v>
      </c>
      <c r="H11" s="148">
        <f t="shared" si="1"/>
        <v>1.0060010803578385</v>
      </c>
      <c r="I11" s="136">
        <f t="shared" si="2"/>
        <v>0.12072012964294061</v>
      </c>
      <c r="K11" s="141"/>
      <c r="M11" s="136"/>
    </row>
    <row r="12" spans="1:13">
      <c r="B12" s="135" t="str">
        <f>'DEU 2.04R Beta'!B10</f>
        <v>ONE Gas, Inc.</v>
      </c>
      <c r="C12" s="237" t="str">
        <f>'DEU 2.04R Beta'!C10</f>
        <v>OGS</v>
      </c>
      <c r="D12" s="233">
        <v>0.1</v>
      </c>
      <c r="E12" s="234">
        <v>53</v>
      </c>
      <c r="F12" s="234">
        <v>55</v>
      </c>
      <c r="G12" s="136">
        <f t="shared" si="0"/>
        <v>9.3033273218088297E-3</v>
      </c>
      <c r="H12" s="148">
        <f t="shared" si="1"/>
        <v>1.0046301258726373</v>
      </c>
      <c r="I12" s="136">
        <f t="shared" si="2"/>
        <v>0.10046301258726374</v>
      </c>
      <c r="K12" s="141"/>
      <c r="M12" s="136"/>
    </row>
    <row r="13" spans="1:13">
      <c r="B13" s="135" t="str">
        <f>'DEU 2.04R Beta'!B11</f>
        <v>South Jersey Industries, Inc.</v>
      </c>
      <c r="C13" s="237" t="str">
        <f>'DEU 2.04R Beta'!C11</f>
        <v>SJI</v>
      </c>
      <c r="D13" s="233">
        <v>0.12</v>
      </c>
      <c r="E13" s="234">
        <v>94</v>
      </c>
      <c r="F13" s="234">
        <v>100</v>
      </c>
      <c r="G13" s="136">
        <f t="shared" si="0"/>
        <v>1.5589112908755753E-2</v>
      </c>
      <c r="H13" s="148">
        <f t="shared" si="1"/>
        <v>1.0077342712405599</v>
      </c>
      <c r="I13" s="136">
        <f t="shared" si="2"/>
        <v>0.12092811254886719</v>
      </c>
      <c r="K13" s="141"/>
      <c r="M13" s="136"/>
    </row>
    <row r="14" spans="1:13">
      <c r="B14" s="135" t="str">
        <f>'DEU 2.04R Beta'!B12</f>
        <v>Spire Inc.</v>
      </c>
      <c r="C14" s="237" t="str">
        <f>'DEU 2.04R Beta'!C12</f>
        <v>SR</v>
      </c>
      <c r="D14" s="233">
        <v>0.09</v>
      </c>
      <c r="E14" s="234">
        <v>51</v>
      </c>
      <c r="F14" s="234">
        <v>55</v>
      </c>
      <c r="G14" s="136">
        <f t="shared" si="0"/>
        <v>1.9056182979069858E-2</v>
      </c>
      <c r="H14" s="148">
        <f t="shared" si="1"/>
        <v>1.0094381638013423</v>
      </c>
      <c r="I14" s="136">
        <f t="shared" si="2"/>
        <v>9.0849434742120802E-2</v>
      </c>
      <c r="K14" s="141"/>
      <c r="M14" s="136"/>
    </row>
    <row r="15" spans="1:13">
      <c r="B15" s="135" t="str">
        <f>'DEU 2.04R Beta'!B13</f>
        <v>Southwest Gas Holdings, Inc.</v>
      </c>
      <c r="C15" s="237" t="str">
        <f>'DEU 2.04R Beta'!C13</f>
        <v>SWX</v>
      </c>
      <c r="D15" s="233">
        <v>0.1</v>
      </c>
      <c r="E15" s="234">
        <v>55</v>
      </c>
      <c r="F15" s="234">
        <v>58</v>
      </c>
      <c r="G15" s="136">
        <f t="shared" si="0"/>
        <v>1.3365993165816104E-2</v>
      </c>
      <c r="H15" s="148">
        <f t="shared" si="1"/>
        <v>1.0066386306370454</v>
      </c>
      <c r="I15" s="136">
        <f t="shared" si="2"/>
        <v>0.10066386306370455</v>
      </c>
      <c r="K15" s="141"/>
      <c r="M15" s="136"/>
    </row>
    <row r="16" spans="1:13">
      <c r="A16" s="141"/>
      <c r="C16" s="151"/>
      <c r="D16" s="150"/>
      <c r="E16" s="149"/>
      <c r="F16" s="149"/>
      <c r="G16" s="136"/>
      <c r="H16" s="148"/>
      <c r="I16" s="136"/>
      <c r="J16" s="141"/>
      <c r="K16" s="141"/>
      <c r="M16" s="136"/>
    </row>
    <row r="17" spans="1:11">
      <c r="A17" s="141"/>
      <c r="B17" s="143"/>
      <c r="C17" s="147"/>
      <c r="D17" s="146"/>
      <c r="E17" s="145"/>
      <c r="F17" s="145"/>
      <c r="G17" s="144"/>
      <c r="H17" s="143" t="s">
        <v>1133</v>
      </c>
      <c r="I17" s="142">
        <f>MEDIAN(I9:I15)</f>
        <v>0.1023650838679404</v>
      </c>
      <c r="J17" s="141"/>
      <c r="K17" s="141"/>
    </row>
    <row r="18" spans="1:11">
      <c r="H18" s="135" t="s">
        <v>20</v>
      </c>
      <c r="I18" s="140">
        <f>AVERAGE(I9:I15)</f>
        <v>0.10730743820737086</v>
      </c>
    </row>
    <row r="19" spans="1:11">
      <c r="B19" s="139" t="s">
        <v>76</v>
      </c>
      <c r="D19" s="138"/>
      <c r="I19" s="137"/>
    </row>
    <row r="20" spans="1:11">
      <c r="B20" s="135" t="s">
        <v>103</v>
      </c>
    </row>
    <row r="21" spans="1:11">
      <c r="B21" s="135" t="s">
        <v>104</v>
      </c>
      <c r="I21" s="136"/>
    </row>
    <row r="22" spans="1:11">
      <c r="B22" s="135" t="s">
        <v>1132</v>
      </c>
    </row>
    <row r="23" spans="1:11">
      <c r="B23" s="135" t="s">
        <v>1130</v>
      </c>
    </row>
    <row r="24" spans="1:11">
      <c r="B24" s="135" t="s">
        <v>1131</v>
      </c>
    </row>
    <row r="25" spans="1:11">
      <c r="B25" s="135" t="s">
        <v>1129</v>
      </c>
    </row>
  </sheetData>
  <mergeCells count="2">
    <mergeCell ref="B2:I2"/>
    <mergeCell ref="E6:G6"/>
  </mergeCells>
  <pageMargins left="0.7" right="0.7" top="0.75" bottom="0.75" header="0.3" footer="0.3"/>
  <pageSetup orientation="landscape" useFirstPageNumber="1" r:id="rId1"/>
  <headerFooter>
    <oddHeader>&amp;R&amp;10DEU Exhibit 2.07R
Page &amp;P of 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19</vt:i4>
      </vt:variant>
    </vt:vector>
  </HeadingPairs>
  <TitlesOfParts>
    <vt:vector size="45" baseType="lpstr">
      <vt:lpstr>DEU 2.01R Constant Growth DCF</vt:lpstr>
      <vt:lpstr>DEU 2.02R Retention Growth</vt:lpstr>
      <vt:lpstr>DEU 2.03R MRP Bloomberg</vt:lpstr>
      <vt:lpstr>DEU 2.03R MRP Value Line</vt:lpstr>
      <vt:lpstr>DEU 2.04R Beta</vt:lpstr>
      <vt:lpstr>DEU 2.05R CAPM</vt:lpstr>
      <vt:lpstr>DEU 2.06R Risk Premium</vt:lpstr>
      <vt:lpstr>DEU 2.07R Expected Earnings</vt:lpstr>
      <vt:lpstr>DEU 2.08R Capital Structure</vt:lpstr>
      <vt:lpstr>DEU 2.09R Recent Auth ROEs</vt:lpstr>
      <vt:lpstr>DEU 2.10R DPU 3.04 Corrected</vt:lpstr>
      <vt:lpstr>DEU 2.11R DCF Proof</vt:lpstr>
      <vt:lpstr>DEU 2.12R Payout Ratio</vt:lpstr>
      <vt:lpstr>DEU 2.13R DJL MStage Midyear</vt:lpstr>
      <vt:lpstr>DEU 2.14R DJL Fin Integrity</vt:lpstr>
      <vt:lpstr>DEU 2.15R 2.01excl DJL outliers</vt:lpstr>
      <vt:lpstr>DEU 2.16R OCS 3.7_3.8 Corrected</vt:lpstr>
      <vt:lpstr>DEU 2.17R RP Rolling Avg</vt:lpstr>
      <vt:lpstr>DEU 2.18R RP Annl Credit Spread</vt:lpstr>
      <vt:lpstr>DEU 2.19R MRP Freq. Dist.</vt:lpstr>
      <vt:lpstr>DEU 2.20R CAPM_ECAPM Alpha</vt:lpstr>
      <vt:lpstr>DEU 2.21R Alt. RP</vt:lpstr>
      <vt:lpstr>DEU 2.22R Flotation Cost Ex</vt:lpstr>
      <vt:lpstr>DEU 2.23R MPG Fin. Integrity</vt:lpstr>
      <vt:lpstr>DEU 2.24R ANGC Exh 1.04 correct</vt:lpstr>
      <vt:lpstr>RBH-8 Small Size</vt:lpstr>
      <vt:lpstr>'DEU 2.08R Capital Structure'!Print_Area</vt:lpstr>
      <vt:lpstr>'DEU 2.09R Recent Auth ROEs'!Print_Area</vt:lpstr>
      <vt:lpstr>'DEU 2.10R DPU 3.04 Corrected'!Print_Area</vt:lpstr>
      <vt:lpstr>'DEU 2.14R DJL Fin Integrity'!Print_Area</vt:lpstr>
      <vt:lpstr>'DEU 2.16R OCS 3.7_3.8 Corrected'!Print_Area</vt:lpstr>
      <vt:lpstr>'DEU 2.17R RP Rolling Avg'!Print_Area</vt:lpstr>
      <vt:lpstr>'DEU 2.18R RP Annl Credit Spread'!Print_Area</vt:lpstr>
      <vt:lpstr>'DEU 2.20R CAPM_ECAPM Alpha'!Print_Area</vt:lpstr>
      <vt:lpstr>'DEU 2.21R Alt. RP'!Print_Area</vt:lpstr>
      <vt:lpstr>'DEU 2.23R MPG Fin. Integrity'!Print_Area</vt:lpstr>
      <vt:lpstr>'DEU 2.24R ANGC Exh 1.04 correct'!Print_Area</vt:lpstr>
      <vt:lpstr>'RBH-8 Small Size'!Print_Area</vt:lpstr>
      <vt:lpstr>'DEU 2.03R MRP Bloomberg'!Print_Titles</vt:lpstr>
      <vt:lpstr>'DEU 2.03R MRP Value Line'!Print_Titles</vt:lpstr>
      <vt:lpstr>'DEU 2.06R Risk Premium'!Print_Titles</vt:lpstr>
      <vt:lpstr>'DEU 2.09R Recent Auth ROEs'!Print_Titles</vt:lpstr>
      <vt:lpstr>'DEU 2.13R DJL MStage Midyear'!Print_Titles</vt:lpstr>
      <vt:lpstr>'DEU 2.20R CAPM_ECAPM Alpha'!Print_Titles</vt:lpstr>
      <vt:lpstr>'DEU 2.21R Alt. RP'!Print_Titles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2019-10-22T12:50:07Z</dcterms:created>
  <dcterms:modified xsi:type="dcterms:W3CDTF">2019-11-15T13:59:38Z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{5E3453C2-7299-412D-AEBC-C58BD02D43E7}</vt:lpwstr>
  </property>
  <property fmtid="{D5CDD505-2E9C-101B-9397-08002B2CF9AE}" pid="3" name="cap" linkTarget="prop_cap">
    <vt:r8>0</vt:r8>
  </property>
  <property fmtid="{D5CDD505-2E9C-101B-9397-08002B2CF9AE}" pid="4" name="sum_blk1_chg" linkTarget="prop_sum_blk1_chg">
    <vt:r8>0</vt:r8>
  </property>
  <property fmtid="{D5CDD505-2E9C-101B-9397-08002B2CF9AE}" pid="5" name="sum_cust_chg" linkTarget="prop_sum_cust_chg">
    <vt:r8>0</vt:r8>
  </property>
  <property fmtid="{D5CDD505-2E9C-101B-9397-08002B2CF9AE}" pid="6" name="win_blk1_chg" linkTarget="prop_win_blk1_chg">
    <vt:r8>0</vt:r8>
  </property>
  <property fmtid="{D5CDD505-2E9C-101B-9397-08002B2CF9AE}" pid="7" name="win_cust_chg" linkTarget="prop_win_cust_chg">
    <vt:r8>0</vt:r8>
  </property>
  <property fmtid="{D5CDD505-2E9C-101B-9397-08002B2CF9AE}" pid="8" name="win_xs_chg" linkTarget="prop_win_xs_chg">
    <vt:r8>0</vt:r8>
  </property>
</Properties>
</file>