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1555" windowHeight="11520" tabRatio="500" firstSheet="10" activeTab="3"/>
  </bookViews>
  <sheets>
    <sheet name=" A" sheetId="1" r:id="rId1"/>
    <sheet name="COMPARABLE GROUP WP1" sheetId="2" r:id="rId2"/>
    <sheet name="GROUP DATA WP2" sheetId="3" r:id="rId3"/>
    <sheet name="GROUP DATA WP 3" sheetId="4" r:id="rId4"/>
    <sheet name="(DJL-2)" sheetId="5" r:id="rId5"/>
    <sheet name="OCS SR 3.1)" sheetId="7" r:id="rId6"/>
    <sheet name="OCS SR 3.2" sheetId="6" r:id="rId7"/>
    <sheet name="OCS SR 3.3" sheetId="8" r:id="rId8"/>
    <sheet name="OCS SR 3.4 P.1" sheetId="9" r:id="rId9"/>
    <sheet name="OCS SR 3.4 P.2" sheetId="10" r:id="rId10"/>
    <sheet name="OCS SR  3.4 P.3" sheetId="11" r:id="rId11"/>
    <sheet name="OCS SR 3.5" sheetId="12" r:id="rId12"/>
    <sheet name="OCS SR 3.6" sheetId="13" r:id="rId13"/>
    <sheet name="OCS SR 3.7" sheetId="14" r:id="rId14"/>
    <sheet name="OCS SR 3.8" sheetId="15" r:id="rId15"/>
    <sheet name="OCS SR 3.9" sheetId="16" r:id="rId16"/>
    <sheet name="OCS SR 3.10" sheetId="20" r:id="rId17"/>
    <sheet name="OCS SR 3.11" sheetId="21" r:id="rId18"/>
    <sheet name="XX" sheetId="17" r:id="rId19"/>
    <sheet name="DEUDCF" sheetId="18" r:id="rId20"/>
    <sheet name="HEVERTDCF" sheetId="19" r:id="rId2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 A'!$A$1:$G$39</definedName>
    <definedName name="_xlnm.Print_Area" localSheetId="1">'COMPARABLE GROUP WP1'!$A$1:$H$25</definedName>
    <definedName name="_xlnm.Print_Area" localSheetId="19">DEUDCF!$A$9:$F$54</definedName>
    <definedName name="_xlnm.Print_Area" localSheetId="3">'GROUP DATA WP 3'!$A$2:$V$25</definedName>
    <definedName name="_xlnm.Print_Area" localSheetId="2">'GROUP DATA WP2'!$A$1:$U$22</definedName>
    <definedName name="_xlnm.Print_Area" localSheetId="20">HEVERTDCF!$B$1:$R$40</definedName>
    <definedName name="_xlnm.Print_Area" localSheetId="10">'OCS SR  3.4 P.3'!$A$1:$Q$23</definedName>
    <definedName name="_xlnm.Print_Area" localSheetId="5">'OCS SR 3.1)'!$A$1:$D$99</definedName>
    <definedName name="_xlnm.Print_Area" localSheetId="6">'OCS SR 3.2'!$A$1:$H$23</definedName>
    <definedName name="_xlnm.Print_Area" localSheetId="7">'OCS SR 3.3'!$A$1:$Q$28</definedName>
    <definedName name="_xlnm.Print_Area" localSheetId="8">'OCS SR 3.4 P.1'!$B$1:$Q$27</definedName>
    <definedName name="_xlnm.Print_Area" localSheetId="9">'OCS SR 3.4 P.2'!$A$1:$M$30</definedName>
    <definedName name="_xlnm.Print_Area" localSheetId="11">'OCS SR 3.5'!$A$1:$J$24</definedName>
    <definedName name="_xlnm.Print_Area" localSheetId="12">'OCS SR 3.6'!$A$1:$O$29</definedName>
    <definedName name="_xlnm.Print_Area" localSheetId="13">'OCS SR 3.7'!$A$1:$O$26</definedName>
    <definedName name="_xlnm.Print_Area" localSheetId="14">'OCS SR 3.8'!$A$1:$F$70</definedName>
    <definedName name="_xlnm.Print_Area" localSheetId="15">'OCS SR 3.9'!$A$1:$I$47</definedName>
    <definedName name="_xlnm.Print_Area" localSheetId="18">XX!$A$1:$I$42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8" l="1"/>
  <c r="K20" i="8"/>
  <c r="K19" i="8"/>
  <c r="K18" i="8"/>
  <c r="K16" i="8"/>
  <c r="K15" i="8"/>
  <c r="K13" i="8"/>
  <c r="K17" i="8"/>
  <c r="N14" i="14" l="1"/>
  <c r="F14" i="14"/>
  <c r="E14" i="14"/>
  <c r="J16" i="12"/>
  <c r="L20" i="8"/>
  <c r="L19" i="8"/>
  <c r="L18" i="8"/>
  <c r="L17" i="8"/>
  <c r="L16" i="8"/>
  <c r="L15" i="8"/>
  <c r="L13" i="8"/>
  <c r="T14" i="8"/>
  <c r="A21" i="8"/>
  <c r="A22" i="8" s="1"/>
  <c r="A20" i="8"/>
  <c r="J22" i="8"/>
  <c r="J21" i="8"/>
  <c r="D96" i="7"/>
  <c r="C96" i="7"/>
  <c r="D95" i="7"/>
  <c r="C95" i="7"/>
  <c r="D94" i="7"/>
  <c r="C94" i="7"/>
  <c r="D93" i="7"/>
  <c r="C93" i="7"/>
  <c r="B96" i="7"/>
  <c r="B95" i="7"/>
  <c r="B94" i="7"/>
  <c r="B93" i="7"/>
  <c r="R24" i="19" l="1"/>
  <c r="R29" i="19"/>
  <c r="F40" i="19"/>
  <c r="J40" i="19" s="1"/>
  <c r="E40" i="19"/>
  <c r="G40" i="19" s="1"/>
  <c r="H39" i="19"/>
  <c r="L39" i="19" s="1"/>
  <c r="G39" i="19"/>
  <c r="K39" i="19" s="1"/>
  <c r="J36" i="19"/>
  <c r="F36" i="19"/>
  <c r="H36" i="19" s="1"/>
  <c r="L36" i="19" s="1"/>
  <c r="E36" i="19"/>
  <c r="G36" i="19" s="1"/>
  <c r="J35" i="19"/>
  <c r="H35" i="19"/>
  <c r="L35" i="19" s="1"/>
  <c r="G35" i="19"/>
  <c r="I35" i="19" s="1"/>
  <c r="F31" i="19"/>
  <c r="J31" i="19" s="1"/>
  <c r="E31" i="19"/>
  <c r="G31" i="19" s="1"/>
  <c r="H30" i="19"/>
  <c r="L30" i="19" s="1"/>
  <c r="G30" i="19"/>
  <c r="K30" i="19" s="1"/>
  <c r="J26" i="19"/>
  <c r="H26" i="19"/>
  <c r="L26" i="19" s="1"/>
  <c r="G26" i="19"/>
  <c r="I26" i="19" s="1"/>
  <c r="F27" i="19"/>
  <c r="H27" i="19" s="1"/>
  <c r="L27" i="19" s="1"/>
  <c r="E27" i="19"/>
  <c r="G27" i="19" s="1"/>
  <c r="Q17" i="19"/>
  <c r="R17" i="19"/>
  <c r="Q16" i="19"/>
  <c r="P16" i="19"/>
  <c r="R15" i="19"/>
  <c r="Q15" i="19"/>
  <c r="R13" i="19"/>
  <c r="Q13" i="19"/>
  <c r="Q12" i="19"/>
  <c r="P12" i="19"/>
  <c r="R18" i="19"/>
  <c r="Q18" i="19"/>
  <c r="P18" i="19"/>
  <c r="R11" i="19"/>
  <c r="R20" i="19" s="1"/>
  <c r="Q11" i="19"/>
  <c r="Q20" i="19" s="1"/>
  <c r="P11" i="19"/>
  <c r="P20" i="19" s="1"/>
  <c r="N20" i="19"/>
  <c r="M20" i="19"/>
  <c r="L20" i="19"/>
  <c r="N19" i="19"/>
  <c r="M19" i="19"/>
  <c r="L19" i="19"/>
  <c r="J20" i="19"/>
  <c r="I20" i="19"/>
  <c r="H20" i="19"/>
  <c r="J19" i="19"/>
  <c r="I19" i="19"/>
  <c r="H19" i="19"/>
  <c r="F20" i="19"/>
  <c r="E20" i="19"/>
  <c r="F19" i="19"/>
  <c r="E19" i="19"/>
  <c r="D20" i="19"/>
  <c r="D19" i="19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I27" i="19" l="1"/>
  <c r="K27" i="19"/>
  <c r="I36" i="19"/>
  <c r="K36" i="19"/>
  <c r="J27" i="19"/>
  <c r="P19" i="19"/>
  <c r="K26" i="19"/>
  <c r="Q19" i="19"/>
  <c r="R23" i="19" s="1"/>
  <c r="R26" i="19" s="1"/>
  <c r="R19" i="19"/>
  <c r="I39" i="19"/>
  <c r="K35" i="19"/>
  <c r="K40" i="19"/>
  <c r="I40" i="19"/>
  <c r="H40" i="19"/>
  <c r="L40" i="19" s="1"/>
  <c r="K31" i="19"/>
  <c r="I31" i="19"/>
  <c r="H31" i="19"/>
  <c r="L31" i="19" s="1"/>
  <c r="I30" i="19"/>
  <c r="E12" i="12"/>
  <c r="S21" i="8"/>
  <c r="T21" i="8" s="1"/>
  <c r="D17" i="12"/>
  <c r="G21" i="13" s="1"/>
  <c r="P15" i="8"/>
  <c r="T22" i="8"/>
  <c r="T20" i="8"/>
  <c r="T19" i="8"/>
  <c r="T18" i="8"/>
  <c r="T17" i="8"/>
  <c r="T16" i="8"/>
  <c r="T15" i="8"/>
  <c r="T13" i="8"/>
  <c r="F13" i="14" l="1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D55" i="15" l="1"/>
  <c r="E37" i="17"/>
  <c r="F32" i="17"/>
  <c r="G32" i="17" s="1"/>
  <c r="F31" i="17"/>
  <c r="G31" i="17" s="1"/>
  <c r="F30" i="17"/>
  <c r="G30" i="17" s="1"/>
  <c r="F29" i="17"/>
  <c r="G29" i="17" s="1"/>
  <c r="F28" i="17"/>
  <c r="F34" i="17" s="1"/>
  <c r="E34" i="17"/>
  <c r="E33" i="17"/>
  <c r="D33" i="17"/>
  <c r="D34" i="17" s="1"/>
  <c r="C34" i="17"/>
  <c r="C33" i="17"/>
  <c r="B29" i="17"/>
  <c r="B30" i="17" s="1"/>
  <c r="B31" i="17" s="1"/>
  <c r="B32" i="17" s="1"/>
  <c r="G28" i="17" l="1"/>
  <c r="F33" i="17"/>
  <c r="E20" i="16"/>
  <c r="D21" i="16"/>
  <c r="D20" i="16"/>
  <c r="C13" i="16"/>
  <c r="C12" i="16"/>
  <c r="C14" i="16" s="1"/>
  <c r="E21" i="13"/>
  <c r="D21" i="13"/>
  <c r="H21" i="13" s="1"/>
  <c r="P10" i="11"/>
  <c r="Q17" i="11"/>
  <c r="P17" i="11"/>
  <c r="N17" i="11"/>
  <c r="J17" i="11"/>
  <c r="J16" i="11"/>
  <c r="I17" i="11"/>
  <c r="H17" i="11"/>
  <c r="G17" i="11"/>
  <c r="K17" i="11" s="1"/>
  <c r="F17" i="11"/>
  <c r="E17" i="11"/>
  <c r="E18" i="10" s="1"/>
  <c r="D17" i="11"/>
  <c r="D18" i="10" s="1"/>
  <c r="N18" i="9"/>
  <c r="N17" i="9"/>
  <c r="N16" i="9"/>
  <c r="N15" i="9"/>
  <c r="N14" i="9"/>
  <c r="N13" i="9"/>
  <c r="N11" i="9"/>
  <c r="M18" i="9"/>
  <c r="P18" i="9" s="1"/>
  <c r="H17" i="12" s="1"/>
  <c r="M17" i="9"/>
  <c r="M16" i="9"/>
  <c r="M15" i="9"/>
  <c r="M14" i="9"/>
  <c r="M13" i="9"/>
  <c r="M11" i="9"/>
  <c r="L18" i="9"/>
  <c r="K20" i="4"/>
  <c r="I18" i="9"/>
  <c r="H18" i="9"/>
  <c r="G18" i="9"/>
  <c r="F18" i="9"/>
  <c r="E18" i="9"/>
  <c r="D18" i="9"/>
  <c r="I17" i="9"/>
  <c r="H17" i="9"/>
  <c r="G17" i="9"/>
  <c r="F17" i="9"/>
  <c r="E17" i="9"/>
  <c r="D17" i="9"/>
  <c r="I16" i="9"/>
  <c r="H16" i="9"/>
  <c r="F16" i="9"/>
  <c r="E16" i="9"/>
  <c r="D16" i="9"/>
  <c r="H14" i="9"/>
  <c r="F14" i="9"/>
  <c r="E14" i="9"/>
  <c r="I13" i="9"/>
  <c r="H13" i="9"/>
  <c r="G13" i="9"/>
  <c r="F13" i="9"/>
  <c r="E13" i="9"/>
  <c r="D13" i="9"/>
  <c r="G20" i="9"/>
  <c r="F20" i="9"/>
  <c r="I11" i="9"/>
  <c r="H11" i="9"/>
  <c r="G11" i="9"/>
  <c r="F11" i="9"/>
  <c r="E11" i="9"/>
  <c r="D11" i="9"/>
  <c r="O20" i="8"/>
  <c r="O13" i="8"/>
  <c r="O15" i="8"/>
  <c r="O16" i="8"/>
  <c r="O17" i="8"/>
  <c r="O18" i="8"/>
  <c r="O19" i="8"/>
  <c r="N22" i="8"/>
  <c r="M22" i="8"/>
  <c r="I22" i="8"/>
  <c r="H22" i="8"/>
  <c r="G22" i="8"/>
  <c r="F22" i="8"/>
  <c r="E22" i="8"/>
  <c r="N21" i="8"/>
  <c r="M21" i="8"/>
  <c r="I21" i="8"/>
  <c r="H21" i="8"/>
  <c r="G21" i="8"/>
  <c r="F21" i="8"/>
  <c r="E21" i="8"/>
  <c r="D22" i="8"/>
  <c r="D21" i="8"/>
  <c r="H17" i="6"/>
  <c r="G17" i="6"/>
  <c r="F17" i="6"/>
  <c r="E17" i="6"/>
  <c r="D17" i="6"/>
  <c r="D20" i="14" s="1"/>
  <c r="Q19" i="4"/>
  <c r="I19" i="4"/>
  <c r="G19" i="4"/>
  <c r="F19" i="4"/>
  <c r="V21" i="4"/>
  <c r="U21" i="4"/>
  <c r="T21" i="4"/>
  <c r="S21" i="4"/>
  <c r="R21" i="4"/>
  <c r="Q12" i="4"/>
  <c r="Q14" i="4"/>
  <c r="Q15" i="4"/>
  <c r="Q17" i="4"/>
  <c r="Q18" i="4"/>
  <c r="P21" i="4"/>
  <c r="O21" i="4"/>
  <c r="N21" i="4"/>
  <c r="M21" i="4"/>
  <c r="L21" i="4"/>
  <c r="K21" i="4"/>
  <c r="J21" i="4"/>
  <c r="I12" i="4"/>
  <c r="I14" i="4"/>
  <c r="I15" i="4"/>
  <c r="I21" i="4" s="1"/>
  <c r="I16" i="4"/>
  <c r="I17" i="4"/>
  <c r="I18" i="4"/>
  <c r="H21" i="4"/>
  <c r="G12" i="4"/>
  <c r="G14" i="4"/>
  <c r="G15" i="4"/>
  <c r="G16" i="4"/>
  <c r="G17" i="4"/>
  <c r="G18" i="4"/>
  <c r="F12" i="4"/>
  <c r="F14" i="4"/>
  <c r="F15" i="4"/>
  <c r="F16" i="4"/>
  <c r="F17" i="4"/>
  <c r="F18" i="4"/>
  <c r="E21" i="4"/>
  <c r="V20" i="4"/>
  <c r="U20" i="4"/>
  <c r="T20" i="4"/>
  <c r="S20" i="4"/>
  <c r="R20" i="4"/>
  <c r="P20" i="4"/>
  <c r="O20" i="4"/>
  <c r="N20" i="4"/>
  <c r="M20" i="4"/>
  <c r="L20" i="4"/>
  <c r="J20" i="4"/>
  <c r="H20" i="4"/>
  <c r="E20" i="4"/>
  <c r="D21" i="4"/>
  <c r="D20" i="4"/>
  <c r="U18" i="3"/>
  <c r="M17" i="11" s="1"/>
  <c r="U17" i="3"/>
  <c r="U16" i="3"/>
  <c r="U15" i="3"/>
  <c r="M14" i="11" s="1"/>
  <c r="O14" i="11" s="1"/>
  <c r="L15" i="10" s="1"/>
  <c r="U14" i="3"/>
  <c r="U13" i="3"/>
  <c r="U1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11" i="3"/>
  <c r="D13" i="3"/>
  <c r="D20" i="3" s="1"/>
  <c r="D14" i="3"/>
  <c r="D15" i="3"/>
  <c r="D16" i="3"/>
  <c r="D17" i="3"/>
  <c r="D18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12" i="3"/>
  <c r="A13" i="3"/>
  <c r="A14" i="3" s="1"/>
  <c r="A15" i="3" s="1"/>
  <c r="A16" i="3" s="1"/>
  <c r="A17" i="3" s="1"/>
  <c r="A18" i="3" s="1"/>
  <c r="A19" i="3" s="1"/>
  <c r="A20" i="3" s="1"/>
  <c r="H20" i="2"/>
  <c r="G20" i="2"/>
  <c r="F20" i="2"/>
  <c r="E20" i="2"/>
  <c r="D20" i="2"/>
  <c r="H19" i="2"/>
  <c r="G19" i="2"/>
  <c r="F19" i="2"/>
  <c r="E19" i="2"/>
  <c r="D19" i="2"/>
  <c r="A36" i="16"/>
  <c r="A37" i="16" s="1"/>
  <c r="A38" i="16" s="1"/>
  <c r="A41" i="16"/>
  <c r="A42" i="16" s="1"/>
  <c r="D35" i="16"/>
  <c r="D16" i="12"/>
  <c r="G20" i="13" s="1"/>
  <c r="M13" i="14"/>
  <c r="N13" i="14"/>
  <c r="F15" i="14"/>
  <c r="F16" i="14" s="1"/>
  <c r="F17" i="14" s="1"/>
  <c r="F18" i="14" s="1"/>
  <c r="D14" i="12"/>
  <c r="G18" i="13" s="1"/>
  <c r="D13" i="12"/>
  <c r="G17" i="13" s="1"/>
  <c r="D10" i="12"/>
  <c r="G14" i="13" s="1"/>
  <c r="E20" i="13"/>
  <c r="F20" i="13" s="1"/>
  <c r="D20" i="13"/>
  <c r="E19" i="13"/>
  <c r="D19" i="13"/>
  <c r="H19" i="13" s="1"/>
  <c r="E18" i="13"/>
  <c r="F18" i="13" s="1"/>
  <c r="I18" i="13" s="1"/>
  <c r="J18" i="13" s="1"/>
  <c r="D18" i="13"/>
  <c r="E17" i="13"/>
  <c r="D17" i="13"/>
  <c r="H17" i="13" s="1"/>
  <c r="E16" i="13"/>
  <c r="D16" i="13"/>
  <c r="E14" i="13"/>
  <c r="D14" i="13"/>
  <c r="H18" i="13"/>
  <c r="T18" i="13" s="1"/>
  <c r="D10" i="11"/>
  <c r="E10" i="11"/>
  <c r="F10" i="11"/>
  <c r="H10" i="11"/>
  <c r="L10" i="11" s="1"/>
  <c r="J10" i="11"/>
  <c r="G10" i="11"/>
  <c r="I10" i="11"/>
  <c r="N10" i="11"/>
  <c r="Q10" i="11"/>
  <c r="Q19" i="11" s="1"/>
  <c r="D12" i="11"/>
  <c r="E12" i="11"/>
  <c r="F12" i="11"/>
  <c r="H12" i="11"/>
  <c r="J12" i="11"/>
  <c r="G12" i="11"/>
  <c r="K12" i="11" s="1"/>
  <c r="I12" i="11"/>
  <c r="N12" i="11"/>
  <c r="Q12" i="11"/>
  <c r="P12" i="11"/>
  <c r="D13" i="11"/>
  <c r="D14" i="10" s="1"/>
  <c r="E13" i="11"/>
  <c r="F13" i="11"/>
  <c r="H13" i="11"/>
  <c r="L13" i="11" s="1"/>
  <c r="J13" i="11"/>
  <c r="G13" i="11"/>
  <c r="K13" i="11" s="1"/>
  <c r="I13" i="11"/>
  <c r="N13" i="11"/>
  <c r="N14" i="11"/>
  <c r="N15" i="11"/>
  <c r="N16" i="11"/>
  <c r="Q13" i="11"/>
  <c r="P13" i="11"/>
  <c r="D14" i="11"/>
  <c r="E14" i="11"/>
  <c r="F14" i="11"/>
  <c r="H14" i="11"/>
  <c r="J14" i="11"/>
  <c r="G14" i="11"/>
  <c r="K14" i="11" s="1"/>
  <c r="I14" i="11"/>
  <c r="Q14" i="11"/>
  <c r="J15" i="10" s="1"/>
  <c r="P14" i="11"/>
  <c r="D15" i="11"/>
  <c r="E15" i="11"/>
  <c r="F15" i="11"/>
  <c r="H15" i="11"/>
  <c r="J15" i="11"/>
  <c r="G15" i="11"/>
  <c r="I15" i="11"/>
  <c r="M15" i="11"/>
  <c r="Q15" i="11"/>
  <c r="P15" i="11"/>
  <c r="D16" i="11"/>
  <c r="E16" i="11"/>
  <c r="E17" i="10" s="1"/>
  <c r="F16" i="11"/>
  <c r="H16" i="11"/>
  <c r="G16" i="11"/>
  <c r="K16" i="11" s="1"/>
  <c r="I16" i="11"/>
  <c r="Q16" i="11"/>
  <c r="P16" i="11"/>
  <c r="K19" i="9"/>
  <c r="K18" i="9"/>
  <c r="H16" i="6"/>
  <c r="G16" i="6"/>
  <c r="F16" i="6"/>
  <c r="E16" i="6"/>
  <c r="H14" i="6"/>
  <c r="F15" i="6"/>
  <c r="H15" i="6"/>
  <c r="G15" i="6"/>
  <c r="E15" i="6"/>
  <c r="G14" i="6"/>
  <c r="F14" i="6"/>
  <c r="E14" i="6"/>
  <c r="H13" i="6"/>
  <c r="G13" i="6"/>
  <c r="F13" i="6"/>
  <c r="E13" i="6"/>
  <c r="H12" i="6"/>
  <c r="G12" i="6"/>
  <c r="F12" i="6"/>
  <c r="E12" i="6"/>
  <c r="H10" i="6"/>
  <c r="G10" i="6"/>
  <c r="F10" i="6"/>
  <c r="E10" i="6"/>
  <c r="D10" i="6"/>
  <c r="D13" i="14" s="1"/>
  <c r="D16" i="6"/>
  <c r="D19" i="14"/>
  <c r="D15" i="6"/>
  <c r="D18" i="14"/>
  <c r="D14" i="6"/>
  <c r="D13" i="6"/>
  <c r="D16" i="14"/>
  <c r="D12" i="6"/>
  <c r="C51" i="15"/>
  <c r="D50" i="15"/>
  <c r="D49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B51" i="15"/>
  <c r="F34" i="7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L11" i="9"/>
  <c r="L13" i="9"/>
  <c r="P13" i="9" s="1"/>
  <c r="H12" i="12" s="1"/>
  <c r="L14" i="9"/>
  <c r="P14" i="9" s="1"/>
  <c r="H13" i="12" s="1"/>
  <c r="L15" i="9"/>
  <c r="P15" i="9" s="1"/>
  <c r="H14" i="12" s="1"/>
  <c r="L16" i="9"/>
  <c r="P16" i="9" s="1"/>
  <c r="H15" i="12" s="1"/>
  <c r="L17" i="9"/>
  <c r="M12" i="11"/>
  <c r="O12" i="11" s="1"/>
  <c r="M13" i="11"/>
  <c r="O13" i="11" s="1"/>
  <c r="M16" i="11"/>
  <c r="O16" i="11"/>
  <c r="D17" i="14"/>
  <c r="D15" i="14"/>
  <c r="L15" i="14" s="1"/>
  <c r="A31" i="16"/>
  <c r="A32" i="16" s="1"/>
  <c r="A33" i="16" s="1"/>
  <c r="E23" i="16"/>
  <c r="C30" i="16" s="1"/>
  <c r="D30" i="16" s="1"/>
  <c r="D33" i="16"/>
  <c r="A14" i="14"/>
  <c r="A15" i="14" s="1"/>
  <c r="A16" i="14" s="1"/>
  <c r="A17" i="14" s="1"/>
  <c r="A18" i="14" s="1"/>
  <c r="A19" i="14" s="1"/>
  <c r="A20" i="14" s="1"/>
  <c r="A21" i="14" s="1"/>
  <c r="A22" i="14" s="1"/>
  <c r="A15" i="13"/>
  <c r="A16" i="13"/>
  <c r="A17" i="13" s="1"/>
  <c r="A18" i="13" s="1"/>
  <c r="A19" i="13" s="1"/>
  <c r="A20" i="13" s="1"/>
  <c r="A21" i="13" s="1"/>
  <c r="A22" i="13" s="1"/>
  <c r="A11" i="12"/>
  <c r="A12" i="12"/>
  <c r="A13" i="12" s="1"/>
  <c r="A14" i="12" s="1"/>
  <c r="A15" i="12" s="1"/>
  <c r="A16" i="12" s="1"/>
  <c r="A17" i="12" s="1"/>
  <c r="A18" i="12" s="1"/>
  <c r="A11" i="11"/>
  <c r="A12" i="11"/>
  <c r="A13" i="11" s="1"/>
  <c r="A14" i="11" s="1"/>
  <c r="A15" i="11" s="1"/>
  <c r="A16" i="11" s="1"/>
  <c r="A17" i="11" s="1"/>
  <c r="A18" i="11" s="1"/>
  <c r="A19" i="11" s="1"/>
  <c r="A12" i="10"/>
  <c r="A13" i="10" s="1"/>
  <c r="A14" i="10" s="1"/>
  <c r="A15" i="10" s="1"/>
  <c r="A16" i="10" s="1"/>
  <c r="A17" i="10" s="1"/>
  <c r="A18" i="10" s="1"/>
  <c r="A19" i="10" s="1"/>
  <c r="A12" i="9"/>
  <c r="A13" i="9" s="1"/>
  <c r="A14" i="9" s="1"/>
  <c r="A15" i="9" s="1"/>
  <c r="A16" i="9" s="1"/>
  <c r="A17" i="9" s="1"/>
  <c r="A18" i="9" s="1"/>
  <c r="A19" i="9" s="1"/>
  <c r="A20" i="9" s="1"/>
  <c r="A14" i="8"/>
  <c r="A15" i="8" s="1"/>
  <c r="A16" i="8" s="1"/>
  <c r="A17" i="8" s="1"/>
  <c r="A18" i="8" s="1"/>
  <c r="A19" i="8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13" i="4"/>
  <c r="A14" i="4"/>
  <c r="A15" i="4" s="1"/>
  <c r="A16" i="4" s="1"/>
  <c r="A17" i="4" s="1"/>
  <c r="A18" i="4" s="1"/>
  <c r="A20" i="4" s="1"/>
  <c r="A21" i="4" s="1"/>
  <c r="D56" i="15"/>
  <c r="D57" i="15"/>
  <c r="C56" i="15"/>
  <c r="C57" i="15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U13" i="13"/>
  <c r="V13" i="13" s="1"/>
  <c r="W13" i="13" s="1"/>
  <c r="X13" i="13" s="1"/>
  <c r="Y13" i="13" s="1"/>
  <c r="Z13" i="13" s="1"/>
  <c r="AA13" i="13" s="1"/>
  <c r="AB13" i="13" s="1"/>
  <c r="AC13" i="13" s="1"/>
  <c r="AD13" i="13" s="1"/>
  <c r="AE13" i="13" s="1"/>
  <c r="AF13" i="13" s="1"/>
  <c r="AG13" i="13" s="1"/>
  <c r="AH13" i="13" s="1"/>
  <c r="AI13" i="13" s="1"/>
  <c r="AJ13" i="13" s="1"/>
  <c r="AK13" i="13" s="1"/>
  <c r="AL13" i="13" s="1"/>
  <c r="AM13" i="13" s="1"/>
  <c r="AN13" i="13" s="1"/>
  <c r="AO13" i="13" s="1"/>
  <c r="AP13" i="13" s="1"/>
  <c r="AQ13" i="13" s="1"/>
  <c r="AR13" i="13" s="1"/>
  <c r="AS13" i="13" s="1"/>
  <c r="AT13" i="13" s="1"/>
  <c r="AU13" i="13" s="1"/>
  <c r="AV13" i="13" s="1"/>
  <c r="AW13" i="13" s="1"/>
  <c r="AX13" i="13" s="1"/>
  <c r="AY13" i="13" s="1"/>
  <c r="AZ13" i="13" s="1"/>
  <c r="BA13" i="13" s="1"/>
  <c r="BB13" i="13" s="1"/>
  <c r="BC13" i="13" s="1"/>
  <c r="BD13" i="13" s="1"/>
  <c r="BE13" i="13" s="1"/>
  <c r="BF13" i="13" s="1"/>
  <c r="BG13" i="13" s="1"/>
  <c r="BH13" i="13" s="1"/>
  <c r="BI13" i="13" s="1"/>
  <c r="BJ13" i="13" s="1"/>
  <c r="BK13" i="13" s="1"/>
  <c r="BL13" i="13" s="1"/>
  <c r="BM13" i="13" s="1"/>
  <c r="BN13" i="13" s="1"/>
  <c r="BO13" i="13" s="1"/>
  <c r="BP13" i="13" s="1"/>
  <c r="BQ13" i="13" s="1"/>
  <c r="BR13" i="13" s="1"/>
  <c r="BS13" i="13" s="1"/>
  <c r="BT13" i="13" s="1"/>
  <c r="BU13" i="13" s="1"/>
  <c r="BV13" i="13" s="1"/>
  <c r="BW13" i="13" s="1"/>
  <c r="BX13" i="13" s="1"/>
  <c r="BY13" i="13" s="1"/>
  <c r="BZ13" i="13" s="1"/>
  <c r="CA13" i="13" s="1"/>
  <c r="CB13" i="13" s="1"/>
  <c r="CC13" i="13" s="1"/>
  <c r="CD13" i="13" s="1"/>
  <c r="CE13" i="13" s="1"/>
  <c r="CF13" i="13" s="1"/>
  <c r="CG13" i="13" s="1"/>
  <c r="CH13" i="13" s="1"/>
  <c r="CI13" i="13" s="1"/>
  <c r="CJ13" i="13" s="1"/>
  <c r="CK13" i="13" s="1"/>
  <c r="CL13" i="13" s="1"/>
  <c r="CM13" i="13" s="1"/>
  <c r="CN13" i="13" s="1"/>
  <c r="CO13" i="13" s="1"/>
  <c r="CP13" i="13" s="1"/>
  <c r="CQ13" i="13" s="1"/>
  <c r="CR13" i="13" s="1"/>
  <c r="CS13" i="13" s="1"/>
  <c r="CT13" i="13" s="1"/>
  <c r="CU13" i="13" s="1"/>
  <c r="CV13" i="13" s="1"/>
  <c r="CW13" i="13" s="1"/>
  <c r="CX13" i="13" s="1"/>
  <c r="CY13" i="13" s="1"/>
  <c r="CZ13" i="13" s="1"/>
  <c r="DA13" i="13" s="1"/>
  <c r="DB13" i="13" s="1"/>
  <c r="DC13" i="13" s="1"/>
  <c r="DD13" i="13" s="1"/>
  <c r="DE13" i="13" s="1"/>
  <c r="DF13" i="13" s="1"/>
  <c r="DG13" i="13" s="1"/>
  <c r="DH13" i="13" s="1"/>
  <c r="DI13" i="13" s="1"/>
  <c r="DJ13" i="13" s="1"/>
  <c r="DK13" i="13" s="1"/>
  <c r="DL13" i="13" s="1"/>
  <c r="DM13" i="13" s="1"/>
  <c r="DN13" i="13" s="1"/>
  <c r="DO13" i="13" s="1"/>
  <c r="DP13" i="13" s="1"/>
  <c r="DQ13" i="13" s="1"/>
  <c r="DR13" i="13" s="1"/>
  <c r="DS13" i="13" s="1"/>
  <c r="DT13" i="13" s="1"/>
  <c r="DU13" i="13" s="1"/>
  <c r="DV13" i="13" s="1"/>
  <c r="DW13" i="13" s="1"/>
  <c r="DX13" i="13" s="1"/>
  <c r="DY13" i="13" s="1"/>
  <c r="DZ13" i="13" s="1"/>
  <c r="EA13" i="13" s="1"/>
  <c r="EB13" i="13" s="1"/>
  <c r="EC13" i="13" s="1"/>
  <c r="ED13" i="13" s="1"/>
  <c r="EE13" i="13" s="1"/>
  <c r="EF13" i="13" s="1"/>
  <c r="EG13" i="13" s="1"/>
  <c r="EH13" i="13" s="1"/>
  <c r="EI13" i="13" s="1"/>
  <c r="EJ13" i="13" s="1"/>
  <c r="EK13" i="13" s="1"/>
  <c r="EL13" i="13" s="1"/>
  <c r="EM13" i="13" s="1"/>
  <c r="EN13" i="13" s="1"/>
  <c r="EO13" i="13" s="1"/>
  <c r="EP13" i="13" s="1"/>
  <c r="EQ13" i="13" s="1"/>
  <c r="ER13" i="13" s="1"/>
  <c r="ES13" i="13" s="1"/>
  <c r="ET13" i="13" s="1"/>
  <c r="EU13" i="13" s="1"/>
  <c r="EV13" i="13" s="1"/>
  <c r="EW13" i="13" s="1"/>
  <c r="EX13" i="13" s="1"/>
  <c r="EY13" i="13" s="1"/>
  <c r="EZ13" i="13" s="1"/>
  <c r="FA13" i="13" s="1"/>
  <c r="FB13" i="13" s="1"/>
  <c r="FC13" i="13" s="1"/>
  <c r="FD13" i="13" s="1"/>
  <c r="FE13" i="13" s="1"/>
  <c r="FF13" i="13" s="1"/>
  <c r="FG13" i="13" s="1"/>
  <c r="FH13" i="13" s="1"/>
  <c r="FI13" i="13" s="1"/>
  <c r="FJ13" i="13" s="1"/>
  <c r="FK13" i="13" s="1"/>
  <c r="FL13" i="13" s="1"/>
  <c r="FM13" i="13" s="1"/>
  <c r="Q9" i="11"/>
  <c r="P9" i="11"/>
  <c r="J9" i="11"/>
  <c r="I9" i="11"/>
  <c r="H9" i="11"/>
  <c r="G9" i="11"/>
  <c r="N10" i="9"/>
  <c r="M10" i="9"/>
  <c r="L10" i="9"/>
  <c r="K10" i="11"/>
  <c r="J14" i="9"/>
  <c r="J16" i="9"/>
  <c r="J17" i="9"/>
  <c r="O15" i="11"/>
  <c r="H20" i="13"/>
  <c r="F21" i="16"/>
  <c r="P19" i="8"/>
  <c r="P17" i="8"/>
  <c r="E14" i="12" s="1"/>
  <c r="F14" i="12" s="1"/>
  <c r="P18" i="8"/>
  <c r="E15" i="12" s="1"/>
  <c r="L17" i="14"/>
  <c r="L18" i="14"/>
  <c r="L19" i="14"/>
  <c r="L16" i="14"/>
  <c r="M10" i="11"/>
  <c r="H14" i="13"/>
  <c r="T14" i="13" s="1"/>
  <c r="E15" i="14"/>
  <c r="F16" i="13"/>
  <c r="H16" i="13"/>
  <c r="T16" i="13" s="1"/>
  <c r="F13" i="16"/>
  <c r="H13" i="16" s="1"/>
  <c r="I13" i="16" s="1"/>
  <c r="S21" i="13"/>
  <c r="O10" i="11"/>
  <c r="T21" i="13"/>
  <c r="D42" i="16"/>
  <c r="F20" i="16"/>
  <c r="H20" i="16"/>
  <c r="I20" i="16" s="1"/>
  <c r="D22" i="16"/>
  <c r="C42" i="16"/>
  <c r="D14" i="16"/>
  <c r="F12" i="16"/>
  <c r="F14" i="16" s="1"/>
  <c r="C31" i="16" s="1"/>
  <c r="G20" i="16"/>
  <c r="M15" i="14" l="1"/>
  <c r="M16" i="14" s="1"/>
  <c r="M14" i="14"/>
  <c r="E16" i="14"/>
  <c r="S20" i="13"/>
  <c r="S14" i="13"/>
  <c r="P17" i="9"/>
  <c r="H16" i="12" s="1"/>
  <c r="G16" i="12" s="1"/>
  <c r="I16" i="12" s="1"/>
  <c r="L16" i="11"/>
  <c r="P16" i="8"/>
  <c r="E13" i="12" s="1"/>
  <c r="F13" i="12" s="1"/>
  <c r="Q20" i="4"/>
  <c r="D19" i="9"/>
  <c r="E16" i="10"/>
  <c r="F17" i="13"/>
  <c r="I17" i="13" s="1"/>
  <c r="T17" i="13"/>
  <c r="F14" i="13"/>
  <c r="G20" i="4"/>
  <c r="T15" i="13"/>
  <c r="L13" i="14"/>
  <c r="G13" i="14"/>
  <c r="P20" i="8"/>
  <c r="D20" i="9"/>
  <c r="E19" i="6"/>
  <c r="J17" i="10"/>
  <c r="J16" i="10"/>
  <c r="D16" i="10"/>
  <c r="N18" i="11"/>
  <c r="D18" i="11"/>
  <c r="I19" i="13"/>
  <c r="U19" i="13" s="1"/>
  <c r="J13" i="9"/>
  <c r="F18" i="6"/>
  <c r="L14" i="11"/>
  <c r="F15" i="10" s="1"/>
  <c r="G15" i="10" s="1"/>
  <c r="E14" i="10"/>
  <c r="L12" i="11"/>
  <c r="F13" i="10" s="1"/>
  <c r="G13" i="10" s="1"/>
  <c r="H13" i="10" s="1"/>
  <c r="K18" i="11"/>
  <c r="I19" i="11"/>
  <c r="T19" i="13"/>
  <c r="F19" i="13"/>
  <c r="D19" i="3"/>
  <c r="S18" i="13"/>
  <c r="F19" i="9"/>
  <c r="J18" i="10"/>
  <c r="G18" i="6"/>
  <c r="J19" i="11"/>
  <c r="O17" i="11"/>
  <c r="S17" i="13"/>
  <c r="G13" i="16"/>
  <c r="Q19" i="8"/>
  <c r="E16" i="12"/>
  <c r="F16" i="12" s="1"/>
  <c r="H19" i="6"/>
  <c r="F17" i="10"/>
  <c r="G17" i="10" s="1"/>
  <c r="H17" i="10" s="1"/>
  <c r="K15" i="11"/>
  <c r="E15" i="10"/>
  <c r="E13" i="10"/>
  <c r="Q21" i="4"/>
  <c r="H19" i="9"/>
  <c r="D22" i="13"/>
  <c r="Q15" i="8"/>
  <c r="D12" i="12"/>
  <c r="D19" i="12" s="1"/>
  <c r="Q18" i="8"/>
  <c r="D15" i="12"/>
  <c r="G19" i="13" s="1"/>
  <c r="S19" i="13" s="1"/>
  <c r="G21" i="4"/>
  <c r="E23" i="13"/>
  <c r="F21" i="4"/>
  <c r="I16" i="13"/>
  <c r="U16" i="13" s="1"/>
  <c r="G14" i="12"/>
  <c r="I14" i="12" s="1"/>
  <c r="J14" i="12" s="1"/>
  <c r="F19" i="6"/>
  <c r="H18" i="6"/>
  <c r="D17" i="10"/>
  <c r="J14" i="10"/>
  <c r="F18" i="11"/>
  <c r="F20" i="4"/>
  <c r="D23" i="13"/>
  <c r="G34" i="17"/>
  <c r="G33" i="17"/>
  <c r="G21" i="16"/>
  <c r="E33" i="16"/>
  <c r="C37" i="16"/>
  <c r="C32" i="16"/>
  <c r="C34" i="16" s="1"/>
  <c r="H21" i="16"/>
  <c r="I21" i="16" s="1"/>
  <c r="I22" i="16" s="1"/>
  <c r="G22" i="16"/>
  <c r="F22" i="16"/>
  <c r="D31" i="16" s="1"/>
  <c r="D32" i="16" s="1"/>
  <c r="D34" i="16" s="1"/>
  <c r="D36" i="16" s="1"/>
  <c r="Q17" i="8"/>
  <c r="Q16" i="8"/>
  <c r="L22" i="8"/>
  <c r="L21" i="8"/>
  <c r="G16" i="14"/>
  <c r="O13" i="14"/>
  <c r="G15" i="14"/>
  <c r="N15" i="14"/>
  <c r="O15" i="14" s="1"/>
  <c r="D51" i="15"/>
  <c r="C60" i="15" s="1"/>
  <c r="D60" i="15"/>
  <c r="D58" i="15"/>
  <c r="N18" i="14"/>
  <c r="F19" i="14"/>
  <c r="L14" i="10"/>
  <c r="I14" i="10"/>
  <c r="K14" i="10" s="1"/>
  <c r="E17" i="14"/>
  <c r="N17" i="14"/>
  <c r="I14" i="13"/>
  <c r="H22" i="16"/>
  <c r="I11" i="10"/>
  <c r="L11" i="10"/>
  <c r="D38" i="16"/>
  <c r="G12" i="16"/>
  <c r="T20" i="13"/>
  <c r="T22" i="13" s="1"/>
  <c r="I20" i="13"/>
  <c r="H12" i="16"/>
  <c r="N16" i="14"/>
  <c r="K18" i="13"/>
  <c r="W18" i="13" s="1"/>
  <c r="V18" i="13"/>
  <c r="E20" i="9"/>
  <c r="J11" i="9"/>
  <c r="I15" i="10"/>
  <c r="K15" i="10" s="1"/>
  <c r="G19" i="11"/>
  <c r="G19" i="9"/>
  <c r="M19" i="9"/>
  <c r="N19" i="9"/>
  <c r="D18" i="12"/>
  <c r="I17" i="10"/>
  <c r="K17" i="10" s="1"/>
  <c r="L17" i="10"/>
  <c r="H15" i="10"/>
  <c r="L18" i="10"/>
  <c r="I18" i="10"/>
  <c r="H23" i="13"/>
  <c r="H22" i="13"/>
  <c r="M18" i="11"/>
  <c r="M19" i="11"/>
  <c r="I16" i="10"/>
  <c r="K16" i="10" s="1"/>
  <c r="L16" i="10"/>
  <c r="C21" i="16"/>
  <c r="C20" i="16"/>
  <c r="D15" i="10"/>
  <c r="M15" i="10" s="1"/>
  <c r="O15" i="9" s="1"/>
  <c r="J13" i="10"/>
  <c r="D13" i="10"/>
  <c r="J18" i="11"/>
  <c r="L17" i="11" s="1"/>
  <c r="F18" i="10" s="1"/>
  <c r="G18" i="10" s="1"/>
  <c r="H18" i="10" s="1"/>
  <c r="U20" i="3"/>
  <c r="S15" i="13"/>
  <c r="O21" i="8"/>
  <c r="I19" i="9"/>
  <c r="G13" i="12"/>
  <c r="I13" i="12" s="1"/>
  <c r="L15" i="11"/>
  <c r="F16" i="10" s="1"/>
  <c r="G16" i="10" s="1"/>
  <c r="H16" i="10" s="1"/>
  <c r="P19" i="11"/>
  <c r="H19" i="11"/>
  <c r="F11" i="10"/>
  <c r="U18" i="13"/>
  <c r="P13" i="8"/>
  <c r="E10" i="12" s="1"/>
  <c r="F10" i="12" s="1"/>
  <c r="I20" i="4"/>
  <c r="E19" i="9"/>
  <c r="D22" i="14"/>
  <c r="D21" i="14"/>
  <c r="I13" i="10"/>
  <c r="L13" i="10"/>
  <c r="P11" i="9"/>
  <c r="L19" i="9"/>
  <c r="L20" i="9"/>
  <c r="D19" i="6"/>
  <c r="F14" i="10"/>
  <c r="G14" i="10" s="1"/>
  <c r="H14" i="10" s="1"/>
  <c r="M14" i="10" s="1"/>
  <c r="O14" i="9" s="1"/>
  <c r="E18" i="11"/>
  <c r="G18" i="11"/>
  <c r="U19" i="3"/>
  <c r="D18" i="6"/>
  <c r="G19" i="6"/>
  <c r="H20" i="9"/>
  <c r="E11" i="10"/>
  <c r="H18" i="11"/>
  <c r="P18" i="11"/>
  <c r="E22" i="13"/>
  <c r="O22" i="8"/>
  <c r="I20" i="9"/>
  <c r="D11" i="10"/>
  <c r="I18" i="11"/>
  <c r="Q18" i="11"/>
  <c r="N19" i="11"/>
  <c r="E18" i="6"/>
  <c r="M20" i="9"/>
  <c r="E19" i="11"/>
  <c r="J11" i="10"/>
  <c r="L20" i="14"/>
  <c r="N20" i="9"/>
  <c r="D19" i="11"/>
  <c r="F19" i="11"/>
  <c r="F21" i="13"/>
  <c r="I21" i="13" s="1"/>
  <c r="J18" i="9"/>
  <c r="K18" i="10" l="1"/>
  <c r="M16" i="10"/>
  <c r="O16" i="9" s="1"/>
  <c r="U17" i="13"/>
  <c r="J17" i="13"/>
  <c r="J16" i="13"/>
  <c r="O18" i="11"/>
  <c r="O19" i="11"/>
  <c r="K19" i="11"/>
  <c r="U15" i="13"/>
  <c r="Q20" i="8"/>
  <c r="E17" i="12"/>
  <c r="M17" i="10"/>
  <c r="O17" i="9" s="1"/>
  <c r="M20" i="13" s="1"/>
  <c r="F22" i="13"/>
  <c r="J19" i="13"/>
  <c r="K19" i="13" s="1"/>
  <c r="W19" i="13" s="1"/>
  <c r="F23" i="13"/>
  <c r="F15" i="12"/>
  <c r="G15" i="12" s="1"/>
  <c r="I15" i="12" s="1"/>
  <c r="J15" i="12" s="1"/>
  <c r="O16" i="14"/>
  <c r="G16" i="13"/>
  <c r="S16" i="13" s="1"/>
  <c r="S22" i="13" s="1"/>
  <c r="F12" i="12"/>
  <c r="G12" i="12" s="1"/>
  <c r="I12" i="12" s="1"/>
  <c r="J12" i="12" s="1"/>
  <c r="L21" i="14"/>
  <c r="M18" i="10"/>
  <c r="O18" i="9" s="1"/>
  <c r="M21" i="13" s="1"/>
  <c r="E32" i="16"/>
  <c r="C58" i="15"/>
  <c r="C59" i="15" s="1"/>
  <c r="C61" i="15" s="1"/>
  <c r="C62" i="15" s="1"/>
  <c r="D59" i="15"/>
  <c r="D61" i="15" s="1"/>
  <c r="D62" i="15" s="1"/>
  <c r="M19" i="13"/>
  <c r="Q16" i="9"/>
  <c r="J21" i="13"/>
  <c r="U21" i="13"/>
  <c r="M17" i="13"/>
  <c r="Q14" i="9"/>
  <c r="V16" i="13"/>
  <c r="K16" i="13"/>
  <c r="W16" i="13" s="1"/>
  <c r="G11" i="10"/>
  <c r="F20" i="10"/>
  <c r="L22" i="14"/>
  <c r="U20" i="13"/>
  <c r="J20" i="13"/>
  <c r="G17" i="14"/>
  <c r="M17" i="14"/>
  <c r="O17" i="14" s="1"/>
  <c r="E18" i="14"/>
  <c r="H14" i="16"/>
  <c r="I12" i="16"/>
  <c r="I14" i="16" s="1"/>
  <c r="I23" i="16" s="1"/>
  <c r="J19" i="9"/>
  <c r="J20" i="9"/>
  <c r="D37" i="16"/>
  <c r="D41" i="16" s="1"/>
  <c r="C22" i="16"/>
  <c r="V19" i="13"/>
  <c r="K11" i="10"/>
  <c r="E19" i="10"/>
  <c r="H11" i="10"/>
  <c r="E20" i="10"/>
  <c r="K13" i="10"/>
  <c r="M13" i="10" s="1"/>
  <c r="O13" i="9" s="1"/>
  <c r="L19" i="11"/>
  <c r="G23" i="13"/>
  <c r="L18" i="11"/>
  <c r="G14" i="16"/>
  <c r="G23" i="16" s="1"/>
  <c r="C38" i="16"/>
  <c r="E38" i="16" s="1"/>
  <c r="I22" i="13"/>
  <c r="I23" i="13"/>
  <c r="U14" i="13"/>
  <c r="J14" i="13"/>
  <c r="M18" i="13"/>
  <c r="Q15" i="9"/>
  <c r="L20" i="10"/>
  <c r="L19" i="10"/>
  <c r="P20" i="9"/>
  <c r="P19" i="9"/>
  <c r="H10" i="12"/>
  <c r="J20" i="10"/>
  <c r="J19" i="10"/>
  <c r="D20" i="10"/>
  <c r="D19" i="10"/>
  <c r="P21" i="8"/>
  <c r="P22" i="8"/>
  <c r="Q13" i="8"/>
  <c r="N19" i="14"/>
  <c r="F20" i="14"/>
  <c r="G22" i="13" l="1"/>
  <c r="Q17" i="9"/>
  <c r="V17" i="13"/>
  <c r="K17" i="13"/>
  <c r="W17" i="13" s="1"/>
  <c r="I19" i="10"/>
  <c r="I20" i="10"/>
  <c r="F19" i="10"/>
  <c r="Q18" i="9"/>
  <c r="E19" i="12"/>
  <c r="F17" i="12"/>
  <c r="F18" i="12" s="1"/>
  <c r="V15" i="13"/>
  <c r="W15" i="13"/>
  <c r="E18" i="12"/>
  <c r="D40" i="16"/>
  <c r="C36" i="16"/>
  <c r="K21" i="13"/>
  <c r="W21" i="13" s="1"/>
  <c r="V21" i="13"/>
  <c r="H20" i="10"/>
  <c r="H19" i="10"/>
  <c r="K20" i="13"/>
  <c r="W20" i="13" s="1"/>
  <c r="X20" i="13" s="1"/>
  <c r="Y20" i="13" s="1"/>
  <c r="Z20" i="13" s="1"/>
  <c r="AA20" i="13" s="1"/>
  <c r="AB20" i="13" s="1"/>
  <c r="AC20" i="13" s="1"/>
  <c r="AD20" i="13" s="1"/>
  <c r="AE20" i="13" s="1"/>
  <c r="AF20" i="13" s="1"/>
  <c r="AG20" i="13" s="1"/>
  <c r="AH20" i="13" s="1"/>
  <c r="AI20" i="13" s="1"/>
  <c r="AJ20" i="13" s="1"/>
  <c r="AK20" i="13" s="1"/>
  <c r="AL20" i="13" s="1"/>
  <c r="AM20" i="13" s="1"/>
  <c r="AN20" i="13" s="1"/>
  <c r="AO20" i="13" s="1"/>
  <c r="AP20" i="13" s="1"/>
  <c r="AQ20" i="13" s="1"/>
  <c r="AR20" i="13" s="1"/>
  <c r="AS20" i="13" s="1"/>
  <c r="AT20" i="13" s="1"/>
  <c r="AU20" i="13" s="1"/>
  <c r="AV20" i="13" s="1"/>
  <c r="AW20" i="13" s="1"/>
  <c r="AX20" i="13" s="1"/>
  <c r="AY20" i="13" s="1"/>
  <c r="AZ20" i="13" s="1"/>
  <c r="BA20" i="13" s="1"/>
  <c r="BB20" i="13" s="1"/>
  <c r="BC20" i="13" s="1"/>
  <c r="BD20" i="13" s="1"/>
  <c r="BE20" i="13" s="1"/>
  <c r="BF20" i="13" s="1"/>
  <c r="BG20" i="13" s="1"/>
  <c r="BH20" i="13" s="1"/>
  <c r="BI20" i="13" s="1"/>
  <c r="BJ20" i="13" s="1"/>
  <c r="BK20" i="13" s="1"/>
  <c r="BL20" i="13" s="1"/>
  <c r="BM20" i="13" s="1"/>
  <c r="BN20" i="13" s="1"/>
  <c r="BO20" i="13" s="1"/>
  <c r="BP20" i="13" s="1"/>
  <c r="BQ20" i="13" s="1"/>
  <c r="BR20" i="13" s="1"/>
  <c r="BS20" i="13" s="1"/>
  <c r="BT20" i="13" s="1"/>
  <c r="BU20" i="13" s="1"/>
  <c r="BV20" i="13" s="1"/>
  <c r="BW20" i="13" s="1"/>
  <c r="BX20" i="13" s="1"/>
  <c r="BY20" i="13" s="1"/>
  <c r="BZ20" i="13" s="1"/>
  <c r="CA20" i="13" s="1"/>
  <c r="CB20" i="13" s="1"/>
  <c r="CC20" i="13" s="1"/>
  <c r="CD20" i="13" s="1"/>
  <c r="CE20" i="13" s="1"/>
  <c r="CF20" i="13" s="1"/>
  <c r="CG20" i="13" s="1"/>
  <c r="CH20" i="13" s="1"/>
  <c r="CI20" i="13" s="1"/>
  <c r="CJ20" i="13" s="1"/>
  <c r="CK20" i="13" s="1"/>
  <c r="CL20" i="13" s="1"/>
  <c r="CM20" i="13" s="1"/>
  <c r="CN20" i="13" s="1"/>
  <c r="CO20" i="13" s="1"/>
  <c r="CP20" i="13" s="1"/>
  <c r="CQ20" i="13" s="1"/>
  <c r="CR20" i="13" s="1"/>
  <c r="CS20" i="13" s="1"/>
  <c r="CT20" i="13" s="1"/>
  <c r="CU20" i="13" s="1"/>
  <c r="CV20" i="13" s="1"/>
  <c r="CW20" i="13" s="1"/>
  <c r="CX20" i="13" s="1"/>
  <c r="CY20" i="13" s="1"/>
  <c r="CZ20" i="13" s="1"/>
  <c r="DA20" i="13" s="1"/>
  <c r="DB20" i="13" s="1"/>
  <c r="DC20" i="13" s="1"/>
  <c r="DD20" i="13" s="1"/>
  <c r="DE20" i="13" s="1"/>
  <c r="DF20" i="13" s="1"/>
  <c r="DG20" i="13" s="1"/>
  <c r="DH20" i="13" s="1"/>
  <c r="DI20" i="13" s="1"/>
  <c r="DJ20" i="13" s="1"/>
  <c r="DK20" i="13" s="1"/>
  <c r="DL20" i="13" s="1"/>
  <c r="DM20" i="13" s="1"/>
  <c r="DN20" i="13" s="1"/>
  <c r="DO20" i="13" s="1"/>
  <c r="DP20" i="13" s="1"/>
  <c r="DQ20" i="13" s="1"/>
  <c r="DR20" i="13" s="1"/>
  <c r="DS20" i="13" s="1"/>
  <c r="DT20" i="13" s="1"/>
  <c r="DU20" i="13" s="1"/>
  <c r="DV20" i="13" s="1"/>
  <c r="DW20" i="13" s="1"/>
  <c r="DX20" i="13" s="1"/>
  <c r="DY20" i="13" s="1"/>
  <c r="DZ20" i="13" s="1"/>
  <c r="EA20" i="13" s="1"/>
  <c r="EB20" i="13" s="1"/>
  <c r="EC20" i="13" s="1"/>
  <c r="ED20" i="13" s="1"/>
  <c r="EE20" i="13" s="1"/>
  <c r="EF20" i="13" s="1"/>
  <c r="EG20" i="13" s="1"/>
  <c r="EH20" i="13" s="1"/>
  <c r="EI20" i="13" s="1"/>
  <c r="EJ20" i="13" s="1"/>
  <c r="EK20" i="13" s="1"/>
  <c r="EL20" i="13" s="1"/>
  <c r="EM20" i="13" s="1"/>
  <c r="EN20" i="13" s="1"/>
  <c r="EO20" i="13" s="1"/>
  <c r="EP20" i="13" s="1"/>
  <c r="EQ20" i="13" s="1"/>
  <c r="ER20" i="13" s="1"/>
  <c r="ES20" i="13" s="1"/>
  <c r="ET20" i="13" s="1"/>
  <c r="EU20" i="13" s="1"/>
  <c r="EV20" i="13" s="1"/>
  <c r="EW20" i="13" s="1"/>
  <c r="EX20" i="13" s="1"/>
  <c r="EY20" i="13" s="1"/>
  <c r="EZ20" i="13" s="1"/>
  <c r="FA20" i="13" s="1"/>
  <c r="FB20" i="13" s="1"/>
  <c r="FC20" i="13" s="1"/>
  <c r="FD20" i="13" s="1"/>
  <c r="FE20" i="13" s="1"/>
  <c r="FF20" i="13" s="1"/>
  <c r="FG20" i="13" s="1"/>
  <c r="FH20" i="13" s="1"/>
  <c r="FI20" i="13" s="1"/>
  <c r="FJ20" i="13" s="1"/>
  <c r="FK20" i="13" s="1"/>
  <c r="FL20" i="13" s="1"/>
  <c r="FM20" i="13" s="1"/>
  <c r="V20" i="13"/>
  <c r="X19" i="13"/>
  <c r="Y19" i="13" s="1"/>
  <c r="Z19" i="13" s="1"/>
  <c r="AA19" i="13" s="1"/>
  <c r="AB19" i="13" s="1"/>
  <c r="AC19" i="13" s="1"/>
  <c r="AD19" i="13" s="1"/>
  <c r="AE19" i="13" s="1"/>
  <c r="AF19" i="13" s="1"/>
  <c r="AG19" i="13" s="1"/>
  <c r="AH19" i="13" s="1"/>
  <c r="AI19" i="13" s="1"/>
  <c r="AJ19" i="13" s="1"/>
  <c r="AK19" i="13" s="1"/>
  <c r="AL19" i="13" s="1"/>
  <c r="AM19" i="13" s="1"/>
  <c r="AN19" i="13" s="1"/>
  <c r="AO19" i="13" s="1"/>
  <c r="AP19" i="13" s="1"/>
  <c r="AQ19" i="13" s="1"/>
  <c r="AR19" i="13" s="1"/>
  <c r="AS19" i="13" s="1"/>
  <c r="AT19" i="13" s="1"/>
  <c r="AU19" i="13" s="1"/>
  <c r="AV19" i="13" s="1"/>
  <c r="AW19" i="13" s="1"/>
  <c r="AX19" i="13" s="1"/>
  <c r="AY19" i="13" s="1"/>
  <c r="AZ19" i="13" s="1"/>
  <c r="BA19" i="13" s="1"/>
  <c r="BB19" i="13" s="1"/>
  <c r="BC19" i="13" s="1"/>
  <c r="BD19" i="13" s="1"/>
  <c r="BE19" i="13" s="1"/>
  <c r="BF19" i="13" s="1"/>
  <c r="BG19" i="13" s="1"/>
  <c r="BH19" i="13" s="1"/>
  <c r="BI19" i="13" s="1"/>
  <c r="BJ19" i="13" s="1"/>
  <c r="BK19" i="13" s="1"/>
  <c r="BL19" i="13" s="1"/>
  <c r="BM19" i="13" s="1"/>
  <c r="BN19" i="13" s="1"/>
  <c r="BO19" i="13" s="1"/>
  <c r="BP19" i="13" s="1"/>
  <c r="BQ19" i="13" s="1"/>
  <c r="BR19" i="13" s="1"/>
  <c r="BS19" i="13" s="1"/>
  <c r="BT19" i="13" s="1"/>
  <c r="BU19" i="13" s="1"/>
  <c r="BV19" i="13" s="1"/>
  <c r="BW19" i="13" s="1"/>
  <c r="BX19" i="13" s="1"/>
  <c r="BY19" i="13" s="1"/>
  <c r="BZ19" i="13" s="1"/>
  <c r="CA19" i="13" s="1"/>
  <c r="CB19" i="13" s="1"/>
  <c r="CC19" i="13" s="1"/>
  <c r="CD19" i="13" s="1"/>
  <c r="CE19" i="13" s="1"/>
  <c r="CF19" i="13" s="1"/>
  <c r="CG19" i="13" s="1"/>
  <c r="CH19" i="13" s="1"/>
  <c r="CI19" i="13" s="1"/>
  <c r="CJ19" i="13" s="1"/>
  <c r="CK19" i="13" s="1"/>
  <c r="CL19" i="13" s="1"/>
  <c r="CM19" i="13" s="1"/>
  <c r="CN19" i="13" s="1"/>
  <c r="CO19" i="13" s="1"/>
  <c r="CP19" i="13" s="1"/>
  <c r="CQ19" i="13" s="1"/>
  <c r="CR19" i="13" s="1"/>
  <c r="CS19" i="13" s="1"/>
  <c r="CT19" i="13" s="1"/>
  <c r="CU19" i="13" s="1"/>
  <c r="CV19" i="13" s="1"/>
  <c r="CW19" i="13" s="1"/>
  <c r="CX19" i="13" s="1"/>
  <c r="CY19" i="13" s="1"/>
  <c r="CZ19" i="13" s="1"/>
  <c r="DA19" i="13" s="1"/>
  <c r="DB19" i="13" s="1"/>
  <c r="DC19" i="13" s="1"/>
  <c r="DD19" i="13" s="1"/>
  <c r="DE19" i="13" s="1"/>
  <c r="DF19" i="13" s="1"/>
  <c r="DG19" i="13" s="1"/>
  <c r="DH19" i="13" s="1"/>
  <c r="DI19" i="13" s="1"/>
  <c r="DJ19" i="13" s="1"/>
  <c r="DK19" i="13" s="1"/>
  <c r="DL19" i="13" s="1"/>
  <c r="DM19" i="13" s="1"/>
  <c r="DN19" i="13" s="1"/>
  <c r="DO19" i="13" s="1"/>
  <c r="DP19" i="13" s="1"/>
  <c r="DQ19" i="13" s="1"/>
  <c r="DR19" i="13" s="1"/>
  <c r="DS19" i="13" s="1"/>
  <c r="DT19" i="13" s="1"/>
  <c r="DU19" i="13" s="1"/>
  <c r="DV19" i="13" s="1"/>
  <c r="DW19" i="13" s="1"/>
  <c r="DX19" i="13" s="1"/>
  <c r="DY19" i="13" s="1"/>
  <c r="DZ19" i="13" s="1"/>
  <c r="EA19" i="13" s="1"/>
  <c r="EB19" i="13" s="1"/>
  <c r="EC19" i="13" s="1"/>
  <c r="ED19" i="13" s="1"/>
  <c r="EE19" i="13" s="1"/>
  <c r="EF19" i="13" s="1"/>
  <c r="EG19" i="13" s="1"/>
  <c r="EH19" i="13" s="1"/>
  <c r="EI19" i="13" s="1"/>
  <c r="EJ19" i="13" s="1"/>
  <c r="EK19" i="13" s="1"/>
  <c r="EL19" i="13" s="1"/>
  <c r="EM19" i="13" s="1"/>
  <c r="EN19" i="13" s="1"/>
  <c r="EO19" i="13" s="1"/>
  <c r="EP19" i="13" s="1"/>
  <c r="EQ19" i="13" s="1"/>
  <c r="ER19" i="13" s="1"/>
  <c r="ES19" i="13" s="1"/>
  <c r="ET19" i="13" s="1"/>
  <c r="EU19" i="13" s="1"/>
  <c r="EV19" i="13" s="1"/>
  <c r="EW19" i="13" s="1"/>
  <c r="EX19" i="13" s="1"/>
  <c r="EY19" i="13" s="1"/>
  <c r="EZ19" i="13" s="1"/>
  <c r="FA19" i="13" s="1"/>
  <c r="FB19" i="13" s="1"/>
  <c r="FC19" i="13" s="1"/>
  <c r="FD19" i="13" s="1"/>
  <c r="FE19" i="13" s="1"/>
  <c r="FF19" i="13" s="1"/>
  <c r="FG19" i="13" s="1"/>
  <c r="FH19" i="13" s="1"/>
  <c r="FI19" i="13" s="1"/>
  <c r="FJ19" i="13" s="1"/>
  <c r="FK19" i="13" s="1"/>
  <c r="FL19" i="13" s="1"/>
  <c r="FM19" i="13" s="1"/>
  <c r="FN19" i="13" s="1"/>
  <c r="N19" i="13" s="1"/>
  <c r="O19" i="13" s="1"/>
  <c r="L19" i="13"/>
  <c r="Q22" i="8"/>
  <c r="Q21" i="8"/>
  <c r="M16" i="13"/>
  <c r="Q13" i="9"/>
  <c r="X18" i="13"/>
  <c r="L18" i="13"/>
  <c r="Y18" i="13"/>
  <c r="Z18" i="13" s="1"/>
  <c r="AA18" i="13" s="1"/>
  <c r="AB18" i="13" s="1"/>
  <c r="AC18" i="13" s="1"/>
  <c r="AD18" i="13" s="1"/>
  <c r="AE18" i="13" s="1"/>
  <c r="AF18" i="13" s="1"/>
  <c r="AG18" i="13" s="1"/>
  <c r="AH18" i="13" s="1"/>
  <c r="AI18" i="13" s="1"/>
  <c r="AJ18" i="13" s="1"/>
  <c r="AK18" i="13" s="1"/>
  <c r="AL18" i="13" s="1"/>
  <c r="AM18" i="13" s="1"/>
  <c r="AN18" i="13" s="1"/>
  <c r="AO18" i="13" s="1"/>
  <c r="AP18" i="13" s="1"/>
  <c r="AQ18" i="13" s="1"/>
  <c r="AR18" i="13" s="1"/>
  <c r="AS18" i="13" s="1"/>
  <c r="AT18" i="13" s="1"/>
  <c r="AU18" i="13" s="1"/>
  <c r="AV18" i="13" s="1"/>
  <c r="AW18" i="13" s="1"/>
  <c r="AX18" i="13" s="1"/>
  <c r="AY18" i="13" s="1"/>
  <c r="AZ18" i="13" s="1"/>
  <c r="BA18" i="13" s="1"/>
  <c r="BB18" i="13" s="1"/>
  <c r="BC18" i="13" s="1"/>
  <c r="BD18" i="13" s="1"/>
  <c r="BE18" i="13" s="1"/>
  <c r="BF18" i="13" s="1"/>
  <c r="BG18" i="13" s="1"/>
  <c r="BH18" i="13" s="1"/>
  <c r="BI18" i="13" s="1"/>
  <c r="BJ18" i="13" s="1"/>
  <c r="BK18" i="13" s="1"/>
  <c r="BL18" i="13" s="1"/>
  <c r="BM18" i="13" s="1"/>
  <c r="BN18" i="13" s="1"/>
  <c r="BO18" i="13" s="1"/>
  <c r="BP18" i="13" s="1"/>
  <c r="BQ18" i="13" s="1"/>
  <c r="BR18" i="13" s="1"/>
  <c r="BS18" i="13" s="1"/>
  <c r="BT18" i="13" s="1"/>
  <c r="BU18" i="13" s="1"/>
  <c r="BV18" i="13" s="1"/>
  <c r="BW18" i="13" s="1"/>
  <c r="BX18" i="13" s="1"/>
  <c r="BY18" i="13" s="1"/>
  <c r="BZ18" i="13" s="1"/>
  <c r="CA18" i="13" s="1"/>
  <c r="CB18" i="13" s="1"/>
  <c r="CC18" i="13" s="1"/>
  <c r="CD18" i="13" s="1"/>
  <c r="CE18" i="13" s="1"/>
  <c r="CF18" i="13" s="1"/>
  <c r="CG18" i="13" s="1"/>
  <c r="CH18" i="13" s="1"/>
  <c r="CI18" i="13" s="1"/>
  <c r="CJ18" i="13" s="1"/>
  <c r="CK18" i="13" s="1"/>
  <c r="CL18" i="13" s="1"/>
  <c r="CM18" i="13" s="1"/>
  <c r="CN18" i="13" s="1"/>
  <c r="CO18" i="13" s="1"/>
  <c r="CP18" i="13" s="1"/>
  <c r="CQ18" i="13" s="1"/>
  <c r="CR18" i="13" s="1"/>
  <c r="CS18" i="13" s="1"/>
  <c r="CT18" i="13" s="1"/>
  <c r="CU18" i="13" s="1"/>
  <c r="CV18" i="13" s="1"/>
  <c r="CW18" i="13" s="1"/>
  <c r="CX18" i="13" s="1"/>
  <c r="CY18" i="13" s="1"/>
  <c r="CZ18" i="13" s="1"/>
  <c r="DA18" i="13" s="1"/>
  <c r="DB18" i="13" s="1"/>
  <c r="DC18" i="13" s="1"/>
  <c r="DD18" i="13" s="1"/>
  <c r="DE18" i="13" s="1"/>
  <c r="DF18" i="13" s="1"/>
  <c r="DG18" i="13" s="1"/>
  <c r="DH18" i="13" s="1"/>
  <c r="DI18" i="13" s="1"/>
  <c r="DJ18" i="13" s="1"/>
  <c r="DK18" i="13" s="1"/>
  <c r="DL18" i="13" s="1"/>
  <c r="DM18" i="13" s="1"/>
  <c r="DN18" i="13" s="1"/>
  <c r="DO18" i="13" s="1"/>
  <c r="DP18" i="13" s="1"/>
  <c r="DQ18" i="13" s="1"/>
  <c r="DR18" i="13" s="1"/>
  <c r="DS18" i="13" s="1"/>
  <c r="DT18" i="13" s="1"/>
  <c r="DU18" i="13" s="1"/>
  <c r="DV18" i="13" s="1"/>
  <c r="DW18" i="13" s="1"/>
  <c r="DX18" i="13" s="1"/>
  <c r="DY18" i="13" s="1"/>
  <c r="DZ18" i="13" s="1"/>
  <c r="EA18" i="13" s="1"/>
  <c r="EB18" i="13" s="1"/>
  <c r="EC18" i="13" s="1"/>
  <c r="ED18" i="13" s="1"/>
  <c r="EE18" i="13" s="1"/>
  <c r="EF18" i="13" s="1"/>
  <c r="EG18" i="13" s="1"/>
  <c r="EH18" i="13" s="1"/>
  <c r="EI18" i="13" s="1"/>
  <c r="EJ18" i="13" s="1"/>
  <c r="EK18" i="13" s="1"/>
  <c r="EL18" i="13" s="1"/>
  <c r="EM18" i="13" s="1"/>
  <c r="EN18" i="13" s="1"/>
  <c r="EO18" i="13" s="1"/>
  <c r="EP18" i="13" s="1"/>
  <c r="EQ18" i="13" s="1"/>
  <c r="ER18" i="13" s="1"/>
  <c r="ES18" i="13" s="1"/>
  <c r="ET18" i="13" s="1"/>
  <c r="EU18" i="13" s="1"/>
  <c r="EV18" i="13" s="1"/>
  <c r="EW18" i="13" s="1"/>
  <c r="EX18" i="13" s="1"/>
  <c r="EY18" i="13" s="1"/>
  <c r="EZ18" i="13" s="1"/>
  <c r="FA18" i="13" s="1"/>
  <c r="FB18" i="13" s="1"/>
  <c r="FC18" i="13" s="1"/>
  <c r="FD18" i="13" s="1"/>
  <c r="FE18" i="13" s="1"/>
  <c r="FF18" i="13" s="1"/>
  <c r="FG18" i="13" s="1"/>
  <c r="FH18" i="13" s="1"/>
  <c r="FI18" i="13" s="1"/>
  <c r="FJ18" i="13" s="1"/>
  <c r="FK18" i="13" s="1"/>
  <c r="FL18" i="13" s="1"/>
  <c r="FM18" i="13" s="1"/>
  <c r="E37" i="16"/>
  <c r="X17" i="13"/>
  <c r="Y17" i="13" s="1"/>
  <c r="Z17" i="13" s="1"/>
  <c r="AA17" i="13" s="1"/>
  <c r="AB17" i="13" s="1"/>
  <c r="AC17" i="13" s="1"/>
  <c r="AD17" i="13" s="1"/>
  <c r="AE17" i="13" s="1"/>
  <c r="AF17" i="13" s="1"/>
  <c r="AG17" i="13" s="1"/>
  <c r="AH17" i="13" s="1"/>
  <c r="AI17" i="13" s="1"/>
  <c r="AJ17" i="13" s="1"/>
  <c r="AK17" i="13" s="1"/>
  <c r="AL17" i="13" s="1"/>
  <c r="AM17" i="13" s="1"/>
  <c r="AN17" i="13" s="1"/>
  <c r="AO17" i="13" s="1"/>
  <c r="AP17" i="13" s="1"/>
  <c r="AQ17" i="13" s="1"/>
  <c r="AR17" i="13" s="1"/>
  <c r="AS17" i="13" s="1"/>
  <c r="AT17" i="13" s="1"/>
  <c r="AU17" i="13" s="1"/>
  <c r="AV17" i="13" s="1"/>
  <c r="AW17" i="13" s="1"/>
  <c r="AX17" i="13" s="1"/>
  <c r="AY17" i="13" s="1"/>
  <c r="AZ17" i="13" s="1"/>
  <c r="BA17" i="13" s="1"/>
  <c r="BB17" i="13" s="1"/>
  <c r="BC17" i="13" s="1"/>
  <c r="BD17" i="13" s="1"/>
  <c r="BE17" i="13" s="1"/>
  <c r="BF17" i="13" s="1"/>
  <c r="BG17" i="13" s="1"/>
  <c r="BH17" i="13" s="1"/>
  <c r="BI17" i="13" s="1"/>
  <c r="BJ17" i="13" s="1"/>
  <c r="BK17" i="13" s="1"/>
  <c r="BL17" i="13" s="1"/>
  <c r="BM17" i="13" s="1"/>
  <c r="BN17" i="13" s="1"/>
  <c r="BO17" i="13" s="1"/>
  <c r="BP17" i="13" s="1"/>
  <c r="BQ17" i="13" s="1"/>
  <c r="BR17" i="13" s="1"/>
  <c r="BS17" i="13" s="1"/>
  <c r="BT17" i="13" s="1"/>
  <c r="BU17" i="13" s="1"/>
  <c r="BV17" i="13" s="1"/>
  <c r="BW17" i="13" s="1"/>
  <c r="BX17" i="13" s="1"/>
  <c r="BY17" i="13" s="1"/>
  <c r="BZ17" i="13" s="1"/>
  <c r="CA17" i="13" s="1"/>
  <c r="CB17" i="13" s="1"/>
  <c r="CC17" i="13" s="1"/>
  <c r="CD17" i="13" s="1"/>
  <c r="CE17" i="13" s="1"/>
  <c r="CF17" i="13" s="1"/>
  <c r="CG17" i="13" s="1"/>
  <c r="CH17" i="13" s="1"/>
  <c r="CI17" i="13" s="1"/>
  <c r="CJ17" i="13" s="1"/>
  <c r="CK17" i="13" s="1"/>
  <c r="CL17" i="13" s="1"/>
  <c r="CM17" i="13" s="1"/>
  <c r="CN17" i="13" s="1"/>
  <c r="CO17" i="13" s="1"/>
  <c r="CP17" i="13" s="1"/>
  <c r="CQ17" i="13" s="1"/>
  <c r="CR17" i="13" s="1"/>
  <c r="CS17" i="13" s="1"/>
  <c r="CT17" i="13" s="1"/>
  <c r="CU17" i="13" s="1"/>
  <c r="CV17" i="13" s="1"/>
  <c r="CW17" i="13" s="1"/>
  <c r="CX17" i="13" s="1"/>
  <c r="CY17" i="13" s="1"/>
  <c r="CZ17" i="13" s="1"/>
  <c r="DA17" i="13" s="1"/>
  <c r="DB17" i="13" s="1"/>
  <c r="DC17" i="13" s="1"/>
  <c r="DD17" i="13" s="1"/>
  <c r="DE17" i="13" s="1"/>
  <c r="DF17" i="13" s="1"/>
  <c r="DG17" i="13" s="1"/>
  <c r="DH17" i="13" s="1"/>
  <c r="DI17" i="13" s="1"/>
  <c r="DJ17" i="13" s="1"/>
  <c r="DK17" i="13" s="1"/>
  <c r="DL17" i="13" s="1"/>
  <c r="DM17" i="13" s="1"/>
  <c r="DN17" i="13" s="1"/>
  <c r="DO17" i="13" s="1"/>
  <c r="DP17" i="13" s="1"/>
  <c r="DQ17" i="13" s="1"/>
  <c r="DR17" i="13" s="1"/>
  <c r="DS17" i="13" s="1"/>
  <c r="DT17" i="13" s="1"/>
  <c r="DU17" i="13" s="1"/>
  <c r="DV17" i="13" s="1"/>
  <c r="DW17" i="13" s="1"/>
  <c r="DX17" i="13" s="1"/>
  <c r="DY17" i="13" s="1"/>
  <c r="DZ17" i="13" s="1"/>
  <c r="EA17" i="13" s="1"/>
  <c r="EB17" i="13" s="1"/>
  <c r="EC17" i="13" s="1"/>
  <c r="ED17" i="13" s="1"/>
  <c r="EE17" i="13" s="1"/>
  <c r="EF17" i="13" s="1"/>
  <c r="EG17" i="13" s="1"/>
  <c r="EH17" i="13" s="1"/>
  <c r="EI17" i="13" s="1"/>
  <c r="EJ17" i="13" s="1"/>
  <c r="EK17" i="13" s="1"/>
  <c r="EL17" i="13" s="1"/>
  <c r="EM17" i="13" s="1"/>
  <c r="EN17" i="13" s="1"/>
  <c r="EO17" i="13" s="1"/>
  <c r="EP17" i="13" s="1"/>
  <c r="EQ17" i="13" s="1"/>
  <c r="ER17" i="13" s="1"/>
  <c r="ES17" i="13" s="1"/>
  <c r="ET17" i="13" s="1"/>
  <c r="EU17" i="13" s="1"/>
  <c r="EV17" i="13" s="1"/>
  <c r="EW17" i="13" s="1"/>
  <c r="EX17" i="13" s="1"/>
  <c r="EY17" i="13" s="1"/>
  <c r="EZ17" i="13" s="1"/>
  <c r="FA17" i="13" s="1"/>
  <c r="FB17" i="13" s="1"/>
  <c r="FC17" i="13" s="1"/>
  <c r="FD17" i="13" s="1"/>
  <c r="FE17" i="13" s="1"/>
  <c r="FF17" i="13" s="1"/>
  <c r="FG17" i="13" s="1"/>
  <c r="FH17" i="13" s="1"/>
  <c r="FI17" i="13" s="1"/>
  <c r="FJ17" i="13" s="1"/>
  <c r="FK17" i="13" s="1"/>
  <c r="FL17" i="13" s="1"/>
  <c r="FM17" i="13" s="1"/>
  <c r="K20" i="10"/>
  <c r="K19" i="10"/>
  <c r="L21" i="13"/>
  <c r="X21" i="13"/>
  <c r="Y21" i="13" s="1"/>
  <c r="H18" i="12"/>
  <c r="G10" i="12"/>
  <c r="H19" i="12"/>
  <c r="U22" i="13"/>
  <c r="G18" i="14"/>
  <c r="M18" i="14"/>
  <c r="E19" i="14"/>
  <c r="G20" i="10"/>
  <c r="G19" i="10"/>
  <c r="J22" i="13"/>
  <c r="J23" i="13"/>
  <c r="K14" i="13"/>
  <c r="V14" i="13"/>
  <c r="N20" i="14"/>
  <c r="F21" i="14"/>
  <c r="F22" i="14"/>
  <c r="M11" i="10"/>
  <c r="L20" i="13"/>
  <c r="F19" i="12" l="1"/>
  <c r="L17" i="13"/>
  <c r="X15" i="13"/>
  <c r="Y15" i="13" s="1"/>
  <c r="Z15" i="13" s="1"/>
  <c r="AA15" i="13" s="1"/>
  <c r="AB15" i="13" s="1"/>
  <c r="AC15" i="13" s="1"/>
  <c r="AD15" i="13" s="1"/>
  <c r="AE15" i="13" s="1"/>
  <c r="AF15" i="13" s="1"/>
  <c r="AG15" i="13" s="1"/>
  <c r="AH15" i="13" s="1"/>
  <c r="AI15" i="13" s="1"/>
  <c r="AJ15" i="13" s="1"/>
  <c r="AK15" i="13" s="1"/>
  <c r="AL15" i="13" s="1"/>
  <c r="AM15" i="13" s="1"/>
  <c r="AN15" i="13" s="1"/>
  <c r="AO15" i="13" s="1"/>
  <c r="AP15" i="13" s="1"/>
  <c r="AQ15" i="13" s="1"/>
  <c r="AR15" i="13" s="1"/>
  <c r="AS15" i="13" s="1"/>
  <c r="AT15" i="13" s="1"/>
  <c r="AU15" i="13" s="1"/>
  <c r="AV15" i="13" s="1"/>
  <c r="AW15" i="13" s="1"/>
  <c r="AX15" i="13" s="1"/>
  <c r="AY15" i="13" s="1"/>
  <c r="AZ15" i="13" s="1"/>
  <c r="BA15" i="13" s="1"/>
  <c r="BB15" i="13" s="1"/>
  <c r="BC15" i="13" s="1"/>
  <c r="BD15" i="13" s="1"/>
  <c r="BE15" i="13" s="1"/>
  <c r="BF15" i="13" s="1"/>
  <c r="BG15" i="13" s="1"/>
  <c r="BH15" i="13" s="1"/>
  <c r="BI15" i="13" s="1"/>
  <c r="BJ15" i="13" s="1"/>
  <c r="BK15" i="13" s="1"/>
  <c r="BL15" i="13" s="1"/>
  <c r="BM15" i="13" s="1"/>
  <c r="BN15" i="13" s="1"/>
  <c r="BO15" i="13" s="1"/>
  <c r="BP15" i="13" s="1"/>
  <c r="BQ15" i="13" s="1"/>
  <c r="BR15" i="13" s="1"/>
  <c r="BS15" i="13" s="1"/>
  <c r="BT15" i="13" s="1"/>
  <c r="BU15" i="13" s="1"/>
  <c r="BV15" i="13" s="1"/>
  <c r="BW15" i="13" s="1"/>
  <c r="BX15" i="13" s="1"/>
  <c r="BY15" i="13" s="1"/>
  <c r="BZ15" i="13" s="1"/>
  <c r="CA15" i="13" s="1"/>
  <c r="CB15" i="13" s="1"/>
  <c r="CC15" i="13" s="1"/>
  <c r="CD15" i="13" s="1"/>
  <c r="CE15" i="13" s="1"/>
  <c r="CF15" i="13" s="1"/>
  <c r="CG15" i="13" s="1"/>
  <c r="CH15" i="13" s="1"/>
  <c r="CI15" i="13" s="1"/>
  <c r="CJ15" i="13" s="1"/>
  <c r="CK15" i="13" s="1"/>
  <c r="CL15" i="13" s="1"/>
  <c r="CM15" i="13" s="1"/>
  <c r="CN15" i="13" s="1"/>
  <c r="CO15" i="13" s="1"/>
  <c r="CP15" i="13" s="1"/>
  <c r="CQ15" i="13" s="1"/>
  <c r="CR15" i="13" s="1"/>
  <c r="CS15" i="13" s="1"/>
  <c r="CT15" i="13" s="1"/>
  <c r="CU15" i="13" s="1"/>
  <c r="CV15" i="13" s="1"/>
  <c r="CW15" i="13" s="1"/>
  <c r="CX15" i="13" s="1"/>
  <c r="CY15" i="13" s="1"/>
  <c r="CZ15" i="13" s="1"/>
  <c r="DA15" i="13" s="1"/>
  <c r="DB15" i="13" s="1"/>
  <c r="DC15" i="13" s="1"/>
  <c r="DD15" i="13" s="1"/>
  <c r="DE15" i="13" s="1"/>
  <c r="DF15" i="13" s="1"/>
  <c r="DG15" i="13" s="1"/>
  <c r="DH15" i="13" s="1"/>
  <c r="DI15" i="13" s="1"/>
  <c r="DJ15" i="13" s="1"/>
  <c r="DK15" i="13" s="1"/>
  <c r="DL15" i="13" s="1"/>
  <c r="DM15" i="13" s="1"/>
  <c r="DN15" i="13" s="1"/>
  <c r="DO15" i="13" s="1"/>
  <c r="DP15" i="13" s="1"/>
  <c r="DQ15" i="13" s="1"/>
  <c r="DR15" i="13" s="1"/>
  <c r="DS15" i="13" s="1"/>
  <c r="DT15" i="13" s="1"/>
  <c r="DU15" i="13" s="1"/>
  <c r="DV15" i="13" s="1"/>
  <c r="DW15" i="13" s="1"/>
  <c r="DX15" i="13" s="1"/>
  <c r="DY15" i="13" s="1"/>
  <c r="DZ15" i="13" s="1"/>
  <c r="EA15" i="13" s="1"/>
  <c r="EB15" i="13" s="1"/>
  <c r="EC15" i="13" s="1"/>
  <c r="ED15" i="13" s="1"/>
  <c r="EE15" i="13" s="1"/>
  <c r="EF15" i="13" s="1"/>
  <c r="EG15" i="13" s="1"/>
  <c r="EH15" i="13" s="1"/>
  <c r="EI15" i="13" s="1"/>
  <c r="EJ15" i="13" s="1"/>
  <c r="EK15" i="13" s="1"/>
  <c r="EL15" i="13" s="1"/>
  <c r="EM15" i="13" s="1"/>
  <c r="EN15" i="13" s="1"/>
  <c r="EO15" i="13" s="1"/>
  <c r="EP15" i="13" s="1"/>
  <c r="EQ15" i="13" s="1"/>
  <c r="ER15" i="13" s="1"/>
  <c r="ES15" i="13" s="1"/>
  <c r="ET15" i="13" s="1"/>
  <c r="EU15" i="13" s="1"/>
  <c r="EV15" i="13" s="1"/>
  <c r="EW15" i="13" s="1"/>
  <c r="EX15" i="13" s="1"/>
  <c r="EY15" i="13" s="1"/>
  <c r="EZ15" i="13" s="1"/>
  <c r="FA15" i="13" s="1"/>
  <c r="FB15" i="13" s="1"/>
  <c r="FC15" i="13" s="1"/>
  <c r="FD15" i="13" s="1"/>
  <c r="FE15" i="13" s="1"/>
  <c r="FF15" i="13" s="1"/>
  <c r="FG15" i="13" s="1"/>
  <c r="FH15" i="13" s="1"/>
  <c r="FI15" i="13" s="1"/>
  <c r="FJ15" i="13" s="1"/>
  <c r="FK15" i="13" s="1"/>
  <c r="FL15" i="13" s="1"/>
  <c r="FM15" i="13" s="1"/>
  <c r="V22" i="13"/>
  <c r="C41" i="16"/>
  <c r="C40" i="16"/>
  <c r="E36" i="16"/>
  <c r="Z21" i="13"/>
  <c r="AA21" i="13" s="1"/>
  <c r="AB21" i="13" s="1"/>
  <c r="AC21" i="13" s="1"/>
  <c r="AD21" i="13" s="1"/>
  <c r="AE21" i="13" s="1"/>
  <c r="AF21" i="13" s="1"/>
  <c r="AG21" i="13" s="1"/>
  <c r="AH21" i="13" s="1"/>
  <c r="AI21" i="13" s="1"/>
  <c r="AJ21" i="13" s="1"/>
  <c r="AK21" i="13" s="1"/>
  <c r="AL21" i="13" s="1"/>
  <c r="AM21" i="13" s="1"/>
  <c r="AN21" i="13" s="1"/>
  <c r="AO21" i="13" s="1"/>
  <c r="AP21" i="13" s="1"/>
  <c r="AQ21" i="13" s="1"/>
  <c r="AR21" i="13" s="1"/>
  <c r="AS21" i="13" s="1"/>
  <c r="AT21" i="13" s="1"/>
  <c r="AU21" i="13" s="1"/>
  <c r="AV21" i="13" s="1"/>
  <c r="AW21" i="13" s="1"/>
  <c r="AX21" i="13" s="1"/>
  <c r="AY21" i="13" s="1"/>
  <c r="AZ21" i="13" s="1"/>
  <c r="BA21" i="13" s="1"/>
  <c r="BB21" i="13" s="1"/>
  <c r="BC21" i="13" s="1"/>
  <c r="BD21" i="13" s="1"/>
  <c r="BE21" i="13" s="1"/>
  <c r="BF21" i="13" s="1"/>
  <c r="BG21" i="13" s="1"/>
  <c r="BH21" i="13" s="1"/>
  <c r="BI21" i="13" s="1"/>
  <c r="BJ21" i="13" s="1"/>
  <c r="BK21" i="13" s="1"/>
  <c r="BL21" i="13" s="1"/>
  <c r="BM21" i="13" s="1"/>
  <c r="BN21" i="13" s="1"/>
  <c r="BO21" i="13" s="1"/>
  <c r="BP21" i="13" s="1"/>
  <c r="BQ21" i="13" s="1"/>
  <c r="BR21" i="13" s="1"/>
  <c r="BS21" i="13" s="1"/>
  <c r="BT21" i="13" s="1"/>
  <c r="BU21" i="13" s="1"/>
  <c r="BV21" i="13" s="1"/>
  <c r="BW21" i="13" s="1"/>
  <c r="BX21" i="13" s="1"/>
  <c r="BY21" i="13" s="1"/>
  <c r="BZ21" i="13" s="1"/>
  <c r="CA21" i="13" s="1"/>
  <c r="CB21" i="13" s="1"/>
  <c r="CC21" i="13" s="1"/>
  <c r="CD21" i="13" s="1"/>
  <c r="CE21" i="13" s="1"/>
  <c r="CF21" i="13" s="1"/>
  <c r="CG21" i="13" s="1"/>
  <c r="CH21" i="13" s="1"/>
  <c r="CI21" i="13" s="1"/>
  <c r="CJ21" i="13" s="1"/>
  <c r="CK21" i="13" s="1"/>
  <c r="CL21" i="13" s="1"/>
  <c r="CM21" i="13" s="1"/>
  <c r="CN21" i="13" s="1"/>
  <c r="CO21" i="13" s="1"/>
  <c r="CP21" i="13" s="1"/>
  <c r="CQ21" i="13" s="1"/>
  <c r="CR21" i="13" s="1"/>
  <c r="CS21" i="13" s="1"/>
  <c r="CT21" i="13" s="1"/>
  <c r="CU21" i="13" s="1"/>
  <c r="CV21" i="13" s="1"/>
  <c r="CW21" i="13" s="1"/>
  <c r="CX21" i="13" s="1"/>
  <c r="CY21" i="13" s="1"/>
  <c r="CZ21" i="13" s="1"/>
  <c r="DA21" i="13" s="1"/>
  <c r="DB21" i="13" s="1"/>
  <c r="DC21" i="13" s="1"/>
  <c r="DD21" i="13" s="1"/>
  <c r="DE21" i="13" s="1"/>
  <c r="DF21" i="13" s="1"/>
  <c r="DG21" i="13" s="1"/>
  <c r="DH21" i="13" s="1"/>
  <c r="DI21" i="13" s="1"/>
  <c r="DJ21" i="13" s="1"/>
  <c r="DK21" i="13" s="1"/>
  <c r="DL21" i="13" s="1"/>
  <c r="DM21" i="13" s="1"/>
  <c r="DN21" i="13" s="1"/>
  <c r="DO21" i="13" s="1"/>
  <c r="DP21" i="13" s="1"/>
  <c r="DQ21" i="13" s="1"/>
  <c r="DR21" i="13" s="1"/>
  <c r="DS21" i="13" s="1"/>
  <c r="DT21" i="13" s="1"/>
  <c r="DU21" i="13" s="1"/>
  <c r="DV21" i="13" s="1"/>
  <c r="DW21" i="13" s="1"/>
  <c r="DX21" i="13" s="1"/>
  <c r="DY21" i="13" s="1"/>
  <c r="DZ21" i="13" s="1"/>
  <c r="EA21" i="13" s="1"/>
  <c r="EB21" i="13" s="1"/>
  <c r="EC21" i="13" s="1"/>
  <c r="ED21" i="13" s="1"/>
  <c r="EE21" i="13" s="1"/>
  <c r="EF21" i="13" s="1"/>
  <c r="EG21" i="13" s="1"/>
  <c r="EH21" i="13" s="1"/>
  <c r="EI21" i="13" s="1"/>
  <c r="EJ21" i="13" s="1"/>
  <c r="EK21" i="13" s="1"/>
  <c r="EL21" i="13" s="1"/>
  <c r="EM21" i="13" s="1"/>
  <c r="EN21" i="13" s="1"/>
  <c r="EO21" i="13" s="1"/>
  <c r="EP21" i="13" s="1"/>
  <c r="EQ21" i="13" s="1"/>
  <c r="ER21" i="13" s="1"/>
  <c r="ES21" i="13" s="1"/>
  <c r="ET21" i="13" s="1"/>
  <c r="EU21" i="13" s="1"/>
  <c r="EV21" i="13" s="1"/>
  <c r="EW21" i="13" s="1"/>
  <c r="EX21" i="13" s="1"/>
  <c r="EY21" i="13" s="1"/>
  <c r="EZ21" i="13" s="1"/>
  <c r="FA21" i="13" s="1"/>
  <c r="FB21" i="13" s="1"/>
  <c r="FC21" i="13" s="1"/>
  <c r="FD21" i="13" s="1"/>
  <c r="FE21" i="13" s="1"/>
  <c r="FF21" i="13" s="1"/>
  <c r="FG21" i="13" s="1"/>
  <c r="FH21" i="13" s="1"/>
  <c r="FI21" i="13" s="1"/>
  <c r="FJ21" i="13" s="1"/>
  <c r="FK21" i="13" s="1"/>
  <c r="FL21" i="13" s="1"/>
  <c r="FM21" i="13" s="1"/>
  <c r="FN21" i="13" s="1"/>
  <c r="N21" i="13" s="1"/>
  <c r="O21" i="13" s="1"/>
  <c r="M19" i="10"/>
  <c r="O11" i="9"/>
  <c r="M20" i="10"/>
  <c r="I10" i="12"/>
  <c r="G17" i="12"/>
  <c r="I17" i="12" s="1"/>
  <c r="J17" i="12" s="1"/>
  <c r="FN20" i="13"/>
  <c r="N20" i="13" s="1"/>
  <c r="O20" i="13" s="1"/>
  <c r="M19" i="14"/>
  <c r="O19" i="14" s="1"/>
  <c r="E20" i="14"/>
  <c r="E22" i="14" s="1"/>
  <c r="G19" i="14"/>
  <c r="O18" i="14"/>
  <c r="K22" i="13"/>
  <c r="K23" i="13"/>
  <c r="W14" i="13"/>
  <c r="W22" i="13" s="1"/>
  <c r="N22" i="14"/>
  <c r="N21" i="14"/>
  <c r="FN18" i="13"/>
  <c r="N18" i="13" s="1"/>
  <c r="O18" i="13" s="1"/>
  <c r="X16" i="13"/>
  <c r="Y16" i="13" s="1"/>
  <c r="Z16" i="13" s="1"/>
  <c r="AA16" i="13" s="1"/>
  <c r="AB16" i="13" s="1"/>
  <c r="AC16" i="13" s="1"/>
  <c r="AD16" i="13" s="1"/>
  <c r="AE16" i="13" s="1"/>
  <c r="AF16" i="13" s="1"/>
  <c r="AG16" i="13" s="1"/>
  <c r="AH16" i="13" s="1"/>
  <c r="AI16" i="13" s="1"/>
  <c r="AJ16" i="13" s="1"/>
  <c r="AK16" i="13" s="1"/>
  <c r="AL16" i="13" s="1"/>
  <c r="AM16" i="13" s="1"/>
  <c r="AN16" i="13" s="1"/>
  <c r="AO16" i="13" s="1"/>
  <c r="AP16" i="13" s="1"/>
  <c r="AQ16" i="13" s="1"/>
  <c r="AR16" i="13" s="1"/>
  <c r="AS16" i="13" s="1"/>
  <c r="AT16" i="13" s="1"/>
  <c r="AU16" i="13" s="1"/>
  <c r="AV16" i="13" s="1"/>
  <c r="AW16" i="13" s="1"/>
  <c r="AX16" i="13" s="1"/>
  <c r="AY16" i="13" s="1"/>
  <c r="AZ16" i="13" s="1"/>
  <c r="BA16" i="13" s="1"/>
  <c r="BB16" i="13" s="1"/>
  <c r="BC16" i="13" s="1"/>
  <c r="BD16" i="13" s="1"/>
  <c r="BE16" i="13" s="1"/>
  <c r="BF16" i="13" s="1"/>
  <c r="BG16" i="13" s="1"/>
  <c r="BH16" i="13" s="1"/>
  <c r="BI16" i="13" s="1"/>
  <c r="BJ16" i="13" s="1"/>
  <c r="BK16" i="13" s="1"/>
  <c r="BL16" i="13" s="1"/>
  <c r="BM16" i="13" s="1"/>
  <c r="BN16" i="13" s="1"/>
  <c r="BO16" i="13" s="1"/>
  <c r="BP16" i="13" s="1"/>
  <c r="BQ16" i="13" s="1"/>
  <c r="BR16" i="13" s="1"/>
  <c r="BS16" i="13" s="1"/>
  <c r="BT16" i="13" s="1"/>
  <c r="BU16" i="13" s="1"/>
  <c r="BV16" i="13" s="1"/>
  <c r="BW16" i="13" s="1"/>
  <c r="BX16" i="13" s="1"/>
  <c r="BY16" i="13" s="1"/>
  <c r="BZ16" i="13" s="1"/>
  <c r="CA16" i="13" s="1"/>
  <c r="CB16" i="13" s="1"/>
  <c r="CC16" i="13" s="1"/>
  <c r="CD16" i="13" s="1"/>
  <c r="CE16" i="13" s="1"/>
  <c r="CF16" i="13" s="1"/>
  <c r="CG16" i="13" s="1"/>
  <c r="CH16" i="13" s="1"/>
  <c r="CI16" i="13" s="1"/>
  <c r="CJ16" i="13" s="1"/>
  <c r="CK16" i="13" s="1"/>
  <c r="CL16" i="13" s="1"/>
  <c r="CM16" i="13" s="1"/>
  <c r="CN16" i="13" s="1"/>
  <c r="CO16" i="13" s="1"/>
  <c r="CP16" i="13" s="1"/>
  <c r="CQ16" i="13" s="1"/>
  <c r="CR16" i="13" s="1"/>
  <c r="CS16" i="13" s="1"/>
  <c r="CT16" i="13" s="1"/>
  <c r="CU16" i="13" s="1"/>
  <c r="CV16" i="13" s="1"/>
  <c r="CW16" i="13" s="1"/>
  <c r="CX16" i="13" s="1"/>
  <c r="CY16" i="13" s="1"/>
  <c r="CZ16" i="13" s="1"/>
  <c r="DA16" i="13" s="1"/>
  <c r="DB16" i="13" s="1"/>
  <c r="DC16" i="13" s="1"/>
  <c r="DD16" i="13" s="1"/>
  <c r="DE16" i="13" s="1"/>
  <c r="DF16" i="13" s="1"/>
  <c r="DG16" i="13" s="1"/>
  <c r="DH16" i="13" s="1"/>
  <c r="DI16" i="13" s="1"/>
  <c r="DJ16" i="13" s="1"/>
  <c r="DK16" i="13" s="1"/>
  <c r="DL16" i="13" s="1"/>
  <c r="DM16" i="13" s="1"/>
  <c r="DN16" i="13" s="1"/>
  <c r="DO16" i="13" s="1"/>
  <c r="DP16" i="13" s="1"/>
  <c r="DQ16" i="13" s="1"/>
  <c r="DR16" i="13" s="1"/>
  <c r="DS16" i="13" s="1"/>
  <c r="DT16" i="13" s="1"/>
  <c r="DU16" i="13" s="1"/>
  <c r="DV16" i="13" s="1"/>
  <c r="DW16" i="13" s="1"/>
  <c r="DX16" i="13" s="1"/>
  <c r="DY16" i="13" s="1"/>
  <c r="DZ16" i="13" s="1"/>
  <c r="EA16" i="13" s="1"/>
  <c r="EB16" i="13" s="1"/>
  <c r="EC16" i="13" s="1"/>
  <c r="ED16" i="13" s="1"/>
  <c r="EE16" i="13" s="1"/>
  <c r="EF16" i="13" s="1"/>
  <c r="EG16" i="13" s="1"/>
  <c r="EH16" i="13" s="1"/>
  <c r="EI16" i="13" s="1"/>
  <c r="EJ16" i="13" s="1"/>
  <c r="EK16" i="13" s="1"/>
  <c r="EL16" i="13" s="1"/>
  <c r="EM16" i="13" s="1"/>
  <c r="EN16" i="13" s="1"/>
  <c r="EO16" i="13" s="1"/>
  <c r="EP16" i="13" s="1"/>
  <c r="EQ16" i="13" s="1"/>
  <c r="ER16" i="13" s="1"/>
  <c r="ES16" i="13" s="1"/>
  <c r="ET16" i="13" s="1"/>
  <c r="EU16" i="13" s="1"/>
  <c r="EV16" i="13" s="1"/>
  <c r="EW16" i="13" s="1"/>
  <c r="EX16" i="13" s="1"/>
  <c r="EY16" i="13" s="1"/>
  <c r="EZ16" i="13" s="1"/>
  <c r="FA16" i="13" s="1"/>
  <c r="FB16" i="13" s="1"/>
  <c r="FC16" i="13" s="1"/>
  <c r="FD16" i="13" s="1"/>
  <c r="FE16" i="13" s="1"/>
  <c r="FF16" i="13" s="1"/>
  <c r="FG16" i="13" s="1"/>
  <c r="FH16" i="13" s="1"/>
  <c r="FI16" i="13" s="1"/>
  <c r="FJ16" i="13" s="1"/>
  <c r="FK16" i="13" s="1"/>
  <c r="FL16" i="13" s="1"/>
  <c r="FM16" i="13" s="1"/>
  <c r="L16" i="13"/>
  <c r="FN17" i="13"/>
  <c r="N17" i="13" s="1"/>
  <c r="O17" i="13" s="1"/>
  <c r="FN15" i="13" l="1"/>
  <c r="E21" i="14"/>
  <c r="I18" i="12"/>
  <c r="I19" i="12"/>
  <c r="J10" i="12"/>
  <c r="G18" i="12"/>
  <c r="FN16" i="13"/>
  <c r="N16" i="13" s="1"/>
  <c r="O16" i="13" s="1"/>
  <c r="G19" i="12"/>
  <c r="M20" i="14"/>
  <c r="G20" i="14"/>
  <c r="G21" i="14" s="1"/>
  <c r="M14" i="13"/>
  <c r="O19" i="9"/>
  <c r="O20" i="9"/>
  <c r="Q11" i="9"/>
  <c r="O22" i="13" l="1"/>
  <c r="O23" i="13"/>
  <c r="Q20" i="9"/>
  <c r="Q19" i="9"/>
  <c r="X14" i="13"/>
  <c r="M23" i="13"/>
  <c r="L14" i="13"/>
  <c r="M22" i="13"/>
  <c r="J18" i="12"/>
  <c r="J19" i="12"/>
  <c r="O20" i="14"/>
  <c r="M22" i="14"/>
  <c r="M21" i="14"/>
  <c r="G22" i="14"/>
  <c r="X22" i="13" l="1"/>
  <c r="Y14" i="13"/>
  <c r="L23" i="13"/>
  <c r="L22" i="13"/>
  <c r="O22" i="14"/>
  <c r="O21" i="14"/>
  <c r="Y22" i="13" l="1"/>
  <c r="Z14" i="13"/>
  <c r="Z22" i="13" l="1"/>
  <c r="AA14" i="13"/>
  <c r="AA22" i="13" l="1"/>
  <c r="AB14" i="13"/>
  <c r="AB22" i="13" l="1"/>
  <c r="AC14" i="13"/>
  <c r="AC22" i="13" l="1"/>
  <c r="AD14" i="13"/>
  <c r="AD22" i="13" l="1"/>
  <c r="AE14" i="13"/>
  <c r="AE22" i="13" l="1"/>
  <c r="AF14" i="13"/>
  <c r="AF22" i="13" l="1"/>
  <c r="AG14" i="13"/>
  <c r="AG22" i="13" l="1"/>
  <c r="AH14" i="13"/>
  <c r="AH22" i="13" l="1"/>
  <c r="AI14" i="13"/>
  <c r="AI22" i="13" l="1"/>
  <c r="AJ14" i="13"/>
  <c r="AJ22" i="13" l="1"/>
  <c r="AK14" i="13"/>
  <c r="AK22" i="13" l="1"/>
  <c r="AL14" i="13"/>
  <c r="AL22" i="13" l="1"/>
  <c r="AM14" i="13"/>
  <c r="AM22" i="13" l="1"/>
  <c r="AN14" i="13"/>
  <c r="AN22" i="13" l="1"/>
  <c r="AO14" i="13"/>
  <c r="AO22" i="13" l="1"/>
  <c r="AP14" i="13"/>
  <c r="AP22" i="13" l="1"/>
  <c r="AQ14" i="13"/>
  <c r="AQ22" i="13" l="1"/>
  <c r="AR14" i="13"/>
  <c r="AR22" i="13" l="1"/>
  <c r="AS14" i="13"/>
  <c r="AS22" i="13" l="1"/>
  <c r="AT14" i="13"/>
  <c r="AT22" i="13" l="1"/>
  <c r="AU14" i="13"/>
  <c r="AU22" i="13" l="1"/>
  <c r="AV14" i="13"/>
  <c r="AV22" i="13" l="1"/>
  <c r="AW14" i="13"/>
  <c r="AW22" i="13" l="1"/>
  <c r="AX14" i="13"/>
  <c r="AX22" i="13" l="1"/>
  <c r="AY14" i="13"/>
  <c r="AY22" i="13" l="1"/>
  <c r="AZ14" i="13"/>
  <c r="AZ22" i="13" l="1"/>
  <c r="BA14" i="13"/>
  <c r="BA22" i="13" l="1"/>
  <c r="BB14" i="13"/>
  <c r="BB22" i="13" l="1"/>
  <c r="BC14" i="13"/>
  <c r="BC22" i="13" l="1"/>
  <c r="BD14" i="13"/>
  <c r="BD22" i="13" l="1"/>
  <c r="BE14" i="13"/>
  <c r="BE22" i="13" l="1"/>
  <c r="BF14" i="13"/>
  <c r="BF22" i="13" l="1"/>
  <c r="BG14" i="13"/>
  <c r="BG22" i="13" l="1"/>
  <c r="BH14" i="13"/>
  <c r="BH22" i="13" l="1"/>
  <c r="BI14" i="13"/>
  <c r="BI22" i="13" l="1"/>
  <c r="BJ14" i="13"/>
  <c r="BJ22" i="13" l="1"/>
  <c r="BK14" i="13"/>
  <c r="BK22" i="13" l="1"/>
  <c r="BL14" i="13"/>
  <c r="BL22" i="13" l="1"/>
  <c r="BM14" i="13"/>
  <c r="BM22" i="13" l="1"/>
  <c r="BN14" i="13"/>
  <c r="BN22" i="13" l="1"/>
  <c r="BO14" i="13"/>
  <c r="BO22" i="13" l="1"/>
  <c r="BP14" i="13"/>
  <c r="BP22" i="13" l="1"/>
  <c r="BQ14" i="13"/>
  <c r="BQ22" i="13" l="1"/>
  <c r="BR14" i="13"/>
  <c r="BR22" i="13" l="1"/>
  <c r="BS14" i="13"/>
  <c r="BS22" i="13" l="1"/>
  <c r="BT14" i="13"/>
  <c r="BT22" i="13" l="1"/>
  <c r="BU14" i="13"/>
  <c r="BU22" i="13" l="1"/>
  <c r="BV14" i="13"/>
  <c r="BV22" i="13" l="1"/>
  <c r="BW14" i="13"/>
  <c r="BW22" i="13" l="1"/>
  <c r="BX14" i="13"/>
  <c r="BX22" i="13" l="1"/>
  <c r="BY14" i="13"/>
  <c r="BY22" i="13" l="1"/>
  <c r="BZ14" i="13"/>
  <c r="BZ22" i="13" l="1"/>
  <c r="CA14" i="13"/>
  <c r="CA22" i="13" l="1"/>
  <c r="CB14" i="13"/>
  <c r="CB22" i="13" l="1"/>
  <c r="CC14" i="13"/>
  <c r="CC22" i="13" l="1"/>
  <c r="CD14" i="13"/>
  <c r="CD22" i="13" l="1"/>
  <c r="CE14" i="13"/>
  <c r="CE22" i="13" l="1"/>
  <c r="CF14" i="13"/>
  <c r="CF22" i="13" l="1"/>
  <c r="CG14" i="13"/>
  <c r="CG22" i="13" l="1"/>
  <c r="CH14" i="13"/>
  <c r="CH22" i="13" l="1"/>
  <c r="CI14" i="13"/>
  <c r="CI22" i="13" l="1"/>
  <c r="CJ14" i="13"/>
  <c r="CJ22" i="13" l="1"/>
  <c r="CK14" i="13"/>
  <c r="CK22" i="13" l="1"/>
  <c r="CL14" i="13"/>
  <c r="CL22" i="13" l="1"/>
  <c r="CM14" i="13"/>
  <c r="CM22" i="13" l="1"/>
  <c r="CN14" i="13"/>
  <c r="CN22" i="13" l="1"/>
  <c r="CO14" i="13"/>
  <c r="CO22" i="13" l="1"/>
  <c r="CP14" i="13"/>
  <c r="CP22" i="13" l="1"/>
  <c r="CQ14" i="13"/>
  <c r="CQ22" i="13" l="1"/>
  <c r="CR14" i="13"/>
  <c r="CR22" i="13" l="1"/>
  <c r="CS14" i="13"/>
  <c r="CS22" i="13" l="1"/>
  <c r="CT14" i="13"/>
  <c r="CT22" i="13" l="1"/>
  <c r="CU14" i="13"/>
  <c r="CU22" i="13" l="1"/>
  <c r="CV14" i="13"/>
  <c r="CV22" i="13" l="1"/>
  <c r="CW14" i="13"/>
  <c r="CW22" i="13" l="1"/>
  <c r="CX14" i="13"/>
  <c r="CX22" i="13" l="1"/>
  <c r="CY14" i="13"/>
  <c r="CY22" i="13" l="1"/>
  <c r="CZ14" i="13"/>
  <c r="CZ22" i="13" l="1"/>
  <c r="DA14" i="13"/>
  <c r="DA22" i="13" l="1"/>
  <c r="DB14" i="13"/>
  <c r="DB22" i="13" l="1"/>
  <c r="DC14" i="13"/>
  <c r="DC22" i="13" l="1"/>
  <c r="DD14" i="13"/>
  <c r="DD22" i="13" l="1"/>
  <c r="DE14" i="13"/>
  <c r="DE22" i="13" l="1"/>
  <c r="DF14" i="13"/>
  <c r="DF22" i="13" l="1"/>
  <c r="DG14" i="13"/>
  <c r="DG22" i="13" l="1"/>
  <c r="DH14" i="13"/>
  <c r="DH22" i="13" l="1"/>
  <c r="DI14" i="13"/>
  <c r="DI22" i="13" l="1"/>
  <c r="DJ14" i="13"/>
  <c r="DJ22" i="13" l="1"/>
  <c r="DK14" i="13"/>
  <c r="DK22" i="13" l="1"/>
  <c r="DL14" i="13"/>
  <c r="DL22" i="13" l="1"/>
  <c r="DM14" i="13"/>
  <c r="DM22" i="13" l="1"/>
  <c r="DN14" i="13"/>
  <c r="DN22" i="13" l="1"/>
  <c r="DO14" i="13"/>
  <c r="DO22" i="13" l="1"/>
  <c r="DP14" i="13"/>
  <c r="DP22" i="13" l="1"/>
  <c r="DQ14" i="13"/>
  <c r="DQ22" i="13" l="1"/>
  <c r="DR14" i="13"/>
  <c r="DR22" i="13" l="1"/>
  <c r="DS14" i="13"/>
  <c r="DS22" i="13" l="1"/>
  <c r="DT14" i="13"/>
  <c r="DT22" i="13" l="1"/>
  <c r="DU14" i="13"/>
  <c r="DU22" i="13" l="1"/>
  <c r="DV14" i="13"/>
  <c r="DV22" i="13" l="1"/>
  <c r="DW14" i="13"/>
  <c r="DW22" i="13" l="1"/>
  <c r="DX14" i="13"/>
  <c r="DX22" i="13" l="1"/>
  <c r="DY14" i="13"/>
  <c r="DY22" i="13" l="1"/>
  <c r="DZ14" i="13"/>
  <c r="DZ22" i="13" l="1"/>
  <c r="EA14" i="13"/>
  <c r="EA22" i="13" l="1"/>
  <c r="EB14" i="13"/>
  <c r="EB22" i="13" l="1"/>
  <c r="EC14" i="13"/>
  <c r="EC22" i="13" l="1"/>
  <c r="ED14" i="13"/>
  <c r="ED22" i="13" l="1"/>
  <c r="EE14" i="13"/>
  <c r="EE22" i="13" l="1"/>
  <c r="EF14" i="13"/>
  <c r="EF22" i="13" l="1"/>
  <c r="EG14" i="13"/>
  <c r="EG22" i="13" l="1"/>
  <c r="EH14" i="13"/>
  <c r="EH22" i="13" l="1"/>
  <c r="EI14" i="13"/>
  <c r="EI22" i="13" l="1"/>
  <c r="EJ14" i="13"/>
  <c r="EJ22" i="13" l="1"/>
  <c r="EK14" i="13"/>
  <c r="EK22" i="13" l="1"/>
  <c r="EL14" i="13"/>
  <c r="EL22" i="13" l="1"/>
  <c r="EM14" i="13"/>
  <c r="EM22" i="13" l="1"/>
  <c r="EN14" i="13"/>
  <c r="EN22" i="13" l="1"/>
  <c r="EO14" i="13"/>
  <c r="EO22" i="13" l="1"/>
  <c r="EP14" i="13"/>
  <c r="EP22" i="13" l="1"/>
  <c r="EQ14" i="13"/>
  <c r="EQ22" i="13" l="1"/>
  <c r="ER14" i="13"/>
  <c r="ER22" i="13" l="1"/>
  <c r="ES14" i="13"/>
  <c r="ES22" i="13" l="1"/>
  <c r="ET14" i="13"/>
  <c r="ET22" i="13" l="1"/>
  <c r="EU14" i="13"/>
  <c r="EU22" i="13" l="1"/>
  <c r="EV14" i="13"/>
  <c r="EV22" i="13" l="1"/>
  <c r="EW14" i="13"/>
  <c r="EW22" i="13" l="1"/>
  <c r="EX14" i="13"/>
  <c r="EX22" i="13" l="1"/>
  <c r="EY14" i="13"/>
  <c r="EY22" i="13" l="1"/>
  <c r="EZ14" i="13"/>
  <c r="EZ22" i="13" l="1"/>
  <c r="FA14" i="13"/>
  <c r="FA22" i="13" l="1"/>
  <c r="FB14" i="13"/>
  <c r="FB22" i="13" l="1"/>
  <c r="FC14" i="13"/>
  <c r="FC22" i="13" l="1"/>
  <c r="FD14" i="13"/>
  <c r="FD22" i="13" l="1"/>
  <c r="FE14" i="13"/>
  <c r="FE22" i="13" l="1"/>
  <c r="FF14" i="13"/>
  <c r="FF22" i="13" l="1"/>
  <c r="FG14" i="13"/>
  <c r="FG22" i="13" l="1"/>
  <c r="FH14" i="13"/>
  <c r="FH22" i="13" l="1"/>
  <c r="FI14" i="13"/>
  <c r="FI22" i="13" l="1"/>
  <c r="FJ14" i="13"/>
  <c r="FJ22" i="13" l="1"/>
  <c r="FK14" i="13"/>
  <c r="FK22" i="13" l="1"/>
  <c r="FL14" i="13"/>
  <c r="FL22" i="13" l="1"/>
  <c r="FM14" i="13"/>
  <c r="FM22" i="13" l="1"/>
  <c r="FN14" i="13"/>
  <c r="N14" i="13" l="1"/>
  <c r="FN22" i="13"/>
  <c r="N23" i="13" l="1"/>
  <c r="N22" i="13"/>
  <c r="K22" i="8" l="1"/>
</calcChain>
</file>

<file path=xl/sharedStrings.xml><?xml version="1.0" encoding="utf-8"?>
<sst xmlns="http://schemas.openxmlformats.org/spreadsheetml/2006/main" count="842" uniqueCount="358">
  <si>
    <t>LINE NO.</t>
  </si>
  <si>
    <t>SYMBOL</t>
  </si>
  <si>
    <t>A</t>
  </si>
  <si>
    <t xml:space="preserve"> COMPANY NAME</t>
  </si>
  <si>
    <t>AVERAGE</t>
  </si>
  <si>
    <t>BETA</t>
  </si>
  <si>
    <t>LINE NO</t>
  </si>
  <si>
    <t>COMPANY</t>
  </si>
  <si>
    <t>YIELD</t>
  </si>
  <si>
    <t>ANNUAL DIVIDEND</t>
  </si>
  <si>
    <t>CURRENT PRICE</t>
  </si>
  <si>
    <t>EPS 10 YR GROWTH</t>
  </si>
  <si>
    <t>BVPS 10 YR GROWTH</t>
  </si>
  <si>
    <t>DPS 10 YR GROWTH</t>
  </si>
  <si>
    <t>EPS 5 YR GROWTH</t>
  </si>
  <si>
    <t>DPS 5 YR GROWTH</t>
  </si>
  <si>
    <t>BVPS 5 YR GROWTH</t>
  </si>
  <si>
    <t>EPS VL FORECAST</t>
  </si>
  <si>
    <t>DPS VL FORECAST</t>
  </si>
  <si>
    <t>BVPS VL FORECAST</t>
  </si>
  <si>
    <t>YAHOO EPS</t>
  </si>
  <si>
    <t>ZACKS EPS</t>
  </si>
  <si>
    <t>HISTORICAL GROWTH RATES</t>
  </si>
  <si>
    <t>HISTORICAL AVERAGE</t>
  </si>
  <si>
    <t>"br+sv" INTERNAL GROWTH</t>
  </si>
  <si>
    <t>"b"</t>
  </si>
  <si>
    <t>"r"</t>
  </si>
  <si>
    <t>CHANGE IN EQUITY</t>
  </si>
  <si>
    <t>ADJUSTMENT FACTOR</t>
  </si>
  <si>
    <t>ADJUSTED "r"</t>
  </si>
  <si>
    <t>GROWTH IN SHARES</t>
  </si>
  <si>
    <t>"s"</t>
  </si>
  <si>
    <t>"v"</t>
  </si>
  <si>
    <t>"br"+"sv" GROWTH</t>
  </si>
  <si>
    <t>SOURCES</t>
  </si>
  <si>
    <t>AVERAGE EPS FORECAST</t>
  </si>
  <si>
    <t>FORECAST GROWTH RATES</t>
  </si>
  <si>
    <t>AVERAGE PRICE</t>
  </si>
  <si>
    <t>DIVIDEND</t>
  </si>
  <si>
    <t>DIVIDEND YIELD</t>
  </si>
  <si>
    <t>GROWTH RATE</t>
  </si>
  <si>
    <t>ROE</t>
  </si>
  <si>
    <t>AVERAGE GROWTH FORECAST</t>
  </si>
  <si>
    <t>PRICE</t>
  </si>
  <si>
    <t>YEAR 1 DIVIDEND</t>
  </si>
  <si>
    <t>YEAR 2 DIVIDEND</t>
  </si>
  <si>
    <t>YEAR 3 DIVIDEND</t>
  </si>
  <si>
    <t>YEAR 4 DIVIDEND</t>
  </si>
  <si>
    <t>YEAR 5 DIVIDEND</t>
  </si>
  <si>
    <t>GROWTH YEARS 5-150</t>
  </si>
  <si>
    <t>TWO-STAGE ROE</t>
  </si>
  <si>
    <t>IRR</t>
  </si>
  <si>
    <t>B</t>
  </si>
  <si>
    <t>C</t>
  </si>
  <si>
    <t>D</t>
  </si>
  <si>
    <t>E</t>
  </si>
  <si>
    <t>F</t>
  </si>
  <si>
    <t>DATE</t>
  </si>
  <si>
    <t>30 YEAR US TREASURY</t>
  </si>
  <si>
    <t>20 YEAR US TREASURY</t>
  </si>
  <si>
    <t>10 YEAR US TREASURY</t>
  </si>
  <si>
    <t xml:space="preserve">AVERAGE </t>
  </si>
  <si>
    <t>3 MONTH AVG</t>
  </si>
  <si>
    <t>MINIMUM</t>
  </si>
  <si>
    <t>MAXIMUM</t>
  </si>
  <si>
    <t>CAPITAL ASSET PRICING MODEL</t>
  </si>
  <si>
    <t>EMPIRICAL CAPITAL ASSET PRICING MODEL</t>
  </si>
  <si>
    <t xml:space="preserve">                   </t>
  </si>
  <si>
    <t>G</t>
  </si>
  <si>
    <t>H</t>
  </si>
  <si>
    <t>I</t>
  </si>
  <si>
    <t>SOURCES:</t>
  </si>
  <si>
    <t>YEAR</t>
  </si>
  <si>
    <t>30 YEAR US TREASURY BOND YIELD</t>
  </si>
  <si>
    <t>RISK PREMIUM</t>
  </si>
  <si>
    <t>DESCRIPTION</t>
  </si>
  <si>
    <t>SPOT</t>
  </si>
  <si>
    <t>3 MONTH AVERAGE</t>
  </si>
  <si>
    <t>CURRENT 30 YEAR US TREASURY</t>
  </si>
  <si>
    <t>AVERAGE YIELD IN STUDY PERIOD</t>
  </si>
  <si>
    <t>INTEREST RATE DELTA</t>
  </si>
  <si>
    <t>INTEREST RATE CHANGE IN STUDY</t>
  </si>
  <si>
    <t>ADJUSTMENT TO RISK PREMIUM</t>
  </si>
  <si>
    <t>BASIC RISK PREMIUM PER STUDY</t>
  </si>
  <si>
    <t>ADJUSTED RISK PREMIUM</t>
  </si>
  <si>
    <t>RISK PREMIUM EQUITY RETURN</t>
  </si>
  <si>
    <t>INTEREST RATE CHANGE: RATE OF CHANGE SLOPE OF RISK PREMIUM TO YIELD</t>
  </si>
  <si>
    <t>MARKET RISK PREMIUM</t>
  </si>
  <si>
    <t>RISK FREE RATE</t>
  </si>
  <si>
    <t>CAPM</t>
  </si>
  <si>
    <t>ECAPM</t>
  </si>
  <si>
    <t>MEDIAN</t>
  </si>
  <si>
    <t>FINANCIAL METRICS</t>
  </si>
  <si>
    <t xml:space="preserve">CAPITAL </t>
  </si>
  <si>
    <t>RATIO</t>
  </si>
  <si>
    <t>COST RATE</t>
  </si>
  <si>
    <t>WEIGHTED COST</t>
  </si>
  <si>
    <t>RETURN</t>
  </si>
  <si>
    <t>LONG TERM DEBT</t>
  </si>
  <si>
    <t>COMMON EQUITY</t>
  </si>
  <si>
    <t>TOTAL CAPITAL</t>
  </si>
  <si>
    <t>RATE BASE</t>
  </si>
  <si>
    <t>CAPITAL</t>
  </si>
  <si>
    <t>Difference</t>
  </si>
  <si>
    <t>SOURCES COL. A</t>
  </si>
  <si>
    <t>SOURCES COL. B</t>
  </si>
  <si>
    <t>RATE OF RETURN</t>
  </si>
  <si>
    <t>LINE 1 TIMES LINE2</t>
  </si>
  <si>
    <t>TOTAL DEBT</t>
  </si>
  <si>
    <t>J</t>
  </si>
  <si>
    <t>K</t>
  </si>
  <si>
    <t>L</t>
  </si>
  <si>
    <t>M</t>
  </si>
  <si>
    <t>LAWTON TESTIMONY RECOMMEDATION</t>
  </si>
  <si>
    <t>WTD DEBT COST TIMES RATE BASE</t>
  </si>
  <si>
    <t>35% to 45%</t>
  </si>
  <si>
    <t>ADJUSTED DIVIDEND YIELD</t>
  </si>
  <si>
    <t>COLUMNS C: Column B less Column A</t>
  </si>
  <si>
    <t xml:space="preserve"> </t>
  </si>
  <si>
    <t>3 MONTH Average</t>
  </si>
  <si>
    <t>ANNUAL CHANGE IN DIVIDEND</t>
  </si>
  <si>
    <t>52 Week High</t>
  </si>
  <si>
    <t>52 Week Low</t>
  </si>
  <si>
    <t>52 Week Average</t>
  </si>
  <si>
    <t>N</t>
  </si>
  <si>
    <t>O</t>
  </si>
  <si>
    <t>P</t>
  </si>
  <si>
    <t>Q</t>
  </si>
  <si>
    <t>R</t>
  </si>
  <si>
    <t>S</t>
  </si>
  <si>
    <t>MARKET TO BOOK 2020</t>
  </si>
  <si>
    <t>COMPARABLE GROUP WORK SHEET</t>
  </si>
  <si>
    <t>MEAN</t>
  </si>
  <si>
    <t>DPS 2018</t>
  </si>
  <si>
    <t>EPS 2018</t>
  </si>
  <si>
    <t>BVPS 2018</t>
  </si>
  <si>
    <t>EQUITY RATIO 2018</t>
  </si>
  <si>
    <t>CURRENT QUARTERLY DIVIDEND</t>
  </si>
  <si>
    <t>EPS 10 YR. GROWTH</t>
  </si>
  <si>
    <t>DPS 10 YR. GROWTH</t>
  </si>
  <si>
    <t>BVPS 10 YR. GROWTH</t>
  </si>
  <si>
    <t>EPS 5 YR. GROWTH</t>
  </si>
  <si>
    <t>DPS 5 YR. GROWTH</t>
  </si>
  <si>
    <t>BVPS 5 YR. GROWTH</t>
  </si>
  <si>
    <t>ADJUSTED ROE</t>
  </si>
  <si>
    <t>ADJUSTED TWO-STAGE ROE</t>
  </si>
  <si>
    <t>WEIGHTED COST w/FIT</t>
  </si>
  <si>
    <t>RETURN W/FIT</t>
  </si>
  <si>
    <t>EQUITY RATIO 2019</t>
  </si>
  <si>
    <t>DPS 2019</t>
  </si>
  <si>
    <t>EPS 2019</t>
  </si>
  <si>
    <t>BVPS 2019</t>
  </si>
  <si>
    <t xml:space="preserve"> COMPANY REQUESTED CAPITAL STRUCTURE COST RATES AND RETURN</t>
  </si>
  <si>
    <t>EQUITY RATIO 2020</t>
  </si>
  <si>
    <t>EQUITY RATIO 2022-2024</t>
  </si>
  <si>
    <t>DPS 2020</t>
  </si>
  <si>
    <t>DPS 2022-24</t>
  </si>
  <si>
    <t>EPS 2020</t>
  </si>
  <si>
    <t>EPS 2022-24</t>
  </si>
  <si>
    <t>BVPS 2020</t>
  </si>
  <si>
    <t>BVPS 2022-2024</t>
  </si>
  <si>
    <t>SHARES 2018</t>
  </si>
  <si>
    <t>SHARES 2022-24</t>
  </si>
  <si>
    <t>HI PRICE EST 22 -24</t>
  </si>
  <si>
    <t>LO PRICE EST 22 - 24</t>
  </si>
  <si>
    <t>AVG PRICE 22 - 24</t>
  </si>
  <si>
    <t>2022-24 CAPITAL</t>
  </si>
  <si>
    <t>2018 EQUITY RATIO</t>
  </si>
  <si>
    <t>2022 - 24 EQUITY RATIO</t>
  </si>
  <si>
    <t>2018 TOTAL CAPITAL</t>
  </si>
  <si>
    <t>APR. 2019</t>
  </si>
  <si>
    <t>JUN. 2019</t>
  </si>
  <si>
    <t xml:space="preserve">COLUMNS G CURRENT YIELDS: SCHEDULE (DJL-3) 3 MONTH AVERAGE; AND CURRENT YIELD </t>
  </si>
  <si>
    <t>DPS 2022 - 2024</t>
  </si>
  <si>
    <t>EPS 2022 - 2024</t>
  </si>
  <si>
    <t>2018 EQUITY CAPITAL</t>
  </si>
  <si>
    <t>2022-2024 EQUITY CAPITAL</t>
  </si>
  <si>
    <t>2022-2024 FORECAST PRICE</t>
  </si>
  <si>
    <t>2022-2024 BVPS</t>
  </si>
  <si>
    <t>2022-2024 MARKET TO BOOK</t>
  </si>
  <si>
    <t>NXT YEAR DPS 2020</t>
  </si>
  <si>
    <t>DPS 2022-2024</t>
  </si>
  <si>
    <t>COLUMNS G - H: AVERAGES OF HISTORICAL DATA</t>
  </si>
  <si>
    <t>COLUMN M: (COLUMN L/ COLUMN H)</t>
  </si>
  <si>
    <t>COLUMN L: AVERAGE OF EPS COLUMNS H,I,J.</t>
  </si>
  <si>
    <t>COLUMN M: AVERAGE COLUMNS K &amp; L.</t>
  </si>
  <si>
    <t>COLUMNS A - C: SEE SCHEDULE DJL-5</t>
  </si>
  <si>
    <t>COLUMN D: COLUMN C GROSSED UP FOR 1/2 OF GROWTH IN COLUMN E</t>
  </si>
  <si>
    <t>COLUMN E: SEE SCHEDULE (DJL-6) PAGE 1</t>
  </si>
  <si>
    <t>COLUMN F: SUM OF COLUMNS E &amp; D</t>
  </si>
  <si>
    <t>COLUMN G: ALL VALUES BELOW 7.5% AND ABOVE 12.5% OMITTED FROM COLUMN F</t>
  </si>
  <si>
    <t>COLUMN C: (COLUMN B-COL A)/3</t>
  </si>
  <si>
    <t>COLUMN D: PER SCHEDULE DJL-5</t>
  </si>
  <si>
    <t>COLUMN J: PER SCHEDULE (DJL-6) PAGE 1</t>
  </si>
  <si>
    <t>COLUMN K: INTERNAL RATE OF RETURN CALCULATION</t>
  </si>
  <si>
    <t>COLUMN L: COLUMN K W/O VALUES BELOW 7.5% OR ABOVE 12.5 %</t>
  </si>
  <si>
    <t xml:space="preserve">WEIGHTED COST w/FIT GROSS UP @ 21% </t>
  </si>
  <si>
    <t>RETURN W/FIT GROSS UP @ 21%</t>
  </si>
  <si>
    <t>DIRECT TESTIMONY D. BLAIR RATE BASE PER SCHEDULE DAB-1-001 REVENUE REQUIREMENTS</t>
  </si>
  <si>
    <t>PER COMPANY WITNESS S. SOONG TESTIMONY MARCH 31, 2019 CAPITAL STRUCTURE</t>
  </si>
  <si>
    <t>CURRENT DEFERRED INCOME TAXES</t>
  </si>
  <si>
    <t>PER COMPANY WITNESS S. SOONG TESTIMONY DECEMBER 31, 2018 CAPITAL STRUCTURE</t>
  </si>
  <si>
    <t xml:space="preserve"> COLUMNS A-C FROM Federal Reserve Website</t>
  </si>
  <si>
    <t>All NEGATIVE GROWTH RATES OMITTED</t>
  </si>
  <si>
    <t>COLUMN 1: RETENTION RATIO = 1-(DPS/EPS)</t>
  </si>
  <si>
    <t>COLUMN 2: EQUITY RETURN = (EPS/BVPS)</t>
  </si>
  <si>
    <t>COLUMN 4: COMPUTED USING THE FORMULA[2*(1+ 5YR CHANGE IN EQUITY)/(2+ 5 YR CHANGE IN EQUITY)]</t>
  </si>
  <si>
    <t>COLUMN 8: COLUMN 6 * COLUMN 7</t>
  </si>
  <si>
    <t>COLUMN 9: 1-(PRICE/BOOK)</t>
  </si>
  <si>
    <t>COLUMN 10: COLUMNS (1 * 5)+(8*9)</t>
  </si>
  <si>
    <t>COLUMN 18: COLUMN 14 * COLUMN 16</t>
  </si>
  <si>
    <t>COLUMNS D &amp; H CALCULATION OF CAPM &amp; ECAPM RESPECTIVELY.</t>
  </si>
  <si>
    <t>COLUMNS D &amp; H: ALL AMOUNTS BELOW 7.5% OR ABOVE 12.5% OMITTED.</t>
  </si>
  <si>
    <t>DEPRECIATION &amp; AMOTIZ.</t>
  </si>
  <si>
    <t xml:space="preserve">TOTAL INTEREST ESTMATED </t>
  </si>
  <si>
    <t>(D)</t>
  </si>
  <si>
    <t>(E)</t>
  </si>
  <si>
    <t xml:space="preserve">COLUMNS D &amp; E ROW 10: COL. A &amp; B LINE 7/ LINE 8 </t>
  </si>
  <si>
    <t>SUM LINES 3 AND 4 AND 6 LESS LINE 9</t>
  </si>
  <si>
    <t>ALTERNATIVE COST OF CAPITAL WITH RETURN  EQUITY@ 9.20%</t>
  </si>
  <si>
    <t>alt. Capital Structure ROE ADJUSTED TO 9.20%</t>
  </si>
  <si>
    <t>DEBT/CAPITAL</t>
  </si>
  <si>
    <t>(Provided in PDF Format)</t>
  </si>
  <si>
    <t>COLUMN 19: COLUMN 15 * COLUMN 17</t>
  </si>
  <si>
    <t>COLUMN 5: COLUMN 2*4</t>
  </si>
  <si>
    <t>https://www.federalreserve.gov/datadownload/Choose.aspx?rel=H15</t>
  </si>
  <si>
    <t>COLUMNS A: FEDERAL RESERVE WEBSITE H-15 HISTORICAL DATA NOTE: FOR 2003-2005 20-YEAR BOND YIELDS WERE EMPLOYED</t>
  </si>
  <si>
    <t>(NOTE DURING THE PERIOD 2003-2005 30 YEAR US TREASURY SALES WERE SUSPENDED &amp; 20-YEAR US TREASURY'S WERE SUBSTITUTED)</t>
  </si>
  <si>
    <t>DEBT AMOUNT IN CAPITAL STRUCTURE</t>
  </si>
  <si>
    <t>DOMINION ENERGY UTAH</t>
  </si>
  <si>
    <t>DOCKET NO.19-057-02</t>
  </si>
  <si>
    <t>FORECASTED TEST YEAR ENDED DECEMBER 31, 2020</t>
  </si>
  <si>
    <t>ATO</t>
  </si>
  <si>
    <t>ATMOS ENERGY CORP</t>
  </si>
  <si>
    <t>CHESAPEAKE UTILITIES CORP</t>
  </si>
  <si>
    <t>CPK</t>
  </si>
  <si>
    <t>NEW JERSEY RESOURCES CORP</t>
  </si>
  <si>
    <t>NJR</t>
  </si>
  <si>
    <t>NORTHWEST NATURAL HOLDING CO</t>
  </si>
  <si>
    <t>NWN</t>
  </si>
  <si>
    <t>ONE GAS, INC.</t>
  </si>
  <si>
    <t>OGS</t>
  </si>
  <si>
    <t>SOUTH JERSEY INDUSTRIES, INC</t>
  </si>
  <si>
    <t>SJI</t>
  </si>
  <si>
    <t>SPIRE INC</t>
  </si>
  <si>
    <t>SR</t>
  </si>
  <si>
    <t>SOUTHWEST GAS HOLDINGS INC</t>
  </si>
  <si>
    <t>SWX</t>
  </si>
  <si>
    <t>DOMINION ENERGY UTAH EQUITY RATIO PER J. STEPHENSON DIRECT TESTIMONY.</t>
  </si>
  <si>
    <t>DOCKET NO 19-057-02</t>
  </si>
  <si>
    <t>DOCKET NO. 19-057-02</t>
  </si>
  <si>
    <t>MAY. 2019</t>
  </si>
  <si>
    <t>AUG. 2019</t>
  </si>
  <si>
    <t>SEP. 2019</t>
  </si>
  <si>
    <t>DOCKET NO. 19=057-02</t>
  </si>
  <si>
    <t>DOCKET NO, 19-057-02</t>
  </si>
  <si>
    <t>COLUMNS I - K: PER ZACKS.COM (Retrieved SEPTEMBER 3, 2019)</t>
  </si>
  <si>
    <t>COLUMN K:Schedule (DJL-6) PAGE 2</t>
  </si>
  <si>
    <t xml:space="preserve">COLUMN 3: COMPUTED USING THE FORMULA FOR COMPOUND AVERAGE GROWTH FIVE YEAR PERIOD </t>
  </si>
  <si>
    <t>COLUMN 6: Schedule (DJL-6) PAGE 3 COLUMN 22</t>
  </si>
  <si>
    <t xml:space="preserve">COLUMN 7: COMPUTED USING THE FORMULA FOR COMPOUND AVERAGE GROWTH FIVE YEAR PERIOD </t>
  </si>
  <si>
    <t>FORECASTEDL TEST YEAR ENDED DECEMBER 31, 2020</t>
  </si>
  <si>
    <t xml:space="preserve">SPOT YIELD IS THE YIELD AT K OF AUGUST 29, 2019 PER FEDERAL RESERVE H-15 DATA BASE. </t>
  </si>
  <si>
    <t>FORECASTED TEST YEAR ENDED MARCH 31, 2020</t>
  </si>
  <si>
    <t>COMPANY FILING DEU EXHIBIT 4.06, PAGE 1 0F 2, LINE 49</t>
  </si>
  <si>
    <t>COMPANY FILING WITNESS HEVERT &amp; STEPHENSON DIRECT TESTIMONY</t>
  </si>
  <si>
    <t>COMPANY FILING DEU EXHIBIT 4.06, PAGE 1 0F 2, LINE 21</t>
  </si>
  <si>
    <t>INVESTMENT</t>
  </si>
  <si>
    <t>TRACKER</t>
  </si>
  <si>
    <t>DEPRECIATION</t>
  </si>
  <si>
    <t>TOTAL</t>
  </si>
  <si>
    <t>LNG PLANT COST</t>
  </si>
  <si>
    <t>ANNUAL</t>
  </si>
  <si>
    <t>ADJUSTED FOR TRACKER, AND DEPRECIATION</t>
  </si>
  <si>
    <t>QUESTAR FORECASTED INVESTMENT (2019 TO 2023)</t>
  </si>
  <si>
    <t>NET 1 INCLUDES LNG</t>
  </si>
  <si>
    <t>NET 2 EXCLUDES LNG</t>
  </si>
  <si>
    <t>AUTHORIZED ROE</t>
  </si>
  <si>
    <t>OBSERVATIONS</t>
  </si>
  <si>
    <t>1981 - 2011 per RRA data base, 2012 - 2019 per American Gas Association Rate and Regulatory Updates</t>
  </si>
  <si>
    <t>2019 reflects 1st Quarter</t>
  </si>
  <si>
    <t>MONTHLY U.S. GOVERNMENT BOND YIELDS</t>
  </si>
  <si>
    <t>qtr div</t>
  </si>
  <si>
    <t>ann div</t>
  </si>
  <si>
    <t xml:space="preserve">           SEPTEMBER 18, 2019 PRESS RELEASE AND ECONOMIC PROJECTIONS</t>
  </si>
  <si>
    <t>LOW ROE</t>
  </si>
  <si>
    <t>MEAN ROE</t>
  </si>
  <si>
    <t>HIGH ROE</t>
  </si>
  <si>
    <t>30-DAY AVG. STOCK PRICE</t>
  </si>
  <si>
    <t>90-DAY AVG. STOCK PRICE</t>
  </si>
  <si>
    <t>180-DAY AVG. STOCK PRICE</t>
  </si>
  <si>
    <t xml:space="preserve"> AVG. STOCK PRICE</t>
  </si>
  <si>
    <t>3-MONTH AVERAGE YIELD</t>
  </si>
  <si>
    <t>SPOT YIELD</t>
  </si>
  <si>
    <t>AVERAGE BETA</t>
  </si>
  <si>
    <t>BLOOMBERG MRP</t>
  </si>
  <si>
    <t>VALUE LINE MRP</t>
  </si>
  <si>
    <t>BLOOMBERG DCF</t>
  </si>
  <si>
    <t>VALUE LINE DCF</t>
  </si>
  <si>
    <t>BLOOMBERG CAPM</t>
  </si>
  <si>
    <t>VALUE LINE CAPM</t>
  </si>
  <si>
    <t>BLOOMBERG ECAPM</t>
  </si>
  <si>
    <t>VALUE LINE ECAPM</t>
  </si>
  <si>
    <t>VALUE LINE BETA  CAPM/ECAPM ANALYSIS</t>
  </si>
  <si>
    <t>BLOOMBERG BETA CAPM/ECAPM ANALYSIS</t>
  </si>
  <si>
    <t>DCF</t>
  </si>
  <si>
    <t>CAPM/ECAPM</t>
  </si>
  <si>
    <t>RP</t>
  </si>
  <si>
    <t>AUTHORIZED Gas UTILITY EQUITY RETURN</t>
  </si>
  <si>
    <t>COLUMNS B: RRA MAJOR RATE CASE DECISIONS &amp; American Gas Association (AGA) RATE and Regulatory Updates.</t>
  </si>
  <si>
    <t xml:space="preserve"> DEU Exhibit 4.18 Tab "ROR-Model" row 940</t>
  </si>
  <si>
    <t>EARNINGS BEFORE INTEREST, DEPREC, AMORT (EBIDA)</t>
  </si>
  <si>
    <t>CFO/DEBT (%) [excludes interest]</t>
  </si>
  <si>
    <t>CFO-Divid/Debt</t>
  </si>
  <si>
    <t>19%-27%</t>
  </si>
  <si>
    <t>15%-23%</t>
  </si>
  <si>
    <t xml:space="preserve"> CASH FLOW (EBITDA LESS INTEREST &amp; CUR FIT) CFO</t>
  </si>
  <si>
    <t>(F) Moody's Guidelines for A Bonds</t>
  </si>
  <si>
    <t>TOTAL RETURN EXCL. FIT PLUS DEPREC. &amp; AMORT.</t>
  </si>
  <si>
    <t>COLUMNS D &amp; E ROW 11: COL (A &amp; B LINE 7) less assumed divid payout of equity /LINE 5</t>
  </si>
  <si>
    <t>COLUMNS D &amp; E ROW 12: Per Company Filing</t>
  </si>
  <si>
    <t>COLUMNS  including lines 10-12 :RANGE OF METRICS REQUIRED FOR A RATED BONDS PER MOODY'S investor Services (June 23, 2017 at 22)</t>
  </si>
  <si>
    <t>FINANCIAL METRICS (Low Business Risk Grid)+B39:C39</t>
  </si>
  <si>
    <t xml:space="preserve">          </t>
  </si>
  <si>
    <t xml:space="preserve">FEDERAL RESERVE JUlY 31, 2019 PRESS RELEASE AND </t>
  </si>
  <si>
    <t>COLUMNS A-E:VALUE LINE INVESTMENT SURVEY NATURAL GAS UTILITY November 29, 2019</t>
  </si>
  <si>
    <t>COLUMNS A-Q:VALUE LINE INVESTMENT SURVEY NATURAL GAS UTILITY November 29, 2019</t>
  </si>
  <si>
    <t>COLUMN R: YAHOOFINANCE.COM RETRIEVED November 23, 2019</t>
  </si>
  <si>
    <t>COLUMN S: ZACKS.COM RETRIEVED November 23, 2019</t>
  </si>
  <si>
    <t>COLUMNS A - H:VALUE LINE INVESTMENT SURVEY GAS UTILITY November 29, 2019</t>
  </si>
  <si>
    <t>COLUMN I:YAHOO FINANCE Retrieved November 23, 2019</t>
  </si>
  <si>
    <t>COLUMN J: ZACKS.COM Retrieved November 23, 2019</t>
  </si>
  <si>
    <t>OCT. 2019</t>
  </si>
  <si>
    <t xml:space="preserve"> Average</t>
  </si>
  <si>
    <t>COLUMNS 11-17, 20-24: VALUE LINE INVESTMENT SURVEY GAS UTILITY NOVEMBER 29, 2019</t>
  </si>
  <si>
    <t>COLUMNS A - B: VALUE LINE INVESTMENT SURVEY GAS UTILITY NOVEMBER 29, 2019</t>
  </si>
  <si>
    <t>COLUMNS A &amp; E: VALUE LINE INVESTMENT SURVEY GAS UTILITY NOVEMBER 29, 2019</t>
  </si>
  <si>
    <t>COLUMNS B,C &amp; F,G: PER TESTIMONY CAPM &amp; ECAPM SECTIONS (12.1%-2.16%=9.94%)</t>
  </si>
  <si>
    <t xml:space="preserve"> FORECASTED TEST YEAR ENDED DECEMBER 31, 2020</t>
  </si>
  <si>
    <t>UPDATED ALTERNATIVE COMPARABLE GROUP GROWTH RATES</t>
  </si>
  <si>
    <t>UPDATED  ALTERNATIVE COMPARABLE GROUP GROWTH RATES</t>
  </si>
  <si>
    <t xml:space="preserve"> UPDATED  COMPARABLE GROUP STOCK PRICES</t>
  </si>
  <si>
    <t>UPDATED  ALTERNATIVE COMPARABLE GROUP BASE DATA</t>
  </si>
  <si>
    <t>JANUARY 2013 THROUGH OCTOBER 2019</t>
  </si>
  <si>
    <t>UPDATED COMPARABLE GROUP TWO-STAGE GROWTH DCF</t>
  </si>
  <si>
    <t>UPDATED CONSTANT GROWTH DISCOUNTED CASH FLOW</t>
  </si>
  <si>
    <t>UPDATED CAPM AND ECAPM CALCULATIONS</t>
  </si>
  <si>
    <t>UPDATED BOND YIELD RISK PREMIUM ROE ESTIMATE</t>
  </si>
  <si>
    <t>AMERICAN GAS ASSOCIATION</t>
  </si>
  <si>
    <t xml:space="preserve"> RATE &amp; REGULATORY UPDATE</t>
  </si>
  <si>
    <t xml:space="preserve">          SUMMARY OF STATE RATE &amp; REGULATORY ACTIVITY</t>
  </si>
  <si>
    <t xml:space="preserve">          JULY 1 THROUGH SEPTEMBER 30, 2019</t>
  </si>
  <si>
    <t xml:space="preserve">STATE CORPORATION COMMISSION OF VIRGINIA (FINAL ORDER) </t>
  </si>
  <si>
    <t>VIRGINIA ELECTRIC AND POWER COMPANY</t>
  </si>
  <si>
    <t>CASE NO. PUR-2019-00050</t>
  </si>
  <si>
    <t>COMPANY REQUESTED Capital Structure &amp; 10.50% ROE</t>
  </si>
  <si>
    <t>F2</t>
  </si>
  <si>
    <t>COLUMNS A -F, F2 &amp; L: YAHOO FINANCE HISTORICAL STOCK PRICES MONTHLY (Retrieved SEPTEMBER 29, 2019 &amp; F2 on November 25,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</si>
</sst>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0.000"/>
    <numFmt numFmtId="165" formatCode="&quot;$&quot;#,##0.00"/>
    <numFmt numFmtId="166" formatCode="&quot;$&quot;#,##0.000"/>
    <numFmt numFmtId="167" formatCode="0.00000000"/>
    <numFmt numFmtId="168" formatCode="0.000%"/>
    <numFmt numFmtId="169" formatCode="&quot;$&quot;#,##0"/>
    <numFmt numFmtId="170" formatCode="0.0"/>
    <numFmt numFmtId="171" formatCode="0.0000%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71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0" fillId="0" borderId="0" xfId="2" applyNumberFormat="1" applyFont="1"/>
    <xf numFmtId="0" fontId="0" fillId="0" borderId="0" xfId="0" applyAlignment="1">
      <alignment horizontal="center"/>
    </xf>
    <xf numFmtId="10" fontId="0" fillId="0" borderId="0" xfId="2" applyNumberFormat="1" applyFont="1"/>
    <xf numFmtId="2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/>
    <xf numFmtId="0" fontId="16" fillId="0" borderId="0" xfId="0" applyFont="1" applyAlignment="1">
      <alignment horizontal="center"/>
    </xf>
    <xf numFmtId="10" fontId="15" fillId="0" borderId="0" xfId="2" applyNumberFormat="1" applyFont="1" applyAlignment="1"/>
    <xf numFmtId="10" fontId="16" fillId="0" borderId="0" xfId="2" applyNumberFormat="1" applyFont="1" applyAlignment="1">
      <alignment horizontal="center"/>
    </xf>
    <xf numFmtId="0" fontId="11" fillId="0" borderId="0" xfId="0" applyFont="1" applyAlignment="1">
      <alignment wrapText="1"/>
    </xf>
    <xf numFmtId="169" fontId="14" fillId="0" borderId="0" xfId="0" applyNumberFormat="1" applyFont="1" applyAlignment="1">
      <alignment horizontal="right"/>
    </xf>
    <xf numFmtId="10" fontId="14" fillId="0" borderId="0" xfId="2" applyNumberFormat="1" applyFont="1" applyAlignment="1">
      <alignment horizontal="right"/>
    </xf>
    <xf numFmtId="10" fontId="8" fillId="0" borderId="0" xfId="2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0" fillId="0" borderId="0" xfId="0" applyNumberFormat="1"/>
    <xf numFmtId="0" fontId="12" fillId="0" borderId="0" xfId="0" applyFont="1" applyAlignment="1">
      <alignment horizontal="left"/>
    </xf>
    <xf numFmtId="0" fontId="16" fillId="0" borderId="0" xfId="0" applyFont="1" applyAlignment="1"/>
    <xf numFmtId="165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2" applyNumberFormat="1" applyFont="1" applyAlignment="1">
      <alignment horizontal="center"/>
    </xf>
    <xf numFmtId="0" fontId="18" fillId="0" borderId="0" xfId="0" applyFont="1"/>
    <xf numFmtId="0" fontId="4" fillId="0" borderId="0" xfId="2" applyNumberFormat="1" applyFont="1" applyAlignment="1">
      <alignment horizontal="center"/>
    </xf>
    <xf numFmtId="0" fontId="22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9" fontId="14" fillId="0" borderId="1" xfId="2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69" fontId="14" fillId="0" borderId="1" xfId="0" applyNumberFormat="1" applyFont="1" applyBorder="1" applyAlignment="1">
      <alignment horizontal="right"/>
    </xf>
    <xf numFmtId="168" fontId="8" fillId="0" borderId="1" xfId="2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right"/>
    </xf>
    <xf numFmtId="10" fontId="14" fillId="0" borderId="1" xfId="2" applyNumberFormat="1" applyFont="1" applyBorder="1" applyAlignment="1">
      <alignment horizontal="right"/>
    </xf>
    <xf numFmtId="10" fontId="8" fillId="0" borderId="1" xfId="2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168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/>
    <xf numFmtId="6" fontId="8" fillId="0" borderId="1" xfId="0" applyNumberFormat="1" applyFont="1" applyBorder="1" applyAlignment="1">
      <alignment horizontal="center"/>
    </xf>
    <xf numFmtId="10" fontId="0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Font="1" applyBorder="1"/>
    <xf numFmtId="2" fontId="0" fillId="0" borderId="1" xfId="2" applyNumberFormat="1" applyFont="1" applyBorder="1"/>
    <xf numFmtId="0" fontId="0" fillId="0" borderId="0" xfId="0" applyBorder="1"/>
    <xf numFmtId="10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26" fillId="0" borderId="0" xfId="0" applyFont="1"/>
    <xf numFmtId="0" fontId="19" fillId="0" borderId="0" xfId="0" applyFont="1"/>
    <xf numFmtId="10" fontId="7" fillId="0" borderId="1" xfId="2" applyNumberFormat="1" applyFont="1" applyBorder="1"/>
    <xf numFmtId="10" fontId="3" fillId="0" borderId="1" xfId="2" applyNumberFormat="1" applyFont="1" applyBorder="1"/>
    <xf numFmtId="10" fontId="2" fillId="0" borderId="1" xfId="2" applyNumberFormat="1" applyFont="1" applyBorder="1"/>
    <xf numFmtId="0" fontId="25" fillId="0" borderId="1" xfId="0" applyFont="1" applyBorder="1"/>
    <xf numFmtId="2" fontId="25" fillId="0" borderId="1" xfId="2" applyNumberFormat="1" applyFont="1" applyBorder="1"/>
    <xf numFmtId="10" fontId="16" fillId="0" borderId="1" xfId="2" applyNumberFormat="1" applyFont="1" applyBorder="1"/>
    <xf numFmtId="2" fontId="0" fillId="0" borderId="0" xfId="2" applyNumberFormat="1" applyFont="1" applyBorder="1"/>
    <xf numFmtId="10" fontId="0" fillId="0" borderId="0" xfId="2" applyNumberFormat="1" applyFont="1" applyBorder="1"/>
    <xf numFmtId="165" fontId="0" fillId="0" borderId="0" xfId="2" applyNumberFormat="1" applyFont="1" applyBorder="1"/>
    <xf numFmtId="0" fontId="8" fillId="0" borderId="0" xfId="0" applyFont="1" applyBorder="1" applyAlignment="1">
      <alignment horizontal="center" wrapText="1"/>
    </xf>
    <xf numFmtId="10" fontId="0" fillId="0" borderId="0" xfId="0" applyNumberFormat="1" applyBorder="1"/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9" fontId="14" fillId="0" borderId="0" xfId="2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right"/>
    </xf>
    <xf numFmtId="168" fontId="14" fillId="0" borderId="0" xfId="2" applyNumberFormat="1" applyFont="1" applyBorder="1" applyAlignment="1">
      <alignment horizontal="right"/>
    </xf>
    <xf numFmtId="168" fontId="8" fillId="0" borderId="0" xfId="2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10" fontId="14" fillId="0" borderId="0" xfId="2" applyNumberFormat="1" applyFont="1" applyBorder="1" applyAlignment="1">
      <alignment horizontal="right"/>
    </xf>
    <xf numFmtId="10" fontId="8" fillId="0" borderId="0" xfId="2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8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/>
    <xf numFmtId="6" fontId="8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2" fillId="0" borderId="0" xfId="0" applyFont="1" applyBorder="1"/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170" fontId="0" fillId="0" borderId="0" xfId="0" applyNumberForma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7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18" fillId="0" borderId="1" xfId="0" quotePrefix="1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5" fontId="0" fillId="0" borderId="1" xfId="0" applyNumberFormat="1" applyBorder="1"/>
    <xf numFmtId="165" fontId="7" fillId="0" borderId="1" xfId="0" applyNumberFormat="1" applyFont="1" applyBorder="1"/>
    <xf numFmtId="10" fontId="0" fillId="0" borderId="1" xfId="0" applyNumberFormat="1" applyBorder="1"/>
    <xf numFmtId="0" fontId="16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2" applyNumberFormat="1" applyFont="1" applyBorder="1"/>
    <xf numFmtId="43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65" fontId="0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10" fontId="0" fillId="0" borderId="1" xfId="0" applyNumberFormat="1" applyBorder="1" applyAlignment="1">
      <alignment wrapText="1"/>
    </xf>
    <xf numFmtId="2" fontId="1" fillId="0" borderId="1" xfId="2" applyNumberFormat="1" applyFont="1" applyBorder="1"/>
    <xf numFmtId="10" fontId="15" fillId="0" borderId="1" xfId="2" applyNumberFormat="1" applyFont="1" applyBorder="1" applyAlignment="1"/>
    <xf numFmtId="10" fontId="1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/>
    <xf numFmtId="167" fontId="0" fillId="0" borderId="1" xfId="2" applyNumberFormat="1" applyFont="1" applyBorder="1"/>
    <xf numFmtId="10" fontId="16" fillId="0" borderId="1" xfId="0" applyNumberFormat="1" applyFont="1" applyBorder="1"/>
    <xf numFmtId="0" fontId="12" fillId="0" borderId="1" xfId="0" applyFont="1" applyBorder="1" applyAlignment="1">
      <alignment horizontal="left"/>
    </xf>
    <xf numFmtId="169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9" fontId="0" fillId="0" borderId="1" xfId="0" applyNumberFormat="1" applyBorder="1"/>
    <xf numFmtId="169" fontId="0" fillId="0" borderId="1" xfId="0" applyNumberFormat="1" applyBorder="1" applyAlignment="1"/>
    <xf numFmtId="6" fontId="0" fillId="0" borderId="1" xfId="0" applyNumberFormat="1" applyBorder="1"/>
    <xf numFmtId="168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10" fontId="12" fillId="0" borderId="1" xfId="2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8" fillId="0" borderId="0" xfId="0" applyFont="1" applyFill="1" applyBorder="1"/>
    <xf numFmtId="0" fontId="8" fillId="0" borderId="2" xfId="0" applyFont="1" applyBorder="1" applyAlignment="1">
      <alignment horizontal="center" wrapText="1"/>
    </xf>
    <xf numFmtId="0" fontId="19" fillId="0" borderId="0" xfId="0" applyFont="1" applyFill="1" applyBorder="1"/>
    <xf numFmtId="14" fontId="8" fillId="0" borderId="1" xfId="0" applyNumberFormat="1" applyFont="1" applyBorder="1" applyAlignment="1">
      <alignment horizontal="center"/>
    </xf>
    <xf numFmtId="10" fontId="7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Font="1" applyBorder="1"/>
    <xf numFmtId="10" fontId="0" fillId="0" borderId="1" xfId="0" applyNumberFormat="1" applyFont="1" applyBorder="1"/>
    <xf numFmtId="0" fontId="8" fillId="0" borderId="1" xfId="0" applyFont="1" applyBorder="1" applyAlignment="1">
      <alignment horizontal="center"/>
    </xf>
    <xf numFmtId="168" fontId="0" fillId="0" borderId="0" xfId="2" applyNumberFormat="1" applyFont="1"/>
    <xf numFmtId="0" fontId="11" fillId="0" borderId="1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0" xfId="0" applyFont="1"/>
    <xf numFmtId="0" fontId="16" fillId="0" borderId="0" xfId="0" applyFont="1" applyAlignment="1">
      <alignment horizontal="centerContinuous"/>
    </xf>
    <xf numFmtId="0" fontId="0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right"/>
    </xf>
    <xf numFmtId="0" fontId="9" fillId="0" borderId="0" xfId="1449"/>
    <xf numFmtId="0" fontId="7" fillId="0" borderId="0" xfId="0" applyFont="1" applyAlignment="1">
      <alignment horizontal="center"/>
    </xf>
    <xf numFmtId="166" fontId="0" fillId="0" borderId="0" xfId="2" applyNumberFormat="1" applyFont="1" applyBorder="1"/>
    <xf numFmtId="10" fontId="1" fillId="0" borderId="1" xfId="2" applyNumberFormat="1" applyFont="1" applyBorder="1"/>
    <xf numFmtId="165" fontId="0" fillId="0" borderId="0" xfId="0" applyNumberFormat="1" applyBorder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/>
    <xf numFmtId="0" fontId="28" fillId="0" borderId="0" xfId="0" applyFont="1" applyBorder="1" applyAlignment="1">
      <alignment horizontal="center"/>
    </xf>
    <xf numFmtId="169" fontId="28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/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30" fillId="0" borderId="0" xfId="0" applyFont="1" applyBorder="1" applyAlignment="1"/>
    <xf numFmtId="10" fontId="14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 wrapText="1"/>
    </xf>
    <xf numFmtId="10" fontId="18" fillId="0" borderId="0" xfId="2" applyNumberFormat="1" applyFont="1" applyBorder="1" applyAlignment="1">
      <alignment horizontal="center" wrapText="1"/>
    </xf>
    <xf numFmtId="10" fontId="8" fillId="0" borderId="0" xfId="2" applyNumberFormat="1" applyFont="1" applyBorder="1" applyAlignment="1">
      <alignment horizontal="right"/>
    </xf>
    <xf numFmtId="10" fontId="8" fillId="0" borderId="0" xfId="2" applyNumberFormat="1" applyFont="1" applyBorder="1"/>
    <xf numFmtId="2" fontId="14" fillId="0" borderId="0" xfId="2" applyNumberFormat="1" applyFont="1" applyBorder="1" applyAlignment="1">
      <alignment horizontal="right"/>
    </xf>
    <xf numFmtId="1" fontId="14" fillId="0" borderId="0" xfId="2" applyNumberFormat="1" applyFont="1" applyBorder="1" applyAlignment="1">
      <alignment horizontal="center" wrapText="1"/>
    </xf>
    <xf numFmtId="10" fontId="24" fillId="0" borderId="0" xfId="2" applyNumberFormat="1" applyFont="1" applyBorder="1" applyAlignment="1"/>
    <xf numFmtId="10" fontId="14" fillId="0" borderId="0" xfId="2" applyNumberFormat="1" applyFont="1" applyBorder="1" applyAlignment="1"/>
    <xf numFmtId="10" fontId="7" fillId="0" borderId="0" xfId="2" applyNumberFormat="1" applyFont="1" applyBorder="1" applyAlignment="1"/>
    <xf numFmtId="1" fontId="14" fillId="0" borderId="0" xfId="2" applyNumberFormat="1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10" fontId="7" fillId="0" borderId="0" xfId="2" applyNumberFormat="1" applyFont="1" applyBorder="1" applyAlignment="1">
      <alignment horizontal="right"/>
    </xf>
    <xf numFmtId="1" fontId="0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1" fontId="0" fillId="0" borderId="0" xfId="2" applyNumberFormat="1" applyFont="1" applyAlignment="1">
      <alignment horizontal="center"/>
    </xf>
    <xf numFmtId="171" fontId="0" fillId="0" borderId="0" xfId="2" applyNumberFormat="1" applyFont="1"/>
    <xf numFmtId="0" fontId="8" fillId="0" borderId="0" xfId="0" applyFont="1" applyBorder="1" applyAlignment="1"/>
    <xf numFmtId="0" fontId="16" fillId="0" borderId="1" xfId="0" applyFont="1" applyBorder="1"/>
    <xf numFmtId="165" fontId="0" fillId="0" borderId="3" xfId="0" applyNumberFormat="1" applyFill="1" applyBorder="1"/>
    <xf numFmtId="0" fontId="7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0" fillId="0" borderId="0" xfId="0" applyAlignment="1">
      <alignment horizontal="center" wrapText="1"/>
    </xf>
    <xf numFmtId="164" fontId="0" fillId="0" borderId="0" xfId="2" applyNumberFormat="1" applyFont="1"/>
    <xf numFmtId="10" fontId="7" fillId="0" borderId="0" xfId="2" applyNumberFormat="1" applyFont="1"/>
    <xf numFmtId="164" fontId="7" fillId="0" borderId="0" xfId="2" applyNumberFormat="1" applyFont="1"/>
    <xf numFmtId="10" fontId="20" fillId="0" borderId="0" xfId="0" applyNumberFormat="1" applyFont="1"/>
    <xf numFmtId="0" fontId="8" fillId="0" borderId="1" xfId="0" applyFont="1" applyBorder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0" fillId="0" borderId="0" xfId="0" applyFont="1" applyAlignment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15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5074365704"/>
          <c:y val="2.7777777777777801E-2"/>
          <c:w val="0.63957699037620297"/>
          <c:h val="0.8224693788276470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'OCS SR 3.8'!$B$13:$B$48</c:f>
              <c:numCache>
                <c:formatCode>0.00%</c:formatCode>
                <c:ptCount val="36"/>
                <c:pt idx="0">
                  <c:v>0.13450000000000001</c:v>
                </c:pt>
                <c:pt idx="1">
                  <c:v>0.12759999999999999</c:v>
                </c:pt>
                <c:pt idx="2">
                  <c:v>0.1118</c:v>
                </c:pt>
                <c:pt idx="3">
                  <c:v>0.1241</c:v>
                </c:pt>
                <c:pt idx="4">
                  <c:v>0.1079</c:v>
                </c:pt>
                <c:pt idx="5">
                  <c:v>7.7799999999999994E-2</c:v>
                </c:pt>
                <c:pt idx="6">
                  <c:v>8.5900000000000004E-2</c:v>
                </c:pt>
                <c:pt idx="7">
                  <c:v>8.9599999999999999E-2</c:v>
                </c:pt>
                <c:pt idx="8">
                  <c:v>8.4500000000000006E-2</c:v>
                </c:pt>
                <c:pt idx="9">
                  <c:v>8.6099999999999996E-2</c:v>
                </c:pt>
                <c:pt idx="10">
                  <c:v>8.14E-2</c:v>
                </c:pt>
                <c:pt idx="11">
                  <c:v>7.6700000000000004E-2</c:v>
                </c:pt>
                <c:pt idx="12">
                  <c:v>6.59E-2</c:v>
                </c:pt>
                <c:pt idx="13">
                  <c:v>7.3700000000000002E-2</c:v>
                </c:pt>
                <c:pt idx="14">
                  <c:v>6.88E-2</c:v>
                </c:pt>
                <c:pt idx="15">
                  <c:v>6.7100000000000007E-2</c:v>
                </c:pt>
                <c:pt idx="16">
                  <c:v>6.6100000000000006E-2</c:v>
                </c:pt>
                <c:pt idx="17">
                  <c:v>5.5800000000000002E-2</c:v>
                </c:pt>
                <c:pt idx="18">
                  <c:v>5.8700000000000002E-2</c:v>
                </c:pt>
                <c:pt idx="19">
                  <c:v>5.9400000000000001E-2</c:v>
                </c:pt>
                <c:pt idx="20">
                  <c:v>5.4899999999999997E-2</c:v>
                </c:pt>
                <c:pt idx="21">
                  <c:v>5.4300000000000001E-2</c:v>
                </c:pt>
                <c:pt idx="22">
                  <c:v>4.9599999999999998E-2</c:v>
                </c:pt>
                <c:pt idx="23">
                  <c:v>5.04E-2</c:v>
                </c:pt>
                <c:pt idx="24">
                  <c:v>4.6399999999999997E-2</c:v>
                </c:pt>
                <c:pt idx="25">
                  <c:v>4.9099999999999998E-2</c:v>
                </c:pt>
                <c:pt idx="26">
                  <c:v>4.8399999999999999E-2</c:v>
                </c:pt>
                <c:pt idx="27">
                  <c:v>4.2799999999999998E-2</c:v>
                </c:pt>
                <c:pt idx="28">
                  <c:v>4.0800000000000003E-2</c:v>
                </c:pt>
                <c:pt idx="29">
                  <c:v>4.2500000000000003E-2</c:v>
                </c:pt>
                <c:pt idx="30">
                  <c:v>3.9100000000000003E-2</c:v>
                </c:pt>
                <c:pt idx="31">
                  <c:v>2.92E-2</c:v>
                </c:pt>
                <c:pt idx="32">
                  <c:v>3.4500000000000003E-2</c:v>
                </c:pt>
                <c:pt idx="33">
                  <c:v>3.3399999999999999E-2</c:v>
                </c:pt>
                <c:pt idx="34">
                  <c:v>2.8400000000000002E-2</c:v>
                </c:pt>
                <c:pt idx="35">
                  <c:v>2.5999999999999999E-2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9E-4A96-B49D-3EB8D9FE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10488"/>
        <c:axId val="327313232"/>
      </c:lineChart>
      <c:catAx>
        <c:axId val="327310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27313232"/>
        <c:crosses val="autoZero"/>
        <c:auto val="1"/>
        <c:lblAlgn val="ctr"/>
        <c:lblOffset val="100"/>
        <c:noMultiLvlLbl val="0"/>
      </c:catAx>
      <c:valAx>
        <c:axId val="327313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7310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88900</xdr:colOff>
      <xdr:row>25</xdr:row>
      <xdr:rowOff>38100</xdr:rowOff>
    </xdr:from>
    <xdr:to>
      <xdr:col>16</xdr:col>
      <xdr:colOff>533400</xdr:colOff>
      <xdr:row>39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ederalreserve.gov/datadownload/Choose.aspx?rel=H1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C15" sqref="C15"/>
    </sheetView>
  </sheetViews>
  <sheetFormatPr defaultColWidth="11" defaultRowHeight="15.75" x14ac:dyDescent="0.25"/>
  <cols>
    <col min="1" max="1" width="5.875" customWidth="1"/>
    <col min="2" max="2" width="31.125" customWidth="1"/>
    <col min="6" max="6" width="13.125" customWidth="1"/>
    <col min="7" max="7" width="26.625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 x14ac:dyDescent="0.3">
      <c r="A5" s="3"/>
      <c r="B5" s="218"/>
      <c r="C5" s="218"/>
      <c r="D5" s="218"/>
      <c r="E5" s="218"/>
      <c r="F5" s="21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.75" x14ac:dyDescent="0.3">
      <c r="A6" s="3"/>
      <c r="B6" s="218"/>
      <c r="C6" s="218"/>
      <c r="D6" s="218"/>
      <c r="E6" s="218"/>
      <c r="F6" s="21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 x14ac:dyDescent="0.3">
      <c r="A7" s="3"/>
      <c r="B7" s="218"/>
      <c r="C7" s="218"/>
      <c r="D7" s="218"/>
      <c r="E7" s="218"/>
      <c r="F7" s="21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8.75" x14ac:dyDescent="0.3">
      <c r="A8" s="3"/>
      <c r="B8" s="218"/>
      <c r="C8" s="218"/>
      <c r="D8" s="218"/>
      <c r="E8" s="218"/>
      <c r="F8" s="21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</row>
    <row r="14" spans="1:18" x14ac:dyDescent="0.25">
      <c r="C14" s="32"/>
      <c r="D14" s="31"/>
      <c r="E14" s="33"/>
      <c r="F14" s="35"/>
      <c r="G14" s="42"/>
    </row>
    <row r="15" spans="1:18" x14ac:dyDescent="0.25">
      <c r="C15" s="32"/>
      <c r="D15" s="31"/>
      <c r="E15" s="33"/>
      <c r="F15" s="35"/>
      <c r="G15" s="42"/>
    </row>
    <row r="16" spans="1:18" x14ac:dyDescent="0.25">
      <c r="A16" s="1"/>
      <c r="B16" s="32"/>
      <c r="C16" s="32"/>
      <c r="D16" s="31"/>
      <c r="E16" s="33"/>
      <c r="F16" s="35"/>
      <c r="G16" s="42"/>
    </row>
    <row r="17" spans="1:7" x14ac:dyDescent="0.25">
      <c r="A17" s="1"/>
      <c r="B17" s="32"/>
      <c r="C17" s="32"/>
      <c r="D17" s="31"/>
      <c r="E17" s="33"/>
      <c r="F17" s="35"/>
      <c r="G17" s="42"/>
    </row>
    <row r="18" spans="1:7" x14ac:dyDescent="0.25">
      <c r="B18" s="1"/>
      <c r="C18" s="1"/>
      <c r="D18" s="38"/>
      <c r="E18" s="40"/>
      <c r="F18" s="40"/>
      <c r="G18" s="41"/>
    </row>
    <row r="19" spans="1:7" x14ac:dyDescent="0.25">
      <c r="C19" s="32"/>
      <c r="D19" s="31"/>
      <c r="E19" s="33"/>
      <c r="F19" s="33"/>
      <c r="G19" s="42"/>
    </row>
    <row r="20" spans="1:7" x14ac:dyDescent="0.25">
      <c r="B20" s="32"/>
      <c r="C20" s="32"/>
      <c r="D20" s="31"/>
      <c r="E20" s="33"/>
      <c r="F20" s="35"/>
      <c r="G20" s="42"/>
    </row>
    <row r="21" spans="1:7" x14ac:dyDescent="0.25">
      <c r="B21" s="1"/>
      <c r="C21" s="1"/>
      <c r="D21" s="38"/>
      <c r="E21" s="40"/>
      <c r="F21" s="40"/>
      <c r="G21" s="43"/>
    </row>
    <row r="22" spans="1:7" x14ac:dyDescent="0.25">
      <c r="C22" s="32"/>
      <c r="D22" s="31"/>
      <c r="E22" s="33"/>
      <c r="F22" s="35"/>
      <c r="G22" s="42"/>
    </row>
    <row r="23" spans="1:7" x14ac:dyDescent="0.25">
      <c r="C23" s="32"/>
      <c r="D23" s="31"/>
      <c r="E23" s="33"/>
      <c r="F23" s="35"/>
      <c r="G23" s="42"/>
    </row>
    <row r="24" spans="1:7" x14ac:dyDescent="0.25">
      <c r="C24" s="32"/>
      <c r="D24" s="39"/>
      <c r="E24" s="33"/>
      <c r="F24" s="35"/>
      <c r="G24" s="42"/>
    </row>
    <row r="25" spans="1:7" x14ac:dyDescent="0.25">
      <c r="C25" s="32"/>
      <c r="D25" s="39"/>
      <c r="E25" s="33"/>
      <c r="F25" s="35"/>
      <c r="G25" s="42"/>
    </row>
    <row r="26" spans="1:7" x14ac:dyDescent="0.25">
      <c r="C26" s="32"/>
      <c r="D26" s="31"/>
      <c r="E26" s="33"/>
      <c r="F26" s="33"/>
      <c r="G26" s="42"/>
    </row>
    <row r="27" spans="1:7" x14ac:dyDescent="0.25">
      <c r="B27" s="32"/>
      <c r="C27" s="32"/>
      <c r="D27" s="31"/>
      <c r="E27" s="33"/>
      <c r="F27" s="35"/>
      <c r="G27" s="42"/>
    </row>
    <row r="28" spans="1:7" x14ac:dyDescent="0.25">
      <c r="C28" s="32"/>
      <c r="D28" s="31"/>
      <c r="E28" s="33"/>
      <c r="F28" s="35"/>
      <c r="G28" s="42"/>
    </row>
    <row r="29" spans="1:7" x14ac:dyDescent="0.25">
      <c r="C29" s="32"/>
      <c r="D29" s="31"/>
      <c r="E29" s="33"/>
      <c r="F29" s="35"/>
      <c r="G29" s="42"/>
    </row>
    <row r="30" spans="1:7" x14ac:dyDescent="0.25">
      <c r="B30" s="32"/>
      <c r="C30" s="32"/>
      <c r="D30" s="31"/>
      <c r="E30" s="33"/>
      <c r="F30" s="35"/>
      <c r="G30" s="42"/>
    </row>
    <row r="31" spans="1:7" x14ac:dyDescent="0.25">
      <c r="C31" s="32"/>
      <c r="D31" s="31"/>
      <c r="E31" s="33"/>
      <c r="F31" s="35"/>
      <c r="G31" s="42"/>
    </row>
    <row r="32" spans="1:7" x14ac:dyDescent="0.25">
      <c r="B32" s="1"/>
      <c r="C32" s="1"/>
      <c r="D32" s="38"/>
      <c r="E32" s="40"/>
      <c r="F32" s="40"/>
      <c r="G32" s="43"/>
    </row>
    <row r="33" spans="2:7" x14ac:dyDescent="0.25">
      <c r="B33" s="1"/>
      <c r="C33" s="1"/>
      <c r="D33" s="38"/>
      <c r="E33" s="40"/>
      <c r="F33" s="40"/>
      <c r="G33" s="43"/>
    </row>
    <row r="34" spans="2:7" x14ac:dyDescent="0.25">
      <c r="B34" s="32"/>
      <c r="C34" s="32"/>
      <c r="D34" s="69"/>
      <c r="E34" s="33"/>
      <c r="F34" s="70"/>
      <c r="G34" s="43"/>
    </row>
    <row r="35" spans="2:7" x14ac:dyDescent="0.25">
      <c r="G35" s="42"/>
    </row>
    <row r="36" spans="2:7" x14ac:dyDescent="0.25">
      <c r="G36" s="42"/>
    </row>
    <row r="37" spans="2:7" x14ac:dyDescent="0.25">
      <c r="B37" s="34"/>
      <c r="G37" s="42"/>
    </row>
    <row r="38" spans="2:7" x14ac:dyDescent="0.25">
      <c r="B38" s="34"/>
      <c r="G38" s="42"/>
    </row>
    <row r="39" spans="2:7" x14ac:dyDescent="0.25">
      <c r="B39" s="34"/>
    </row>
  </sheetData>
  <mergeCells count="4">
    <mergeCell ref="B5:F5"/>
    <mergeCell ref="B6:F6"/>
    <mergeCell ref="B7:F7"/>
    <mergeCell ref="B8:F8"/>
  </mergeCells>
  <phoneticPr fontId="17" type="noConversion"/>
  <pageMargins left="0.75" right="0.75" top="1" bottom="1" header="0.5" footer="0.5"/>
  <pageSetup scale="7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Layout" topLeftCell="A10" zoomScaleNormal="100" workbookViewId="0">
      <selection activeCell="A8" sqref="A8"/>
    </sheetView>
  </sheetViews>
  <sheetFormatPr defaultColWidth="11" defaultRowHeight="15.75" x14ac:dyDescent="0.25"/>
  <cols>
    <col min="1" max="1" width="5.875" customWidth="1"/>
    <col min="2" max="2" width="29.625" customWidth="1"/>
    <col min="3" max="3" width="7.875" customWidth="1"/>
    <col min="13" max="13" width="11.375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 x14ac:dyDescent="0.35">
      <c r="A3" s="115"/>
      <c r="B3" s="224" t="s">
        <v>229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36"/>
      <c r="O3" s="36"/>
      <c r="P3" s="36"/>
      <c r="Q3" s="36"/>
      <c r="R3" s="3"/>
      <c r="S3" s="3"/>
    </row>
    <row r="4" spans="1:19" ht="21" x14ac:dyDescent="0.35">
      <c r="A4" s="115"/>
      <c r="B4" s="224" t="s">
        <v>255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36"/>
      <c r="O4" s="36"/>
      <c r="P4" s="36"/>
      <c r="Q4" s="36"/>
      <c r="R4" s="3"/>
      <c r="S4" s="3"/>
    </row>
    <row r="5" spans="1:19" ht="21" x14ac:dyDescent="0.35">
      <c r="A5" s="115"/>
      <c r="B5" s="224" t="s">
        <v>231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36"/>
      <c r="O5" s="36"/>
      <c r="P5" s="36"/>
      <c r="Q5" s="36"/>
      <c r="R5" s="3"/>
      <c r="S5" s="3"/>
    </row>
    <row r="6" spans="1:19" ht="21" x14ac:dyDescent="0.35">
      <c r="A6" s="115"/>
      <c r="B6" s="224" t="s">
        <v>340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36"/>
      <c r="O6" s="36"/>
      <c r="P6" s="36"/>
      <c r="Q6" s="36"/>
      <c r="R6" s="3"/>
      <c r="S6" s="3"/>
    </row>
    <row r="7" spans="1:19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3"/>
      <c r="O7" s="3"/>
      <c r="P7" s="3"/>
      <c r="Q7" s="3"/>
      <c r="R7" s="3"/>
      <c r="S7" s="3"/>
    </row>
    <row r="8" spans="1:19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3"/>
      <c r="O8" s="3"/>
      <c r="P8" s="3"/>
      <c r="Q8" s="3"/>
      <c r="R8" s="3"/>
      <c r="S8" s="3"/>
    </row>
    <row r="9" spans="1:19" ht="18.75" x14ac:dyDescent="0.3">
      <c r="A9" s="113"/>
      <c r="B9" s="113"/>
      <c r="C9" s="113"/>
      <c r="D9" s="123">
        <v>1</v>
      </c>
      <c r="E9" s="123">
        <v>2</v>
      </c>
      <c r="F9" s="123">
        <v>3</v>
      </c>
      <c r="G9" s="123">
        <v>4</v>
      </c>
      <c r="H9" s="123">
        <v>5</v>
      </c>
      <c r="I9" s="123">
        <v>6</v>
      </c>
      <c r="J9" s="123">
        <v>7</v>
      </c>
      <c r="K9" s="123">
        <v>8</v>
      </c>
      <c r="L9" s="123">
        <v>9</v>
      </c>
      <c r="M9" s="123">
        <v>10</v>
      </c>
      <c r="N9" s="3"/>
      <c r="O9" s="3"/>
      <c r="P9" s="3"/>
      <c r="Q9" s="3"/>
      <c r="R9" s="3"/>
      <c r="S9" s="3"/>
    </row>
    <row r="10" spans="1:19" ht="26.25" x14ac:dyDescent="0.25">
      <c r="A10" s="62" t="s">
        <v>0</v>
      </c>
      <c r="B10" s="62" t="s">
        <v>7</v>
      </c>
      <c r="C10" s="62" t="s">
        <v>1</v>
      </c>
      <c r="D10" s="62" t="s">
        <v>25</v>
      </c>
      <c r="E10" s="62" t="s">
        <v>26</v>
      </c>
      <c r="F10" s="62" t="s">
        <v>27</v>
      </c>
      <c r="G10" s="62" t="s">
        <v>28</v>
      </c>
      <c r="H10" s="62" t="s">
        <v>29</v>
      </c>
      <c r="I10" s="62" t="s">
        <v>130</v>
      </c>
      <c r="J10" s="62" t="s">
        <v>30</v>
      </c>
      <c r="K10" s="62" t="s">
        <v>31</v>
      </c>
      <c r="L10" s="62" t="s">
        <v>32</v>
      </c>
      <c r="M10" s="62" t="s">
        <v>33</v>
      </c>
      <c r="N10" s="3"/>
      <c r="O10" s="3"/>
      <c r="P10" s="3"/>
      <c r="Q10" s="3"/>
      <c r="R10" s="3"/>
      <c r="S10" s="3"/>
    </row>
    <row r="11" spans="1:19" x14ac:dyDescent="0.25">
      <c r="A11" s="64">
        <v>1</v>
      </c>
      <c r="B11" s="64" t="s">
        <v>233</v>
      </c>
      <c r="C11" s="64" t="s">
        <v>232</v>
      </c>
      <c r="D11" s="60">
        <f>1-('OCS SR  3.4 P.3'!D10/'OCS SR  3.4 P.3'!E10)</f>
        <v>0.5</v>
      </c>
      <c r="E11" s="60">
        <f>'OCS SR  3.4 P.3'!E10/'OCS SR  3.4 P.3'!F10</f>
        <v>9.991079393398751E-2</v>
      </c>
      <c r="F11" s="60">
        <f>(('OCS SR  3.4 P.3'!L10/'OCS SR  3.4 P.3'!K10)^0.2)-1</f>
        <v>0.11229815290071277</v>
      </c>
      <c r="G11" s="124">
        <f t="shared" ref="G11" si="0">(2*(1+F11))/(2+F11)</f>
        <v>1.0531639687070216</v>
      </c>
      <c r="H11" s="60">
        <f t="shared" ref="H11" si="1">E11*G11</f>
        <v>0.10522244825618771</v>
      </c>
      <c r="I11" s="63">
        <f>'OCS SR  3.4 P.3'!O10</f>
        <v>2.274754683318466</v>
      </c>
      <c r="J11" s="60">
        <f>(('OCS SR  3.4 P.3'!Q10/'OCS SR  3.4 P.3'!P10)^0.2)-1</f>
        <v>5.4381999103760625E-2</v>
      </c>
      <c r="K11" s="60">
        <f t="shared" ref="K11" si="2">I11*J11</f>
        <v>0.1237057071495001</v>
      </c>
      <c r="L11" s="60">
        <f>1-(1/'OCS SR  3.4 P.3'!O10)</f>
        <v>0.56039215686274524</v>
      </c>
      <c r="M11" s="122">
        <f t="shared" ref="M11" si="3">(D11*H11)+(K11*L11)</f>
        <v>0.12193493217383335</v>
      </c>
    </row>
    <row r="12" spans="1:19" x14ac:dyDescent="0.25">
      <c r="A12" s="64">
        <f>A11+1</f>
        <v>2</v>
      </c>
      <c r="B12" s="56" t="s">
        <v>234</v>
      </c>
      <c r="C12" s="64" t="s">
        <v>235</v>
      </c>
      <c r="D12" s="60"/>
      <c r="E12" s="60"/>
      <c r="F12" s="60"/>
      <c r="G12" s="124"/>
      <c r="H12" s="60"/>
      <c r="I12" s="63"/>
      <c r="J12" s="60"/>
      <c r="K12" s="60"/>
      <c r="L12" s="60"/>
      <c r="M12" s="122"/>
    </row>
    <row r="13" spans="1:19" x14ac:dyDescent="0.25">
      <c r="A13" s="64">
        <f t="shared" ref="A13:A19" si="4">A12+1</f>
        <v>3</v>
      </c>
      <c r="B13" s="64" t="s">
        <v>236</v>
      </c>
      <c r="C13" s="64" t="s">
        <v>237</v>
      </c>
      <c r="D13" s="60">
        <f>1-('OCS SR  3.4 P.3'!D12/'OCS SR  3.4 P.3'!E12)</f>
        <v>0.36595744680851061</v>
      </c>
      <c r="E13" s="60">
        <f>'OCS SR  3.4 P.3'!E12/'OCS SR  3.4 P.3'!F12</f>
        <v>0.11032863849765258</v>
      </c>
      <c r="F13" s="60">
        <f>(('OCS SR  3.4 P.3'!L12/'OCS SR  3.4 P.3'!K12)^0.2)-1</f>
        <v>6.1829369047039728E-2</v>
      </c>
      <c r="G13" s="124">
        <f t="shared" ref="G13:G18" si="5">(2*(1+F13))/(2+F13)</f>
        <v>1.0299876265103436</v>
      </c>
      <c r="H13" s="60">
        <f t="shared" ref="H13:H18" si="6">E13*G13</f>
        <v>0.1136371325023149</v>
      </c>
      <c r="I13" s="63">
        <f>'OCS SR  3.4 P.3'!O12</f>
        <v>1.8779342723004695</v>
      </c>
      <c r="J13" s="60">
        <f>(('OCS SR  3.4 P.3'!Q12/'OCS SR  3.4 P.3'!P12)^0.2)-1</f>
        <v>5.2139058525519921E-3</v>
      </c>
      <c r="K13" s="60">
        <f t="shared" ref="K13:K18" si="7">I13*J13</f>
        <v>9.7913724930553843E-3</v>
      </c>
      <c r="L13" s="60">
        <f>1-(1/'OCS SR  3.4 P.3'!O12)</f>
        <v>0.46750000000000003</v>
      </c>
      <c r="M13" s="122">
        <f t="shared" ref="M13:M18" si="8">(D13*H13)+(K13*L13)</f>
        <v>4.6163821513690972E-2</v>
      </c>
    </row>
    <row r="14" spans="1:19" x14ac:dyDescent="0.25">
      <c r="A14" s="64">
        <f t="shared" si="4"/>
        <v>4</v>
      </c>
      <c r="B14" s="56" t="s">
        <v>238</v>
      </c>
      <c r="C14" s="64" t="s">
        <v>239</v>
      </c>
      <c r="D14" s="60">
        <f>1-('OCS SR  3.4 P.3'!D13/'OCS SR  3.4 P.3'!E13)</f>
        <v>0.43714285714285717</v>
      </c>
      <c r="E14" s="60">
        <f>'OCS SR  3.4 P.3'!E13/'OCS SR  3.4 P.3'!F13</f>
        <v>0.11904761904761905</v>
      </c>
      <c r="F14" s="60">
        <f>(('OCS SR  3.4 P.3'!L13/'OCS SR  3.4 P.3'!K13)^0.2)-1</f>
        <v>3.2023834074933033E-2</v>
      </c>
      <c r="G14" s="124">
        <f t="shared" si="5"/>
        <v>1.0157595760137881</v>
      </c>
      <c r="H14" s="60">
        <f t="shared" si="6"/>
        <v>0.12092375904926049</v>
      </c>
      <c r="I14" s="63">
        <f>'OCS SR  3.4 P.3'!O13</f>
        <v>2.6360544217687076</v>
      </c>
      <c r="J14" s="60">
        <f>(('OCS SR  3.4 P.3'!Q13/'OCS SR  3.4 P.3'!P13)^0.2)-1</f>
        <v>2.0729244829137627E-2</v>
      </c>
      <c r="K14" s="60">
        <f t="shared" si="7"/>
        <v>5.4643417491774364E-2</v>
      </c>
      <c r="L14" s="60">
        <f>1-(1/'OCS SR  3.4 P.3'!O13)</f>
        <v>0.62064516129032254</v>
      </c>
      <c r="M14" s="122">
        <f t="shared" si="8"/>
        <v>8.6775130189884891E-2</v>
      </c>
    </row>
    <row r="15" spans="1:19" x14ac:dyDescent="0.25">
      <c r="A15" s="64">
        <f t="shared" si="4"/>
        <v>5</v>
      </c>
      <c r="B15" s="56" t="s">
        <v>240</v>
      </c>
      <c r="C15" s="64" t="s">
        <v>241</v>
      </c>
      <c r="D15" s="60">
        <f>1-('OCS SR  3.4 P.3'!D14/'OCS SR  3.4 P.3'!E14)</f>
        <v>0.44210526315789478</v>
      </c>
      <c r="E15" s="60">
        <f>'OCS SR  3.4 P.3'!E14/'OCS SR  3.4 P.3'!F14</f>
        <v>9.916492693110647E-2</v>
      </c>
      <c r="F15" s="60">
        <f>(('OCS SR  3.4 P.3'!L14/'OCS SR  3.4 P.3'!K14)^0.2)-1</f>
        <v>5.2163365279384699E-2</v>
      </c>
      <c r="G15" s="124">
        <f t="shared" si="5"/>
        <v>1.0254187196604023</v>
      </c>
      <c r="H15" s="60">
        <f t="shared" si="6"/>
        <v>0.10168557240891254</v>
      </c>
      <c r="I15" s="63">
        <f>'OCS SR  3.4 P.3'!O14</f>
        <v>2.453027139874739</v>
      </c>
      <c r="J15" s="60">
        <f>(('OCS SR  3.4 P.3'!Q14/'OCS SR  3.4 P.3'!P14)^0.2)-1</f>
        <v>9.0784757147246431E-3</v>
      </c>
      <c r="K15" s="60">
        <f t="shared" si="7"/>
        <v>2.2269747316913269E-2</v>
      </c>
      <c r="L15" s="60">
        <f>1-(1/'OCS SR  3.4 P.3'!O14)</f>
        <v>0.5923404255319149</v>
      </c>
      <c r="M15" s="122">
        <f t="shared" si="8"/>
        <v>5.8146998351392074E-2</v>
      </c>
    </row>
    <row r="16" spans="1:19" x14ac:dyDescent="0.25">
      <c r="A16" s="64">
        <f t="shared" si="4"/>
        <v>6</v>
      </c>
      <c r="B16" s="64" t="s">
        <v>242</v>
      </c>
      <c r="C16" s="64" t="s">
        <v>243</v>
      </c>
      <c r="D16" s="60">
        <f>1-('OCS SR  3.4 P.3'!D15/'OCS SR  3.4 P.3'!E15)</f>
        <v>0.41666666666666663</v>
      </c>
      <c r="E16" s="60">
        <f>'OCS SR  3.4 P.3'!E15/'OCS SR  3.4 P.3'!F15</f>
        <v>0.12631578947368421</v>
      </c>
      <c r="F16" s="60">
        <f>(('OCS SR  3.4 P.3'!L15/'OCS SR  3.4 P.3'!K15)^0.2)-1</f>
        <v>8.2999735595623125E-2</v>
      </c>
      <c r="G16" s="124">
        <f t="shared" si="5"/>
        <v>1.0398462535435176</v>
      </c>
      <c r="H16" s="60">
        <f t="shared" si="6"/>
        <v>0.13134900044760223</v>
      </c>
      <c r="I16" s="63">
        <f>'OCS SR  3.4 P.3'!O15</f>
        <v>2.1052631578947367</v>
      </c>
      <c r="J16" s="60">
        <f>(('OCS SR  3.4 P.3'!Q15/'OCS SR  3.4 P.3'!P15)^0.2)-1</f>
        <v>3.1802601930106755E-2</v>
      </c>
      <c r="K16" s="60">
        <f t="shared" si="7"/>
        <v>6.6952846168645802E-2</v>
      </c>
      <c r="L16" s="60">
        <f>1-(1/'OCS SR  3.4 P.3'!O15)</f>
        <v>0.52499999999999991</v>
      </c>
      <c r="M16" s="122">
        <f t="shared" si="8"/>
        <v>8.9878994425039965E-2</v>
      </c>
    </row>
    <row r="17" spans="1:13" x14ac:dyDescent="0.25">
      <c r="A17" s="64">
        <f t="shared" si="4"/>
        <v>7</v>
      </c>
      <c r="B17" s="64" t="s">
        <v>244</v>
      </c>
      <c r="C17" s="64" t="s">
        <v>245</v>
      </c>
      <c r="D17" s="60">
        <f>1-('OCS SR  3.4 P.3'!D16/'OCS SR  3.4 P.3'!E16)</f>
        <v>0.46599999999999997</v>
      </c>
      <c r="E17" s="60">
        <f>'OCS SR  3.4 P.3'!E16/'OCS SR  3.4 P.3'!F16</f>
        <v>9.2250922509225092E-2</v>
      </c>
      <c r="F17" s="60">
        <f>(('OCS SR  3.4 P.3'!L16/'OCS SR  3.4 P.3'!K16)^0.2)-1</f>
        <v>0.11736197255367231</v>
      </c>
      <c r="G17" s="124">
        <f t="shared" si="5"/>
        <v>1.0554283934797066</v>
      </c>
      <c r="H17" s="60">
        <f t="shared" si="6"/>
        <v>9.736424294093235E-2</v>
      </c>
      <c r="I17" s="63">
        <f>'OCS SR  3.4 P.3'!O16</f>
        <v>1.6605166051660516</v>
      </c>
      <c r="J17" s="60">
        <f>(('OCS SR  3.4 P.3'!Q16/'OCS SR  3.4 P.3'!P16)^0.2)-1</f>
        <v>1.6535048571417743E-2</v>
      </c>
      <c r="K17" s="60">
        <f t="shared" si="7"/>
        <v>2.7456722720066364E-2</v>
      </c>
      <c r="L17" s="60">
        <f>1-(1/'OCS SR  3.4 P.3'!O16)</f>
        <v>0.39777777777777779</v>
      </c>
      <c r="M17" s="122">
        <f t="shared" si="8"/>
        <v>5.6293411359123094E-2</v>
      </c>
    </row>
    <row r="18" spans="1:13" x14ac:dyDescent="0.25">
      <c r="A18" s="64">
        <f t="shared" si="4"/>
        <v>8</v>
      </c>
      <c r="B18" s="64" t="s">
        <v>246</v>
      </c>
      <c r="C18" s="64" t="s">
        <v>247</v>
      </c>
      <c r="D18" s="60">
        <f>1-('OCS SR  3.4 P.3'!D17/'OCS SR  3.4 P.3'!E17)</f>
        <v>0.55172413793103448</v>
      </c>
      <c r="E18" s="60">
        <f>'OCS SR  3.4 P.3'!E17/'OCS SR  3.4 P.3'!F17</f>
        <v>0.10131004366812227</v>
      </c>
      <c r="F18" s="60">
        <f>(('OCS SR  3.4 P.3'!L17/'OCS SR  3.4 P.3'!K17)^0.2)-1</f>
        <v>5.2147936772367398E-2</v>
      </c>
      <c r="G18" s="124">
        <f t="shared" si="5"/>
        <v>1.0254113925404356</v>
      </c>
      <c r="H18" s="60">
        <f t="shared" si="6"/>
        <v>0.1038844729560616</v>
      </c>
      <c r="I18" s="63">
        <f>'OCS SR  3.4 P.3'!O17</f>
        <v>1.6157205240174672</v>
      </c>
      <c r="J18" s="60">
        <f>(('OCS SR  3.4 P.3'!Q17/'OCS SR  3.4 P.3'!P17)^0.2)-1</f>
        <v>3.1748895129082966E-2</v>
      </c>
      <c r="K18" s="60">
        <f t="shared" si="7"/>
        <v>5.1297341474937544E-2</v>
      </c>
      <c r="L18" s="60">
        <f>1-(1/'OCS SR  3.4 P.3'!O17)</f>
        <v>0.38108108108108107</v>
      </c>
      <c r="M18" s="122">
        <f t="shared" si="8"/>
        <v>7.6864017631957521E-2</v>
      </c>
    </row>
    <row r="19" spans="1:13" x14ac:dyDescent="0.25">
      <c r="A19" s="64">
        <f t="shared" si="4"/>
        <v>9</v>
      </c>
      <c r="B19" s="56" t="s">
        <v>132</v>
      </c>
      <c r="C19" s="56"/>
      <c r="D19" s="60">
        <f>AVERAGE(D11:D18)</f>
        <v>0.45422805310099484</v>
      </c>
      <c r="E19" s="60">
        <f t="shared" ref="E19:M19" si="9">AVERAGE(E11:E18)</f>
        <v>0.10690410486591387</v>
      </c>
      <c r="F19" s="60">
        <f t="shared" si="9"/>
        <v>7.2974909460533297E-2</v>
      </c>
      <c r="G19" s="125">
        <f t="shared" si="9"/>
        <v>1.0350022757793165</v>
      </c>
      <c r="H19" s="60">
        <f t="shared" si="9"/>
        <v>0.11058094693732455</v>
      </c>
      <c r="I19" s="65">
        <f t="shared" si="9"/>
        <v>2.0890386863343768</v>
      </c>
      <c r="J19" s="60">
        <f t="shared" si="9"/>
        <v>2.4212881590111764E-2</v>
      </c>
      <c r="K19" s="60">
        <f t="shared" si="9"/>
        <v>5.0873879259270408E-2</v>
      </c>
      <c r="L19" s="60">
        <f t="shared" si="9"/>
        <v>0.50639094322054878</v>
      </c>
      <c r="M19" s="60">
        <f t="shared" si="9"/>
        <v>7.6579615092131695E-2</v>
      </c>
    </row>
    <row r="20" spans="1:13" x14ac:dyDescent="0.25">
      <c r="B20" s="56" t="s">
        <v>91</v>
      </c>
      <c r="C20" s="56"/>
      <c r="D20" s="60">
        <f>MEDIAN(D11:D18)</f>
        <v>0.44210526315789478</v>
      </c>
      <c r="E20" s="60">
        <f t="shared" ref="E20:M20" si="10">MEDIAN(E11:E18)</f>
        <v>0.10131004366812227</v>
      </c>
      <c r="F20" s="60">
        <f t="shared" si="10"/>
        <v>6.1829369047039728E-2</v>
      </c>
      <c r="G20" s="125">
        <f t="shared" si="10"/>
        <v>1.0299876265103436</v>
      </c>
      <c r="H20" s="60">
        <f t="shared" si="10"/>
        <v>0.10522244825618771</v>
      </c>
      <c r="I20" s="65">
        <f t="shared" si="10"/>
        <v>2.1052631578947367</v>
      </c>
      <c r="J20" s="60">
        <f t="shared" si="10"/>
        <v>2.0729244829137627E-2</v>
      </c>
      <c r="K20" s="60">
        <f t="shared" si="10"/>
        <v>5.1297341474937544E-2</v>
      </c>
      <c r="L20" s="60">
        <f t="shared" si="10"/>
        <v>0.52499999999999991</v>
      </c>
      <c r="M20" s="60">
        <f t="shared" si="10"/>
        <v>7.6864017631957521E-2</v>
      </c>
    </row>
    <row r="21" spans="1:13" x14ac:dyDescent="0.25">
      <c r="B21" s="153" t="s">
        <v>204</v>
      </c>
    </row>
    <row r="22" spans="1:13" x14ac:dyDescent="0.25">
      <c r="B22" s="153" t="s">
        <v>205</v>
      </c>
    </row>
    <row r="23" spans="1:13" x14ac:dyDescent="0.25">
      <c r="B23" s="153" t="s">
        <v>258</v>
      </c>
    </row>
    <row r="24" spans="1:13" x14ac:dyDescent="0.25">
      <c r="B24" s="153" t="s">
        <v>206</v>
      </c>
    </row>
    <row r="25" spans="1:13" x14ac:dyDescent="0.25">
      <c r="B25" s="153" t="s">
        <v>224</v>
      </c>
    </row>
    <row r="26" spans="1:13" x14ac:dyDescent="0.25">
      <c r="B26" s="34" t="s">
        <v>259</v>
      </c>
    </row>
    <row r="27" spans="1:13" x14ac:dyDescent="0.25">
      <c r="B27" s="153" t="s">
        <v>260</v>
      </c>
    </row>
    <row r="28" spans="1:13" x14ac:dyDescent="0.25">
      <c r="B28" s="34" t="s">
        <v>207</v>
      </c>
    </row>
    <row r="29" spans="1:13" x14ac:dyDescent="0.25">
      <c r="B29" s="34" t="s">
        <v>208</v>
      </c>
    </row>
    <row r="30" spans="1:13" x14ac:dyDescent="0.25">
      <c r="B30" s="34" t="s">
        <v>209</v>
      </c>
    </row>
  </sheetData>
  <mergeCells count="4">
    <mergeCell ref="B6:M6"/>
    <mergeCell ref="B3:M3"/>
    <mergeCell ref="B4:M4"/>
    <mergeCell ref="B5:M5"/>
  </mergeCells>
  <phoneticPr fontId="17" type="noConversion"/>
  <pageMargins left="0.75" right="0.75" top="1" bottom="1" header="0.5" footer="0.5"/>
  <pageSetup scale="72" orientation="landscape" horizontalDpi="4294967292" verticalDpi="4294967292" r:id="rId1"/>
  <headerFooter>
    <oddHeader xml:space="preserve">&amp;R&amp;"Calibri,Regular"&amp;K000000EXHIBIT OCS 3.4S
PAGE 2 OF 3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5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6.125" customWidth="1"/>
    <col min="2" max="2" width="28.875" customWidth="1"/>
    <col min="3" max="3" width="7.875" customWidth="1"/>
    <col min="4" max="4" width="9.125" customWidth="1"/>
    <col min="12" max="12" width="11.375" bestFit="1" customWidth="1"/>
  </cols>
  <sheetData>
    <row r="3" spans="1:23" ht="15" customHeight="1" x14ac:dyDescent="0.35">
      <c r="A3" s="56"/>
      <c r="B3" s="224" t="s">
        <v>229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3" ht="20.100000000000001" customHeight="1" x14ac:dyDescent="0.35">
      <c r="A4" s="56"/>
      <c r="B4" s="224" t="s">
        <v>250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3" ht="21" x14ac:dyDescent="0.35">
      <c r="A5" s="56"/>
      <c r="B5" s="224" t="s">
        <v>338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23" ht="21" x14ac:dyDescent="0.35">
      <c r="A6" s="56"/>
      <c r="B6" s="224" t="s">
        <v>339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23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 ht="18.75" x14ac:dyDescent="0.3">
      <c r="A8" s="56"/>
      <c r="B8" s="56"/>
      <c r="C8" s="56"/>
      <c r="D8" s="123">
        <v>11</v>
      </c>
      <c r="E8" s="123">
        <v>12</v>
      </c>
      <c r="F8" s="123">
        <v>13</v>
      </c>
      <c r="G8" s="123">
        <v>14</v>
      </c>
      <c r="H8" s="123">
        <v>15</v>
      </c>
      <c r="I8" s="123">
        <v>16</v>
      </c>
      <c r="J8" s="123">
        <v>17</v>
      </c>
      <c r="K8" s="123">
        <v>18</v>
      </c>
      <c r="L8" s="123">
        <v>19</v>
      </c>
      <c r="M8" s="123">
        <v>20</v>
      </c>
      <c r="N8" s="123">
        <v>21</v>
      </c>
      <c r="O8" s="123">
        <v>22</v>
      </c>
      <c r="P8" s="123">
        <v>23</v>
      </c>
      <c r="Q8" s="123">
        <v>24</v>
      </c>
    </row>
    <row r="9" spans="1:23" ht="47.25" x14ac:dyDescent="0.25">
      <c r="A9" s="62" t="s">
        <v>0</v>
      </c>
      <c r="B9" s="62" t="s">
        <v>7</v>
      </c>
      <c r="C9" s="62" t="s">
        <v>1</v>
      </c>
      <c r="D9" s="68" t="s">
        <v>173</v>
      </c>
      <c r="E9" s="68" t="s">
        <v>174</v>
      </c>
      <c r="F9" s="68" t="s">
        <v>160</v>
      </c>
      <c r="G9" s="68" t="str">
        <f>'GROUP DATA WP 3'!F11</f>
        <v>2018 EQUITY RATIO</v>
      </c>
      <c r="H9" s="68" t="str">
        <f>'GROUP DATA WP 3'!G11</f>
        <v>2022 - 24 EQUITY RATIO</v>
      </c>
      <c r="I9" s="126" t="str">
        <f>'GROUP DATA WP 3'!D11</f>
        <v>2018 TOTAL CAPITAL</v>
      </c>
      <c r="J9" s="68" t="str">
        <f>'GROUP DATA WP 3'!E11</f>
        <v>2022-24 CAPITAL</v>
      </c>
      <c r="K9" s="68" t="s">
        <v>175</v>
      </c>
      <c r="L9" s="68" t="s">
        <v>176</v>
      </c>
      <c r="M9" s="68" t="s">
        <v>177</v>
      </c>
      <c r="N9" s="68" t="s">
        <v>178</v>
      </c>
      <c r="O9" s="68" t="s">
        <v>179</v>
      </c>
      <c r="P9" s="127" t="str">
        <f>'GROUP DATA WP2'!Q10</f>
        <v>SHARES 2018</v>
      </c>
      <c r="Q9" s="127" t="str">
        <f>'GROUP DATA WP2'!R10</f>
        <v>SHARES 2022-24</v>
      </c>
      <c r="R9" s="6"/>
      <c r="S9" s="13"/>
      <c r="T9" s="13"/>
      <c r="U9" s="13"/>
      <c r="V9" s="13"/>
      <c r="W9" s="13"/>
    </row>
    <row r="10" spans="1:23" x14ac:dyDescent="0.25">
      <c r="A10" s="64">
        <v>1</v>
      </c>
      <c r="B10" s="64" t="s">
        <v>233</v>
      </c>
      <c r="C10" s="64" t="s">
        <v>232</v>
      </c>
      <c r="D10" s="120">
        <f>'GROUP DATA WP2'!H11</f>
        <v>2.8</v>
      </c>
      <c r="E10" s="120">
        <f>'GROUP DATA WP2'!L11</f>
        <v>5.6</v>
      </c>
      <c r="F10" s="120">
        <f>'GROUP DATA WP2'!P11</f>
        <v>56.05</v>
      </c>
      <c r="G10" s="122">
        <f>'COMPARABLE GROUP WP1'!E11</f>
        <v>0.65700000000000003</v>
      </c>
      <c r="H10" s="122">
        <f>'COMPARABLE GROUP WP1'!H11</f>
        <v>0.65</v>
      </c>
      <c r="I10" s="120">
        <f>'GROUP DATA WP 3'!D12</f>
        <v>7263.6</v>
      </c>
      <c r="J10" s="120">
        <f>'GROUP DATA WP 3'!E12</f>
        <v>12500</v>
      </c>
      <c r="K10" s="120">
        <f t="shared" ref="K10" si="0">G10*I10</f>
        <v>4772.1852000000008</v>
      </c>
      <c r="L10" s="120">
        <f t="shared" ref="L10" si="1">H10*J10</f>
        <v>8125</v>
      </c>
      <c r="M10" s="120">
        <f>'GROUP DATA WP2'!U11</f>
        <v>127.5</v>
      </c>
      <c r="N10" s="120">
        <f>'GROUP DATA WP2'!P11</f>
        <v>56.05</v>
      </c>
      <c r="O10" s="63">
        <f t="shared" ref="O10" si="2">M10/N10</f>
        <v>2.274754683318466</v>
      </c>
      <c r="P10" s="63">
        <f>'GROUP DATA WP2'!Q11</f>
        <v>111.27</v>
      </c>
      <c r="Q10" s="63">
        <f>'GROUP DATA WP2'!R11</f>
        <v>145</v>
      </c>
    </row>
    <row r="11" spans="1:23" x14ac:dyDescent="0.25">
      <c r="A11" s="64">
        <f>A10+1</f>
        <v>2</v>
      </c>
      <c r="B11" s="56" t="s">
        <v>234</v>
      </c>
      <c r="C11" s="64" t="s">
        <v>235</v>
      </c>
      <c r="D11" s="120"/>
      <c r="E11" s="120"/>
      <c r="F11" s="120"/>
      <c r="G11" s="122"/>
      <c r="H11" s="122"/>
      <c r="I11" s="120"/>
      <c r="J11" s="120"/>
      <c r="K11" s="120"/>
      <c r="L11" s="120"/>
      <c r="M11" s="120"/>
      <c r="N11" s="120"/>
      <c r="O11" s="63"/>
      <c r="P11" s="63"/>
      <c r="Q11" s="63"/>
    </row>
    <row r="12" spans="1:23" x14ac:dyDescent="0.25">
      <c r="A12" s="64">
        <f t="shared" ref="A12:A19" si="3">A11+1</f>
        <v>3</v>
      </c>
      <c r="B12" s="64" t="s">
        <v>236</v>
      </c>
      <c r="C12" s="64" t="s">
        <v>237</v>
      </c>
      <c r="D12" s="120">
        <f>'GROUP DATA WP2'!H13</f>
        <v>1.49</v>
      </c>
      <c r="E12" s="120">
        <f>'GROUP DATA WP2'!L13</f>
        <v>2.35</v>
      </c>
      <c r="F12" s="120">
        <f>'GROUP DATA WP2'!P13</f>
        <v>21.3</v>
      </c>
      <c r="G12" s="122">
        <f>'COMPARABLE GROUP WP1'!E13</f>
        <v>0.54600000000000004</v>
      </c>
      <c r="H12" s="122">
        <f>'COMPARABLE GROUP WP1'!H13</f>
        <v>0.59499999999999997</v>
      </c>
      <c r="I12" s="120">
        <f>'GROUP DATA WP 3'!D14</f>
        <v>2599.6</v>
      </c>
      <c r="J12" s="120">
        <f>'GROUP DATA WP 3'!E14</f>
        <v>3220</v>
      </c>
      <c r="K12" s="120">
        <f t="shared" ref="K12:K17" si="4">G12*I12</f>
        <v>1419.3816000000002</v>
      </c>
      <c r="L12" s="120">
        <f t="shared" ref="L12:L15" si="5">H12*J12</f>
        <v>1915.8999999999999</v>
      </c>
      <c r="M12" s="120">
        <f>'GROUP DATA WP2'!U13</f>
        <v>40</v>
      </c>
      <c r="N12" s="120">
        <f>'GROUP DATA WP2'!P13</f>
        <v>21.3</v>
      </c>
      <c r="O12" s="63">
        <f t="shared" ref="O12:O17" si="6">M12/N12</f>
        <v>1.8779342723004695</v>
      </c>
      <c r="P12" s="63">
        <f>'GROUP DATA WP2'!Q13</f>
        <v>87.69</v>
      </c>
      <c r="Q12" s="63">
        <f>'GROUP DATA WP2'!R13</f>
        <v>90</v>
      </c>
    </row>
    <row r="13" spans="1:23" x14ac:dyDescent="0.25">
      <c r="A13" s="64">
        <f t="shared" si="3"/>
        <v>4</v>
      </c>
      <c r="B13" s="56" t="s">
        <v>238</v>
      </c>
      <c r="C13" s="64" t="s">
        <v>239</v>
      </c>
      <c r="D13" s="120">
        <f>'GROUP DATA WP2'!H14</f>
        <v>1.97</v>
      </c>
      <c r="E13" s="120">
        <f>'GROUP DATA WP2'!L14</f>
        <v>3.5</v>
      </c>
      <c r="F13" s="120">
        <f>'GROUP DATA WP2'!P14</f>
        <v>29.4</v>
      </c>
      <c r="G13" s="122">
        <f>'COMPARABLE GROUP WP1'!E14</f>
        <v>0.51900000000000002</v>
      </c>
      <c r="H13" s="122">
        <f>'COMPARABLE GROUP WP1'!H14</f>
        <v>0.52500000000000002</v>
      </c>
      <c r="I13" s="120">
        <f>'GROUP DATA WP 3'!D15</f>
        <v>1468.9</v>
      </c>
      <c r="J13" s="120">
        <f>'GROUP DATA WP 3'!E15</f>
        <v>1700</v>
      </c>
      <c r="K13" s="120">
        <f t="shared" si="4"/>
        <v>762.35910000000013</v>
      </c>
      <c r="L13" s="120">
        <f t="shared" si="5"/>
        <v>892.5</v>
      </c>
      <c r="M13" s="120">
        <f>'GROUP DATA WP2'!U14</f>
        <v>77.5</v>
      </c>
      <c r="N13" s="120">
        <f>'GROUP DATA WP2'!P14</f>
        <v>29.4</v>
      </c>
      <c r="O13" s="63">
        <f t="shared" si="6"/>
        <v>2.6360544217687076</v>
      </c>
      <c r="P13" s="63">
        <f>'GROUP DATA WP2'!Q14</f>
        <v>28.88</v>
      </c>
      <c r="Q13" s="63">
        <f>'GROUP DATA WP2'!R14</f>
        <v>32</v>
      </c>
    </row>
    <row r="14" spans="1:23" x14ac:dyDescent="0.25">
      <c r="A14" s="64">
        <f t="shared" si="3"/>
        <v>5</v>
      </c>
      <c r="B14" s="56" t="s">
        <v>240</v>
      </c>
      <c r="C14" s="64" t="s">
        <v>241</v>
      </c>
      <c r="D14" s="120">
        <f>'GROUP DATA WP2'!H15</f>
        <v>2.65</v>
      </c>
      <c r="E14" s="120">
        <f>'GROUP DATA WP2'!L15</f>
        <v>4.75</v>
      </c>
      <c r="F14" s="120">
        <f>'GROUP DATA WP2'!P15</f>
        <v>47.9</v>
      </c>
      <c r="G14" s="122">
        <f>'COMPARABLE GROUP WP1'!E15</f>
        <v>0.61399999999999999</v>
      </c>
      <c r="H14" s="122">
        <f>'COMPARABLE GROUP WP1'!H15</f>
        <v>0.62</v>
      </c>
      <c r="I14" s="120">
        <f>'GROUP DATA WP 3'!D16</f>
        <v>3328.1</v>
      </c>
      <c r="J14" s="120">
        <f>'GROUP DATA WP 3'!E16</f>
        <v>4250</v>
      </c>
      <c r="K14" s="120">
        <f t="shared" si="4"/>
        <v>2043.4533999999999</v>
      </c>
      <c r="L14" s="120">
        <f t="shared" si="5"/>
        <v>2635</v>
      </c>
      <c r="M14" s="120">
        <f>'GROUP DATA WP2'!U15</f>
        <v>117.5</v>
      </c>
      <c r="N14" s="120">
        <f>'GROUP DATA WP2'!P15</f>
        <v>47.9</v>
      </c>
      <c r="O14" s="63">
        <f t="shared" si="6"/>
        <v>2.453027139874739</v>
      </c>
      <c r="P14" s="63">
        <f>'GROUP DATA WP2'!Q15</f>
        <v>52.57</v>
      </c>
      <c r="Q14" s="63">
        <f>'GROUP DATA WP2'!R15</f>
        <v>55</v>
      </c>
    </row>
    <row r="15" spans="1:23" x14ac:dyDescent="0.25">
      <c r="A15" s="64">
        <f t="shared" si="3"/>
        <v>6</v>
      </c>
      <c r="B15" s="64" t="s">
        <v>242</v>
      </c>
      <c r="C15" s="64" t="s">
        <v>243</v>
      </c>
      <c r="D15" s="120">
        <f>'GROUP DATA WP2'!H16</f>
        <v>1.4</v>
      </c>
      <c r="E15" s="120">
        <f>'GROUP DATA WP2'!L16</f>
        <v>2.4</v>
      </c>
      <c r="F15" s="120">
        <f>'GROUP DATA WP2'!P16</f>
        <v>19</v>
      </c>
      <c r="G15" s="122">
        <f>'COMPARABLE GROUP WP1'!E16</f>
        <v>0.376</v>
      </c>
      <c r="H15" s="122">
        <f>'COMPARABLE GROUP WP1'!H16</f>
        <v>0.42</v>
      </c>
      <c r="I15" s="120">
        <f>'GROUP DATA WP 3'!D17</f>
        <v>3373.9</v>
      </c>
      <c r="J15" s="120">
        <f>'GROUP DATA WP 3'!E17</f>
        <v>4500</v>
      </c>
      <c r="K15" s="120">
        <f t="shared" si="4"/>
        <v>1268.5864000000001</v>
      </c>
      <c r="L15" s="120">
        <f t="shared" si="5"/>
        <v>1890</v>
      </c>
      <c r="M15" s="120">
        <f>'GROUP DATA WP2'!U16</f>
        <v>40</v>
      </c>
      <c r="N15" s="120">
        <f>'GROUP DATA WP2'!P16</f>
        <v>19</v>
      </c>
      <c r="O15" s="63">
        <f t="shared" si="6"/>
        <v>2.1052631578947367</v>
      </c>
      <c r="P15" s="63">
        <f>'GROUP DATA WP2'!Q16</f>
        <v>85.51</v>
      </c>
      <c r="Q15" s="63">
        <f>'GROUP DATA WP2'!R16</f>
        <v>100</v>
      </c>
    </row>
    <row r="16" spans="1:23" x14ac:dyDescent="0.25">
      <c r="A16" s="64">
        <f t="shared" si="3"/>
        <v>7</v>
      </c>
      <c r="B16" s="64" t="s">
        <v>244</v>
      </c>
      <c r="C16" s="64" t="s">
        <v>245</v>
      </c>
      <c r="D16" s="120">
        <f>'GROUP DATA WP2'!H17</f>
        <v>2.67</v>
      </c>
      <c r="E16" s="120">
        <f>'GROUP DATA WP2'!L17</f>
        <v>5</v>
      </c>
      <c r="F16" s="120">
        <f>'GROUP DATA WP2'!P17</f>
        <v>54.2</v>
      </c>
      <c r="G16" s="122">
        <f>'COMPARABLE GROUP WP1'!E17</f>
        <v>0.54300000000000004</v>
      </c>
      <c r="H16" s="122">
        <f>'COMPARABLE GROUP WP1'!H17</f>
        <v>0.6</v>
      </c>
      <c r="I16" s="120">
        <f>'GROUP DATA WP 3'!D18</f>
        <v>4155.5</v>
      </c>
      <c r="J16" s="120">
        <f>'GROUP DATA WP 3'!E18</f>
        <v>4950</v>
      </c>
      <c r="K16" s="120">
        <f t="shared" si="4"/>
        <v>2256.4365000000003</v>
      </c>
      <c r="L16" s="120">
        <f>H16*J17</f>
        <v>3930</v>
      </c>
      <c r="M16" s="120">
        <f>'GROUP DATA WP2'!U17</f>
        <v>90</v>
      </c>
      <c r="N16" s="120">
        <f>'GROUP DATA WP2'!P17</f>
        <v>54.2</v>
      </c>
      <c r="O16" s="63">
        <f t="shared" si="6"/>
        <v>1.6605166051660516</v>
      </c>
      <c r="P16" s="63">
        <f>'GROUP DATA WP2'!Q17</f>
        <v>50.67</v>
      </c>
      <c r="Q16" s="63">
        <f>'GROUP DATA WP2'!R17</f>
        <v>55</v>
      </c>
    </row>
    <row r="17" spans="1:17" x14ac:dyDescent="0.25">
      <c r="A17" s="64">
        <f t="shared" si="3"/>
        <v>8</v>
      </c>
      <c r="B17" s="64" t="s">
        <v>246</v>
      </c>
      <c r="C17" s="64" t="s">
        <v>247</v>
      </c>
      <c r="D17" s="120">
        <f>'GROUP DATA WP2'!H18</f>
        <v>2.6</v>
      </c>
      <c r="E17" s="120">
        <f>'GROUP DATA WP2'!L18</f>
        <v>5.8</v>
      </c>
      <c r="F17" s="120">
        <f>'GROUP DATA WP2'!P18</f>
        <v>57.25</v>
      </c>
      <c r="G17" s="122">
        <f>'COMPARABLE GROUP WP1'!E18</f>
        <v>0.51700000000000002</v>
      </c>
      <c r="H17" s="122">
        <f>'COMPARABLE GROUP WP1'!H18</f>
        <v>0.54</v>
      </c>
      <c r="I17" s="120">
        <f>'GROUP DATA WP 3'!D19</f>
        <v>4359.3</v>
      </c>
      <c r="J17" s="120">
        <f>'GROUP DATA WP 3'!E19</f>
        <v>6550</v>
      </c>
      <c r="K17" s="120">
        <f t="shared" si="4"/>
        <v>2253.7581</v>
      </c>
      <c r="L17" s="120">
        <f>H17*J18</f>
        <v>2905.971428571429</v>
      </c>
      <c r="M17" s="120">
        <f>'GROUP DATA WP2'!U18</f>
        <v>92.5</v>
      </c>
      <c r="N17" s="120">
        <f>'GROUP DATA WP2'!P18</f>
        <v>57.25</v>
      </c>
      <c r="O17" s="63">
        <f t="shared" si="6"/>
        <v>1.6157205240174672</v>
      </c>
      <c r="P17" s="63">
        <f>'GROUP DATA WP2'!Q18</f>
        <v>53.03</v>
      </c>
      <c r="Q17" s="63">
        <f>'GROUP DATA WP2'!R18</f>
        <v>62</v>
      </c>
    </row>
    <row r="18" spans="1:17" x14ac:dyDescent="0.25">
      <c r="A18" s="64">
        <f t="shared" si="3"/>
        <v>9</v>
      </c>
      <c r="B18" s="56" t="s">
        <v>132</v>
      </c>
      <c r="C18" s="56"/>
      <c r="D18" s="120">
        <f>AVERAGE(D10:D17)</f>
        <v>2.2257142857142855</v>
      </c>
      <c r="E18" s="120">
        <f t="shared" ref="E18:Q18" si="7">AVERAGE(E10:E17)</f>
        <v>4.2</v>
      </c>
      <c r="F18" s="120">
        <f t="shared" si="7"/>
        <v>40.728571428571435</v>
      </c>
      <c r="G18" s="60">
        <f t="shared" si="7"/>
        <v>0.53885714285714281</v>
      </c>
      <c r="H18" s="60">
        <f t="shared" si="7"/>
        <v>0.56428571428571428</v>
      </c>
      <c r="I18" s="120">
        <f t="shared" si="7"/>
        <v>3792.7000000000003</v>
      </c>
      <c r="J18" s="120">
        <f>AVERAGE(J10:J17)</f>
        <v>5381.4285714285716</v>
      </c>
      <c r="K18" s="120">
        <f t="shared" si="7"/>
        <v>2110.8800428571426</v>
      </c>
      <c r="L18" s="120">
        <f t="shared" si="7"/>
        <v>3184.9102040816329</v>
      </c>
      <c r="M18" s="120">
        <f t="shared" si="7"/>
        <v>83.571428571428569</v>
      </c>
      <c r="N18" s="120">
        <f t="shared" si="7"/>
        <v>40.728571428571435</v>
      </c>
      <c r="O18" s="63">
        <f t="shared" si="7"/>
        <v>2.0890386863343768</v>
      </c>
      <c r="P18" s="63">
        <f t="shared" si="7"/>
        <v>67.088571428571427</v>
      </c>
      <c r="Q18" s="63">
        <f t="shared" si="7"/>
        <v>77</v>
      </c>
    </row>
    <row r="19" spans="1:17" x14ac:dyDescent="0.25">
      <c r="A19" s="32">
        <f t="shared" si="3"/>
        <v>10</v>
      </c>
      <c r="B19" s="56" t="s">
        <v>91</v>
      </c>
      <c r="C19" s="56"/>
      <c r="D19" s="120">
        <f>MEDIAN(D10:D17)</f>
        <v>2.6</v>
      </c>
      <c r="E19" s="120">
        <f t="shared" ref="E19:Q19" si="8">MEDIAN(E10:E17)</f>
        <v>4.75</v>
      </c>
      <c r="F19" s="120">
        <f t="shared" si="8"/>
        <v>47.9</v>
      </c>
      <c r="G19" s="60">
        <f t="shared" si="8"/>
        <v>0.54300000000000004</v>
      </c>
      <c r="H19" s="60">
        <f t="shared" si="8"/>
        <v>0.59499999999999997</v>
      </c>
      <c r="I19" s="120">
        <f t="shared" si="8"/>
        <v>3373.9</v>
      </c>
      <c r="J19" s="120">
        <f>MEDIAN(J10:J17)</f>
        <v>4500</v>
      </c>
      <c r="K19" s="120">
        <f t="shared" si="8"/>
        <v>2043.4533999999999</v>
      </c>
      <c r="L19" s="120">
        <f t="shared" si="8"/>
        <v>2635</v>
      </c>
      <c r="M19" s="120">
        <f t="shared" si="8"/>
        <v>90</v>
      </c>
      <c r="N19" s="120">
        <f t="shared" si="8"/>
        <v>47.9</v>
      </c>
      <c r="O19" s="63">
        <f t="shared" si="8"/>
        <v>2.1052631578947367</v>
      </c>
      <c r="P19" s="63">
        <f t="shared" si="8"/>
        <v>53.03</v>
      </c>
      <c r="Q19" s="63">
        <f t="shared" si="8"/>
        <v>62</v>
      </c>
    </row>
    <row r="20" spans="1:17" x14ac:dyDescent="0.25">
      <c r="B20" s="34" t="s">
        <v>71</v>
      </c>
    </row>
    <row r="21" spans="1:17" x14ac:dyDescent="0.25">
      <c r="B21" s="34" t="s">
        <v>334</v>
      </c>
    </row>
    <row r="22" spans="1:17" x14ac:dyDescent="0.25">
      <c r="B22" s="34" t="s">
        <v>210</v>
      </c>
    </row>
    <row r="23" spans="1:17" x14ac:dyDescent="0.25">
      <c r="B23" s="34" t="s">
        <v>223</v>
      </c>
    </row>
    <row r="24" spans="1:17" x14ac:dyDescent="0.25">
      <c r="B24" s="114"/>
    </row>
    <row r="25" spans="1:17" x14ac:dyDescent="0.25">
      <c r="B25" s="114"/>
    </row>
  </sheetData>
  <mergeCells count="4">
    <mergeCell ref="B5:Q5"/>
    <mergeCell ref="B6:Q6"/>
    <mergeCell ref="B3:Q3"/>
    <mergeCell ref="B4:Q4"/>
  </mergeCells>
  <phoneticPr fontId="17" type="noConversion"/>
  <pageMargins left="0.75" right="0.75" top="1" bottom="1" header="0.5" footer="0.5"/>
  <pageSetup scale="57" orientation="landscape" horizontalDpi="4294967292" verticalDpi="4294967292" r:id="rId1"/>
  <headerFooter>
    <oddHeader>&amp;R&amp;"Calibri,Regular"&amp;K000000EXHIBIT OCS 3.4S
PAGE 3 OF 3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5.5" customWidth="1"/>
    <col min="2" max="2" width="34" customWidth="1"/>
  </cols>
  <sheetData>
    <row r="1" spans="1:19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3"/>
      <c r="L1" s="3"/>
      <c r="M1" s="3"/>
      <c r="N1" s="3"/>
      <c r="O1" s="3"/>
      <c r="P1" s="3"/>
      <c r="Q1" s="3"/>
      <c r="R1" s="3"/>
    </row>
    <row r="2" spans="1:19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3"/>
      <c r="L2" s="3"/>
      <c r="M2" s="3"/>
      <c r="N2" s="3"/>
      <c r="O2" s="3"/>
      <c r="P2" s="3"/>
      <c r="Q2" s="3"/>
      <c r="R2" s="3"/>
    </row>
    <row r="3" spans="1:19" ht="21" x14ac:dyDescent="0.35">
      <c r="A3" s="115"/>
      <c r="B3" s="224" t="s">
        <v>229</v>
      </c>
      <c r="C3" s="224"/>
      <c r="D3" s="224"/>
      <c r="E3" s="224"/>
      <c r="F3" s="224"/>
      <c r="G3" s="224"/>
      <c r="H3" s="224"/>
      <c r="I3" s="224"/>
      <c r="J3" s="224"/>
      <c r="K3" s="36"/>
      <c r="L3" s="36"/>
      <c r="M3" s="36"/>
      <c r="N3" s="36"/>
      <c r="O3" s="36"/>
      <c r="P3" s="36"/>
      <c r="Q3" s="16"/>
      <c r="R3" s="3"/>
    </row>
    <row r="4" spans="1:19" ht="21" x14ac:dyDescent="0.35">
      <c r="A4" s="115"/>
      <c r="B4" s="224" t="s">
        <v>250</v>
      </c>
      <c r="C4" s="224"/>
      <c r="D4" s="224"/>
      <c r="E4" s="224"/>
      <c r="F4" s="224"/>
      <c r="G4" s="224"/>
      <c r="H4" s="224"/>
      <c r="I4" s="224"/>
      <c r="J4" s="224"/>
      <c r="K4" s="36"/>
      <c r="L4" s="36"/>
      <c r="M4" s="36"/>
      <c r="N4" s="36"/>
      <c r="O4" s="36"/>
      <c r="P4" s="36"/>
      <c r="Q4" s="16"/>
      <c r="R4" s="3"/>
    </row>
    <row r="5" spans="1:19" ht="21" x14ac:dyDescent="0.35">
      <c r="A5" s="115"/>
      <c r="B5" s="224" t="s">
        <v>231</v>
      </c>
      <c r="C5" s="224"/>
      <c r="D5" s="224"/>
      <c r="E5" s="224"/>
      <c r="F5" s="224"/>
      <c r="G5" s="224"/>
      <c r="H5" s="224"/>
      <c r="I5" s="224"/>
      <c r="J5" s="224"/>
      <c r="K5" s="36"/>
      <c r="L5" s="36"/>
      <c r="M5" s="36"/>
      <c r="N5" s="36"/>
      <c r="O5" s="36"/>
      <c r="P5" s="36"/>
      <c r="Q5" s="16"/>
      <c r="R5" s="3"/>
    </row>
    <row r="6" spans="1:19" ht="21" x14ac:dyDescent="0.35">
      <c r="A6" s="115"/>
      <c r="B6" s="225" t="s">
        <v>345</v>
      </c>
      <c r="C6" s="225"/>
      <c r="D6" s="225"/>
      <c r="E6" s="225"/>
      <c r="F6" s="225"/>
      <c r="G6" s="225"/>
      <c r="H6" s="225"/>
      <c r="I6" s="225"/>
      <c r="J6" s="225"/>
      <c r="K6" s="3"/>
      <c r="L6" s="3"/>
      <c r="M6" s="3"/>
      <c r="N6" s="3"/>
      <c r="O6" s="3"/>
      <c r="P6" s="3"/>
      <c r="Q6" s="3"/>
      <c r="R6" s="3"/>
    </row>
    <row r="7" spans="1:19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3"/>
      <c r="L7" s="3"/>
      <c r="M7" s="3"/>
      <c r="N7" s="3"/>
      <c r="O7" s="3"/>
      <c r="P7" s="3"/>
      <c r="Q7" s="3"/>
      <c r="R7" s="3"/>
    </row>
    <row r="8" spans="1:19" x14ac:dyDescent="0.25">
      <c r="A8" s="113"/>
      <c r="B8" s="113"/>
      <c r="C8" s="113"/>
      <c r="D8" s="113" t="s">
        <v>2</v>
      </c>
      <c r="E8" s="113" t="s">
        <v>52</v>
      </c>
      <c r="F8" s="113" t="s">
        <v>53</v>
      </c>
      <c r="G8" s="113" t="s">
        <v>54</v>
      </c>
      <c r="H8" s="113" t="s">
        <v>55</v>
      </c>
      <c r="I8" s="113" t="s">
        <v>56</v>
      </c>
      <c r="J8" s="113" t="s">
        <v>68</v>
      </c>
      <c r="K8" s="3"/>
      <c r="L8" s="3"/>
      <c r="M8" s="3"/>
      <c r="N8" s="3"/>
      <c r="O8" s="3"/>
      <c r="P8" s="3"/>
      <c r="Q8" s="3"/>
      <c r="R8" s="3"/>
    </row>
    <row r="9" spans="1:19" ht="39" x14ac:dyDescent="0.25">
      <c r="A9" s="62" t="s">
        <v>0</v>
      </c>
      <c r="B9" s="62" t="s">
        <v>7</v>
      </c>
      <c r="C9" s="62" t="s">
        <v>1</v>
      </c>
      <c r="D9" s="62" t="s">
        <v>37</v>
      </c>
      <c r="E9" s="62" t="s">
        <v>38</v>
      </c>
      <c r="F9" s="62" t="s">
        <v>39</v>
      </c>
      <c r="G9" s="62" t="s">
        <v>116</v>
      </c>
      <c r="H9" s="62" t="s">
        <v>40</v>
      </c>
      <c r="I9" s="62" t="s">
        <v>41</v>
      </c>
      <c r="J9" s="62" t="s">
        <v>144</v>
      </c>
      <c r="K9" s="4"/>
      <c r="L9" s="4"/>
      <c r="M9" s="4"/>
      <c r="N9" s="4"/>
      <c r="O9" s="4"/>
      <c r="P9" s="4"/>
      <c r="Q9" s="4"/>
      <c r="R9" s="4"/>
      <c r="S9" s="12"/>
    </row>
    <row r="10" spans="1:19" x14ac:dyDescent="0.25">
      <c r="A10" s="64">
        <v>1</v>
      </c>
      <c r="B10" s="64" t="s">
        <v>233</v>
      </c>
      <c r="C10" s="64" t="s">
        <v>232</v>
      </c>
      <c r="D10" s="120">
        <f>'OCS SR 3.3'!L13</f>
        <v>110.17</v>
      </c>
      <c r="E10" s="120">
        <f>'OCS SR 3.3'!P13</f>
        <v>2.2999999999999998</v>
      </c>
      <c r="F10" s="60">
        <f t="shared" ref="F10:F17" si="0">E10/D10</f>
        <v>2.0876826722338204E-2</v>
      </c>
      <c r="G10" s="60">
        <f t="shared" ref="G10:G16" si="1">(1+(H10/2))*F10</f>
        <v>2.1624913013221992E-2</v>
      </c>
      <c r="H10" s="60">
        <f>'OCS SR 3.4 P.1'!P11</f>
        <v>7.166666666666667E-2</v>
      </c>
      <c r="I10" s="60">
        <f t="shared" ref="I10:I17" si="2">G10+H10</f>
        <v>9.3291579679888659E-2</v>
      </c>
      <c r="J10" s="122">
        <f>I10</f>
        <v>9.3291579679888659E-2</v>
      </c>
      <c r="K10" s="9"/>
      <c r="L10" s="7"/>
    </row>
    <row r="11" spans="1:19" x14ac:dyDescent="0.25">
      <c r="A11" s="64">
        <f>A10+1</f>
        <v>2</v>
      </c>
      <c r="B11" s="56" t="s">
        <v>234</v>
      </c>
      <c r="C11" s="64" t="s">
        <v>235</v>
      </c>
      <c r="D11" s="120"/>
      <c r="E11" s="120"/>
      <c r="F11" s="60"/>
      <c r="G11" s="60"/>
      <c r="H11" s="60"/>
      <c r="I11" s="60"/>
      <c r="J11" s="122"/>
      <c r="K11" s="9"/>
      <c r="L11" s="7"/>
    </row>
    <row r="12" spans="1:19" x14ac:dyDescent="0.25">
      <c r="A12" s="64">
        <f t="shared" ref="A12:A18" si="3">A11+1</f>
        <v>3</v>
      </c>
      <c r="B12" s="64" t="s">
        <v>236</v>
      </c>
      <c r="C12" s="64" t="s">
        <v>237</v>
      </c>
      <c r="D12" s="120">
        <f>'OCS SR 3.3'!L15</f>
        <v>44.163333333333334</v>
      </c>
      <c r="E12" s="120">
        <f>'OCS SR 3.3'!P15</f>
        <v>1.252</v>
      </c>
      <c r="F12" s="60">
        <f t="shared" si="0"/>
        <v>2.8349309381840139E-2</v>
      </c>
      <c r="G12" s="60">
        <f t="shared" si="1"/>
        <v>2.9128915389840745E-2</v>
      </c>
      <c r="H12" s="60">
        <f>'OCS SR 3.4 P.1'!P13</f>
        <v>5.4999999999999993E-2</v>
      </c>
      <c r="I12" s="60">
        <f t="shared" si="2"/>
        <v>8.4128915389840742E-2</v>
      </c>
      <c r="J12" s="122">
        <f t="shared" ref="J12" si="4">I12</f>
        <v>8.4128915389840742E-2</v>
      </c>
      <c r="K12" s="9"/>
      <c r="L12" s="7"/>
    </row>
    <row r="13" spans="1:19" x14ac:dyDescent="0.25">
      <c r="A13" s="64">
        <f t="shared" si="3"/>
        <v>4</v>
      </c>
      <c r="B13" s="56" t="s">
        <v>238</v>
      </c>
      <c r="C13" s="64" t="s">
        <v>239</v>
      </c>
      <c r="D13" s="120">
        <f>'OCS SR 3.3'!L16</f>
        <v>69.899999999999991</v>
      </c>
      <c r="E13" s="120">
        <f>'OCS SR 3.3'!P16</f>
        <v>1.91</v>
      </c>
      <c r="F13" s="60">
        <f t="shared" si="0"/>
        <v>2.732474964234621E-2</v>
      </c>
      <c r="G13" s="60">
        <f t="shared" si="1"/>
        <v>2.8952849308536005E-2</v>
      </c>
      <c r="H13" s="60">
        <f>'OCS SR 3.4 P.1'!P14</f>
        <v>0.11916666666666666</v>
      </c>
      <c r="I13" s="60">
        <f t="shared" si="2"/>
        <v>0.14811951597520268</v>
      </c>
      <c r="J13" s="122"/>
      <c r="K13" s="9"/>
      <c r="L13" s="7"/>
    </row>
    <row r="14" spans="1:19" x14ac:dyDescent="0.25">
      <c r="A14" s="64">
        <f t="shared" si="3"/>
        <v>5</v>
      </c>
      <c r="B14" s="56" t="s">
        <v>240</v>
      </c>
      <c r="C14" s="64" t="s">
        <v>241</v>
      </c>
      <c r="D14" s="120">
        <f>'OCS SR 3.3'!L17</f>
        <v>92.600000000000009</v>
      </c>
      <c r="E14" s="120">
        <f>'OCS SR 3.3'!P17</f>
        <v>2</v>
      </c>
      <c r="F14" s="60">
        <f t="shared" si="0"/>
        <v>2.159827213822894E-2</v>
      </c>
      <c r="G14" s="60">
        <f t="shared" si="1"/>
        <v>2.2286897048236137E-2</v>
      </c>
      <c r="H14" s="60">
        <f>'OCS SR 3.4 P.1'!P15</f>
        <v>6.3766666666666666E-2</v>
      </c>
      <c r="I14" s="60">
        <f t="shared" si="2"/>
        <v>8.6053563714902803E-2</v>
      </c>
      <c r="J14" s="122">
        <f>I14</f>
        <v>8.6053563714902803E-2</v>
      </c>
      <c r="K14" s="9"/>
      <c r="L14" s="7"/>
    </row>
    <row r="15" spans="1:19" x14ac:dyDescent="0.25">
      <c r="A15" s="64">
        <f t="shared" si="3"/>
        <v>6</v>
      </c>
      <c r="B15" s="64" t="s">
        <v>242</v>
      </c>
      <c r="C15" s="64" t="s">
        <v>243</v>
      </c>
      <c r="D15" s="120">
        <f>'OCS SR 3.3'!L18</f>
        <v>31.753333333333334</v>
      </c>
      <c r="E15" s="120">
        <f>'OCS SR 3.3'!P18</f>
        <v>1.1519999999999999</v>
      </c>
      <c r="F15" s="60">
        <f t="shared" si="0"/>
        <v>3.6279655679193785E-2</v>
      </c>
      <c r="G15" s="60">
        <f t="shared" si="1"/>
        <v>3.7706655469242081E-2</v>
      </c>
      <c r="H15" s="60">
        <f>'OCS SR 3.4 P.1'!P16</f>
        <v>7.8666666666666663E-2</v>
      </c>
      <c r="I15" s="60">
        <f t="shared" si="2"/>
        <v>0.11637332213590874</v>
      </c>
      <c r="J15" s="122">
        <f>I15</f>
        <v>0.11637332213590874</v>
      </c>
      <c r="K15" s="9"/>
      <c r="L15" s="7"/>
    </row>
    <row r="16" spans="1:19" x14ac:dyDescent="0.25">
      <c r="A16" s="64">
        <f t="shared" si="3"/>
        <v>7</v>
      </c>
      <c r="B16" s="64" t="s">
        <v>244</v>
      </c>
      <c r="C16" s="64" t="s">
        <v>245</v>
      </c>
      <c r="D16" s="120">
        <f>'OCS SR 3.3'!L19</f>
        <v>83.213333333333338</v>
      </c>
      <c r="E16" s="120">
        <f>'OCS SR 3.3'!P19</f>
        <v>2.37</v>
      </c>
      <c r="F16" s="60">
        <f t="shared" si="0"/>
        <v>2.8481012658227847E-2</v>
      </c>
      <c r="G16" s="60">
        <f t="shared" si="1"/>
        <v>2.9156487341772151E-2</v>
      </c>
      <c r="H16" s="60">
        <f>'OCS SR 3.4 P.1'!P17</f>
        <v>4.7433333333333334E-2</v>
      </c>
      <c r="I16" s="60">
        <f t="shared" si="2"/>
        <v>7.6589820675105488E-2</v>
      </c>
      <c r="J16" s="122">
        <f>I16</f>
        <v>7.6589820675105488E-2</v>
      </c>
      <c r="K16" s="9"/>
      <c r="L16" s="7"/>
    </row>
    <row r="17" spans="1:12" x14ac:dyDescent="0.25">
      <c r="A17" s="64">
        <f t="shared" si="3"/>
        <v>8</v>
      </c>
      <c r="B17" s="64" t="s">
        <v>246</v>
      </c>
      <c r="C17" s="64" t="s">
        <v>247</v>
      </c>
      <c r="D17" s="120">
        <f>'OCS SR 3.3'!L20</f>
        <v>85.12</v>
      </c>
      <c r="E17" s="120">
        <f>'OCS SR 3.3'!P20</f>
        <v>2.1800000000000002</v>
      </c>
      <c r="F17" s="60">
        <f t="shared" si="0"/>
        <v>2.5610902255639098E-2</v>
      </c>
      <c r="G17" s="60">
        <f t="shared" ref="G17" si="5">AVERAGE(G10:G16)</f>
        <v>2.8142786261808186E-2</v>
      </c>
      <c r="H17" s="60">
        <f>'OCS SR 3.4 P.1'!P18</f>
        <v>8.5666666666666669E-2</v>
      </c>
      <c r="I17" s="60">
        <f t="shared" si="2"/>
        <v>0.11380945292847486</v>
      </c>
      <c r="J17" s="74">
        <f>I17</f>
        <v>0.11380945292847486</v>
      </c>
      <c r="K17" s="9"/>
      <c r="L17" s="7"/>
    </row>
    <row r="18" spans="1:12" x14ac:dyDescent="0.25">
      <c r="A18" s="64">
        <f t="shared" si="3"/>
        <v>9</v>
      </c>
      <c r="B18" s="56" t="s">
        <v>132</v>
      </c>
      <c r="C18" s="56"/>
      <c r="D18" s="128">
        <f>AVERAGE(D10:D17)</f>
        <v>73.845714285714294</v>
      </c>
      <c r="E18" s="128">
        <f t="shared" ref="E18:J18" si="6">AVERAGE(E10:E17)</f>
        <v>1.8805714285714283</v>
      </c>
      <c r="F18" s="60">
        <f t="shared" si="6"/>
        <v>2.6931532639687752E-2</v>
      </c>
      <c r="G18" s="60">
        <f t="shared" si="6"/>
        <v>2.8142786261808186E-2</v>
      </c>
      <c r="H18" s="60">
        <f t="shared" si="6"/>
        <v>7.4480952380952384E-2</v>
      </c>
      <c r="I18" s="60">
        <f t="shared" si="6"/>
        <v>0.10262373864276056</v>
      </c>
      <c r="J18" s="60">
        <f t="shared" si="6"/>
        <v>9.504110908735354E-2</v>
      </c>
      <c r="K18" s="9"/>
      <c r="L18" s="7"/>
    </row>
    <row r="19" spans="1:12" x14ac:dyDescent="0.25">
      <c r="B19" s="56" t="s">
        <v>91</v>
      </c>
      <c r="C19" s="56"/>
      <c r="D19" s="128">
        <f>MEDIAN(D10:D17)</f>
        <v>83.213333333333338</v>
      </c>
      <c r="E19" s="128">
        <f t="shared" ref="E19:J19" si="7">MEDIAN(E10:E17)</f>
        <v>2</v>
      </c>
      <c r="F19" s="60">
        <f t="shared" si="7"/>
        <v>2.732474964234621E-2</v>
      </c>
      <c r="G19" s="60">
        <f t="shared" si="7"/>
        <v>2.8952849308536005E-2</v>
      </c>
      <c r="H19" s="60">
        <f t="shared" si="7"/>
        <v>7.166666666666667E-2</v>
      </c>
      <c r="I19" s="60">
        <f t="shared" si="7"/>
        <v>9.3291579679888659E-2</v>
      </c>
      <c r="J19" s="60">
        <f t="shared" si="7"/>
        <v>8.9672571697395731E-2</v>
      </c>
    </row>
    <row r="20" spans="1:12" x14ac:dyDescent="0.25">
      <c r="B20" s="73" t="s">
        <v>186</v>
      </c>
    </row>
    <row r="21" spans="1:12" x14ac:dyDescent="0.25">
      <c r="B21" s="73" t="s">
        <v>187</v>
      </c>
    </row>
    <row r="22" spans="1:12" x14ac:dyDescent="0.25">
      <c r="B22" s="34" t="s">
        <v>188</v>
      </c>
    </row>
    <row r="23" spans="1:12" x14ac:dyDescent="0.25">
      <c r="B23" s="34" t="s">
        <v>189</v>
      </c>
    </row>
    <row r="24" spans="1:12" x14ac:dyDescent="0.25">
      <c r="B24" s="34" t="s">
        <v>190</v>
      </c>
    </row>
    <row r="25" spans="1:12" x14ac:dyDescent="0.25">
      <c r="B25" s="114"/>
    </row>
    <row r="26" spans="1:12" x14ac:dyDescent="0.25">
      <c r="B26" s="114"/>
    </row>
  </sheetData>
  <mergeCells count="4">
    <mergeCell ref="B3:J3"/>
    <mergeCell ref="B4:J4"/>
    <mergeCell ref="B5:J5"/>
    <mergeCell ref="B6:J6"/>
  </mergeCells>
  <phoneticPr fontId="17" type="noConversion"/>
  <pageMargins left="0.75" right="0.75" top="1.75" bottom="1" header="0.75" footer="0.5"/>
  <pageSetup scale="87" orientation="landscape" horizontalDpi="4294967292" verticalDpi="4294967292" r:id="rId1"/>
  <headerFooter>
    <oddHeader xml:space="preserve">&amp;R&amp;"Calibri,Regular"&amp;K000000EXHIBIT OCS 3.5S
PAGE 1 OF 1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38"/>
  <sheetViews>
    <sheetView view="pageLayout" topLeftCell="A7" zoomScaleNormal="100" workbookViewId="0">
      <selection activeCell="A8" sqref="A8"/>
    </sheetView>
  </sheetViews>
  <sheetFormatPr defaultColWidth="11" defaultRowHeight="15.75" x14ac:dyDescent="0.25"/>
  <cols>
    <col min="1" max="1" width="5.875" customWidth="1"/>
    <col min="2" max="2" width="31.375" customWidth="1"/>
    <col min="7" max="7" width="11.875" bestFit="1" customWidth="1"/>
    <col min="19" max="168" width="10.875" customWidth="1"/>
    <col min="169" max="169" width="14.625" customWidth="1"/>
    <col min="170" max="170" width="10.875" customWidth="1"/>
  </cols>
  <sheetData>
    <row r="1" spans="1:17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7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7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7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7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1:170" ht="21" x14ac:dyDescent="0.35">
      <c r="A6" s="3"/>
      <c r="B6" s="227" t="s">
        <v>229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1:170" ht="21" x14ac:dyDescent="0.35">
      <c r="A7" s="3"/>
      <c r="B7" s="224" t="s">
        <v>250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70" ht="21" x14ac:dyDescent="0.35">
      <c r="A8" s="3"/>
      <c r="B8" s="224" t="s">
        <v>261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16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70" ht="21" x14ac:dyDescent="0.35">
      <c r="A9" s="3"/>
      <c r="B9" s="225" t="s">
        <v>344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16"/>
      <c r="Q9" s="1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70" x14ac:dyDescent="0.25">
      <c r="A10" s="3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70" x14ac:dyDescent="0.25">
      <c r="A11" s="3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70" x14ac:dyDescent="0.25">
      <c r="A12" s="113"/>
      <c r="B12" s="113"/>
      <c r="C12" s="113"/>
      <c r="D12" s="113" t="s">
        <v>2</v>
      </c>
      <c r="E12" s="113" t="s">
        <v>52</v>
      </c>
      <c r="F12" s="113" t="s">
        <v>53</v>
      </c>
      <c r="G12" s="113" t="s">
        <v>54</v>
      </c>
      <c r="H12" s="113" t="s">
        <v>55</v>
      </c>
      <c r="I12" s="113" t="s">
        <v>56</v>
      </c>
      <c r="J12" s="113" t="s">
        <v>68</v>
      </c>
      <c r="K12" s="113" t="s">
        <v>69</v>
      </c>
      <c r="L12" s="113" t="s">
        <v>70</v>
      </c>
      <c r="M12" s="113" t="s">
        <v>109</v>
      </c>
      <c r="N12" s="113" t="s">
        <v>110</v>
      </c>
      <c r="O12" s="113" t="s">
        <v>111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70" ht="47.25" x14ac:dyDescent="0.25">
      <c r="A13" s="62" t="s">
        <v>0</v>
      </c>
      <c r="B13" s="62" t="s">
        <v>7</v>
      </c>
      <c r="C13" s="62" t="s">
        <v>1</v>
      </c>
      <c r="D13" s="68" t="s">
        <v>180</v>
      </c>
      <c r="E13" s="68" t="s">
        <v>181</v>
      </c>
      <c r="F13" s="68" t="s">
        <v>120</v>
      </c>
      <c r="G13" s="68" t="s">
        <v>10</v>
      </c>
      <c r="H13" s="68" t="s">
        <v>44</v>
      </c>
      <c r="I13" s="68" t="s">
        <v>45</v>
      </c>
      <c r="J13" s="68" t="s">
        <v>46</v>
      </c>
      <c r="K13" s="68" t="s">
        <v>47</v>
      </c>
      <c r="L13" s="68" t="s">
        <v>48</v>
      </c>
      <c r="M13" s="68" t="s">
        <v>49</v>
      </c>
      <c r="N13" s="68" t="s">
        <v>50</v>
      </c>
      <c r="O13" s="68" t="s">
        <v>145</v>
      </c>
      <c r="P13" s="14"/>
      <c r="Q13" s="14"/>
      <c r="R13" s="14"/>
      <c r="S13" s="2" t="s">
        <v>43</v>
      </c>
      <c r="T13">
        <v>1</v>
      </c>
      <c r="U13">
        <f>T13+1</f>
        <v>2</v>
      </c>
      <c r="V13">
        <f t="shared" ref="V13:CG13" si="0">U13+1</f>
        <v>3</v>
      </c>
      <c r="W13">
        <f t="shared" si="0"/>
        <v>4</v>
      </c>
      <c r="X13">
        <f t="shared" si="0"/>
        <v>5</v>
      </c>
      <c r="Y13">
        <f t="shared" si="0"/>
        <v>6</v>
      </c>
      <c r="Z13">
        <f t="shared" si="0"/>
        <v>7</v>
      </c>
      <c r="AA13">
        <f t="shared" si="0"/>
        <v>8</v>
      </c>
      <c r="AB13">
        <f t="shared" si="0"/>
        <v>9</v>
      </c>
      <c r="AC13">
        <f t="shared" si="0"/>
        <v>10</v>
      </c>
      <c r="AD13">
        <f t="shared" si="0"/>
        <v>11</v>
      </c>
      <c r="AE13">
        <f t="shared" si="0"/>
        <v>12</v>
      </c>
      <c r="AF13">
        <f t="shared" si="0"/>
        <v>13</v>
      </c>
      <c r="AG13">
        <f t="shared" si="0"/>
        <v>14</v>
      </c>
      <c r="AH13">
        <f t="shared" si="0"/>
        <v>15</v>
      </c>
      <c r="AI13">
        <f t="shared" si="0"/>
        <v>16</v>
      </c>
      <c r="AJ13">
        <f t="shared" si="0"/>
        <v>17</v>
      </c>
      <c r="AK13">
        <f t="shared" si="0"/>
        <v>18</v>
      </c>
      <c r="AL13">
        <f t="shared" si="0"/>
        <v>19</v>
      </c>
      <c r="AM13">
        <f t="shared" si="0"/>
        <v>20</v>
      </c>
      <c r="AN13">
        <f t="shared" si="0"/>
        <v>21</v>
      </c>
      <c r="AO13">
        <f t="shared" si="0"/>
        <v>22</v>
      </c>
      <c r="AP13">
        <f t="shared" si="0"/>
        <v>23</v>
      </c>
      <c r="AQ13">
        <f t="shared" si="0"/>
        <v>24</v>
      </c>
      <c r="AR13">
        <f t="shared" si="0"/>
        <v>25</v>
      </c>
      <c r="AS13">
        <f t="shared" si="0"/>
        <v>26</v>
      </c>
      <c r="AT13">
        <f t="shared" si="0"/>
        <v>27</v>
      </c>
      <c r="AU13">
        <f t="shared" si="0"/>
        <v>28</v>
      </c>
      <c r="AV13">
        <f t="shared" si="0"/>
        <v>29</v>
      </c>
      <c r="AW13">
        <f t="shared" si="0"/>
        <v>30</v>
      </c>
      <c r="AX13">
        <f t="shared" si="0"/>
        <v>31</v>
      </c>
      <c r="AY13">
        <f t="shared" si="0"/>
        <v>32</v>
      </c>
      <c r="AZ13">
        <f t="shared" si="0"/>
        <v>33</v>
      </c>
      <c r="BA13">
        <f t="shared" si="0"/>
        <v>34</v>
      </c>
      <c r="BB13">
        <f t="shared" si="0"/>
        <v>35</v>
      </c>
      <c r="BC13">
        <f t="shared" si="0"/>
        <v>36</v>
      </c>
      <c r="BD13">
        <f t="shared" si="0"/>
        <v>37</v>
      </c>
      <c r="BE13">
        <f t="shared" si="0"/>
        <v>38</v>
      </c>
      <c r="BF13">
        <f t="shared" si="0"/>
        <v>39</v>
      </c>
      <c r="BG13">
        <f t="shared" si="0"/>
        <v>40</v>
      </c>
      <c r="BH13">
        <f t="shared" si="0"/>
        <v>41</v>
      </c>
      <c r="BI13">
        <f t="shared" si="0"/>
        <v>42</v>
      </c>
      <c r="BJ13">
        <f t="shared" si="0"/>
        <v>43</v>
      </c>
      <c r="BK13">
        <f t="shared" si="0"/>
        <v>44</v>
      </c>
      <c r="BL13">
        <f t="shared" si="0"/>
        <v>45</v>
      </c>
      <c r="BM13">
        <f t="shared" si="0"/>
        <v>46</v>
      </c>
      <c r="BN13">
        <f t="shared" si="0"/>
        <v>47</v>
      </c>
      <c r="BO13">
        <f t="shared" si="0"/>
        <v>48</v>
      </c>
      <c r="BP13">
        <f t="shared" si="0"/>
        <v>49</v>
      </c>
      <c r="BQ13">
        <f t="shared" si="0"/>
        <v>50</v>
      </c>
      <c r="BR13">
        <f t="shared" si="0"/>
        <v>51</v>
      </c>
      <c r="BS13">
        <f t="shared" si="0"/>
        <v>52</v>
      </c>
      <c r="BT13">
        <f t="shared" si="0"/>
        <v>53</v>
      </c>
      <c r="BU13">
        <f t="shared" si="0"/>
        <v>54</v>
      </c>
      <c r="BV13">
        <f t="shared" si="0"/>
        <v>55</v>
      </c>
      <c r="BW13">
        <f t="shared" si="0"/>
        <v>56</v>
      </c>
      <c r="BX13">
        <f t="shared" si="0"/>
        <v>57</v>
      </c>
      <c r="BY13">
        <f t="shared" si="0"/>
        <v>58</v>
      </c>
      <c r="BZ13">
        <f t="shared" si="0"/>
        <v>59</v>
      </c>
      <c r="CA13">
        <f t="shared" si="0"/>
        <v>60</v>
      </c>
      <c r="CB13">
        <f t="shared" si="0"/>
        <v>61</v>
      </c>
      <c r="CC13">
        <f t="shared" si="0"/>
        <v>62</v>
      </c>
      <c r="CD13">
        <f t="shared" si="0"/>
        <v>63</v>
      </c>
      <c r="CE13">
        <f t="shared" si="0"/>
        <v>64</v>
      </c>
      <c r="CF13">
        <f t="shared" si="0"/>
        <v>65</v>
      </c>
      <c r="CG13">
        <f t="shared" si="0"/>
        <v>66</v>
      </c>
      <c r="CH13">
        <f t="shared" ref="CH13:ES13" si="1">CG13+1</f>
        <v>67</v>
      </c>
      <c r="CI13">
        <f t="shared" si="1"/>
        <v>68</v>
      </c>
      <c r="CJ13">
        <f t="shared" si="1"/>
        <v>69</v>
      </c>
      <c r="CK13">
        <f t="shared" si="1"/>
        <v>70</v>
      </c>
      <c r="CL13">
        <f t="shared" si="1"/>
        <v>71</v>
      </c>
      <c r="CM13">
        <f t="shared" si="1"/>
        <v>72</v>
      </c>
      <c r="CN13">
        <f t="shared" si="1"/>
        <v>73</v>
      </c>
      <c r="CO13">
        <f t="shared" si="1"/>
        <v>74</v>
      </c>
      <c r="CP13">
        <f t="shared" si="1"/>
        <v>75</v>
      </c>
      <c r="CQ13">
        <f t="shared" si="1"/>
        <v>76</v>
      </c>
      <c r="CR13">
        <f t="shared" si="1"/>
        <v>77</v>
      </c>
      <c r="CS13">
        <f t="shared" si="1"/>
        <v>78</v>
      </c>
      <c r="CT13">
        <f t="shared" si="1"/>
        <v>79</v>
      </c>
      <c r="CU13">
        <f t="shared" si="1"/>
        <v>80</v>
      </c>
      <c r="CV13">
        <f t="shared" si="1"/>
        <v>81</v>
      </c>
      <c r="CW13">
        <f t="shared" si="1"/>
        <v>82</v>
      </c>
      <c r="CX13">
        <f t="shared" si="1"/>
        <v>83</v>
      </c>
      <c r="CY13">
        <f t="shared" si="1"/>
        <v>84</v>
      </c>
      <c r="CZ13">
        <f t="shared" si="1"/>
        <v>85</v>
      </c>
      <c r="DA13">
        <f t="shared" si="1"/>
        <v>86</v>
      </c>
      <c r="DB13">
        <f t="shared" si="1"/>
        <v>87</v>
      </c>
      <c r="DC13">
        <f t="shared" si="1"/>
        <v>88</v>
      </c>
      <c r="DD13">
        <f t="shared" si="1"/>
        <v>89</v>
      </c>
      <c r="DE13">
        <f t="shared" si="1"/>
        <v>90</v>
      </c>
      <c r="DF13">
        <f t="shared" si="1"/>
        <v>91</v>
      </c>
      <c r="DG13">
        <f t="shared" si="1"/>
        <v>92</v>
      </c>
      <c r="DH13">
        <f t="shared" si="1"/>
        <v>93</v>
      </c>
      <c r="DI13">
        <f t="shared" si="1"/>
        <v>94</v>
      </c>
      <c r="DJ13">
        <f t="shared" si="1"/>
        <v>95</v>
      </c>
      <c r="DK13">
        <f t="shared" si="1"/>
        <v>96</v>
      </c>
      <c r="DL13">
        <f t="shared" si="1"/>
        <v>97</v>
      </c>
      <c r="DM13">
        <f t="shared" si="1"/>
        <v>98</v>
      </c>
      <c r="DN13">
        <f t="shared" si="1"/>
        <v>99</v>
      </c>
      <c r="DO13">
        <f t="shared" si="1"/>
        <v>100</v>
      </c>
      <c r="DP13">
        <f t="shared" si="1"/>
        <v>101</v>
      </c>
      <c r="DQ13">
        <f t="shared" si="1"/>
        <v>102</v>
      </c>
      <c r="DR13">
        <f t="shared" si="1"/>
        <v>103</v>
      </c>
      <c r="DS13">
        <f t="shared" si="1"/>
        <v>104</v>
      </c>
      <c r="DT13">
        <f t="shared" si="1"/>
        <v>105</v>
      </c>
      <c r="DU13">
        <f t="shared" si="1"/>
        <v>106</v>
      </c>
      <c r="DV13">
        <f t="shared" si="1"/>
        <v>107</v>
      </c>
      <c r="DW13">
        <f t="shared" si="1"/>
        <v>108</v>
      </c>
      <c r="DX13">
        <f t="shared" si="1"/>
        <v>109</v>
      </c>
      <c r="DY13">
        <f t="shared" si="1"/>
        <v>110</v>
      </c>
      <c r="DZ13">
        <f t="shared" si="1"/>
        <v>111</v>
      </c>
      <c r="EA13">
        <f t="shared" si="1"/>
        <v>112</v>
      </c>
      <c r="EB13">
        <f t="shared" si="1"/>
        <v>113</v>
      </c>
      <c r="EC13">
        <f t="shared" si="1"/>
        <v>114</v>
      </c>
      <c r="ED13">
        <f t="shared" si="1"/>
        <v>115</v>
      </c>
      <c r="EE13">
        <f t="shared" si="1"/>
        <v>116</v>
      </c>
      <c r="EF13">
        <f t="shared" si="1"/>
        <v>117</v>
      </c>
      <c r="EG13">
        <f t="shared" si="1"/>
        <v>118</v>
      </c>
      <c r="EH13">
        <f t="shared" si="1"/>
        <v>119</v>
      </c>
      <c r="EI13">
        <f t="shared" si="1"/>
        <v>120</v>
      </c>
      <c r="EJ13">
        <f t="shared" si="1"/>
        <v>121</v>
      </c>
      <c r="EK13">
        <f t="shared" si="1"/>
        <v>122</v>
      </c>
      <c r="EL13">
        <f t="shared" si="1"/>
        <v>123</v>
      </c>
      <c r="EM13">
        <f t="shared" si="1"/>
        <v>124</v>
      </c>
      <c r="EN13">
        <f t="shared" si="1"/>
        <v>125</v>
      </c>
      <c r="EO13">
        <f t="shared" si="1"/>
        <v>126</v>
      </c>
      <c r="EP13">
        <f t="shared" si="1"/>
        <v>127</v>
      </c>
      <c r="EQ13">
        <f t="shared" si="1"/>
        <v>128</v>
      </c>
      <c r="ER13">
        <f t="shared" si="1"/>
        <v>129</v>
      </c>
      <c r="ES13">
        <f t="shared" si="1"/>
        <v>130</v>
      </c>
      <c r="ET13">
        <f t="shared" ref="ET13:FM13" si="2">ES13+1</f>
        <v>131</v>
      </c>
      <c r="EU13">
        <f t="shared" si="2"/>
        <v>132</v>
      </c>
      <c r="EV13">
        <f t="shared" si="2"/>
        <v>133</v>
      </c>
      <c r="EW13">
        <f t="shared" si="2"/>
        <v>134</v>
      </c>
      <c r="EX13">
        <f t="shared" si="2"/>
        <v>135</v>
      </c>
      <c r="EY13">
        <f t="shared" si="2"/>
        <v>136</v>
      </c>
      <c r="EZ13">
        <f t="shared" si="2"/>
        <v>137</v>
      </c>
      <c r="FA13">
        <f t="shared" si="2"/>
        <v>138</v>
      </c>
      <c r="FB13">
        <f t="shared" si="2"/>
        <v>139</v>
      </c>
      <c r="FC13">
        <f t="shared" si="2"/>
        <v>140</v>
      </c>
      <c r="FD13">
        <f t="shared" si="2"/>
        <v>141</v>
      </c>
      <c r="FE13">
        <f t="shared" si="2"/>
        <v>142</v>
      </c>
      <c r="FF13">
        <f t="shared" si="2"/>
        <v>143</v>
      </c>
      <c r="FG13">
        <f t="shared" si="2"/>
        <v>144</v>
      </c>
      <c r="FH13">
        <f t="shared" si="2"/>
        <v>145</v>
      </c>
      <c r="FI13">
        <f t="shared" si="2"/>
        <v>146</v>
      </c>
      <c r="FJ13">
        <f t="shared" si="2"/>
        <v>147</v>
      </c>
      <c r="FK13">
        <f t="shared" si="2"/>
        <v>148</v>
      </c>
      <c r="FL13">
        <f t="shared" si="2"/>
        <v>149</v>
      </c>
      <c r="FM13">
        <f t="shared" si="2"/>
        <v>150</v>
      </c>
      <c r="FN13" t="s">
        <v>51</v>
      </c>
    </row>
    <row r="14" spans="1:170" x14ac:dyDescent="0.25">
      <c r="A14" s="64">
        <v>1</v>
      </c>
      <c r="B14" s="64" t="s">
        <v>233</v>
      </c>
      <c r="C14" s="64" t="s">
        <v>232</v>
      </c>
      <c r="D14" s="120">
        <f>'GROUP DATA WP2'!G11</f>
        <v>2.2999999999999998</v>
      </c>
      <c r="E14" s="120">
        <f>'GROUP DATA WP2'!H11</f>
        <v>2.8</v>
      </c>
      <c r="F14" s="120">
        <f t="shared" ref="F14" si="3">(E14-D14)/3</f>
        <v>0.16666666666666666</v>
      </c>
      <c r="G14" s="120">
        <f>'OCS SR 3.5'!D10</f>
        <v>110.17</v>
      </c>
      <c r="H14" s="120">
        <f t="shared" ref="H14" si="4">D14</f>
        <v>2.2999999999999998</v>
      </c>
      <c r="I14" s="120">
        <f t="shared" ref="I14" si="5">H14+F14</f>
        <v>2.4666666666666663</v>
      </c>
      <c r="J14" s="120">
        <f t="shared" ref="J14" si="6">I14+F14</f>
        <v>2.6333333333333329</v>
      </c>
      <c r="K14" s="120">
        <f t="shared" ref="K14" si="7">J14+F14</f>
        <v>2.7999999999999994</v>
      </c>
      <c r="L14" s="120">
        <f t="shared" ref="L14:L21" si="8">(1+(M14))*K14</f>
        <v>3.1414178100867329</v>
      </c>
      <c r="M14" s="122">
        <f>'OCS SR 3.4 P.1'!O11</f>
        <v>0.12193493217383335</v>
      </c>
      <c r="N14" s="122">
        <f t="shared" ref="N14:N21" si="9">FN14</f>
        <v>0.13783126048771166</v>
      </c>
      <c r="O14" s="122"/>
      <c r="S14" s="9">
        <f t="shared" ref="S14:S21" si="10">-1*G14</f>
        <v>-110.17</v>
      </c>
      <c r="T14" s="9">
        <f t="shared" ref="T14" si="11">H14</f>
        <v>2.2999999999999998</v>
      </c>
      <c r="U14" s="9">
        <f t="shared" ref="U14" si="12">I14</f>
        <v>2.4666666666666663</v>
      </c>
      <c r="V14" s="9">
        <f t="shared" ref="V14" si="13">J14</f>
        <v>2.6333333333333329</v>
      </c>
      <c r="W14" s="9">
        <f t="shared" ref="W14" si="14">K14</f>
        <v>2.7999999999999994</v>
      </c>
      <c r="X14" s="9">
        <f>(1+$M$14)*W14</f>
        <v>3.1414178100867329</v>
      </c>
      <c r="Y14" s="9">
        <f t="shared" ref="Y14:CJ14" si="15">(1+$M$14)*X14</f>
        <v>3.5244663776893312</v>
      </c>
      <c r="Z14" s="9">
        <f t="shared" si="15"/>
        <v>3.9542219464018364</v>
      </c>
      <c r="AA14" s="9">
        <f t="shared" si="15"/>
        <v>4.4363797312366282</v>
      </c>
      <c r="AB14" s="9">
        <f t="shared" si="15"/>
        <v>4.9773293928623357</v>
      </c>
      <c r="AC14" s="9">
        <f t="shared" si="15"/>
        <v>5.5842397147878318</v>
      </c>
      <c r="AD14" s="9">
        <f t="shared" si="15"/>
        <v>6.2651536056529133</v>
      </c>
      <c r="AE14" s="9">
        <f t="shared" si="15"/>
        <v>7.0290946856168492</v>
      </c>
      <c r="AF14" s="9">
        <f t="shared" si="15"/>
        <v>7.8861868693509924</v>
      </c>
      <c r="AG14" s="9">
        <f t="shared" si="15"/>
        <v>8.8477885303754817</v>
      </c>
      <c r="AH14" s="9">
        <f t="shared" si="15"/>
        <v>9.9266430247152382</v>
      </c>
      <c r="AI14" s="9">
        <f t="shared" si="15"/>
        <v>11.137047568647748</v>
      </c>
      <c r="AJ14" s="9">
        <f t="shared" si="15"/>
        <v>12.495042708547569</v>
      </c>
      <c r="AK14" s="9">
        <f t="shared" si="15"/>
        <v>14.018624893723469</v>
      </c>
      <c r="AL14" s="9">
        <f t="shared" si="15"/>
        <v>15.727984969310054</v>
      </c>
      <c r="AM14" s="9">
        <f t="shared" si="15"/>
        <v>17.645775749773946</v>
      </c>
      <c r="AN14" s="9">
        <f t="shared" si="15"/>
        <v>19.797412218977307</v>
      </c>
      <c r="AO14" s="9">
        <f t="shared" si="15"/>
        <v>22.211408335115728</v>
      </c>
      <c r="AP14" s="9">
        <f t="shared" si="15"/>
        <v>24.919754903943382</v>
      </c>
      <c r="AQ14" s="9">
        <f t="shared" si="15"/>
        <v>27.958343527944272</v>
      </c>
      <c r="AR14" s="9">
        <f t="shared" si="15"/>
        <v>31.367442249716891</v>
      </c>
      <c r="AS14" s="9">
        <f t="shared" si="15"/>
        <v>35.192229192902758</v>
      </c>
      <c r="AT14" s="9">
        <f t="shared" si="15"/>
        <v>39.483391272585358</v>
      </c>
      <c r="AU14" s="9">
        <f t="shared" si="15"/>
        <v>44.297795909400982</v>
      </c>
      <c r="AV14" s="9">
        <f t="shared" si="15"/>
        <v>49.699244649064106</v>
      </c>
      <c r="AW14" s="9">
        <f t="shared" si="15"/>
        <v>55.759318674438489</v>
      </c>
      <c r="AX14" s="9">
        <f t="shared" si="15"/>
        <v>62.558327415065314</v>
      </c>
      <c r="AY14" s="9">
        <f t="shared" si="15"/>
        <v>70.186372825329769</v>
      </c>
      <c r="AZ14" s="9">
        <f t="shared" si="15"/>
        <v>78.744543435313744</v>
      </c>
      <c r="BA14" s="9">
        <f t="shared" si="15"/>
        <v>88.346253998158204</v>
      </c>
      <c r="BB14" s="9">
        <f t="shared" si="15"/>
        <v>99.118748487235891</v>
      </c>
      <c r="BC14" s="9">
        <f t="shared" si="15"/>
        <v>111.20478636118226</v>
      </c>
      <c r="BD14" s="9">
        <f t="shared" si="15"/>
        <v>124.76453444353865</v>
      </c>
      <c r="BE14" s="9">
        <f t="shared" si="15"/>
        <v>139.97768948861145</v>
      </c>
      <c r="BF14" s="9">
        <f t="shared" si="15"/>
        <v>157.0458595622552</v>
      </c>
      <c r="BG14" s="9">
        <f t="shared" si="15"/>
        <v>176.19523579616018</v>
      </c>
      <c r="BH14" s="9">
        <f t="shared" si="15"/>
        <v>197.67958992231755</v>
      </c>
      <c r="BI14" s="9">
        <f t="shared" si="15"/>
        <v>221.78363731164654</v>
      </c>
      <c r="BJ14" s="9">
        <f t="shared" si="15"/>
        <v>248.82681008450825</v>
      </c>
      <c r="BK14" s="9">
        <f t="shared" si="15"/>
        <v>279.16749029519411</v>
      </c>
      <c r="BL14" s="9">
        <f t="shared" si="15"/>
        <v>313.20775928947791</v>
      </c>
      <c r="BM14" s="9">
        <f t="shared" si="15"/>
        <v>351.39872617475874</v>
      </c>
      <c r="BN14" s="9">
        <f t="shared" si="15"/>
        <v>394.24650601684942</v>
      </c>
      <c r="BO14" s="9">
        <f t="shared" si="15"/>
        <v>442.31892698778478</v>
      </c>
      <c r="BP14" s="9">
        <f t="shared" si="15"/>
        <v>496.25305534924308</v>
      </c>
      <c r="BQ14" s="9">
        <f t="shared" si="15"/>
        <v>556.76363799431067</v>
      </c>
      <c r="BR14" s="9">
        <f t="shared" si="15"/>
        <v>624.65257443000371</v>
      </c>
      <c r="BS14" s="9">
        <f t="shared" si="15"/>
        <v>700.81954372533664</v>
      </c>
      <c r="BT14" s="9">
        <f t="shared" si="15"/>
        <v>786.27392725558252</v>
      </c>
      <c r="BU14" s="9">
        <f t="shared" si="15"/>
        <v>882.14818524554562</v>
      </c>
      <c r="BV14" s="9">
        <f t="shared" si="15"/>
        <v>989.7128643807315</v>
      </c>
      <c r="BW14" s="9">
        <f t="shared" si="15"/>
        <v>1110.3934353705665</v>
      </c>
      <c r="BX14" s="9">
        <f t="shared" si="15"/>
        <v>1245.7891835987464</v>
      </c>
      <c r="BY14" s="9">
        <f t="shared" si="15"/>
        <v>1397.6944032037547</v>
      </c>
      <c r="BZ14" s="9">
        <f t="shared" si="15"/>
        <v>1568.1221754581511</v>
      </c>
      <c r="CA14" s="9">
        <f t="shared" si="15"/>
        <v>1759.3310465629249</v>
      </c>
      <c r="CB14" s="9">
        <f t="shared" si="15"/>
        <v>1973.8549583968945</v>
      </c>
      <c r="CC14" s="9">
        <f t="shared" si="15"/>
        <v>2214.5368288700047</v>
      </c>
      <c r="CD14" s="9">
        <f t="shared" si="15"/>
        <v>2484.5662268947249</v>
      </c>
      <c r="CE14" s="9">
        <f t="shared" si="15"/>
        <v>2787.5216412525306</v>
      </c>
      <c r="CF14" s="9">
        <f t="shared" si="15"/>
        <v>3127.4179035117509</v>
      </c>
      <c r="CG14" s="9">
        <f t="shared" si="15"/>
        <v>3508.7593934556885</v>
      </c>
      <c r="CH14" s="9">
        <f t="shared" si="15"/>
        <v>3936.599732111009</v>
      </c>
      <c r="CI14" s="9">
        <f t="shared" si="15"/>
        <v>4416.6087534414955</v>
      </c>
      <c r="CJ14" s="9">
        <f t="shared" si="15"/>
        <v>4955.1476422307433</v>
      </c>
      <c r="CK14" s="9">
        <f t="shared" ref="CK14:EV14" si="16">(1+$M$14)*CJ14</f>
        <v>5559.3532338974801</v>
      </c>
      <c r="CL14" s="9">
        <f t="shared" si="16"/>
        <v>6237.2325934031505</v>
      </c>
      <c r="CM14" s="9">
        <f t="shared" si="16"/>
        <v>6997.7691266321872</v>
      </c>
      <c r="CN14" s="9">
        <f t="shared" si="16"/>
        <v>7851.0416304562286</v>
      </c>
      <c r="CO14" s="9">
        <f t="shared" si="16"/>
        <v>8808.3578591598507</v>
      </c>
      <c r="CP14" s="9">
        <f t="shared" si="16"/>
        <v>9882.4043772793593</v>
      </c>
      <c r="CQ14" s="9">
        <f t="shared" si="16"/>
        <v>11087.414684737312</v>
      </c>
      <c r="CR14" s="9">
        <f t="shared" si="16"/>
        <v>12439.357842303922</v>
      </c>
      <c r="CS14" s="9">
        <f t="shared" si="16"/>
        <v>13956.150097091293</v>
      </c>
      <c r="CT14" s="9">
        <f t="shared" si="16"/>
        <v>15657.892312587959</v>
      </c>
      <c r="CU14" s="9">
        <f t="shared" si="16"/>
        <v>17567.136349708559</v>
      </c>
      <c r="CV14" s="9">
        <f t="shared" si="16"/>
        <v>19709.183928998755</v>
      </c>
      <c r="CW14" s="9">
        <f t="shared" si="16"/>
        <v>22112.421934582828</v>
      </c>
      <c r="CX14" s="9">
        <f t="shared" si="16"/>
        <v>24808.698603375371</v>
      </c>
      <c r="CY14" s="9">
        <f t="shared" si="16"/>
        <v>27833.745584899025</v>
      </c>
      <c r="CZ14" s="9">
        <f t="shared" si="16"/>
        <v>31227.651464937422</v>
      </c>
      <c r="DA14" s="9">
        <f t="shared" si="16"/>
        <v>35035.393028262675</v>
      </c>
      <c r="DB14" s="9">
        <f t="shared" si="16"/>
        <v>39307.431300847478</v>
      </c>
      <c r="DC14" s="9">
        <f t="shared" si="16"/>
        <v>44100.380270443937</v>
      </c>
      <c r="DD14" s="9">
        <f t="shared" si="16"/>
        <v>49477.757147560784</v>
      </c>
      <c r="DE14" s="9">
        <f t="shared" si="16"/>
        <v>55510.82410946201</v>
      </c>
      <c r="DF14" s="9">
        <f t="shared" si="16"/>
        <v>62279.532682162855</v>
      </c>
      <c r="DG14" s="9">
        <f t="shared" si="16"/>
        <v>69873.583275580429</v>
      </c>
      <c r="DH14" s="9">
        <f t="shared" si="16"/>
        <v>78393.613913031033</v>
      </c>
      <c r="DI14" s="9">
        <f t="shared" si="16"/>
        <v>87952.533908378158</v>
      </c>
      <c r="DJ14" s="9">
        <f t="shared" si="16"/>
        <v>98677.020165013033</v>
      </c>
      <c r="DK14" s="9">
        <f t="shared" si="16"/>
        <v>110709.1959259499</v>
      </c>
      <c r="DL14" s="9">
        <f t="shared" si="16"/>
        <v>124208.51422220023</v>
      </c>
      <c r="DM14" s="9">
        <f t="shared" si="16"/>
        <v>139353.87097929686</v>
      </c>
      <c r="DN14" s="9">
        <f t="shared" si="16"/>
        <v>156345.97578531856</v>
      </c>
      <c r="DO14" s="9">
        <f t="shared" si="16"/>
        <v>175410.01173835318</v>
      </c>
      <c r="DP14" s="9">
        <f t="shared" si="16"/>
        <v>196798.61962228059</v>
      </c>
      <c r="DQ14" s="9">
        <f t="shared" si="16"/>
        <v>220795.24595782743</v>
      </c>
      <c r="DR14" s="9">
        <f t="shared" si="16"/>
        <v>247717.89929799997</v>
      </c>
      <c r="DS14" s="9">
        <f t="shared" si="16"/>
        <v>277923.36454714608</v>
      </c>
      <c r="DT14" s="9">
        <f t="shared" si="16"/>
        <v>311811.93115272594</v>
      </c>
      <c r="DU14" s="9">
        <f t="shared" si="16"/>
        <v>349832.69782882562</v>
      </c>
      <c r="DV14" s="9">
        <f t="shared" si="16"/>
        <v>392489.52411077265</v>
      </c>
      <c r="DW14" s="9">
        <f t="shared" si="16"/>
        <v>440347.70761215989</v>
      </c>
      <c r="DX14" s="9">
        <f t="shared" si="16"/>
        <v>494041.47547275166</v>
      </c>
      <c r="DY14" s="9">
        <f t="shared" si="16"/>
        <v>554282.38927558227</v>
      </c>
      <c r="DZ14" s="9">
        <f t="shared" si="16"/>
        <v>621868.77481705078</v>
      </c>
      <c r="EA14" s="9">
        <f t="shared" si="16"/>
        <v>697696.30169539282</v>
      </c>
      <c r="EB14" s="9">
        <f t="shared" si="16"/>
        <v>782769.85292055493</v>
      </c>
      <c r="EC14" s="9">
        <f t="shared" si="16"/>
        <v>878216.84184414439</v>
      </c>
      <c r="ED14" s="9">
        <f t="shared" si="16"/>
        <v>985302.1528883283</v>
      </c>
      <c r="EE14" s="9">
        <f t="shared" si="16"/>
        <v>1105444.9040714987</v>
      </c>
      <c r="EF14" s="9">
        <f t="shared" si="16"/>
        <v>1240237.2534713666</v>
      </c>
      <c r="EG14" s="9">
        <f t="shared" si="16"/>
        <v>1391465.4988528593</v>
      </c>
      <c r="EH14" s="9">
        <f t="shared" si="16"/>
        <v>1561133.7500777119</v>
      </c>
      <c r="EI14" s="9">
        <f t="shared" si="16"/>
        <v>1751490.4880077199</v>
      </c>
      <c r="EJ14" s="9">
        <f t="shared" si="16"/>
        <v>1965058.3618660555</v>
      </c>
      <c r="EK14" s="9">
        <f t="shared" si="16"/>
        <v>2204667.6199378171</v>
      </c>
      <c r="EL14" s="9">
        <f t="shared" si="16"/>
        <v>2473493.6166407815</v>
      </c>
      <c r="EM14" s="9">
        <f t="shared" si="16"/>
        <v>2775098.8930182853</v>
      </c>
      <c r="EN14" s="9">
        <f t="shared" si="16"/>
        <v>3113480.3883141503</v>
      </c>
      <c r="EO14" s="9">
        <f t="shared" si="16"/>
        <v>3493122.4082877967</v>
      </c>
      <c r="EP14" s="9">
        <f t="shared" si="16"/>
        <v>3919056.052217267</v>
      </c>
      <c r="EQ14" s="9">
        <f t="shared" si="16"/>
        <v>4396925.886129831</v>
      </c>
      <c r="ER14" s="9">
        <f t="shared" si="16"/>
        <v>4933064.7458284441</v>
      </c>
      <c r="ES14" s="9">
        <f t="shared" si="16"/>
        <v>5534577.6610201644</v>
      </c>
      <c r="ET14" s="9">
        <f t="shared" si="16"/>
        <v>6209436.012727472</v>
      </c>
      <c r="EU14" s="9">
        <f t="shared" si="16"/>
        <v>6966583.1717771553</v>
      </c>
      <c r="EV14" s="9">
        <f t="shared" si="16"/>
        <v>7816053.0183111718</v>
      </c>
      <c r="EW14" s="9">
        <f t="shared" ref="EW14:FM14" si="17">(1+$M$14)*EV14</f>
        <v>8769102.9129660316</v>
      </c>
      <c r="EX14" s="9">
        <f t="shared" si="17"/>
        <v>9838362.8818839099</v>
      </c>
      <c r="EY14" s="9">
        <f t="shared" si="17"/>
        <v>11038002.992587985</v>
      </c>
      <c r="EZ14" s="9">
        <f t="shared" si="17"/>
        <v>12383921.138823772</v>
      </c>
      <c r="FA14" s="9">
        <f t="shared" si="17"/>
        <v>13893953.72293235</v>
      </c>
      <c r="FB14" s="9">
        <f t="shared" si="17"/>
        <v>15588112.027764486</v>
      </c>
      <c r="FC14" s="9">
        <f t="shared" si="17"/>
        <v>17488847.410588067</v>
      </c>
      <c r="FD14" s="9">
        <f t="shared" si="17"/>
        <v>19621348.833396647</v>
      </c>
      <c r="FE14" s="9">
        <f t="shared" si="17"/>
        <v>22013876.672555994</v>
      </c>
      <c r="FF14" s="9">
        <f t="shared" si="17"/>
        <v>24698137.231507245</v>
      </c>
      <c r="FG14" s="9">
        <f t="shared" si="17"/>
        <v>27709702.919651113</v>
      </c>
      <c r="FH14" s="9">
        <f t="shared" si="17"/>
        <v>31088483.665715847</v>
      </c>
      <c r="FI14" s="9">
        <f t="shared" si="17"/>
        <v>34879255.812882237</v>
      </c>
      <c r="FJ14" s="9">
        <f t="shared" si="17"/>
        <v>39132255.504699819</v>
      </c>
      <c r="FK14" s="9">
        <f t="shared" si="17"/>
        <v>43903844.42547451</v>
      </c>
      <c r="FL14" s="9">
        <f t="shared" si="17"/>
        <v>49257256.717665277</v>
      </c>
      <c r="FM14" s="9">
        <f t="shared" si="17"/>
        <v>55263436.974602893</v>
      </c>
      <c r="FN14" s="7">
        <f t="shared" ref="FN14:FN21" si="18">IRR(S14:FM14,0.1)</f>
        <v>0.13783126048771166</v>
      </c>
    </row>
    <row r="15" spans="1:170" x14ac:dyDescent="0.25">
      <c r="A15" s="64">
        <f>A14+1</f>
        <v>2</v>
      </c>
      <c r="B15" s="56" t="s">
        <v>234</v>
      </c>
      <c r="C15" s="64" t="s">
        <v>235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2"/>
      <c r="N15" s="122"/>
      <c r="O15" s="122"/>
      <c r="S15" s="9">
        <f t="shared" si="10"/>
        <v>0</v>
      </c>
      <c r="T15" s="9">
        <f t="shared" ref="T15:T21" si="19">H15</f>
        <v>0</v>
      </c>
      <c r="U15" s="9">
        <f t="shared" ref="U15:U21" si="20">I15</f>
        <v>0</v>
      </c>
      <c r="V15" s="9">
        <f t="shared" ref="V15:V21" si="21">J15</f>
        <v>0</v>
      </c>
      <c r="W15" s="9">
        <f t="shared" ref="W15:W21" si="22">K15</f>
        <v>0</v>
      </c>
      <c r="X15" s="9">
        <f>(1+$M$15)*W15</f>
        <v>0</v>
      </c>
      <c r="Y15" s="9">
        <f t="shared" ref="Y15:CJ15" si="23">(1+$M$15)*X15</f>
        <v>0</v>
      </c>
      <c r="Z15" s="9">
        <f t="shared" si="23"/>
        <v>0</v>
      </c>
      <c r="AA15" s="9">
        <f t="shared" si="23"/>
        <v>0</v>
      </c>
      <c r="AB15" s="9">
        <f t="shared" si="23"/>
        <v>0</v>
      </c>
      <c r="AC15" s="9">
        <f t="shared" si="23"/>
        <v>0</v>
      </c>
      <c r="AD15" s="9">
        <f t="shared" si="23"/>
        <v>0</v>
      </c>
      <c r="AE15" s="9">
        <f t="shared" si="23"/>
        <v>0</v>
      </c>
      <c r="AF15" s="9">
        <f t="shared" si="23"/>
        <v>0</v>
      </c>
      <c r="AG15" s="9">
        <f t="shared" si="23"/>
        <v>0</v>
      </c>
      <c r="AH15" s="9">
        <f t="shared" si="23"/>
        <v>0</v>
      </c>
      <c r="AI15" s="9">
        <f t="shared" si="23"/>
        <v>0</v>
      </c>
      <c r="AJ15" s="9">
        <f t="shared" si="23"/>
        <v>0</v>
      </c>
      <c r="AK15" s="9">
        <f t="shared" si="23"/>
        <v>0</v>
      </c>
      <c r="AL15" s="9">
        <f t="shared" si="23"/>
        <v>0</v>
      </c>
      <c r="AM15" s="9">
        <f t="shared" si="23"/>
        <v>0</v>
      </c>
      <c r="AN15" s="9">
        <f t="shared" si="23"/>
        <v>0</v>
      </c>
      <c r="AO15" s="9">
        <f t="shared" si="23"/>
        <v>0</v>
      </c>
      <c r="AP15" s="9">
        <f t="shared" si="23"/>
        <v>0</v>
      </c>
      <c r="AQ15" s="9">
        <f t="shared" si="23"/>
        <v>0</v>
      </c>
      <c r="AR15" s="9">
        <f t="shared" si="23"/>
        <v>0</v>
      </c>
      <c r="AS15" s="9">
        <f t="shared" si="23"/>
        <v>0</v>
      </c>
      <c r="AT15" s="9">
        <f t="shared" si="23"/>
        <v>0</v>
      </c>
      <c r="AU15" s="9">
        <f t="shared" si="23"/>
        <v>0</v>
      </c>
      <c r="AV15" s="9">
        <f t="shared" si="23"/>
        <v>0</v>
      </c>
      <c r="AW15" s="9">
        <f t="shared" si="23"/>
        <v>0</v>
      </c>
      <c r="AX15" s="9">
        <f t="shared" si="23"/>
        <v>0</v>
      </c>
      <c r="AY15" s="9">
        <f t="shared" si="23"/>
        <v>0</v>
      </c>
      <c r="AZ15" s="9">
        <f t="shared" si="23"/>
        <v>0</v>
      </c>
      <c r="BA15" s="9">
        <f t="shared" si="23"/>
        <v>0</v>
      </c>
      <c r="BB15" s="9">
        <f t="shared" si="23"/>
        <v>0</v>
      </c>
      <c r="BC15" s="9">
        <f t="shared" si="23"/>
        <v>0</v>
      </c>
      <c r="BD15" s="9">
        <f t="shared" si="23"/>
        <v>0</v>
      </c>
      <c r="BE15" s="9">
        <f t="shared" si="23"/>
        <v>0</v>
      </c>
      <c r="BF15" s="9">
        <f t="shared" si="23"/>
        <v>0</v>
      </c>
      <c r="BG15" s="9">
        <f t="shared" si="23"/>
        <v>0</v>
      </c>
      <c r="BH15" s="9">
        <f t="shared" si="23"/>
        <v>0</v>
      </c>
      <c r="BI15" s="9">
        <f t="shared" si="23"/>
        <v>0</v>
      </c>
      <c r="BJ15" s="9">
        <f t="shared" si="23"/>
        <v>0</v>
      </c>
      <c r="BK15" s="9">
        <f t="shared" si="23"/>
        <v>0</v>
      </c>
      <c r="BL15" s="9">
        <f t="shared" si="23"/>
        <v>0</v>
      </c>
      <c r="BM15" s="9">
        <f t="shared" si="23"/>
        <v>0</v>
      </c>
      <c r="BN15" s="9">
        <f t="shared" si="23"/>
        <v>0</v>
      </c>
      <c r="BO15" s="9">
        <f t="shared" si="23"/>
        <v>0</v>
      </c>
      <c r="BP15" s="9">
        <f t="shared" si="23"/>
        <v>0</v>
      </c>
      <c r="BQ15" s="9">
        <f t="shared" si="23"/>
        <v>0</v>
      </c>
      <c r="BR15" s="9">
        <f t="shared" si="23"/>
        <v>0</v>
      </c>
      <c r="BS15" s="9">
        <f t="shared" si="23"/>
        <v>0</v>
      </c>
      <c r="BT15" s="9">
        <f t="shared" si="23"/>
        <v>0</v>
      </c>
      <c r="BU15" s="9">
        <f t="shared" si="23"/>
        <v>0</v>
      </c>
      <c r="BV15" s="9">
        <f t="shared" si="23"/>
        <v>0</v>
      </c>
      <c r="BW15" s="9">
        <f t="shared" si="23"/>
        <v>0</v>
      </c>
      <c r="BX15" s="9">
        <f t="shared" si="23"/>
        <v>0</v>
      </c>
      <c r="BY15" s="9">
        <f t="shared" si="23"/>
        <v>0</v>
      </c>
      <c r="BZ15" s="9">
        <f t="shared" si="23"/>
        <v>0</v>
      </c>
      <c r="CA15" s="9">
        <f t="shared" si="23"/>
        <v>0</v>
      </c>
      <c r="CB15" s="9">
        <f t="shared" si="23"/>
        <v>0</v>
      </c>
      <c r="CC15" s="9">
        <f t="shared" si="23"/>
        <v>0</v>
      </c>
      <c r="CD15" s="9">
        <f t="shared" si="23"/>
        <v>0</v>
      </c>
      <c r="CE15" s="9">
        <f t="shared" si="23"/>
        <v>0</v>
      </c>
      <c r="CF15" s="9">
        <f t="shared" si="23"/>
        <v>0</v>
      </c>
      <c r="CG15" s="9">
        <f t="shared" si="23"/>
        <v>0</v>
      </c>
      <c r="CH15" s="9">
        <f t="shared" si="23"/>
        <v>0</v>
      </c>
      <c r="CI15" s="9">
        <f t="shared" si="23"/>
        <v>0</v>
      </c>
      <c r="CJ15" s="9">
        <f t="shared" si="23"/>
        <v>0</v>
      </c>
      <c r="CK15" s="9">
        <f t="shared" ref="CK15:EV15" si="24">(1+$M$15)*CJ15</f>
        <v>0</v>
      </c>
      <c r="CL15" s="9">
        <f t="shared" si="24"/>
        <v>0</v>
      </c>
      <c r="CM15" s="9">
        <f t="shared" si="24"/>
        <v>0</v>
      </c>
      <c r="CN15" s="9">
        <f t="shared" si="24"/>
        <v>0</v>
      </c>
      <c r="CO15" s="9">
        <f t="shared" si="24"/>
        <v>0</v>
      </c>
      <c r="CP15" s="9">
        <f t="shared" si="24"/>
        <v>0</v>
      </c>
      <c r="CQ15" s="9">
        <f t="shared" si="24"/>
        <v>0</v>
      </c>
      <c r="CR15" s="9">
        <f t="shared" si="24"/>
        <v>0</v>
      </c>
      <c r="CS15" s="9">
        <f t="shared" si="24"/>
        <v>0</v>
      </c>
      <c r="CT15" s="9">
        <f t="shared" si="24"/>
        <v>0</v>
      </c>
      <c r="CU15" s="9">
        <f t="shared" si="24"/>
        <v>0</v>
      </c>
      <c r="CV15" s="9">
        <f t="shared" si="24"/>
        <v>0</v>
      </c>
      <c r="CW15" s="9">
        <f t="shared" si="24"/>
        <v>0</v>
      </c>
      <c r="CX15" s="9">
        <f t="shared" si="24"/>
        <v>0</v>
      </c>
      <c r="CY15" s="9">
        <f t="shared" si="24"/>
        <v>0</v>
      </c>
      <c r="CZ15" s="9">
        <f t="shared" si="24"/>
        <v>0</v>
      </c>
      <c r="DA15" s="9">
        <f t="shared" si="24"/>
        <v>0</v>
      </c>
      <c r="DB15" s="9">
        <f t="shared" si="24"/>
        <v>0</v>
      </c>
      <c r="DC15" s="9">
        <f t="shared" si="24"/>
        <v>0</v>
      </c>
      <c r="DD15" s="9">
        <f t="shared" si="24"/>
        <v>0</v>
      </c>
      <c r="DE15" s="9">
        <f t="shared" si="24"/>
        <v>0</v>
      </c>
      <c r="DF15" s="9">
        <f t="shared" si="24"/>
        <v>0</v>
      </c>
      <c r="DG15" s="9">
        <f t="shared" si="24"/>
        <v>0</v>
      </c>
      <c r="DH15" s="9">
        <f t="shared" si="24"/>
        <v>0</v>
      </c>
      <c r="DI15" s="9">
        <f t="shared" si="24"/>
        <v>0</v>
      </c>
      <c r="DJ15" s="9">
        <f t="shared" si="24"/>
        <v>0</v>
      </c>
      <c r="DK15" s="9">
        <f t="shared" si="24"/>
        <v>0</v>
      </c>
      <c r="DL15" s="9">
        <f t="shared" si="24"/>
        <v>0</v>
      </c>
      <c r="DM15" s="9">
        <f t="shared" si="24"/>
        <v>0</v>
      </c>
      <c r="DN15" s="9">
        <f t="shared" si="24"/>
        <v>0</v>
      </c>
      <c r="DO15" s="9">
        <f t="shared" si="24"/>
        <v>0</v>
      </c>
      <c r="DP15" s="9">
        <f t="shared" si="24"/>
        <v>0</v>
      </c>
      <c r="DQ15" s="9">
        <f t="shared" si="24"/>
        <v>0</v>
      </c>
      <c r="DR15" s="9">
        <f t="shared" si="24"/>
        <v>0</v>
      </c>
      <c r="DS15" s="9">
        <f t="shared" si="24"/>
        <v>0</v>
      </c>
      <c r="DT15" s="9">
        <f t="shared" si="24"/>
        <v>0</v>
      </c>
      <c r="DU15" s="9">
        <f t="shared" si="24"/>
        <v>0</v>
      </c>
      <c r="DV15" s="9">
        <f t="shared" si="24"/>
        <v>0</v>
      </c>
      <c r="DW15" s="9">
        <f t="shared" si="24"/>
        <v>0</v>
      </c>
      <c r="DX15" s="9">
        <f t="shared" si="24"/>
        <v>0</v>
      </c>
      <c r="DY15" s="9">
        <f t="shared" si="24"/>
        <v>0</v>
      </c>
      <c r="DZ15" s="9">
        <f t="shared" si="24"/>
        <v>0</v>
      </c>
      <c r="EA15" s="9">
        <f t="shared" si="24"/>
        <v>0</v>
      </c>
      <c r="EB15" s="9">
        <f t="shared" si="24"/>
        <v>0</v>
      </c>
      <c r="EC15" s="9">
        <f t="shared" si="24"/>
        <v>0</v>
      </c>
      <c r="ED15" s="9">
        <f t="shared" si="24"/>
        <v>0</v>
      </c>
      <c r="EE15" s="9">
        <f t="shared" si="24"/>
        <v>0</v>
      </c>
      <c r="EF15" s="9">
        <f t="shared" si="24"/>
        <v>0</v>
      </c>
      <c r="EG15" s="9">
        <f t="shared" si="24"/>
        <v>0</v>
      </c>
      <c r="EH15" s="9">
        <f t="shared" si="24"/>
        <v>0</v>
      </c>
      <c r="EI15" s="9">
        <f t="shared" si="24"/>
        <v>0</v>
      </c>
      <c r="EJ15" s="9">
        <f t="shared" si="24"/>
        <v>0</v>
      </c>
      <c r="EK15" s="9">
        <f t="shared" si="24"/>
        <v>0</v>
      </c>
      <c r="EL15" s="9">
        <f t="shared" si="24"/>
        <v>0</v>
      </c>
      <c r="EM15" s="9">
        <f t="shared" si="24"/>
        <v>0</v>
      </c>
      <c r="EN15" s="9">
        <f t="shared" si="24"/>
        <v>0</v>
      </c>
      <c r="EO15" s="9">
        <f t="shared" si="24"/>
        <v>0</v>
      </c>
      <c r="EP15" s="9">
        <f t="shared" si="24"/>
        <v>0</v>
      </c>
      <c r="EQ15" s="9">
        <f t="shared" si="24"/>
        <v>0</v>
      </c>
      <c r="ER15" s="9">
        <f t="shared" si="24"/>
        <v>0</v>
      </c>
      <c r="ES15" s="9">
        <f t="shared" si="24"/>
        <v>0</v>
      </c>
      <c r="ET15" s="9">
        <f t="shared" si="24"/>
        <v>0</v>
      </c>
      <c r="EU15" s="9">
        <f t="shared" si="24"/>
        <v>0</v>
      </c>
      <c r="EV15" s="9">
        <f t="shared" si="24"/>
        <v>0</v>
      </c>
      <c r="EW15" s="9">
        <f t="shared" ref="EW15:FM15" si="25">(1+$M$15)*EV15</f>
        <v>0</v>
      </c>
      <c r="EX15" s="9">
        <f t="shared" si="25"/>
        <v>0</v>
      </c>
      <c r="EY15" s="9">
        <f t="shared" si="25"/>
        <v>0</v>
      </c>
      <c r="EZ15" s="9">
        <f t="shared" si="25"/>
        <v>0</v>
      </c>
      <c r="FA15" s="9">
        <f t="shared" si="25"/>
        <v>0</v>
      </c>
      <c r="FB15" s="9">
        <f t="shared" si="25"/>
        <v>0</v>
      </c>
      <c r="FC15" s="9">
        <f t="shared" si="25"/>
        <v>0</v>
      </c>
      <c r="FD15" s="9">
        <f t="shared" si="25"/>
        <v>0</v>
      </c>
      <c r="FE15" s="9">
        <f t="shared" si="25"/>
        <v>0</v>
      </c>
      <c r="FF15" s="9">
        <f t="shared" si="25"/>
        <v>0</v>
      </c>
      <c r="FG15" s="9">
        <f t="shared" si="25"/>
        <v>0</v>
      </c>
      <c r="FH15" s="9">
        <f t="shared" si="25"/>
        <v>0</v>
      </c>
      <c r="FI15" s="9">
        <f t="shared" si="25"/>
        <v>0</v>
      </c>
      <c r="FJ15" s="9">
        <f t="shared" si="25"/>
        <v>0</v>
      </c>
      <c r="FK15" s="9">
        <f t="shared" si="25"/>
        <v>0</v>
      </c>
      <c r="FL15" s="9">
        <f t="shared" si="25"/>
        <v>0</v>
      </c>
      <c r="FM15" s="9">
        <f t="shared" si="25"/>
        <v>0</v>
      </c>
      <c r="FN15" s="7" t="e">
        <f t="shared" si="18"/>
        <v>#NUM!</v>
      </c>
    </row>
    <row r="16" spans="1:170" x14ac:dyDescent="0.25">
      <c r="A16" s="64">
        <f t="shared" ref="A16:A22" si="26">A15+1</f>
        <v>3</v>
      </c>
      <c r="B16" s="64" t="s">
        <v>236</v>
      </c>
      <c r="C16" s="64" t="s">
        <v>237</v>
      </c>
      <c r="D16" s="120">
        <f>'GROUP DATA WP2'!G13</f>
        <v>1.27</v>
      </c>
      <c r="E16" s="120">
        <f>'GROUP DATA WP2'!H13</f>
        <v>1.49</v>
      </c>
      <c r="F16" s="120">
        <f t="shared" ref="F16:F21" si="27">(E16-D16)/3</f>
        <v>7.333333333333332E-2</v>
      </c>
      <c r="G16" s="120">
        <f>'OCS SR 3.5'!D12</f>
        <v>44.163333333333334</v>
      </c>
      <c r="H16" s="120">
        <f t="shared" ref="H16:H21" si="28">D16</f>
        <v>1.27</v>
      </c>
      <c r="I16" s="120">
        <f t="shared" ref="I16:I21" si="29">H16+F16</f>
        <v>1.3433333333333333</v>
      </c>
      <c r="J16" s="120">
        <f t="shared" ref="J16:J21" si="30">I16+F16</f>
        <v>1.4166666666666665</v>
      </c>
      <c r="K16" s="120">
        <f t="shared" ref="K16:K21" si="31">J16+F16</f>
        <v>1.4899999999999998</v>
      </c>
      <c r="L16" s="120">
        <f t="shared" si="8"/>
        <v>1.5587840940553994</v>
      </c>
      <c r="M16" s="122">
        <f>'OCS SR 3.4 P.1'!O13</f>
        <v>4.6163821513690972E-2</v>
      </c>
      <c r="N16" s="122">
        <f t="shared" si="9"/>
        <v>7.5105129906213097E-2</v>
      </c>
      <c r="O16" s="122">
        <f t="shared" ref="O16:O17" si="32">N16</f>
        <v>7.5105129906213097E-2</v>
      </c>
      <c r="S16" s="9">
        <f t="shared" si="10"/>
        <v>-44.163333333333334</v>
      </c>
      <c r="T16" s="9">
        <f t="shared" si="19"/>
        <v>1.27</v>
      </c>
      <c r="U16" s="9">
        <f t="shared" si="20"/>
        <v>1.3433333333333333</v>
      </c>
      <c r="V16" s="9">
        <f t="shared" si="21"/>
        <v>1.4166666666666665</v>
      </c>
      <c r="W16" s="9">
        <f t="shared" si="22"/>
        <v>1.4899999999999998</v>
      </c>
      <c r="X16" s="9">
        <f>(1+$M$16)*W16</f>
        <v>1.5587840940553994</v>
      </c>
      <c r="Y16" s="9">
        <f t="shared" ref="Y16:CJ16" si="33">(1+$M$16)*X16</f>
        <v>1.6307435247517534</v>
      </c>
      <c r="Z16" s="9">
        <f t="shared" si="33"/>
        <v>1.7060248777630007</v>
      </c>
      <c r="AA16" s="9">
        <f t="shared" si="33"/>
        <v>1.7847815057179683</v>
      </c>
      <c r="AB16" s="9">
        <f t="shared" si="33"/>
        <v>1.8671738405888694</v>
      </c>
      <c r="AC16" s="9">
        <f t="shared" si="33"/>
        <v>1.9533697205008469</v>
      </c>
      <c r="AD16" s="9">
        <f t="shared" si="33"/>
        <v>2.0435447316282964</v>
      </c>
      <c r="AE16" s="9">
        <f t="shared" si="33"/>
        <v>2.1378825658744289</v>
      </c>
      <c r="AF16" s="9">
        <f t="shared" si="33"/>
        <v>2.2365753950626877</v>
      </c>
      <c r="AG16" s="9">
        <f t="shared" si="33"/>
        <v>2.3398242624022747</v>
      </c>
      <c r="AH16" s="9">
        <f t="shared" si="33"/>
        <v>2.4478394920252171</v>
      </c>
      <c r="AI16" s="9">
        <f t="shared" si="33"/>
        <v>2.5608411174292334</v>
      </c>
      <c r="AJ16" s="9">
        <f t="shared" si="33"/>
        <v>2.6790593296991574</v>
      </c>
      <c r="AK16" s="9">
        <f t="shared" si="33"/>
        <v>2.802734946419978</v>
      </c>
      <c r="AL16" s="9">
        <f t="shared" si="33"/>
        <v>2.9321199022366944</v>
      </c>
      <c r="AM16" s="9">
        <f t="shared" si="33"/>
        <v>3.0674777620602902</v>
      </c>
      <c r="AN16" s="9">
        <f t="shared" si="33"/>
        <v>3.2090842579652579</v>
      </c>
      <c r="AO16" s="9">
        <f t="shared" si="33"/>
        <v>3.3572278508723619</v>
      </c>
      <c r="AP16" s="9">
        <f t="shared" si="33"/>
        <v>3.5122103181608262</v>
      </c>
      <c r="AQ16" s="9">
        <f t="shared" si="33"/>
        <v>3.6743473684069468</v>
      </c>
      <c r="AR16" s="9">
        <f t="shared" si="33"/>
        <v>3.8439692845013855</v>
      </c>
      <c r="AS16" s="9">
        <f t="shared" si="33"/>
        <v>4.0214215964552178</v>
      </c>
      <c r="AT16" s="9">
        <f t="shared" si="33"/>
        <v>4.2070657852652786</v>
      </c>
      <c r="AU16" s="9">
        <f t="shared" si="33"/>
        <v>4.4012800192726216</v>
      </c>
      <c r="AV16" s="9">
        <f t="shared" si="33"/>
        <v>4.6044599245140976</v>
      </c>
      <c r="AW16" s="9">
        <f t="shared" si="33"/>
        <v>4.8170193906363092</v>
      </c>
      <c r="AX16" s="9">
        <f t="shared" si="33"/>
        <v>5.0393914140136324</v>
      </c>
      <c r="AY16" s="9">
        <f t="shared" si="33"/>
        <v>5.2720289797877848</v>
      </c>
      <c r="AZ16" s="9">
        <f t="shared" si="33"/>
        <v>5.5154059846257146</v>
      </c>
      <c r="BA16" s="9">
        <f t="shared" si="33"/>
        <v>5.7700182020755193</v>
      </c>
      <c r="BB16" s="9">
        <f t="shared" si="33"/>
        <v>6.0363842924868818</v>
      </c>
      <c r="BC16" s="9">
        <f t="shared" si="33"/>
        <v>6.315046859553294</v>
      </c>
      <c r="BD16" s="9">
        <f t="shared" si="33"/>
        <v>6.6065735556283069</v>
      </c>
      <c r="BE16" s="9">
        <f t="shared" si="33"/>
        <v>6.9115582380674034</v>
      </c>
      <c r="BF16" s="9">
        <f t="shared" si="33"/>
        <v>7.2306221789510277</v>
      </c>
      <c r="BG16" s="9">
        <f t="shared" si="33"/>
        <v>7.564415330653059</v>
      </c>
      <c r="BH16" s="9">
        <f t="shared" si="33"/>
        <v>7.9136176498327551</v>
      </c>
      <c r="BI16" s="9">
        <f t="shared" si="33"/>
        <v>8.2789404825472293</v>
      </c>
      <c r="BJ16" s="9">
        <f t="shared" si="33"/>
        <v>8.6611280133060102</v>
      </c>
      <c r="BK16" s="9">
        <f t="shared" si="33"/>
        <v>9.0609587810194991</v>
      </c>
      <c r="BL16" s="9">
        <f t="shared" si="33"/>
        <v>9.4792472649293948</v>
      </c>
      <c r="BM16" s="9">
        <f t="shared" si="33"/>
        <v>9.9168455437517391</v>
      </c>
      <c r="BN16" s="9">
        <f t="shared" si="33"/>
        <v>10.374645031412337</v>
      </c>
      <c r="BO16" s="9">
        <f t="shared" si="33"/>
        <v>10.853578292910358</v>
      </c>
      <c r="BP16" s="9">
        <f t="shared" si="33"/>
        <v>11.354620944009143</v>
      </c>
      <c r="BQ16" s="9">
        <f t="shared" si="33"/>
        <v>11.878793638624</v>
      </c>
      <c r="BR16" s="9">
        <f t="shared" si="33"/>
        <v>12.427164147955407</v>
      </c>
      <c r="BS16" s="9">
        <f t="shared" si="33"/>
        <v>13.000849535602962</v>
      </c>
      <c r="BT16" s="9">
        <f t="shared" si="33"/>
        <v>13.601018433090889</v>
      </c>
      <c r="BU16" s="9">
        <f t="shared" si="33"/>
        <v>14.228893420440519</v>
      </c>
      <c r="BV16" s="9">
        <f t="shared" si="33"/>
        <v>14.885753516639069</v>
      </c>
      <c r="BW16" s="9">
        <f t="shared" si="33"/>
        <v>15.572936785077992</v>
      </c>
      <c r="BX16" s="9">
        <f t="shared" si="33"/>
        <v>16.291843059268327</v>
      </c>
      <c r="BY16" s="9">
        <f t="shared" si="33"/>
        <v>17.043936794385456</v>
      </c>
      <c r="BZ16" s="9">
        <f t="shared" si="33"/>
        <v>17.830750050452096</v>
      </c>
      <c r="CA16" s="9">
        <f t="shared" si="33"/>
        <v>18.653885613236405</v>
      </c>
      <c r="CB16" s="9">
        <f t="shared" si="33"/>
        <v>19.515020259222659</v>
      </c>
      <c r="CC16" s="9">
        <f t="shared" si="33"/>
        <v>20.415908171305478</v>
      </c>
      <c r="CD16" s="9">
        <f t="shared" si="33"/>
        <v>21.358384512165532</v>
      </c>
      <c r="CE16" s="9">
        <f t="shared" si="33"/>
        <v>22.344369162605926</v>
      </c>
      <c r="CF16" s="9">
        <f t="shared" si="33"/>
        <v>23.375870632464487</v>
      </c>
      <c r="CG16" s="9">
        <f t="shared" si="33"/>
        <v>24.45499015206871</v>
      </c>
      <c r="CH16" s="9">
        <f t="shared" si="33"/>
        <v>25.583925952567881</v>
      </c>
      <c r="CI16" s="9">
        <f t="shared" si="33"/>
        <v>26.764977743861714</v>
      </c>
      <c r="CJ16" s="9">
        <f t="shared" si="33"/>
        <v>28.000551399247257</v>
      </c>
      <c r="CK16" s="9">
        <f t="shared" ref="CK16:EV16" si="34">(1+$M$16)*CJ16</f>
        <v>29.293163856327038</v>
      </c>
      <c r="CL16" s="9">
        <f t="shared" si="34"/>
        <v>30.645448244161823</v>
      </c>
      <c r="CM16" s="9">
        <f t="shared" si="34"/>
        <v>32.060159247112367</v>
      </c>
      <c r="CN16" s="9">
        <f t="shared" si="34"/>
        <v>33.540178716296573</v>
      </c>
      <c r="CO16" s="9">
        <f t="shared" si="34"/>
        <v>35.088521540092984</v>
      </c>
      <c r="CP16" s="9">
        <f t="shared" si="34"/>
        <v>36.708341785649139</v>
      </c>
      <c r="CQ16" s="9">
        <f t="shared" si="34"/>
        <v>38.402939123905412</v>
      </c>
      <c r="CR16" s="9">
        <f t="shared" si="34"/>
        <v>40.175765551222526</v>
      </c>
      <c r="CS16" s="9">
        <f t="shared" si="34"/>
        <v>42.030432421305058</v>
      </c>
      <c r="CT16" s="9">
        <f t="shared" si="34"/>
        <v>43.970717801745437</v>
      </c>
      <c r="CU16" s="9">
        <f t="shared" si="34"/>
        <v>46.00057417017409</v>
      </c>
      <c r="CV16" s="9">
        <f t="shared" si="34"/>
        <v>48.124136465693311</v>
      </c>
      <c r="CW16" s="9">
        <f t="shared" si="34"/>
        <v>50.345730511996088</v>
      </c>
      <c r="CX16" s="9">
        <f t="shared" si="34"/>
        <v>52.669881829328261</v>
      </c>
      <c r="CY16" s="9">
        <f t="shared" si="34"/>
        <v>55.10132485324457</v>
      </c>
      <c r="CZ16" s="9">
        <f t="shared" si="34"/>
        <v>57.64501257893766</v>
      </c>
      <c r="DA16" s="9">
        <f t="shared" si="34"/>
        <v>60.306126650786211</v>
      </c>
      <c r="DB16" s="9">
        <f t="shared" si="34"/>
        <v>63.090087917675149</v>
      </c>
      <c r="DC16" s="9">
        <f t="shared" si="34"/>
        <v>66.002567475589785</v>
      </c>
      <c r="DD16" s="9">
        <f t="shared" si="34"/>
        <v>69.049498219978261</v>
      </c>
      <c r="DE16" s="9">
        <f t="shared" si="34"/>
        <v>72.237086931415263</v>
      </c>
      <c r="DF16" s="9">
        <f t="shared" si="34"/>
        <v>75.571826919186094</v>
      </c>
      <c r="DG16" s="9">
        <f t="shared" si="34"/>
        <v>79.060511248546945</v>
      </c>
      <c r="DH16" s="9">
        <f t="shared" si="34"/>
        <v>82.710246578606032</v>
      </c>
      <c r="DI16" s="9">
        <f t="shared" si="34"/>
        <v>86.528467639014181</v>
      </c>
      <c r="DJ16" s="9">
        <f t="shared" si="34"/>
        <v>90.522952374954826</v>
      </c>
      <c r="DK16" s="9">
        <f t="shared" si="34"/>
        <v>94.701837791284589</v>
      </c>
      <c r="DL16" s="9">
        <f t="shared" si="34"/>
        <v>99.073636528099968</v>
      </c>
      <c r="DM16" s="9">
        <f t="shared" si="34"/>
        <v>103.64725420149547</v>
      </c>
      <c r="DN16" s="9">
        <f t="shared" si="34"/>
        <v>108.43200754483748</v>
      </c>
      <c r="DO16" s="9">
        <f t="shared" si="34"/>
        <v>113.43764338750856</v>
      </c>
      <c r="DP16" s="9">
        <f t="shared" si="34"/>
        <v>118.67435850978323</v>
      </c>
      <c r="DQ16" s="9">
        <f t="shared" si="34"/>
        <v>124.15282041428064</v>
      </c>
      <c r="DR16" s="9">
        <f t="shared" si="34"/>
        <v>129.88418905630684</v>
      </c>
      <c r="DS16" s="9">
        <f t="shared" si="34"/>
        <v>135.88013957735268</v>
      </c>
      <c r="DT16" s="9">
        <f t="shared" si="34"/>
        <v>142.15288608805702</v>
      </c>
      <c r="DU16" s="9">
        <f t="shared" si="34"/>
        <v>148.71520654908213</v>
      </c>
      <c r="DV16" s="9">
        <f t="shared" si="34"/>
        <v>155.58046880058563</v>
      </c>
      <c r="DW16" s="9">
        <f t="shared" si="34"/>
        <v>162.76265779331226</v>
      </c>
      <c r="DX16" s="9">
        <f t="shared" si="34"/>
        <v>170.27640407677669</v>
      </c>
      <c r="DY16" s="9">
        <f t="shared" si="34"/>
        <v>178.13701360257014</v>
      </c>
      <c r="DZ16" s="9">
        <f t="shared" si="34"/>
        <v>186.36049890350114</v>
      </c>
      <c r="EA16" s="9">
        <f t="shared" si="34"/>
        <v>194.96361171208477</v>
      </c>
      <c r="EB16" s="9">
        <f t="shared" si="34"/>
        <v>203.96387708482601</v>
      </c>
      <c r="EC16" s="9">
        <f t="shared" si="34"/>
        <v>213.37962910181034</v>
      </c>
      <c r="ED16" s="9">
        <f t="shared" si="34"/>
        <v>223.23004821432392</v>
      </c>
      <c r="EE16" s="9">
        <f t="shared" si="34"/>
        <v>233.5352003165826</v>
      </c>
      <c r="EF16" s="9">
        <f t="shared" si="34"/>
        <v>244.31607762116141</v>
      </c>
      <c r="EG16" s="9">
        <f t="shared" si="34"/>
        <v>255.59464142138978</v>
      </c>
      <c r="EH16" s="9">
        <f t="shared" si="34"/>
        <v>267.39386682782271</v>
      </c>
      <c r="EI16" s="9">
        <f t="shared" si="34"/>
        <v>279.73778956991799</v>
      </c>
      <c r="EJ16" s="9">
        <f t="shared" si="34"/>
        <v>292.65155495825815</v>
      </c>
      <c r="EK16" s="9">
        <f t="shared" si="34"/>
        <v>306.16146910705532</v>
      </c>
      <c r="EL16" s="9">
        <f t="shared" si="34"/>
        <v>320.29505252128286</v>
      </c>
      <c r="EM16" s="9">
        <f t="shared" si="34"/>
        <v>335.08109615759366</v>
      </c>
      <c r="EN16" s="9">
        <f t="shared" si="34"/>
        <v>350.54972007322476</v>
      </c>
      <c r="EO16" s="9">
        <f t="shared" si="34"/>
        <v>366.73243478235946</v>
      </c>
      <c r="EP16" s="9">
        <f t="shared" si="34"/>
        <v>383.66220544493365</v>
      </c>
      <c r="EQ16" s="9">
        <f t="shared" si="34"/>
        <v>401.37351901864264</v>
      </c>
      <c r="ER16" s="9">
        <f t="shared" si="34"/>
        <v>419.90245451094131</v>
      </c>
      <c r="ES16" s="9">
        <f t="shared" si="34"/>
        <v>439.28675647414519</v>
      </c>
      <c r="ET16" s="9">
        <f t="shared" si="34"/>
        <v>459.56591189334591</v>
      </c>
      <c r="EU16" s="9">
        <f t="shared" si="34"/>
        <v>480.78123062376699</v>
      </c>
      <c r="EV16" s="9">
        <f t="shared" si="34"/>
        <v>502.97592954141527</v>
      </c>
      <c r="EW16" s="9">
        <f t="shared" ref="EW16:FM16" si="35">(1+$M$16)*EV16</f>
        <v>526.19522057844802</v>
      </c>
      <c r="EX16" s="9">
        <f t="shared" si="35"/>
        <v>550.48640282258873</v>
      </c>
      <c r="EY16" s="9">
        <f t="shared" si="35"/>
        <v>575.89895886820455</v>
      </c>
      <c r="EZ16" s="9">
        <f t="shared" si="35"/>
        <v>602.4846556153168</v>
      </c>
      <c r="FA16" s="9">
        <f t="shared" si="35"/>
        <v>630.29764972187991</v>
      </c>
      <c r="FB16" s="9">
        <f t="shared" si="35"/>
        <v>659.3945979241397</v>
      </c>
      <c r="FC16" s="9">
        <f t="shared" si="35"/>
        <v>689.83477244980179</v>
      </c>
      <c r="FD16" s="9">
        <f t="shared" si="35"/>
        <v>721.68018175911209</v>
      </c>
      <c r="FE16" s="9">
        <f t="shared" si="35"/>
        <v>754.99569685980782</v>
      </c>
      <c r="FF16" s="9">
        <f t="shared" si="35"/>
        <v>789.84918345324877</v>
      </c>
      <c r="FG16" s="9">
        <f t="shared" si="35"/>
        <v>826.3116401809192</v>
      </c>
      <c r="FH16" s="9">
        <f t="shared" si="35"/>
        <v>864.45734325291642</v>
      </c>
      <c r="FI16" s="9">
        <f t="shared" si="35"/>
        <v>904.36399775304358</v>
      </c>
      <c r="FJ16" s="9">
        <f t="shared" si="35"/>
        <v>946.11289592872311</v>
      </c>
      <c r="FK16" s="9">
        <f t="shared" si="35"/>
        <v>989.78908278817801</v>
      </c>
      <c r="FL16" s="9">
        <f t="shared" si="35"/>
        <v>1035.4815293422114</v>
      </c>
      <c r="FM16" s="9">
        <f t="shared" si="35"/>
        <v>1083.2833138434889</v>
      </c>
      <c r="FN16" s="7">
        <f t="shared" si="18"/>
        <v>7.5105129906213097E-2</v>
      </c>
    </row>
    <row r="17" spans="1:170" x14ac:dyDescent="0.25">
      <c r="A17" s="64">
        <f t="shared" si="26"/>
        <v>4</v>
      </c>
      <c r="B17" s="56" t="s">
        <v>238</v>
      </c>
      <c r="C17" s="64" t="s">
        <v>239</v>
      </c>
      <c r="D17" s="120">
        <f>'GROUP DATA WP2'!G14</f>
        <v>1.91</v>
      </c>
      <c r="E17" s="120">
        <f>'GROUP DATA WP2'!H14</f>
        <v>1.97</v>
      </c>
      <c r="F17" s="120">
        <f t="shared" si="27"/>
        <v>2.0000000000000018E-2</v>
      </c>
      <c r="G17" s="120">
        <f>'OCS SR 3.5'!D13</f>
        <v>69.899999999999991</v>
      </c>
      <c r="H17" s="120">
        <f t="shared" si="28"/>
        <v>1.91</v>
      </c>
      <c r="I17" s="120">
        <f t="shared" si="29"/>
        <v>1.93</v>
      </c>
      <c r="J17" s="120">
        <f t="shared" si="30"/>
        <v>1.95</v>
      </c>
      <c r="K17" s="120">
        <f t="shared" si="31"/>
        <v>1.97</v>
      </c>
      <c r="L17" s="120">
        <f t="shared" si="8"/>
        <v>2.1409470064740734</v>
      </c>
      <c r="M17" s="122">
        <f>'OCS SR 3.4 P.1'!O14</f>
        <v>8.6775130189884891E-2</v>
      </c>
      <c r="N17" s="122">
        <f t="shared" si="9"/>
        <v>0.10766457543102614</v>
      </c>
      <c r="O17" s="122">
        <f t="shared" si="32"/>
        <v>0.10766457543102614</v>
      </c>
      <c r="S17" s="9">
        <f t="shared" si="10"/>
        <v>-69.899999999999991</v>
      </c>
      <c r="T17" s="9">
        <f t="shared" si="19"/>
        <v>1.91</v>
      </c>
      <c r="U17" s="9">
        <f t="shared" si="20"/>
        <v>1.93</v>
      </c>
      <c r="V17" s="9">
        <f t="shared" si="21"/>
        <v>1.95</v>
      </c>
      <c r="W17" s="9">
        <f t="shared" si="22"/>
        <v>1.97</v>
      </c>
      <c r="X17" s="9">
        <f>(1+$M$17)*W17</f>
        <v>2.1409470064740734</v>
      </c>
      <c r="Y17" s="9">
        <f t="shared" ref="Y17:CJ17" si="36">(1+$M$17)*X17</f>
        <v>2.3267279616905054</v>
      </c>
      <c r="Z17" s="9">
        <f t="shared" si="36"/>
        <v>2.5286300834826445</v>
      </c>
      <c r="AA17" s="9">
        <f t="shared" si="36"/>
        <v>2.7480522881789105</v>
      </c>
      <c r="AB17" s="9">
        <f t="shared" si="36"/>
        <v>2.9865148832542467</v>
      </c>
      <c r="AC17" s="9">
        <f t="shared" si="36"/>
        <v>3.2456701010626632</v>
      </c>
      <c r="AD17" s="9">
        <f t="shared" si="36"/>
        <v>3.5273135466357926</v>
      </c>
      <c r="AE17" s="9">
        <f t="shared" si="36"/>
        <v>3.8333966388656582</v>
      </c>
      <c r="AF17" s="9">
        <f t="shared" si="36"/>
        <v>4.1660401312726929</v>
      </c>
      <c r="AG17" s="9">
        <f t="shared" si="36"/>
        <v>4.5275488060401665</v>
      </c>
      <c r="AH17" s="9">
        <f t="shared" si="36"/>
        <v>4.9204274431253596</v>
      </c>
      <c r="AI17" s="9">
        <f t="shared" si="36"/>
        <v>5.3473981750924455</v>
      </c>
      <c r="AJ17" s="9">
        <f t="shared" si="36"/>
        <v>5.8114193479132457</v>
      </c>
      <c r="AK17" s="9">
        <f t="shared" si="36"/>
        <v>6.3157060184164333</v>
      </c>
      <c r="AL17" s="9">
        <f t="shared" si="36"/>
        <v>6.8637522304055594</v>
      </c>
      <c r="AM17" s="9">
        <f t="shared" si="36"/>
        <v>7.4593552237901148</v>
      </c>
      <c r="AN17" s="9">
        <f t="shared" si="36"/>
        <v>8.1066417444671011</v>
      </c>
      <c r="AO17" s="9">
        <f t="shared" si="36"/>
        <v>8.810096637245989</v>
      </c>
      <c r="AP17" s="9">
        <f t="shared" si="36"/>
        <v>9.5745939199284766</v>
      </c>
      <c r="AQ17" s="9">
        <f t="shared" si="36"/>
        <v>10.405430553845552</v>
      </c>
      <c r="AR17" s="9">
        <f t="shared" si="36"/>
        <v>11.308363144837307</v>
      </c>
      <c r="AS17" s="9">
        <f t="shared" si="36"/>
        <v>12.289647828965061</v>
      </c>
      <c r="AT17" s="9">
        <f t="shared" si="36"/>
        <v>13.35608361931134</v>
      </c>
      <c r="AU17" s="9">
        <f t="shared" si="36"/>
        <v>14.51505951420407</v>
      </c>
      <c r="AV17" s="9">
        <f t="shared" si="36"/>
        <v>15.774605693263057</v>
      </c>
      <c r="AW17" s="9">
        <f t="shared" si="36"/>
        <v>17.143449155990059</v>
      </c>
      <c r="AX17" s="9">
        <f t="shared" si="36"/>
        <v>18.631074188404767</v>
      </c>
      <c r="AY17" s="9">
        <f t="shared" si="36"/>
        <v>20.247788076680994</v>
      </c>
      <c r="AZ17" s="9">
        <f t="shared" si="36"/>
        <v>22.004792523092188</v>
      </c>
      <c r="BA17" s="9">
        <f t="shared" si="36"/>
        <v>23.91426125908492</v>
      </c>
      <c r="BB17" s="9">
        <f t="shared" si="36"/>
        <v>25.989424393236934</v>
      </c>
      <c r="BC17" s="9">
        <f t="shared" si="36"/>
        <v>28.244660078520241</v>
      </c>
      <c r="BD17" s="9">
        <f t="shared" si="36"/>
        <v>30.695594134002878</v>
      </c>
      <c r="BE17" s="9">
        <f t="shared" si="36"/>
        <v>33.359208311236848</v>
      </c>
      <c r="BF17" s="9">
        <f t="shared" si="36"/>
        <v>36.253957955475919</v>
      </c>
      <c r="BG17" s="9">
        <f t="shared" si="36"/>
        <v>39.399899876960959</v>
      </c>
      <c r="BH17" s="9">
        <f t="shared" si="36"/>
        <v>42.818831318252677</v>
      </c>
      <c r="BI17" s="9">
        <f t="shared" si="36"/>
        <v>46.534440980472773</v>
      </c>
      <c r="BJ17" s="9">
        <f t="shared" si="36"/>
        <v>50.572473154866813</v>
      </c>
      <c r="BK17" s="9">
        <f t="shared" si="36"/>
        <v>54.960906096904843</v>
      </c>
      <c r="BL17" s="9">
        <f t="shared" si="36"/>
        <v>59.730145878817801</v>
      </c>
      <c r="BM17" s="9">
        <f t="shared" si="36"/>
        <v>64.913237063713041</v>
      </c>
      <c r="BN17" s="9">
        <f t="shared" si="36"/>
        <v>70.546091660963597</v>
      </c>
      <c r="BO17" s="9">
        <f t="shared" si="36"/>
        <v>76.667737949231267</v>
      </c>
      <c r="BP17" s="9">
        <f t="shared" si="36"/>
        <v>83.320590891139787</v>
      </c>
      <c r="BQ17" s="9">
        <f t="shared" si="36"/>
        <v>90.550746013216582</v>
      </c>
      <c r="BR17" s="9">
        <f t="shared" si="36"/>
        <v>98.408298787304659</v>
      </c>
      <c r="BS17" s="9">
        <f t="shared" si="36"/>
        <v>106.94769172633812</v>
      </c>
      <c r="BT17" s="9">
        <f t="shared" si="36"/>
        <v>116.22809159939879</v>
      </c>
      <c r="BU17" s="9">
        <f t="shared" si="36"/>
        <v>126.31379937965849</v>
      </c>
      <c r="BV17" s="9">
        <f t="shared" si="36"/>
        <v>137.27469576560736</v>
      </c>
      <c r="BW17" s="9">
        <f t="shared" si="36"/>
        <v>149.18672536244478</v>
      </c>
      <c r="BX17" s="9">
        <f t="shared" si="36"/>
        <v>162.13242287837352</v>
      </c>
      <c r="BY17" s="9">
        <f t="shared" si="36"/>
        <v>176.20148498164585</v>
      </c>
      <c r="BZ17" s="9">
        <f t="shared" si="36"/>
        <v>191.49139178057922</v>
      </c>
      <c r="CA17" s="9">
        <f t="shared" si="36"/>
        <v>208.10808223258124</v>
      </c>
      <c r="CB17" s="9">
        <f t="shared" si="36"/>
        <v>226.16668816188076</v>
      </c>
      <c r="CC17" s="9">
        <f t="shared" si="36"/>
        <v>245.79233197174307</v>
      </c>
      <c r="CD17" s="9">
        <f t="shared" si="36"/>
        <v>267.12099357826651</v>
      </c>
      <c r="CE17" s="9">
        <f t="shared" si="36"/>
        <v>290.30045257247201</v>
      </c>
      <c r="CF17" s="9">
        <f t="shared" si="36"/>
        <v>315.4913121386308</v>
      </c>
      <c r="CG17" s="9">
        <f t="shared" si="36"/>
        <v>342.86811182323811</v>
      </c>
      <c r="CH17" s="9">
        <f t="shared" si="36"/>
        <v>372.62053686465964</v>
      </c>
      <c r="CI17" s="9">
        <f t="shared" si="36"/>
        <v>404.95473246251527</v>
      </c>
      <c r="CJ17" s="9">
        <f t="shared" si="36"/>
        <v>440.09473209296004</v>
      </c>
      <c r="CK17" s="9">
        <f t="shared" ref="CK17:EV17" si="37">(1+$M$17)*CJ17</f>
        <v>478.28400976620918</v>
      </c>
      <c r="CL17" s="9">
        <f t="shared" si="37"/>
        <v>519.78716698141216</v>
      </c>
      <c r="CM17" s="9">
        <f t="shared" si="37"/>
        <v>564.89176606725562</v>
      </c>
      <c r="CN17" s="9">
        <f t="shared" si="37"/>
        <v>613.91032261093574</v>
      </c>
      <c r="CO17" s="9">
        <f t="shared" si="37"/>
        <v>667.18247078041395</v>
      </c>
      <c r="CP17" s="9">
        <f t="shared" si="37"/>
        <v>725.07731654279348</v>
      </c>
      <c r="CQ17" s="9">
        <f t="shared" si="37"/>
        <v>787.99599508352674</v>
      </c>
      <c r="CR17" s="9">
        <f t="shared" si="37"/>
        <v>856.37445014600769</v>
      </c>
      <c r="CS17" s="9">
        <f t="shared" si="37"/>
        <v>930.68645454871864</v>
      </c>
      <c r="CT17" s="9">
        <f t="shared" si="37"/>
        <v>1011.4468928081461</v>
      </c>
      <c r="CU17" s="9">
        <f t="shared" si="37"/>
        <v>1099.2153286117275</v>
      </c>
      <c r="CV17" s="9">
        <f t="shared" si="37"/>
        <v>1194.5998818587273</v>
      </c>
      <c r="CW17" s="9">
        <f t="shared" si="37"/>
        <v>1298.2614421318394</v>
      </c>
      <c r="CX17" s="9">
        <f t="shared" si="37"/>
        <v>1410.9182477933375</v>
      </c>
      <c r="CY17" s="9">
        <f t="shared" si="37"/>
        <v>1533.3508624328888</v>
      </c>
      <c r="CZ17" s="9">
        <f t="shared" si="37"/>
        <v>1666.4075831472751</v>
      </c>
      <c r="DA17" s="9">
        <f t="shared" si="37"/>
        <v>1811.0103181242914</v>
      </c>
      <c r="DB17" s="9">
        <f t="shared" si="37"/>
        <v>1968.1609742547516</v>
      </c>
      <c r="DC17" s="9">
        <f t="shared" si="37"/>
        <v>2138.9483990303584</v>
      </c>
      <c r="DD17" s="9">
        <f t="shared" si="37"/>
        <v>2324.5559248256636</v>
      </c>
      <c r="DE17" s="9">
        <f t="shared" si="37"/>
        <v>2526.2695678360787</v>
      </c>
      <c r="DF17" s="9">
        <f t="shared" si="37"/>
        <v>2745.4869384797989</v>
      </c>
      <c r="DG17" s="9">
        <f t="shared" si="37"/>
        <v>2983.7269250010122</v>
      </c>
      <c r="DH17" s="9">
        <f t="shared" si="37"/>
        <v>3242.6402173690399</v>
      </c>
      <c r="DI17" s="9">
        <f t="shared" si="37"/>
        <v>3524.020744390195</v>
      </c>
      <c r="DJ17" s="9">
        <f t="shared" si="37"/>
        <v>3829.8181032765092</v>
      </c>
      <c r="DK17" s="9">
        <f t="shared" si="37"/>
        <v>4162.1510677919068</v>
      </c>
      <c r="DL17" s="9">
        <f t="shared" si="37"/>
        <v>4523.3222685695182</v>
      </c>
      <c r="DM17" s="9">
        <f t="shared" si="37"/>
        <v>4915.8341473154442</v>
      </c>
      <c r="DN17" s="9">
        <f t="shared" si="37"/>
        <v>5342.4062954406236</v>
      </c>
      <c r="DO17" s="9">
        <f t="shared" si="37"/>
        <v>5805.9942972547442</v>
      </c>
      <c r="DP17" s="9">
        <f t="shared" si="37"/>
        <v>6309.8102082807536</v>
      </c>
      <c r="DQ17" s="9">
        <f t="shared" si="37"/>
        <v>6857.3448105777807</v>
      </c>
      <c r="DR17" s="9">
        <f t="shared" si="37"/>
        <v>7452.3917992725992</v>
      </c>
      <c r="DS17" s="9">
        <f t="shared" si="37"/>
        <v>8099.0740678805096</v>
      </c>
      <c r="DT17" s="9">
        <f t="shared" si="37"/>
        <v>8801.872274538362</v>
      </c>
      <c r="DU17" s="9">
        <f t="shared" si="37"/>
        <v>9565.6558870761673</v>
      </c>
      <c r="DV17" s="9">
        <f t="shared" si="37"/>
        <v>10395.716922028842</v>
      </c>
      <c r="DW17" s="9">
        <f t="shared" si="37"/>
        <v>11297.806611355083</v>
      </c>
      <c r="DX17" s="9">
        <f t="shared" si="37"/>
        <v>12278.175250915563</v>
      </c>
      <c r="DY17" s="9">
        <f t="shared" si="37"/>
        <v>13343.615506807984</v>
      </c>
      <c r="DZ17" s="9">
        <f t="shared" si="37"/>
        <v>14501.509479615015</v>
      </c>
      <c r="EA17" s="9">
        <f t="shared" si="37"/>
        <v>15759.879852658458</v>
      </c>
      <c r="EB17" s="9">
        <f t="shared" si="37"/>
        <v>17127.445478649839</v>
      </c>
      <c r="EC17" s="9">
        <f t="shared" si="37"/>
        <v>18613.681789879836</v>
      </c>
      <c r="ED17" s="9">
        <f t="shared" si="37"/>
        <v>20228.886450509748</v>
      </c>
      <c r="EE17" s="9">
        <f t="shared" si="37"/>
        <v>21984.250705849132</v>
      </c>
      <c r="EF17" s="9">
        <f t="shared" si="37"/>
        <v>23891.93692297626</v>
      </c>
      <c r="EG17" s="9">
        <f t="shared" si="37"/>
        <v>25965.162859956043</v>
      </c>
      <c r="EH17" s="9">
        <f t="shared" si="37"/>
        <v>28218.293247530291</v>
      </c>
      <c r="EI17" s="9">
        <f t="shared" si="37"/>
        <v>30666.939317821081</v>
      </c>
      <c r="EJ17" s="9">
        <f t="shared" si="37"/>
        <v>33328.066969650303</v>
      </c>
      <c r="EK17" s="9">
        <f t="shared" si="37"/>
        <v>36220.11431991891</v>
      </c>
      <c r="EL17" s="9">
        <f t="shared" si="37"/>
        <v>39363.119455522392</v>
      </c>
      <c r="EM17" s="9">
        <f t="shared" si="37"/>
        <v>42778.859270955341</v>
      </c>
      <c r="EN17" s="9">
        <f t="shared" si="37"/>
        <v>46491.000353567259</v>
      </c>
      <c r="EO17" s="9">
        <f t="shared" si="37"/>
        <v>50525.262961906046</v>
      </c>
      <c r="EP17" s="9">
        <f t="shared" si="37"/>
        <v>54909.599233303612</v>
      </c>
      <c r="EQ17" s="9">
        <f t="shared" si="37"/>
        <v>59674.386855447941</v>
      </c>
      <c r="ER17" s="9">
        <f t="shared" si="37"/>
        <v>64852.639543830992</v>
      </c>
      <c r="ES17" s="9">
        <f t="shared" si="37"/>
        <v>70480.235783404598</v>
      </c>
      <c r="ET17" s="9">
        <f t="shared" si="37"/>
        <v>76596.167419323319</v>
      </c>
      <c r="EU17" s="9">
        <f t="shared" si="37"/>
        <v>83242.809819181319</v>
      </c>
      <c r="EV17" s="9">
        <f t="shared" si="37"/>
        <v>90466.215478612605</v>
      </c>
      <c r="EW17" s="9">
        <f t="shared" ref="EW17:FM17" si="38">(1+$M$17)*EV17</f>
        <v>98316.433104555399</v>
      </c>
      <c r="EX17" s="9">
        <f t="shared" si="38"/>
        <v>106847.85438700831</v>
      </c>
      <c r="EY17" s="9">
        <f t="shared" si="38"/>
        <v>116119.59086195083</v>
      </c>
      <c r="EZ17" s="9">
        <f t="shared" si="38"/>
        <v>126195.88347659277</v>
      </c>
      <c r="FA17" s="9">
        <f t="shared" si="38"/>
        <v>137146.54769470167</v>
      </c>
      <c r="FB17" s="9">
        <f t="shared" si="38"/>
        <v>149047.45722600268</v>
      </c>
      <c r="FC17" s="9">
        <f t="shared" si="38"/>
        <v>161981.06973126036</v>
      </c>
      <c r="FD17" s="9">
        <f t="shared" si="38"/>
        <v>176036.99814548731</v>
      </c>
      <c r="FE17" s="9">
        <f t="shared" si="38"/>
        <v>191312.63157779849</v>
      </c>
      <c r="FF17" s="9">
        <f t="shared" si="38"/>
        <v>207913.81008993144</v>
      </c>
      <c r="FG17" s="9">
        <f t="shared" si="38"/>
        <v>225955.55802876025</v>
      </c>
      <c r="FH17" s="9">
        <f t="shared" si="38"/>
        <v>245562.88099383403</v>
      </c>
      <c r="FI17" s="9">
        <f t="shared" si="38"/>
        <v>266871.63196187717</v>
      </c>
      <c r="FJ17" s="9">
        <f t="shared" si="38"/>
        <v>290029.45256935613</v>
      </c>
      <c r="FK17" s="9">
        <f t="shared" si="38"/>
        <v>315196.79607496306</v>
      </c>
      <c r="FL17" s="9">
        <f t="shared" si="38"/>
        <v>342548.03908980259</v>
      </c>
      <c r="FM17" s="9">
        <f t="shared" si="38"/>
        <v>372272.68977811001</v>
      </c>
      <c r="FN17" s="7">
        <f t="shared" si="18"/>
        <v>0.10766457543102614</v>
      </c>
    </row>
    <row r="18" spans="1:170" x14ac:dyDescent="0.25">
      <c r="A18" s="64">
        <f t="shared" si="26"/>
        <v>5</v>
      </c>
      <c r="B18" s="56" t="s">
        <v>240</v>
      </c>
      <c r="C18" s="64" t="s">
        <v>241</v>
      </c>
      <c r="D18" s="120">
        <f>'GROUP DATA WP2'!G15</f>
        <v>2.16</v>
      </c>
      <c r="E18" s="120">
        <f>'GROUP DATA WP2'!H15</f>
        <v>2.65</v>
      </c>
      <c r="F18" s="120">
        <f t="shared" si="27"/>
        <v>0.16333333333333325</v>
      </c>
      <c r="G18" s="120">
        <f>'OCS SR 3.5'!D14</f>
        <v>92.600000000000009</v>
      </c>
      <c r="H18" s="120">
        <f t="shared" si="28"/>
        <v>2.16</v>
      </c>
      <c r="I18" s="120">
        <f t="shared" si="29"/>
        <v>2.3233333333333333</v>
      </c>
      <c r="J18" s="120">
        <f t="shared" si="30"/>
        <v>2.4866666666666664</v>
      </c>
      <c r="K18" s="120">
        <f t="shared" si="31"/>
        <v>2.6499999999999995</v>
      </c>
      <c r="L18" s="120">
        <f t="shared" si="8"/>
        <v>2.8040895456311885</v>
      </c>
      <c r="M18" s="122">
        <f>'OCS SR 3.4 P.1'!O15</f>
        <v>5.8146998351392074E-2</v>
      </c>
      <c r="N18" s="122">
        <f t="shared" si="9"/>
        <v>8.1335874928577967E-2</v>
      </c>
      <c r="O18" s="122">
        <f>N18</f>
        <v>8.1335874928577967E-2</v>
      </c>
      <c r="S18" s="9">
        <f t="shared" si="10"/>
        <v>-92.600000000000009</v>
      </c>
      <c r="T18" s="9">
        <f t="shared" si="19"/>
        <v>2.16</v>
      </c>
      <c r="U18" s="9">
        <f t="shared" si="20"/>
        <v>2.3233333333333333</v>
      </c>
      <c r="V18" s="9">
        <f t="shared" si="21"/>
        <v>2.4866666666666664</v>
      </c>
      <c r="W18" s="9">
        <f t="shared" si="22"/>
        <v>2.6499999999999995</v>
      </c>
      <c r="X18" s="9">
        <f>(1+$M$18)*W18</f>
        <v>2.8040895456311885</v>
      </c>
      <c r="Y18" s="9">
        <f t="shared" ref="Y18:CJ18" si="39">(1+$M$18)*X18</f>
        <v>2.967138935818161</v>
      </c>
      <c r="Z18" s="9">
        <f t="shared" si="39"/>
        <v>3.1396691586275307</v>
      </c>
      <c r="AA18" s="9">
        <f t="shared" si="39"/>
        <v>3.322231496018162</v>
      </c>
      <c r="AB18" s="9">
        <f t="shared" si="39"/>
        <v>3.5154092853400729</v>
      </c>
      <c r="AC18" s="9">
        <f t="shared" si="39"/>
        <v>3.7198197832592106</v>
      </c>
      <c r="AD18" s="9">
        <f t="shared" si="39"/>
        <v>3.9361161380638592</v>
      </c>
      <c r="AE18" s="9">
        <f t="shared" si="39"/>
        <v>4.1649894766547462</v>
      </c>
      <c r="AF18" s="9">
        <f t="shared" si="39"/>
        <v>4.4071711128873545</v>
      </c>
      <c r="AG18" s="9">
        <f t="shared" si="39"/>
        <v>4.6634348843227178</v>
      </c>
      <c r="AH18" s="9">
        <f t="shared" si="39"/>
        <v>4.9345996248532549</v>
      </c>
      <c r="AI18" s="9">
        <f t="shared" si="39"/>
        <v>5.2215317811043764</v>
      </c>
      <c r="AJ18" s="9">
        <f t="shared" si="39"/>
        <v>5.5251481809719936</v>
      </c>
      <c r="AK18" s="9">
        <f t="shared" si="39"/>
        <v>5.8464189631421686</v>
      </c>
      <c r="AL18" s="9">
        <f t="shared" si="39"/>
        <v>6.1863706769535431</v>
      </c>
      <c r="AM18" s="9">
        <f t="shared" si="39"/>
        <v>6.5460895625074604</v>
      </c>
      <c r="AN18" s="9">
        <f t="shared" si="39"/>
        <v>6.9267250215066465</v>
      </c>
      <c r="AO18" s="9">
        <f t="shared" si="39"/>
        <v>7.3294932899127394</v>
      </c>
      <c r="AP18" s="9">
        <f t="shared" si="39"/>
        <v>7.7556813241578348</v>
      </c>
      <c r="AQ18" s="9">
        <f t="shared" si="39"/>
        <v>8.2066509133275627</v>
      </c>
      <c r="AR18" s="9">
        <f t="shared" si="39"/>
        <v>8.6838430304552698</v>
      </c>
      <c r="AS18" s="9">
        <f t="shared" si="39"/>
        <v>9.1887824368309001</v>
      </c>
      <c r="AT18" s="9">
        <f t="shared" si="39"/>
        <v>9.7230825540366066</v>
      </c>
      <c r="AU18" s="9">
        <f t="shared" si="39"/>
        <v>10.288450619276622</v>
      </c>
      <c r="AV18" s="9">
        <f t="shared" si="39"/>
        <v>10.886693140474078</v>
      </c>
      <c r="AW18" s="9">
        <f t="shared" si="39"/>
        <v>11.519721668565335</v>
      </c>
      <c r="AX18" s="9">
        <f t="shared" si="39"/>
        <v>12.189558905435899</v>
      </c>
      <c r="AY18" s="9">
        <f t="shared" si="39"/>
        <v>12.898345167014476</v>
      </c>
      <c r="AZ18" s="9">
        <f t="shared" si="39"/>
        <v>13.648345222176552</v>
      </c>
      <c r="BA18" s="9">
        <f t="shared" si="39"/>
        <v>14.441955529309681</v>
      </c>
      <c r="BB18" s="9">
        <f t="shared" si="39"/>
        <v>15.281711893663328</v>
      </c>
      <c r="BC18" s="9">
        <f t="shared" si="39"/>
        <v>16.170297569950616</v>
      </c>
      <c r="BD18" s="9">
        <f t="shared" si="39"/>
        <v>17.110551836092053</v>
      </c>
      <c r="BE18" s="9">
        <f t="shared" si="39"/>
        <v>18.105479065496706</v>
      </c>
      <c r="BF18" s="9">
        <f t="shared" si="39"/>
        <v>19.158258326869305</v>
      </c>
      <c r="BG18" s="9">
        <f t="shared" si="39"/>
        <v>20.272253542217317</v>
      </c>
      <c r="BH18" s="9">
        <f t="shared" si="39"/>
        <v>21.451024235515629</v>
      </c>
      <c r="BI18" s="9">
        <f t="shared" si="39"/>
        <v>22.698336906373825</v>
      </c>
      <c r="BJ18" s="9">
        <f t="shared" si="39"/>
        <v>24.018177065048086</v>
      </c>
      <c r="BK18" s="9">
        <f t="shared" si="39"/>
        <v>25.414761967252879</v>
      </c>
      <c r="BL18" s="9">
        <f t="shared" si="39"/>
        <v>26.892554089463754</v>
      </c>
      <c r="BM18" s="9">
        <f t="shared" si="39"/>
        <v>28.456275387768525</v>
      </c>
      <c r="BN18" s="9">
        <f t="shared" si="39"/>
        <v>30.110922385827859</v>
      </c>
      <c r="BO18" s="9">
        <f t="shared" si="39"/>
        <v>31.861782140155483</v>
      </c>
      <c r="BP18" s="9">
        <f t="shared" si="39"/>
        <v>33.714449133731513</v>
      </c>
      <c r="BQ18" s="9">
        <f t="shared" si="39"/>
        <v>35.674843151928691</v>
      </c>
      <c r="BR18" s="9">
        <f t="shared" si="39"/>
        <v>37.74922819787006</v>
      </c>
      <c r="BS18" s="9">
        <f t="shared" si="39"/>
        <v>39.944232507657929</v>
      </c>
      <c r="BT18" s="9">
        <f t="shared" si="39"/>
        <v>42.266869729428336</v>
      </c>
      <c r="BU18" s="9">
        <f t="shared" si="39"/>
        <v>44.724561333903907</v>
      </c>
      <c r="BV18" s="9">
        <f t="shared" si="39"/>
        <v>47.325160328053151</v>
      </c>
      <c r="BW18" s="9">
        <f t="shared" si="39"/>
        <v>50.07697634762782</v>
      </c>
      <c r="BX18" s="9">
        <f t="shared" si="39"/>
        <v>52.988802208756034</v>
      </c>
      <c r="BY18" s="9">
        <f t="shared" si="39"/>
        <v>56.06994200343081</v>
      </c>
      <c r="BZ18" s="9">
        <f t="shared" si="39"/>
        <v>59.330240828666952</v>
      </c>
      <c r="CA18" s="9">
        <f t="shared" si="39"/>
        <v>62.780116244319139</v>
      </c>
      <c r="CB18" s="9">
        <f t="shared" si="39"/>
        <v>66.430591560077758</v>
      </c>
      <c r="CC18" s="9">
        <f t="shared" si="39"/>
        <v>70.293331058003602</v>
      </c>
      <c r="CD18" s="9">
        <f t="shared" si="39"/>
        <v>74.380677263147192</v>
      </c>
      <c r="CE18" s="9">
        <f t="shared" si="39"/>
        <v>78.705690381342833</v>
      </c>
      <c r="CF18" s="9">
        <f t="shared" si="39"/>
        <v>83.282190030191941</v>
      </c>
      <c r="CG18" s="9">
        <f t="shared" si="39"/>
        <v>88.124799396577828</v>
      </c>
      <c r="CH18" s="9">
        <f t="shared" si="39"/>
        <v>93.248991961807391</v>
      </c>
      <c r="CI18" s="9">
        <f t="shared" si="39"/>
        <v>98.671140943679575</v>
      </c>
      <c r="CJ18" s="9">
        <f t="shared" si="39"/>
        <v>104.40857161346169</v>
      </c>
      <c r="CK18" s="9">
        <f t="shared" ref="CK18:EV18" si="40">(1+$M$18)*CJ18</f>
        <v>110.47961665494084</v>
      </c>
      <c r="CL18" s="9">
        <f t="shared" si="40"/>
        <v>116.90367474243811</v>
      </c>
      <c r="CM18" s="9">
        <f t="shared" si="40"/>
        <v>123.70127252495833</v>
      </c>
      <c r="CN18" s="9">
        <f t="shared" si="40"/>
        <v>130.89413021453217</v>
      </c>
      <c r="CO18" s="9">
        <f t="shared" si="40"/>
        <v>138.50523098832346</v>
      </c>
      <c r="CP18" s="9">
        <f t="shared" si="40"/>
        <v>146.55889442626068</v>
      </c>
      <c r="CQ18" s="9">
        <f t="shared" si="40"/>
        <v>155.0808542188463</v>
      </c>
      <c r="CR18" s="9">
        <f t="shared" si="40"/>
        <v>164.09834039344202</v>
      </c>
      <c r="CS18" s="9">
        <f t="shared" si="40"/>
        <v>173.64016632176566</v>
      </c>
      <c r="CT18" s="9">
        <f t="shared" si="40"/>
        <v>183.73682078661281</v>
      </c>
      <c r="CU18" s="9">
        <f t="shared" si="40"/>
        <v>194.420565401982</v>
      </c>
      <c r="CV18" s="9">
        <f t="shared" si="40"/>
        <v>205.72553769788775</v>
      </c>
      <c r="CW18" s="9">
        <f t="shared" si="40"/>
        <v>217.68786019924607</v>
      </c>
      <c r="CX18" s="9">
        <f t="shared" si="40"/>
        <v>230.3457558473697</v>
      </c>
      <c r="CY18" s="9">
        <f t="shared" si="40"/>
        <v>243.73967013287685</v>
      </c>
      <c r="CZ18" s="9">
        <f t="shared" si="40"/>
        <v>257.91240033026207</v>
      </c>
      <c r="DA18" s="9">
        <f t="shared" si="40"/>
        <v>272.90923224706938</v>
      </c>
      <c r="DB18" s="9">
        <f t="shared" si="40"/>
        <v>288.77808492461941</v>
      </c>
      <c r="DC18" s="9">
        <f t="shared" si="40"/>
        <v>305.56966375264938</v>
      </c>
      <c r="DD18" s="9">
        <f t="shared" si="40"/>
        <v>323.33762248711008</v>
      </c>
      <c r="DE18" s="9">
        <f t="shared" si="40"/>
        <v>342.1387346888111</v>
      </c>
      <c r="DF18" s="9">
        <f t="shared" si="40"/>
        <v>362.03307513070877</v>
      </c>
      <c r="DG18" s="9">
        <f t="shared" si="40"/>
        <v>383.08421175348349</v>
      </c>
      <c r="DH18" s="9">
        <f t="shared" si="40"/>
        <v>405.35940878275761</v>
      </c>
      <c r="DI18" s="9">
        <f t="shared" si="40"/>
        <v>428.92984165696987</v>
      </c>
      <c r="DJ18" s="9">
        <f t="shared" si="40"/>
        <v>453.87082445266054</v>
      </c>
      <c r="DK18" s="9">
        <f t="shared" si="40"/>
        <v>480.26205053385434</v>
      </c>
      <c r="DL18" s="9">
        <f t="shared" si="40"/>
        <v>508.18784719448252</v>
      </c>
      <c r="DM18" s="9">
        <f t="shared" si="40"/>
        <v>537.73744510749759</v>
      </c>
      <c r="DN18" s="9">
        <f t="shared" si="40"/>
        <v>569.00526344164507</v>
      </c>
      <c r="DO18" s="9">
        <f t="shared" si="40"/>
        <v>602.0912115569198</v>
      </c>
      <c r="DP18" s="9">
        <f t="shared" si="40"/>
        <v>637.10100824270762</v>
      </c>
      <c r="DQ18" s="9">
        <f t="shared" si="40"/>
        <v>674.14651951866654</v>
      </c>
      <c r="DR18" s="9">
        <f t="shared" si="40"/>
        <v>713.34611607771512</v>
      </c>
      <c r="DS18" s="9">
        <f t="shared" si="40"/>
        <v>754.8250515132579</v>
      </c>
      <c r="DT18" s="9">
        <f t="shared" si="40"/>
        <v>798.71586253918872</v>
      </c>
      <c r="DU18" s="9">
        <f t="shared" si="40"/>
        <v>845.15879248148565</v>
      </c>
      <c r="DV18" s="9">
        <f t="shared" si="40"/>
        <v>894.30223939457107</v>
      </c>
      <c r="DW18" s="9">
        <f t="shared" si="40"/>
        <v>946.30323023429344</v>
      </c>
      <c r="DX18" s="9">
        <f t="shared" si="40"/>
        <v>1001.3279226026439</v>
      </c>
      <c r="DY18" s="9">
        <f t="shared" si="40"/>
        <v>1059.5521356674226</v>
      </c>
      <c r="DZ18" s="9">
        <f t="shared" si="40"/>
        <v>1121.1619119532902</v>
      </c>
      <c r="EA18" s="9">
        <f t="shared" si="40"/>
        <v>1186.3541117992818</v>
      </c>
      <c r="EB18" s="9">
        <f t="shared" si="40"/>
        <v>1255.3370423822419</v>
      </c>
      <c r="EC18" s="9">
        <f t="shared" si="40"/>
        <v>1328.3311233160834</v>
      </c>
      <c r="ED18" s="9">
        <f t="shared" si="40"/>
        <v>1405.5695909536464</v>
      </c>
      <c r="EE18" s="9">
        <f t="shared" si="40"/>
        <v>1487.2992436415948</v>
      </c>
      <c r="EF18" s="9">
        <f t="shared" si="40"/>
        <v>1573.7812303096491</v>
      </c>
      <c r="EG18" s="9">
        <f t="shared" si="40"/>
        <v>1665.291884913916</v>
      </c>
      <c r="EH18" s="9">
        <f t="shared" si="40"/>
        <v>1762.1236094005919</v>
      </c>
      <c r="EI18" s="9">
        <f t="shared" si="40"/>
        <v>1864.5858080113571</v>
      </c>
      <c r="EJ18" s="9">
        <f t="shared" si="40"/>
        <v>1973.0058759158226</v>
      </c>
      <c r="EK18" s="9">
        <f t="shared" si="40"/>
        <v>2087.7302453299867</v>
      </c>
      <c r="EL18" s="9">
        <f t="shared" si="40"/>
        <v>2209.1254924633408</v>
      </c>
      <c r="EM18" s="9">
        <f t="shared" si="40"/>
        <v>2337.5795088316249</v>
      </c>
      <c r="EN18" s="9">
        <f t="shared" si="40"/>
        <v>2473.5027406779054</v>
      </c>
      <c r="EO18" s="9">
        <f t="shared" si="40"/>
        <v>2617.3295004622673</v>
      </c>
      <c r="EP18" s="9">
        <f t="shared" si="40"/>
        <v>2769.5193546106966</v>
      </c>
      <c r="EQ18" s="9">
        <f t="shared" si="40"/>
        <v>2930.5585919573932</v>
      </c>
      <c r="ER18" s="9">
        <f t="shared" si="40"/>
        <v>3100.9617775725974</v>
      </c>
      <c r="ES18" s="9">
        <f t="shared" si="40"/>
        <v>3281.2733969408409</v>
      </c>
      <c r="ET18" s="9">
        <f t="shared" si="40"/>
        <v>3472.0695957432267</v>
      </c>
      <c r="EU18" s="9">
        <f t="shared" si="40"/>
        <v>3673.9600208028264</v>
      </c>
      <c r="EV18" s="9">
        <f t="shared" si="40"/>
        <v>3887.5897680755288</v>
      </c>
      <c r="EW18" s="9">
        <f t="shared" ref="EW18:FM18" si="41">(1+$M$18)*EV18</f>
        <v>4113.6414439107048</v>
      </c>
      <c r="EX18" s="9">
        <f t="shared" si="41"/>
        <v>4352.8373461679985</v>
      </c>
      <c r="EY18" s="9">
        <f t="shared" si="41"/>
        <v>4605.9417721595064</v>
      </c>
      <c r="EZ18" s="9">
        <f t="shared" si="41"/>
        <v>4873.7634607918726</v>
      </c>
      <c r="FA18" s="9">
        <f t="shared" si="41"/>
        <v>5157.1581767116122</v>
      </c>
      <c r="FB18" s="9">
        <f t="shared" si="41"/>
        <v>5457.0314447107303</v>
      </c>
      <c r="FC18" s="9">
        <f t="shared" si="41"/>
        <v>5774.3414431298197</v>
      </c>
      <c r="FD18" s="9">
        <f t="shared" si="41"/>
        <v>6110.1020655038637</v>
      </c>
      <c r="FE18" s="9">
        <f t="shared" si="41"/>
        <v>6465.3861602335537</v>
      </c>
      <c r="FF18" s="9">
        <f t="shared" si="41"/>
        <v>6841.3289586337669</v>
      </c>
      <c r="FG18" s="9">
        <f t="shared" si="41"/>
        <v>7239.1317023127749</v>
      </c>
      <c r="FH18" s="9">
        <f t="shared" si="41"/>
        <v>7660.0654814726659</v>
      </c>
      <c r="FI18" s="9">
        <f t="shared" si="41"/>
        <v>8105.4752963954115</v>
      </c>
      <c r="FJ18" s="9">
        <f t="shared" si="41"/>
        <v>8576.7843550921643</v>
      </c>
      <c r="FK18" s="9">
        <f t="shared" si="41"/>
        <v>9075.4986208479531</v>
      </c>
      <c r="FL18" s="9">
        <f t="shared" si="41"/>
        <v>9603.2116241924596</v>
      </c>
      <c r="FM18" s="9">
        <f t="shared" si="41"/>
        <v>10161.609554672448</v>
      </c>
      <c r="FN18" s="7">
        <f t="shared" si="18"/>
        <v>8.1335874928577967E-2</v>
      </c>
    </row>
    <row r="19" spans="1:170" x14ac:dyDescent="0.25">
      <c r="A19" s="64">
        <f t="shared" si="26"/>
        <v>6</v>
      </c>
      <c r="B19" s="64" t="s">
        <v>242</v>
      </c>
      <c r="C19" s="64" t="s">
        <v>243</v>
      </c>
      <c r="D19" s="120">
        <f>'GROUP DATA WP2'!G16</f>
        <v>1.25</v>
      </c>
      <c r="E19" s="120">
        <f>'GROUP DATA WP2'!H16</f>
        <v>1.4</v>
      </c>
      <c r="F19" s="120">
        <f t="shared" si="27"/>
        <v>4.9999999999999968E-2</v>
      </c>
      <c r="G19" s="120">
        <f>'OCS SR 3.5'!D15</f>
        <v>31.753333333333334</v>
      </c>
      <c r="H19" s="120">
        <f t="shared" si="28"/>
        <v>1.25</v>
      </c>
      <c r="I19" s="120">
        <f t="shared" si="29"/>
        <v>1.3</v>
      </c>
      <c r="J19" s="120">
        <f t="shared" si="30"/>
        <v>1.35</v>
      </c>
      <c r="K19" s="120">
        <f t="shared" si="31"/>
        <v>1.4000000000000001</v>
      </c>
      <c r="L19" s="120">
        <f t="shared" si="8"/>
        <v>1.5258305921950561</v>
      </c>
      <c r="M19" s="122">
        <f>'OCS SR 3.4 P.1'!O16</f>
        <v>8.9878994425039965E-2</v>
      </c>
      <c r="N19" s="122">
        <f t="shared" si="9"/>
        <v>0.12391076132777568</v>
      </c>
      <c r="O19" s="122">
        <f t="shared" ref="O19:O20" si="42">N19</f>
        <v>0.12391076132777568</v>
      </c>
      <c r="S19" s="9">
        <f t="shared" si="10"/>
        <v>-31.753333333333334</v>
      </c>
      <c r="T19" s="9">
        <f t="shared" si="19"/>
        <v>1.25</v>
      </c>
      <c r="U19" s="9">
        <f t="shared" si="20"/>
        <v>1.3</v>
      </c>
      <c r="V19" s="9">
        <f t="shared" si="21"/>
        <v>1.35</v>
      </c>
      <c r="W19" s="9">
        <f t="shared" si="22"/>
        <v>1.4000000000000001</v>
      </c>
      <c r="X19" s="9">
        <f>(1+$M$19)*W19</f>
        <v>1.5258305921950561</v>
      </c>
      <c r="Y19" s="9">
        <f t="shared" ref="Y19:CJ19" si="43">(1+$M$19)*X19</f>
        <v>1.6629707114845111</v>
      </c>
      <c r="Z19" s="9">
        <f t="shared" si="43"/>
        <v>1.8124368467910323</v>
      </c>
      <c r="AA19" s="9">
        <f t="shared" si="43"/>
        <v>1.9753368480395006</v>
      </c>
      <c r="AB19" s="9">
        <f t="shared" si="43"/>
        <v>2.152878137592019</v>
      </c>
      <c r="AC19" s="9">
        <f t="shared" si="43"/>
        <v>2.3463766597184423</v>
      </c>
      <c r="AD19" s="9">
        <f t="shared" si="43"/>
        <v>2.5572666344363202</v>
      </c>
      <c r="AE19" s="9">
        <f t="shared" si="43"/>
        <v>2.787111188016163</v>
      </c>
      <c r="AF19" s="9">
        <f t="shared" si="43"/>
        <v>3.0376139389458343</v>
      </c>
      <c r="AG19" s="9">
        <f t="shared" si="43"/>
        <v>3.3106316252297709</v>
      </c>
      <c r="AH19" s="9">
        <f t="shared" si="43"/>
        <v>3.6081878666171585</v>
      </c>
      <c r="AI19" s="9">
        <f t="shared" si="43"/>
        <v>3.9324881637653388</v>
      </c>
      <c r="AJ19" s="9">
        <f t="shared" si="43"/>
        <v>4.2859362455129393</v>
      </c>
      <c r="AK19" s="9">
        <f t="shared" si="43"/>
        <v>4.6711518854294738</v>
      </c>
      <c r="AL19" s="9">
        <f t="shared" si="43"/>
        <v>5.0909903196985047</v>
      </c>
      <c r="AM19" s="9">
        <f t="shared" si="43"/>
        <v>5.5485634102606189</v>
      </c>
      <c r="AN19" s="9">
        <f t="shared" si="43"/>
        <v>6.0472627100784138</v>
      </c>
      <c r="AO19" s="9">
        <f t="shared" si="43"/>
        <v>6.5907846014843035</v>
      </c>
      <c r="AP19" s="9">
        <f t="shared" si="43"/>
        <v>7.1831576939377504</v>
      </c>
      <c r="AQ19" s="9">
        <f t="shared" si="43"/>
        <v>7.8287726842653642</v>
      </c>
      <c r="AR19" s="9">
        <f t="shared" si="43"/>
        <v>8.532414900709357</v>
      </c>
      <c r="AS19" s="9">
        <f t="shared" si="43"/>
        <v>9.2992997720023407</v>
      </c>
      <c r="AT19" s="9">
        <f t="shared" si="43"/>
        <v>10.135111484366915</v>
      </c>
      <c r="AU19" s="9">
        <f t="shared" si="43"/>
        <v>11.046045112967487</v>
      </c>
      <c r="AV19" s="9">
        <f t="shared" si="43"/>
        <v>12.038852540094632</v>
      </c>
      <c r="AW19" s="9">
        <f t="shared" si="43"/>
        <v>13.120892500429676</v>
      </c>
      <c r="AX19" s="9">
        <f t="shared" si="43"/>
        <v>14.300185124327344</v>
      </c>
      <c r="AY19" s="9">
        <f t="shared" si="43"/>
        <v>15.5854713833938</v>
      </c>
      <c r="AZ19" s="9">
        <f t="shared" si="43"/>
        <v>16.986277878973471</v>
      </c>
      <c r="BA19" s="9">
        <f t="shared" si="43"/>
        <v>18.512987453759909</v>
      </c>
      <c r="BB19" s="9">
        <f t="shared" si="43"/>
        <v>20.176916149907232</v>
      </c>
      <c r="BC19" s="9">
        <f t="shared" si="43"/>
        <v>21.990397084059243</v>
      </c>
      <c r="BD19" s="9">
        <f t="shared" si="43"/>
        <v>23.966871860981819</v>
      </c>
      <c r="BE19" s="9">
        <f t="shared" si="43"/>
        <v>26.120990203360652</v>
      </c>
      <c r="BF19" s="9">
        <f t="shared" si="43"/>
        <v>28.46871853622503</v>
      </c>
      <c r="BG19" s="9">
        <f t="shared" si="43"/>
        <v>31.027458330830431</v>
      </c>
      <c r="BH19" s="9">
        <f t="shared" si="43"/>
        <v>33.8161750851703</v>
      </c>
      <c r="BI19" s="9">
        <f t="shared" si="43"/>
        <v>36.8555388971265</v>
      </c>
      <c r="BJ19" s="9">
        <f t="shared" si="43"/>
        <v>40.168077672193178</v>
      </c>
      <c r="BK19" s="9">
        <f t="shared" si="43"/>
        <v>43.778344101356801</v>
      </c>
      <c r="BL19" s="9">
        <f t="shared" si="43"/>
        <v>47.713097646780135</v>
      </c>
      <c r="BM19" s="9">
        <f t="shared" si="43"/>
        <v>52.001502884176475</v>
      </c>
      <c r="BN19" s="9">
        <f t="shared" si="43"/>
        <v>56.675345671997071</v>
      </c>
      <c r="BO19" s="9">
        <f t="shared" si="43"/>
        <v>61.769268749687711</v>
      </c>
      <c r="BP19" s="9">
        <f t="shared" si="43"/>
        <v>67.321028511279692</v>
      </c>
      <c r="BQ19" s="9">
        <f t="shared" si="43"/>
        <v>73.371774857532955</v>
      </c>
      <c r="BR19" s="9">
        <f t="shared" si="43"/>
        <v>79.96635620090845</v>
      </c>
      <c r="BS19" s="9">
        <f t="shared" si="43"/>
        <v>87.153651884080659</v>
      </c>
      <c r="BT19" s="9">
        <f t="shared" si="43"/>
        <v>94.986934475891815</v>
      </c>
      <c r="BU19" s="9">
        <f t="shared" si="43"/>
        <v>103.52426463010214</v>
      </c>
      <c r="BV19" s="9">
        <f t="shared" si="43"/>
        <v>112.82892143364745</v>
      </c>
      <c r="BW19" s="9">
        <f t="shared" si="43"/>
        <v>122.96987143416553</v>
      </c>
      <c r="BX19" s="9">
        <f t="shared" si="43"/>
        <v>134.02227982324479</v>
      </c>
      <c r="BY19" s="9">
        <f t="shared" si="43"/>
        <v>146.06806756430936</v>
      </c>
      <c r="BZ19" s="9">
        <f t="shared" si="43"/>
        <v>159.19651859459827</v>
      </c>
      <c r="CA19" s="9">
        <f t="shared" si="43"/>
        <v>173.50494160184795</v>
      </c>
      <c r="CB19" s="9">
        <f t="shared" si="43"/>
        <v>189.09939128079733</v>
      </c>
      <c r="CC19" s="9">
        <f t="shared" si="43"/>
        <v>206.09545441550259</v>
      </c>
      <c r="CD19" s="9">
        <f t="shared" si="43"/>
        <v>224.61910661393964</v>
      </c>
      <c r="CE19" s="9">
        <f t="shared" si="43"/>
        <v>244.80764604505137</v>
      </c>
      <c r="CF19" s="9">
        <f t="shared" si="43"/>
        <v>266.81071109914171</v>
      </c>
      <c r="CG19" s="9">
        <f t="shared" si="43"/>
        <v>290.79138951456241</v>
      </c>
      <c r="CH19" s="9">
        <f t="shared" si="43"/>
        <v>316.92742719159139</v>
      </c>
      <c r="CI19" s="9">
        <f t="shared" si="43"/>
        <v>345.41254565328671</v>
      </c>
      <c r="CJ19" s="9">
        <f t="shared" si="43"/>
        <v>376.45787791839734</v>
      </c>
      <c r="CK19" s="9">
        <f t="shared" ref="CK19:EV19" si="44">(1+$M$19)*CJ19</f>
        <v>410.29353342908735</v>
      </c>
      <c r="CL19" s="9">
        <f t="shared" si="44"/>
        <v>447.17030363279025</v>
      </c>
      <c r="CM19" s="9">
        <f t="shared" si="44"/>
        <v>487.36152086004523</v>
      </c>
      <c r="CN19" s="9">
        <f t="shared" si="44"/>
        <v>531.16508427640429</v>
      </c>
      <c r="CO19" s="9">
        <f t="shared" si="44"/>
        <v>578.90566792485913</v>
      </c>
      <c r="CP19" s="9">
        <f t="shared" si="44"/>
        <v>630.93712722490159</v>
      </c>
      <c r="CQ19" s="9">
        <f t="shared" si="44"/>
        <v>687.64512176529922</v>
      </c>
      <c r="CR19" s="9">
        <f t="shared" si="44"/>
        <v>749.44997383084853</v>
      </c>
      <c r="CS19" s="9">
        <f t="shared" si="44"/>
        <v>816.8097838506377</v>
      </c>
      <c r="CT19" s="9">
        <f t="shared" si="44"/>
        <v>890.22382585966727</v>
      </c>
      <c r="CU19" s="9">
        <f t="shared" si="44"/>
        <v>970.23624814114612</v>
      </c>
      <c r="CV19" s="9">
        <f t="shared" si="44"/>
        <v>1057.440106478796</v>
      </c>
      <c r="CW19" s="9">
        <f t="shared" si="44"/>
        <v>1152.4817599138173</v>
      </c>
      <c r="CX19" s="9">
        <f t="shared" si="44"/>
        <v>1256.0656615880716</v>
      </c>
      <c r="CY19" s="9">
        <f t="shared" si="44"/>
        <v>1368.95958018343</v>
      </c>
      <c r="CZ19" s="9">
        <f t="shared" si="44"/>
        <v>1492.0002906588415</v>
      </c>
      <c r="DA19" s="9">
        <f t="shared" si="44"/>
        <v>1626.0997764651256</v>
      </c>
      <c r="DB19" s="9">
        <f t="shared" si="44"/>
        <v>1772.2519892085934</v>
      </c>
      <c r="DC19" s="9">
        <f t="shared" si="44"/>
        <v>1931.5402158664385</v>
      </c>
      <c r="DD19" s="9">
        <f t="shared" si="44"/>
        <v>2105.1451081600385</v>
      </c>
      <c r="DE19" s="9">
        <f t="shared" si="44"/>
        <v>2294.3534336002549</v>
      </c>
      <c r="DF19" s="9">
        <f t="shared" si="44"/>
        <v>2500.5676130678835</v>
      </c>
      <c r="DG19" s="9">
        <f t="shared" si="44"/>
        <v>2725.3161156222473</v>
      </c>
      <c r="DH19" s="9">
        <f t="shared" si="44"/>
        <v>2970.264787584731</v>
      </c>
      <c r="DI19" s="9">
        <f t="shared" si="44"/>
        <v>3237.2291998689516</v>
      </c>
      <c r="DJ19" s="9">
        <f t="shared" si="44"/>
        <v>3528.1881050765496</v>
      </c>
      <c r="DK19" s="9">
        <f t="shared" si="44"/>
        <v>3845.2981041032172</v>
      </c>
      <c r="DL19" s="9">
        <f t="shared" si="44"/>
        <v>4190.9096309645274</v>
      </c>
      <c r="DM19" s="9">
        <f t="shared" si="44"/>
        <v>4567.5843743218347</v>
      </c>
      <c r="DN19" s="9">
        <f t="shared" si="44"/>
        <v>4978.1142648374071</v>
      </c>
      <c r="DO19" s="9">
        <f t="shared" si="44"/>
        <v>5425.5421690939402</v>
      </c>
      <c r="DP19" s="9">
        <f t="shared" si="44"/>
        <v>5913.1844434627537</v>
      </c>
      <c r="DQ19" s="9">
        <f t="shared" si="44"/>
        <v>6444.6555150909762</v>
      </c>
      <c r="DR19" s="9">
        <f t="shared" si="44"/>
        <v>7023.8946722031415</v>
      </c>
      <c r="DS19" s="9">
        <f t="shared" si="44"/>
        <v>7655.1952622881554</v>
      </c>
      <c r="DT19" s="9">
        <f t="shared" si="44"/>
        <v>8343.2365145899457</v>
      </c>
      <c r="DU19" s="9">
        <f t="shared" si="44"/>
        <v>9093.1182227715653</v>
      </c>
      <c r="DV19" s="9">
        <f t="shared" si="44"/>
        <v>9910.3985448222811</v>
      </c>
      <c r="DW19" s="9">
        <f t="shared" si="44"/>
        <v>10801.135200382287</v>
      </c>
      <c r="DX19" s="9">
        <f t="shared" si="44"/>
        <v>11771.93037084155</v>
      </c>
      <c r="DY19" s="9">
        <f t="shared" si="44"/>
        <v>12829.979635014377</v>
      </c>
      <c r="DZ19" s="9">
        <f t="shared" si="44"/>
        <v>13983.12530310321</v>
      </c>
      <c r="EA19" s="9">
        <f t="shared" si="44"/>
        <v>15239.914544265459</v>
      </c>
      <c r="EB19" s="9">
        <f t="shared" si="44"/>
        <v>16609.66273862758</v>
      </c>
      <c r="EC19" s="9">
        <f t="shared" si="44"/>
        <v>18102.522523314481</v>
      </c>
      <c r="ED19" s="9">
        <f t="shared" si="44"/>
        <v>19729.559044266625</v>
      </c>
      <c r="EE19" s="9">
        <f t="shared" si="44"/>
        <v>21502.831971614763</v>
      </c>
      <c r="EF19" s="9">
        <f t="shared" si="44"/>
        <v>23435.484886514099</v>
      </c>
      <c r="EG19" s="9">
        <f t="shared" si="44"/>
        <v>25541.84270197721</v>
      </c>
      <c r="EH19" s="9">
        <f t="shared" si="44"/>
        <v>27837.517839793469</v>
      </c>
      <c r="EI19" s="9">
        <f t="shared" si="44"/>
        <v>30339.525950523217</v>
      </c>
      <c r="EJ19" s="9">
        <f t="shared" si="44"/>
        <v>33066.412034288653</v>
      </c>
      <c r="EK19" s="9">
        <f t="shared" si="44"/>
        <v>36038.387897174558</v>
      </c>
      <c r="EL19" s="9">
        <f t="shared" si="44"/>
        <v>39277.481962072139</v>
      </c>
      <c r="EM19" s="9">
        <f t="shared" si="44"/>
        <v>42807.702544370826</v>
      </c>
      <c r="EN19" s="9">
        <f t="shared" si="44"/>
        <v>46655.215802705105</v>
      </c>
      <c r="EO19" s="9">
        <f t="shared" si="44"/>
        <v>50848.539683735471</v>
      </c>
      <c r="EP19" s="9">
        <f t="shared" si="44"/>
        <v>55418.755298491356</v>
      </c>
      <c r="EQ19" s="9">
        <f t="shared" si="44"/>
        <v>60399.737297007116</v>
      </c>
      <c r="ER19" s="9">
        <f t="shared" si="44"/>
        <v>65828.404948798692</v>
      </c>
      <c r="ES19" s="9">
        <f t="shared" si="44"/>
        <v>71744.99579020105</v>
      </c>
      <c r="ET19" s="9">
        <f t="shared" si="44"/>
        <v>78193.363866853048</v>
      </c>
      <c r="EU19" s="9">
        <f t="shared" si="44"/>
        <v>85221.304781917061</v>
      </c>
      <c r="EV19" s="9">
        <f t="shared" si="44"/>
        <v>92880.909959305616</v>
      </c>
      <c r="EW19" s="9">
        <f t="shared" ref="EW19:FM19" si="45">(1+$M$19)*EV19</f>
        <v>101228.95274773068</v>
      </c>
      <c r="EX19" s="9">
        <f t="shared" si="45"/>
        <v>110327.3092273966</v>
      </c>
      <c r="EY19" s="9">
        <f t="shared" si="45"/>
        <v>120243.41683837544</v>
      </c>
      <c r="EZ19" s="9">
        <f t="shared" si="45"/>
        <v>131050.77423003955</v>
      </c>
      <c r="FA19" s="9">
        <f t="shared" si="45"/>
        <v>142829.48603645846</v>
      </c>
      <c r="FB19" s="9">
        <f t="shared" si="45"/>
        <v>155666.85661566062</v>
      </c>
      <c r="FC19" s="9">
        <f t="shared" si="45"/>
        <v>169658.03715358308</v>
      </c>
      <c r="FD19" s="9">
        <f t="shared" si="45"/>
        <v>184906.73092907321</v>
      </c>
      <c r="FE19" s="9">
        <f t="shared" si="45"/>
        <v>201525.96196739975</v>
      </c>
      <c r="FF19" s="9">
        <f t="shared" si="45"/>
        <v>219638.91277956849</v>
      </c>
      <c r="FG19" s="9">
        <f t="shared" si="45"/>
        <v>239379.83739680517</v>
      </c>
      <c r="FH19" s="9">
        <f t="shared" si="45"/>
        <v>260895.0564676596</v>
      </c>
      <c r="FI19" s="9">
        <f t="shared" si="45"/>
        <v>284344.04179343686</v>
      </c>
      <c r="FJ19" s="9">
        <f t="shared" si="45"/>
        <v>309900.59834058251</v>
      </c>
      <c r="FK19" s="9">
        <f t="shared" si="45"/>
        <v>337754.15249115229</v>
      </c>
      <c r="FL19" s="9">
        <f t="shared" si="45"/>
        <v>368111.15607993869</v>
      </c>
      <c r="FM19" s="9">
        <f t="shared" si="45"/>
        <v>401196.61662504252</v>
      </c>
      <c r="FN19" s="7">
        <f t="shared" si="18"/>
        <v>0.12391076132777568</v>
      </c>
    </row>
    <row r="20" spans="1:170" x14ac:dyDescent="0.25">
      <c r="A20" s="64">
        <f t="shared" si="26"/>
        <v>7</v>
      </c>
      <c r="B20" s="64" t="s">
        <v>244</v>
      </c>
      <c r="C20" s="64" t="s">
        <v>245</v>
      </c>
      <c r="D20" s="120">
        <f>'GROUP DATA WP2'!G17</f>
        <v>2.46</v>
      </c>
      <c r="E20" s="120">
        <f>'GROUP DATA WP2'!H17</f>
        <v>2.67</v>
      </c>
      <c r="F20" s="120">
        <f t="shared" si="27"/>
        <v>6.9999999999999993E-2</v>
      </c>
      <c r="G20" s="120">
        <f>'OCS SR 3.5'!D16</f>
        <v>83.213333333333338</v>
      </c>
      <c r="H20" s="120">
        <f t="shared" si="28"/>
        <v>2.46</v>
      </c>
      <c r="I20" s="120">
        <f t="shared" si="29"/>
        <v>2.5299999999999998</v>
      </c>
      <c r="J20" s="120">
        <f t="shared" si="30"/>
        <v>2.5999999999999996</v>
      </c>
      <c r="K20" s="120">
        <f t="shared" si="31"/>
        <v>2.6699999999999995</v>
      </c>
      <c r="L20" s="120">
        <f t="shared" si="8"/>
        <v>2.8203034083288583</v>
      </c>
      <c r="M20" s="122">
        <f>'OCS SR 3.4 P.1'!O17</f>
        <v>5.6293411359123094E-2</v>
      </c>
      <c r="N20" s="122">
        <f t="shared" si="9"/>
        <v>8.298716034464948E-2</v>
      </c>
      <c r="O20" s="122">
        <f t="shared" si="42"/>
        <v>8.298716034464948E-2</v>
      </c>
      <c r="S20" s="9">
        <f t="shared" si="10"/>
        <v>-83.213333333333338</v>
      </c>
      <c r="T20" s="9">
        <f t="shared" si="19"/>
        <v>2.46</v>
      </c>
      <c r="U20" s="9">
        <f t="shared" si="20"/>
        <v>2.5299999999999998</v>
      </c>
      <c r="V20" s="9">
        <f t="shared" si="21"/>
        <v>2.5999999999999996</v>
      </c>
      <c r="W20" s="9">
        <f t="shared" si="22"/>
        <v>2.6699999999999995</v>
      </c>
      <c r="X20" s="9">
        <f>(1+$M$20)*W20</f>
        <v>2.8203034083288583</v>
      </c>
      <c r="Y20" s="9">
        <f t="shared" ref="Y20:CJ20" si="46">(1+$M$20)*X20</f>
        <v>2.9790679082514515</v>
      </c>
      <c r="Z20" s="9">
        <f t="shared" si="46"/>
        <v>3.146769803477413</v>
      </c>
      <c r="AA20" s="9">
        <f t="shared" si="46"/>
        <v>3.323912210477034</v>
      </c>
      <c r="AB20" s="9">
        <f t="shared" si="46"/>
        <v>3.5110265678630301</v>
      </c>
      <c r="AC20" s="9">
        <f t="shared" si="46"/>
        <v>3.708674230740554</v>
      </c>
      <c r="AD20" s="9">
        <f t="shared" si="46"/>
        <v>3.9174481548086115</v>
      </c>
      <c r="AE20" s="9">
        <f t="shared" si="46"/>
        <v>4.1379746752652906</v>
      </c>
      <c r="AF20" s="9">
        <f t="shared" si="46"/>
        <v>4.3709153858536336</v>
      </c>
      <c r="AG20" s="9">
        <f t="shared" si="46"/>
        <v>4.6169691236854122</v>
      </c>
      <c r="AH20" s="9">
        <f t="shared" si="46"/>
        <v>4.8768740657974057</v>
      </c>
      <c r="AI20" s="9">
        <f t="shared" si="46"/>
        <v>5.1514099437299787</v>
      </c>
      <c r="AJ20" s="9">
        <f t="shared" si="46"/>
        <v>5.4414003827718478</v>
      </c>
      <c r="AK20" s="9">
        <f t="shared" si="46"/>
        <v>5.7477153728889139</v>
      </c>
      <c r="AL20" s="9">
        <f t="shared" si="46"/>
        <v>6.0712738787501053</v>
      </c>
      <c r="AM20" s="9">
        <f t="shared" si="46"/>
        <v>6.4130465966804842</v>
      </c>
      <c r="AN20" s="9">
        <f t="shared" si="46"/>
        <v>6.7740588668126431</v>
      </c>
      <c r="AO20" s="9">
        <f t="shared" si="46"/>
        <v>7.1553937491730428</v>
      </c>
      <c r="AP20" s="9">
        <f t="shared" si="46"/>
        <v>7.558195272931739</v>
      </c>
      <c r="AQ20" s="9">
        <f t="shared" si="46"/>
        <v>7.9836718685634649</v>
      </c>
      <c r="AR20" s="9">
        <f t="shared" si="46"/>
        <v>8.4330999932167678</v>
      </c>
      <c r="AS20" s="9">
        <f t="shared" si="46"/>
        <v>8.9078279601675376</v>
      </c>
      <c r="AT20" s="9">
        <f t="shared" si="46"/>
        <v>9.409279983845547</v>
      </c>
      <c r="AU20" s="9">
        <f t="shared" si="46"/>
        <v>9.9389604525693276</v>
      </c>
      <c r="AV20" s="9">
        <f t="shared" si="46"/>
        <v>10.49845844180787</v>
      </c>
      <c r="AW20" s="9">
        <f t="shared" si="46"/>
        <v>11.08945248150922</v>
      </c>
      <c r="AX20" s="9">
        <f t="shared" si="46"/>
        <v>11.713715591798268</v>
      </c>
      <c r="AY20" s="9">
        <f t="shared" si="46"/>
        <v>12.373120602151142</v>
      </c>
      <c r="AZ20" s="9">
        <f t="shared" si="46"/>
        <v>13.069645770004078</v>
      </c>
      <c r="BA20" s="9">
        <f t="shared" si="46"/>
        <v>13.805380715652941</v>
      </c>
      <c r="BB20" s="9">
        <f t="shared" si="46"/>
        <v>14.582532691248497</v>
      </c>
      <c r="BC20" s="9">
        <f t="shared" si="46"/>
        <v>15.40343320269481</v>
      </c>
      <c r="BD20" s="9">
        <f t="shared" si="46"/>
        <v>16.270545004316883</v>
      </c>
      <c r="BE20" s="9">
        <f t="shared" si="46"/>
        <v>17.186469487282018</v>
      </c>
      <c r="BF20" s="9">
        <f t="shared" si="46"/>
        <v>18.153954483940602</v>
      </c>
      <c r="BG20" s="9">
        <f t="shared" si="46"/>
        <v>19.175902511499867</v>
      </c>
      <c r="BH20" s="9">
        <f t="shared" si="46"/>
        <v>20.255379479762173</v>
      </c>
      <c r="BI20" s="9">
        <f t="shared" si="46"/>
        <v>21.395623889051567</v>
      </c>
      <c r="BJ20" s="9">
        <f t="shared" si="46"/>
        <v>22.600056545923028</v>
      </c>
      <c r="BK20" s="9">
        <f t="shared" si="46"/>
        <v>23.872290825802118</v>
      </c>
      <c r="BL20" s="9">
        <f t="shared" si="46"/>
        <v>25.216143513343617</v>
      </c>
      <c r="BM20" s="9">
        <f t="shared" si="46"/>
        <v>26.635646253030952</v>
      </c>
      <c r="BN20" s="9">
        <f t="shared" si="46"/>
        <v>28.13505764436891</v>
      </c>
      <c r="BO20" s="9">
        <f t="shared" si="46"/>
        <v>29.71887601795601</v>
      </c>
      <c r="BP20" s="9">
        <f t="shared" si="46"/>
        <v>31.391852930765587</v>
      </c>
      <c r="BQ20" s="9">
        <f t="shared" si="46"/>
        <v>33.159007421122269</v>
      </c>
      <c r="BR20" s="9">
        <f t="shared" si="46"/>
        <v>35.02564106613972</v>
      </c>
      <c r="BS20" s="9">
        <f t="shared" si="46"/>
        <v>36.997353886792922</v>
      </c>
      <c r="BT20" s="9">
        <f t="shared" si="46"/>
        <v>39.080061148341208</v>
      </c>
      <c r="BU20" s="9">
        <f t="shared" si="46"/>
        <v>41.280011106504467</v>
      </c>
      <c r="BV20" s="9">
        <f t="shared" si="46"/>
        <v>43.603803752632096</v>
      </c>
      <c r="BW20" s="9">
        <f t="shared" si="46"/>
        <v>46.05841061410149</v>
      </c>
      <c r="BX20" s="9">
        <f t="shared" si="46"/>
        <v>48.65119566934851</v>
      </c>
      <c r="BY20" s="9">
        <f t="shared" si="46"/>
        <v>51.389937440276334</v>
      </c>
      <c r="BZ20" s="9">
        <f t="shared" si="46"/>
        <v>54.282852328321411</v>
      </c>
      <c r="CA20" s="9">
        <f t="shared" si="46"/>
        <v>57.338619264186143</v>
      </c>
      <c r="CB20" s="9">
        <f t="shared" si="46"/>
        <v>60.566405745189115</v>
      </c>
      <c r="CC20" s="9">
        <f t="shared" si="46"/>
        <v>63.975895338346604</v>
      </c>
      <c r="CD20" s="9">
        <f t="shared" si="46"/>
        <v>67.577316731696357</v>
      </c>
      <c r="CE20" s="9">
        <f t="shared" si="46"/>
        <v>71.38147442101949</v>
      </c>
      <c r="CF20" s="9">
        <f t="shared" si="46"/>
        <v>75.399781124022667</v>
      </c>
      <c r="CG20" s="9">
        <f t="shared" si="46"/>
        <v>79.644292019225119</v>
      </c>
      <c r="CH20" s="9">
        <f t="shared" si="46"/>
        <v>84.127740912269488</v>
      </c>
      <c r="CI20" s="9">
        <f t="shared" si="46"/>
        <v>88.863578438157603</v>
      </c>
      <c r="CJ20" s="9">
        <f t="shared" si="46"/>
        <v>93.866012414020517</v>
      </c>
      <c r="CK20" s="9">
        <f t="shared" ref="CK20:EV20" si="47">(1+$M$20)*CJ20</f>
        <v>99.150050463483538</v>
      </c>
      <c r="CL20" s="9">
        <f t="shared" si="47"/>
        <v>104.73154504050224</v>
      </c>
      <c r="CM20" s="9">
        <f t="shared" si="47"/>
        <v>110.62724098774376</v>
      </c>
      <c r="CN20" s="9">
        <f t="shared" si="47"/>
        <v>116.85482577219167</v>
      </c>
      <c r="CO20" s="9">
        <f t="shared" si="47"/>
        <v>123.43298254868432</v>
      </c>
      <c r="CP20" s="9">
        <f t="shared" si="47"/>
        <v>130.38144621058086</v>
      </c>
      <c r="CQ20" s="9">
        <f t="shared" si="47"/>
        <v>137.72106259571046</v>
      </c>
      <c r="CR20" s="9">
        <f t="shared" si="47"/>
        <v>145.47385102522634</v>
      </c>
      <c r="CS20" s="9">
        <f t="shared" si="47"/>
        <v>153.6630703629852</v>
      </c>
      <c r="CT20" s="9">
        <f t="shared" si="47"/>
        <v>162.3132887936346</v>
      </c>
      <c r="CU20" s="9">
        <f t="shared" si="47"/>
        <v>171.45045752874682</v>
      </c>
      <c r="CV20" s="9">
        <f t="shared" si="47"/>
        <v>181.10198866212244</v>
      </c>
      <c r="CW20" s="9">
        <f t="shared" si="47"/>
        <v>191.29683740783454</v>
      </c>
      <c r="CX20" s="9">
        <f t="shared" si="47"/>
        <v>202.06558896773308</v>
      </c>
      <c r="CY20" s="9">
        <f t="shared" si="47"/>
        <v>213.44055028901718</v>
      </c>
      <c r="CZ20" s="9">
        <f t="shared" si="47"/>
        <v>225.45584698715444</v>
      </c>
      <c r="DA20" s="9">
        <f t="shared" si="47"/>
        <v>238.14752572492185</v>
      </c>
      <c r="DB20" s="9">
        <f t="shared" si="47"/>
        <v>251.55366235471223</v>
      </c>
      <c r="DC20" s="9">
        <f t="shared" si="47"/>
        <v>265.71447614854003</v>
      </c>
      <c r="DD20" s="9">
        <f t="shared" si="47"/>
        <v>280.67245045844373</v>
      </c>
      <c r="DE20" s="9">
        <f t="shared" si="47"/>
        <v>296.47246016927403</v>
      </c>
      <c r="DF20" s="9">
        <f t="shared" si="47"/>
        <v>313.1619063262342</v>
      </c>
      <c r="DG20" s="9">
        <f t="shared" si="47"/>
        <v>330.79085834106411</v>
      </c>
      <c r="DH20" s="9">
        <f t="shared" si="47"/>
        <v>349.41220420349504</v>
      </c>
      <c r="DI20" s="9">
        <f t="shared" si="47"/>
        <v>369.08180914862032</v>
      </c>
      <c r="DJ20" s="9">
        <f t="shared" si="47"/>
        <v>389.85868325619299</v>
      </c>
      <c r="DK20" s="9">
        <f t="shared" si="47"/>
        <v>411.80515848465996</v>
      </c>
      <c r="DL20" s="9">
        <f t="shared" si="47"/>
        <v>434.98707567104583</v>
      </c>
      <c r="DM20" s="9">
        <f t="shared" si="47"/>
        <v>459.47398205769804</v>
      </c>
      <c r="DN20" s="9">
        <f t="shared" si="47"/>
        <v>485.33933993848638</v>
      </c>
      <c r="DO20" s="9">
        <f t="shared" si="47"/>
        <v>512.66074705040887</v>
      </c>
      <c r="DP20" s="9">
        <f t="shared" si="47"/>
        <v>541.52016937179292</v>
      </c>
      <c r="DQ20" s="9">
        <f t="shared" si="47"/>
        <v>572.00418702550132</v>
      </c>
      <c r="DR20" s="9">
        <f t="shared" si="47"/>
        <v>604.20425402486865</v>
      </c>
      <c r="DS20" s="9">
        <f t="shared" si="47"/>
        <v>638.21697264162276</v>
      </c>
      <c r="DT20" s="9">
        <f t="shared" si="47"/>
        <v>674.14438321891191</v>
      </c>
      <c r="DU20" s="9">
        <f t="shared" si="47"/>
        <v>712.0942702988965</v>
      </c>
      <c r="DV20" s="9">
        <f t="shared" si="47"/>
        <v>752.18048598330688</v>
      </c>
      <c r="DW20" s="9">
        <f t="shared" si="47"/>
        <v>794.52329149707032</v>
      </c>
      <c r="DX20" s="9">
        <f t="shared" si="47"/>
        <v>839.24971797971943</v>
      </c>
      <c r="DY20" s="9">
        <f t="shared" si="47"/>
        <v>886.49394758697986</v>
      </c>
      <c r="DZ20" s="9">
        <f t="shared" si="47"/>
        <v>936.39771604586667</v>
      </c>
      <c r="EA20" s="9">
        <f t="shared" si="47"/>
        <v>989.11073787098007</v>
      </c>
      <c r="EB20" s="9">
        <f t="shared" si="47"/>
        <v>1044.791155517677</v>
      </c>
      <c r="EC20" s="9">
        <f t="shared" si="47"/>
        <v>1103.6060138196071</v>
      </c>
      <c r="ED20" s="9">
        <f t="shared" si="47"/>
        <v>1165.7317611339565</v>
      </c>
      <c r="EE20" s="9">
        <f t="shared" si="47"/>
        <v>1231.3547786978654</v>
      </c>
      <c r="EF20" s="9">
        <f t="shared" si="47"/>
        <v>1300.6719397841264</v>
      </c>
      <c r="EG20" s="9">
        <f t="shared" si="47"/>
        <v>1373.8912003336629</v>
      </c>
      <c r="EH20" s="9">
        <f t="shared" si="47"/>
        <v>1451.2322228367252</v>
      </c>
      <c r="EI20" s="9">
        <f t="shared" si="47"/>
        <v>1532.9270353344875</v>
      </c>
      <c r="EJ20" s="9">
        <f t="shared" si="47"/>
        <v>1619.2207275180929</v>
      </c>
      <c r="EK20" s="9">
        <f t="shared" si="47"/>
        <v>1710.3721860134874</v>
      </c>
      <c r="EL20" s="9">
        <f t="shared" si="47"/>
        <v>1806.6548710579473</v>
      </c>
      <c r="EM20" s="9">
        <f t="shared" si="47"/>
        <v>1908.3576368983759</v>
      </c>
      <c r="EN20" s="9">
        <f t="shared" si="47"/>
        <v>2015.7855983726204</v>
      </c>
      <c r="EO20" s="9">
        <f t="shared" si="47"/>
        <v>2129.2610462736066</v>
      </c>
      <c r="EP20" s="9">
        <f t="shared" si="47"/>
        <v>2249.1244142424434</v>
      </c>
      <c r="EQ20" s="9">
        <f t="shared" si="47"/>
        <v>2375.7353000912403</v>
      </c>
      <c r="ER20" s="9">
        <f t="shared" si="47"/>
        <v>2509.4735446196664</v>
      </c>
      <c r="ES20" s="9">
        <f t="shared" si="47"/>
        <v>2650.7403711617781</v>
      </c>
      <c r="ET20" s="9">
        <f t="shared" si="47"/>
        <v>2799.9595892818229</v>
      </c>
      <c r="EU20" s="9">
        <f t="shared" si="47"/>
        <v>2957.5788662301861</v>
      </c>
      <c r="EV20" s="9">
        <f t="shared" si="47"/>
        <v>3124.0710699739311</v>
      </c>
      <c r="EW20" s="9">
        <f t="shared" ref="EW20:FM20" si="48">(1+$M$20)*EV20</f>
        <v>3299.9356878311096</v>
      </c>
      <c r="EX20" s="9">
        <f t="shared" si="48"/>
        <v>3485.7003249648374</v>
      </c>
      <c r="EY20" s="9">
        <f t="shared" si="48"/>
        <v>3681.9222872327123</v>
      </c>
      <c r="EZ20" s="9">
        <f t="shared" si="48"/>
        <v>3889.190253140227</v>
      </c>
      <c r="FA20" s="9">
        <f t="shared" si="48"/>
        <v>4108.126039914142</v>
      </c>
      <c r="FB20" s="9">
        <f t="shared" si="48"/>
        <v>4339.3864689941547</v>
      </c>
      <c r="FC20" s="9">
        <f t="shared" si="48"/>
        <v>4583.6653365394559</v>
      </c>
      <c r="FD20" s="9">
        <f t="shared" si="48"/>
        <v>4841.695494861825</v>
      </c>
      <c r="FE20" s="9">
        <f t="shared" si="48"/>
        <v>5114.2510510296952</v>
      </c>
      <c r="FF20" s="9">
        <f t="shared" si="48"/>
        <v>5402.1496892391378</v>
      </c>
      <c r="FG20" s="9">
        <f t="shared" si="48"/>
        <v>5706.2551239190361</v>
      </c>
      <c r="FH20" s="9">
        <f t="shared" si="48"/>
        <v>6027.4796909299148</v>
      </c>
      <c r="FI20" s="9">
        <f t="shared" si="48"/>
        <v>6366.787084630193</v>
      </c>
      <c r="FJ20" s="9">
        <f t="shared" si="48"/>
        <v>6725.1952490212325</v>
      </c>
      <c r="FK20" s="9">
        <f t="shared" si="48"/>
        <v>7103.7794316448053</v>
      </c>
      <c r="FL20" s="9">
        <f t="shared" si="48"/>
        <v>7503.6754093948639</v>
      </c>
      <c r="FM20" s="9">
        <f t="shared" si="48"/>
        <v>7926.0828959212658</v>
      </c>
      <c r="FN20" s="7">
        <f t="shared" si="18"/>
        <v>8.298716034464948E-2</v>
      </c>
    </row>
    <row r="21" spans="1:170" x14ac:dyDescent="0.25">
      <c r="A21" s="64">
        <f t="shared" si="26"/>
        <v>8</v>
      </c>
      <c r="B21" s="64" t="s">
        <v>246</v>
      </c>
      <c r="C21" s="64" t="s">
        <v>247</v>
      </c>
      <c r="D21" s="120">
        <f>'GROUP DATA WP2'!G18</f>
        <v>2.2999999999999998</v>
      </c>
      <c r="E21" s="120">
        <f>'GROUP DATA WP2'!H18</f>
        <v>2.6</v>
      </c>
      <c r="F21" s="120">
        <f t="shared" si="27"/>
        <v>0.10000000000000009</v>
      </c>
      <c r="G21" s="120">
        <f>'OCS SR 3.5'!D17</f>
        <v>85.12</v>
      </c>
      <c r="H21" s="120">
        <f t="shared" si="28"/>
        <v>2.2999999999999998</v>
      </c>
      <c r="I21" s="120">
        <f t="shared" si="29"/>
        <v>2.4</v>
      </c>
      <c r="J21" s="120">
        <f t="shared" si="30"/>
        <v>2.5</v>
      </c>
      <c r="K21" s="120">
        <f t="shared" si="31"/>
        <v>2.6</v>
      </c>
      <c r="L21" s="120">
        <f t="shared" si="8"/>
        <v>2.7998464458430896</v>
      </c>
      <c r="M21" s="122">
        <f>'OCS SR 3.4 P.1'!O18</f>
        <v>7.6864017631957521E-2</v>
      </c>
      <c r="N21" s="122">
        <f t="shared" si="9"/>
        <v>0.1004897724188254</v>
      </c>
      <c r="O21" s="74">
        <f>N21</f>
        <v>0.1004897724188254</v>
      </c>
      <c r="S21" s="9">
        <f t="shared" si="10"/>
        <v>-85.12</v>
      </c>
      <c r="T21" s="9">
        <f t="shared" si="19"/>
        <v>2.2999999999999998</v>
      </c>
      <c r="U21" s="9">
        <f t="shared" si="20"/>
        <v>2.4</v>
      </c>
      <c r="V21" s="9">
        <f t="shared" si="21"/>
        <v>2.5</v>
      </c>
      <c r="W21" s="9">
        <f t="shared" si="22"/>
        <v>2.6</v>
      </c>
      <c r="X21" s="9">
        <f>(1+$M$21)*W21</f>
        <v>2.7998464458430896</v>
      </c>
      <c r="Y21" s="9">
        <f t="shared" ref="Y21:CJ21" si="49">(1+$M$21)*X21</f>
        <v>3.0150538924231465</v>
      </c>
      <c r="Z21" s="9">
        <f t="shared" si="49"/>
        <v>3.2468030479716612</v>
      </c>
      <c r="AA21" s="9">
        <f t="shared" si="49"/>
        <v>3.4963653746984482</v>
      </c>
      <c r="AB21" s="9">
        <f t="shared" si="49"/>
        <v>3.7651100645070352</v>
      </c>
      <c r="AC21" s="9">
        <f t="shared" si="49"/>
        <v>4.054511550891565</v>
      </c>
      <c r="AD21" s="9">
        <f t="shared" si="49"/>
        <v>4.3661575982282699</v>
      </c>
      <c r="AE21" s="9">
        <f t="shared" si="49"/>
        <v>4.7017580128423928</v>
      </c>
      <c r="AF21" s="9">
        <f t="shared" si="49"/>
        <v>5.0631540236427082</v>
      </c>
      <c r="AG21" s="9">
        <f t="shared" si="49"/>
        <v>5.4523283837892977</v>
      </c>
      <c r="AH21" s="9">
        <f t="shared" si="49"/>
        <v>5.871416248816101</v>
      </c>
      <c r="AI21" s="9">
        <f t="shared" si="49"/>
        <v>6.3227168908896632</v>
      </c>
      <c r="AJ21" s="9">
        <f t="shared" si="49"/>
        <v>6.8087063134728814</v>
      </c>
      <c r="AK21" s="9">
        <f t="shared" si="49"/>
        <v>7.3320508356024812</v>
      </c>
      <c r="AL21" s="9">
        <f t="shared" si="49"/>
        <v>7.8956217203086387</v>
      </c>
      <c r="AM21" s="9">
        <f t="shared" si="49"/>
        <v>8.5025109274337076</v>
      </c>
      <c r="AN21" s="9">
        <f t="shared" si="49"/>
        <v>9.1560480772758837</v>
      </c>
      <c r="AO21" s="9">
        <f t="shared" si="49"/>
        <v>9.8598187181266681</v>
      </c>
      <c r="AP21" s="9">
        <f t="shared" si="49"/>
        <v>10.617683997924662</v>
      </c>
      <c r="AQ21" s="9">
        <f t="shared" si="49"/>
        <v>11.433801847951695</v>
      </c>
      <c r="AR21" s="9">
        <f t="shared" si="49"/>
        <v>12.312649794792963</v>
      </c>
      <c r="AS21" s="9">
        <f t="shared" si="49"/>
        <v>13.259049525716046</v>
      </c>
      <c r="AT21" s="9">
        <f t="shared" si="49"/>
        <v>14.278193342243682</v>
      </c>
      <c r="AU21" s="9">
        <f t="shared" si="49"/>
        <v>15.375672647054399</v>
      </c>
      <c r="AV21" s="9">
        <f t="shared" si="49"/>
        <v>16.557508620500794</v>
      </c>
      <c r="AW21" s="9">
        <f t="shared" si="49"/>
        <v>17.830185255048256</v>
      </c>
      <c r="AX21" s="9">
        <f t="shared" si="49"/>
        <v>19.200684928873354</v>
      </c>
      <c r="AY21" s="9">
        <f t="shared" si="49"/>
        <v>20.676526713791937</v>
      </c>
      <c r="AZ21" s="9">
        <f t="shared" si="49"/>
        <v>22.265807627688481</v>
      </c>
      <c r="BA21" s="9">
        <f t="shared" si="49"/>
        <v>23.977247057772903</v>
      </c>
      <c r="BB21" s="9">
        <f t="shared" si="49"/>
        <v>25.820234598387362</v>
      </c>
      <c r="BC21" s="9">
        <f t="shared" si="49"/>
        <v>27.804881565819088</v>
      </c>
      <c r="BD21" s="9">
        <f t="shared" si="49"/>
        <v>29.942076472748695</v>
      </c>
      <c r="BE21" s="9">
        <f t="shared" si="49"/>
        <v>32.243544766687471</v>
      </c>
      <c r="BF21" s="9">
        <f t="shared" si="49"/>
        <v>34.721913160150947</v>
      </c>
      <c r="BG21" s="9">
        <f t="shared" si="49"/>
        <v>37.390778905508085</v>
      </c>
      <c r="BH21" s="9">
        <f t="shared" si="49"/>
        <v>40.264784394573681</v>
      </c>
      <c r="BI21" s="9">
        <f t="shared" si="49"/>
        <v>43.359697492225159</v>
      </c>
      <c r="BJ21" s="9">
        <f t="shared" si="49"/>
        <v>46.692498044783896</v>
      </c>
      <c r="BK21" s="9">
        <f t="shared" si="49"/>
        <v>50.281471037778303</v>
      </c>
      <c r="BL21" s="9">
        <f t="shared" si="49"/>
        <v>54.146306914186852</v>
      </c>
      <c r="BM21" s="9">
        <f t="shared" si="49"/>
        <v>58.308209603544292</v>
      </c>
      <c r="BN21" s="9">
        <f t="shared" si="49"/>
        <v>62.790012854598992</v>
      </c>
      <c r="BO21" s="9">
        <f t="shared" si="49"/>
        <v>67.616305509765724</v>
      </c>
      <c r="BP21" s="9">
        <f t="shared" si="49"/>
        <v>72.813566408676181</v>
      </c>
      <c r="BQ21" s="9">
        <f t="shared" si="49"/>
        <v>78.410309660958376</v>
      </c>
      <c r="BR21" s="9">
        <f t="shared" si="49"/>
        <v>84.437241085265526</v>
      </c>
      <c r="BS21" s="9">
        <f t="shared" si="49"/>
        <v>90.927426672837228</v>
      </c>
      <c r="BT21" s="9">
        <f t="shared" si="49"/>
        <v>97.916473999846716</v>
      </c>
      <c r="BU21" s="9">
        <f t="shared" si="49"/>
        <v>105.44272758383003</v>
      </c>
      <c r="BV21" s="9">
        <f t="shared" si="49"/>
        <v>113.54747925599524</v>
      </c>
      <c r="BW21" s="9">
        <f t="shared" si="49"/>
        <v>122.27519470359239</v>
      </c>
      <c r="BX21" s="9">
        <f t="shared" si="49"/>
        <v>131.67375742524035</v>
      </c>
      <c r="BY21" s="9">
        <f t="shared" si="49"/>
        <v>141.79473143764011</v>
      </c>
      <c r="BZ21" s="9">
        <f t="shared" si="49"/>
        <v>152.69364417498156</v>
      </c>
      <c r="CA21" s="9">
        <f t="shared" si="49"/>
        <v>164.43029113313517</v>
      </c>
      <c r="CB21" s="9">
        <f t="shared" si="49"/>
        <v>177.06906393002038</v>
      </c>
      <c r="CC21" s="9">
        <f t="shared" si="49"/>
        <v>190.67930358201167</v>
      </c>
      <c r="CD21" s="9">
        <f t="shared" si="49"/>
        <v>205.33568093458879</v>
      </c>
      <c r="CE21" s="9">
        <f t="shared" si="49"/>
        <v>221.11860633441503</v>
      </c>
      <c r="CF21" s="9">
        <f t="shared" si="49"/>
        <v>238.11467079045738</v>
      </c>
      <c r="CG21" s="9">
        <f t="shared" si="49"/>
        <v>256.41712104452284</v>
      </c>
      <c r="CH21" s="9">
        <f t="shared" si="49"/>
        <v>276.12637115762482</v>
      </c>
      <c r="CI21" s="9">
        <f t="shared" si="49"/>
        <v>297.35055341893292</v>
      </c>
      <c r="CJ21" s="9">
        <f t="shared" si="49"/>
        <v>320.20611159979808</v>
      </c>
      <c r="CK21" s="9">
        <f t="shared" ref="CK21:EV21" si="50">(1+$M$21)*CJ21</f>
        <v>344.81843980766553</v>
      </c>
      <c r="CL21" s="9">
        <f t="shared" si="50"/>
        <v>371.32257044486602</v>
      </c>
      <c r="CM21" s="9">
        <f t="shared" si="50"/>
        <v>399.86391504668399</v>
      </c>
      <c r="CN21" s="9">
        <f t="shared" si="50"/>
        <v>430.59906206321585</v>
      </c>
      <c r="CO21" s="9">
        <f t="shared" si="50"/>
        <v>463.69663596194721</v>
      </c>
      <c r="CP21" s="9">
        <f t="shared" si="50"/>
        <v>499.33822236440568</v>
      </c>
      <c r="CQ21" s="9">
        <f t="shared" si="50"/>
        <v>537.71936429253367</v>
      </c>
      <c r="CR21" s="9">
        <f t="shared" si="50"/>
        <v>579.05063499055996</v>
      </c>
      <c r="CS21" s="9">
        <f t="shared" si="50"/>
        <v>623.55879320827057</v>
      </c>
      <c r="CT21" s="9">
        <f t="shared" si="50"/>
        <v>671.48802728399323</v>
      </c>
      <c r="CU21" s="9">
        <f t="shared" si="50"/>
        <v>723.10129485279845</v>
      </c>
      <c r="CV21" s="9">
        <f t="shared" si="50"/>
        <v>778.68176553005526</v>
      </c>
      <c r="CW21" s="9">
        <f t="shared" si="50"/>
        <v>838.53437448544116</v>
      </c>
      <c r="CX21" s="9">
        <f t="shared" si="50"/>
        <v>902.98749543089252</v>
      </c>
      <c r="CY21" s="9">
        <f t="shared" si="50"/>
        <v>972.39474220112982</v>
      </c>
      <c r="CZ21" s="9">
        <f t="shared" si="50"/>
        <v>1047.1369088109002</v>
      </c>
      <c r="DA21" s="9">
        <f t="shared" si="50"/>
        <v>1127.6240586328147</v>
      </c>
      <c r="DB21" s="9">
        <f t="shared" si="50"/>
        <v>1214.2977741577868</v>
      </c>
      <c r="DC21" s="9">
        <f t="shared" si="50"/>
        <v>1307.6335796810977</v>
      </c>
      <c r="DD21" s="9">
        <f t="shared" si="50"/>
        <v>1408.1435502058453</v>
      </c>
      <c r="DE21" s="9">
        <f t="shared" si="50"/>
        <v>1516.3791208771945</v>
      </c>
      <c r="DF21" s="9">
        <f t="shared" si="50"/>
        <v>1632.9341123610313</v>
      </c>
      <c r="DG21" s="9">
        <f t="shared" si="50"/>
        <v>1758.4479887653745</v>
      </c>
      <c r="DH21" s="9">
        <f t="shared" si="50"/>
        <v>1893.6093659787164</v>
      </c>
      <c r="DI21" s="9">
        <f t="shared" si="50"/>
        <v>2039.1597896733442</v>
      </c>
      <c r="DJ21" s="9">
        <f t="shared" si="50"/>
        <v>2195.8978037011748</v>
      </c>
      <c r="DK21" s="9">
        <f t="shared" si="50"/>
        <v>2364.6833312028384</v>
      </c>
      <c r="DL21" s="9">
        <f t="shared" si="50"/>
        <v>2546.4423924664093</v>
      </c>
      <c r="DM21" s="9">
        <f t="shared" si="50"/>
        <v>2742.1721854197112</v>
      </c>
      <c r="DN21" s="9">
        <f t="shared" si="50"/>
        <v>2952.9465566296753</v>
      </c>
      <c r="DO21" s="9">
        <f t="shared" si="50"/>
        <v>3179.9218928246869</v>
      </c>
      <c r="DP21" s="9">
        <f t="shared" si="50"/>
        <v>3424.3434652630112</v>
      </c>
      <c r="DQ21" s="9">
        <f t="shared" si="50"/>
        <v>3687.5522617548659</v>
      </c>
      <c r="DR21" s="9">
        <f t="shared" si="50"/>
        <v>3970.9923438211567</v>
      </c>
      <c r="DS21" s="9">
        <f t="shared" si="50"/>
        <v>4276.2187693529941</v>
      </c>
      <c r="DT21" s="9">
        <f t="shared" si="50"/>
        <v>4604.9061242386506</v>
      </c>
      <c r="DU21" s="9">
        <f t="shared" si="50"/>
        <v>4958.8577097656389</v>
      </c>
      <c r="DV21" s="9">
        <f t="shared" si="50"/>
        <v>5340.0154362034336</v>
      </c>
      <c r="DW21" s="9">
        <f t="shared" si="50"/>
        <v>5750.4704768467</v>
      </c>
      <c r="DX21" s="9">
        <f t="shared" si="50"/>
        <v>6192.4747409710953</v>
      </c>
      <c r="DY21" s="9">
        <f t="shared" si="50"/>
        <v>6668.4532286465492</v>
      </c>
      <c r="DZ21" s="9">
        <f t="shared" si="50"/>
        <v>7181.0173351911217</v>
      </c>
      <c r="EA21" s="9">
        <f t="shared" si="50"/>
        <v>7732.9791782586444</v>
      </c>
      <c r="EB21" s="9">
        <f t="shared" si="50"/>
        <v>8327.3670261638763</v>
      </c>
      <c r="EC21" s="9">
        <f t="shared" si="50"/>
        <v>8967.4419120907187</v>
      </c>
      <c r="ED21" s="9">
        <f t="shared" si="50"/>
        <v>9656.7155253352139</v>
      </c>
      <c r="EE21" s="9">
        <f t="shared" si="50"/>
        <v>10398.969477741377</v>
      </c>
      <c r="EF21" s="9">
        <f t="shared" si="50"/>
        <v>11198.276051032679</v>
      </c>
      <c r="EG21" s="9">
        <f t="shared" si="50"/>
        <v>12059.020538866782</v>
      </c>
      <c r="EH21" s="9">
        <f t="shared" si="50"/>
        <v>12985.925306190376</v>
      </c>
      <c r="EI21" s="9">
        <f t="shared" si="50"/>
        <v>13984.075697892677</v>
      </c>
      <c r="EJ21" s="9">
        <f t="shared" si="50"/>
        <v>15058.947938902127</v>
      </c>
      <c r="EK21" s="9">
        <f t="shared" si="50"/>
        <v>16216.439178796631</v>
      </c>
      <c r="EL21" s="9">
        <f t="shared" si="50"/>
        <v>17462.899845763222</v>
      </c>
      <c r="EM21" s="9">
        <f t="shared" si="50"/>
        <v>18805.168487413073</v>
      </c>
      <c r="EN21" s="9">
        <f t="shared" si="50"/>
        <v>20250.609289601522</v>
      </c>
      <c r="EO21" s="9">
        <f t="shared" si="50"/>
        <v>21807.152479095334</v>
      </c>
      <c r="EP21" s="9">
        <f t="shared" si="50"/>
        <v>23483.337831751302</v>
      </c>
      <c r="EQ21" s="9">
        <f t="shared" si="50"/>
        <v>25288.361524908247</v>
      </c>
      <c r="ER21" s="9">
        <f t="shared" si="50"/>
        <v>27232.12659104211</v>
      </c>
      <c r="ES21" s="9">
        <f t="shared" si="50"/>
        <v>29325.297249491668</v>
      </c>
      <c r="ET21" s="9">
        <f t="shared" si="50"/>
        <v>31579.357414338992</v>
      </c>
      <c r="EU21" s="9">
        <f t="shared" si="50"/>
        <v>34006.673699440631</v>
      </c>
      <c r="EV21" s="9">
        <f t="shared" si="50"/>
        <v>36620.563266278659</v>
      </c>
      <c r="EW21" s="9">
        <f t="shared" ref="EW21:FM21" si="51">(1+$M$21)*EV21</f>
        <v>39435.366886870121</v>
      </c>
      <c r="EX21" s="9">
        <f t="shared" si="51"/>
        <v>42466.527622585221</v>
      </c>
      <c r="EY21" s="9">
        <f t="shared" si="51"/>
        <v>45730.67555053562</v>
      </c>
      <c r="EZ21" s="9">
        <f t="shared" si="51"/>
        <v>49245.71900237332</v>
      </c>
      <c r="FA21" s="9">
        <f t="shared" si="51"/>
        <v>53030.942816070165</v>
      </c>
      <c r="FB21" s="9">
        <f t="shared" si="51"/>
        <v>57107.114139723912</v>
      </c>
      <c r="FC21" s="9">
        <f t="shared" si="51"/>
        <v>61496.596367869861</v>
      </c>
      <c r="FD21" s="9">
        <f t="shared" si="51"/>
        <v>66223.471835395176</v>
      </c>
      <c r="FE21" s="9">
        <f t="shared" si="51"/>
        <v>71313.673942200432</v>
      </c>
      <c r="FF21" s="9">
        <f t="shared" si="51"/>
        <v>76795.129433493392</v>
      </c>
      <c r="FG21" s="9">
        <f t="shared" si="51"/>
        <v>82697.911616317884</v>
      </c>
      <c r="FH21" s="9">
        <f t="shared" si="51"/>
        <v>89054.405352920599</v>
      </c>
      <c r="FI21" s="9">
        <f t="shared" si="51"/>
        <v>95899.484736170984</v>
      </c>
      <c r="FJ21" s="9">
        <f t="shared" si="51"/>
        <v>103270.70442182767</v>
      </c>
      <c r="FK21" s="9">
        <f t="shared" si="51"/>
        <v>111208.5056673717</v>
      </c>
      <c r="FL21" s="9">
        <f t="shared" si="51"/>
        <v>119756.43820781221</v>
      </c>
      <c r="FM21" s="9">
        <f t="shared" si="51"/>
        <v>128961.39918575792</v>
      </c>
      <c r="FN21" s="7">
        <f t="shared" si="18"/>
        <v>0.1004897724188254</v>
      </c>
    </row>
    <row r="22" spans="1:170" x14ac:dyDescent="0.25">
      <c r="A22" s="64">
        <f t="shared" si="26"/>
        <v>9</v>
      </c>
      <c r="B22" s="56" t="s">
        <v>132</v>
      </c>
      <c r="C22" s="56"/>
      <c r="D22" s="128">
        <f>AVERAGE(D14:D21)</f>
        <v>1.9500000000000004</v>
      </c>
      <c r="E22" s="128">
        <f t="shared" ref="E22:O22" si="52">AVERAGE(E14:E21)</f>
        <v>2.2257142857142855</v>
      </c>
      <c r="F22" s="128">
        <f t="shared" si="52"/>
        <v>9.1904761904761906E-2</v>
      </c>
      <c r="G22" s="128">
        <f t="shared" si="52"/>
        <v>73.845714285714294</v>
      </c>
      <c r="H22" s="128">
        <f t="shared" si="52"/>
        <v>1.9500000000000004</v>
      </c>
      <c r="I22" s="128">
        <f t="shared" si="52"/>
        <v>2.0419047619047617</v>
      </c>
      <c r="J22" s="128">
        <f t="shared" si="52"/>
        <v>2.1338095238095236</v>
      </c>
      <c r="K22" s="128">
        <f t="shared" si="52"/>
        <v>2.2257142857142855</v>
      </c>
      <c r="L22" s="128">
        <f t="shared" si="52"/>
        <v>2.3987455575163428</v>
      </c>
      <c r="M22" s="60">
        <f t="shared" si="52"/>
        <v>7.6579615092131695E-2</v>
      </c>
      <c r="N22" s="60">
        <f t="shared" si="52"/>
        <v>0.10133207640639706</v>
      </c>
      <c r="O22" s="60">
        <f t="shared" si="52"/>
        <v>9.5248879059511293E-2</v>
      </c>
      <c r="S22" s="9">
        <f>AVERAGE(S14:S21)</f>
        <v>-64.615000000000009</v>
      </c>
      <c r="T22" s="9">
        <f>AVERAGE(T14:T21)</f>
        <v>1.7062500000000003</v>
      </c>
      <c r="U22" s="9">
        <f t="shared" ref="U22:CF22" si="53">AVERAGE(U14:U21)</f>
        <v>1.7866666666666666</v>
      </c>
      <c r="V22" s="9">
        <f t="shared" si="53"/>
        <v>1.867083333333333</v>
      </c>
      <c r="W22" s="9">
        <f t="shared" si="53"/>
        <v>1.9474999999999998</v>
      </c>
      <c r="X22" s="9">
        <f t="shared" si="53"/>
        <v>2.0989023628268</v>
      </c>
      <c r="Y22" s="9">
        <f t="shared" si="53"/>
        <v>2.2632711640136076</v>
      </c>
      <c r="Z22" s="9">
        <f t="shared" si="53"/>
        <v>2.4418194705643894</v>
      </c>
      <c r="AA22" s="9">
        <f t="shared" si="53"/>
        <v>2.6358824317958316</v>
      </c>
      <c r="AB22" s="9">
        <f t="shared" si="53"/>
        <v>2.846930271500951</v>
      </c>
      <c r="AC22" s="9">
        <f t="shared" si="53"/>
        <v>3.0765827201201392</v>
      </c>
      <c r="AD22" s="9">
        <f t="shared" si="53"/>
        <v>3.3266250511817579</v>
      </c>
      <c r="AE22" s="9">
        <f t="shared" si="53"/>
        <v>3.5990259053919411</v>
      </c>
      <c r="AF22" s="9">
        <f t="shared" si="53"/>
        <v>3.8959571071269883</v>
      </c>
      <c r="AG22" s="9">
        <f t="shared" si="53"/>
        <v>4.2198157019806404</v>
      </c>
      <c r="AH22" s="9">
        <f t="shared" si="53"/>
        <v>4.5732484707437173</v>
      </c>
      <c r="AI22" s="9">
        <f t="shared" si="53"/>
        <v>4.9591792050823482</v>
      </c>
      <c r="AJ22" s="9">
        <f t="shared" si="53"/>
        <v>5.3808390636112042</v>
      </c>
      <c r="AK22" s="9">
        <f t="shared" si="53"/>
        <v>5.8418003644528644</v>
      </c>
      <c r="AL22" s="9">
        <f t="shared" si="53"/>
        <v>6.346014212207888</v>
      </c>
      <c r="AM22" s="9">
        <f t="shared" si="53"/>
        <v>6.8978524040633271</v>
      </c>
      <c r="AN22" s="9">
        <f t="shared" si="53"/>
        <v>7.5021541121354067</v>
      </c>
      <c r="AO22" s="9">
        <f t="shared" si="53"/>
        <v>8.1642778977413535</v>
      </c>
      <c r="AP22" s="9">
        <f t="shared" si="53"/>
        <v>8.8901596788730846</v>
      </c>
      <c r="AQ22" s="9">
        <f t="shared" si="53"/>
        <v>9.6863773455381086</v>
      </c>
      <c r="AR22" s="9">
        <f t="shared" si="53"/>
        <v>10.560222799778742</v>
      </c>
      <c r="AS22" s="9">
        <f t="shared" si="53"/>
        <v>11.519782289129983</v>
      </c>
      <c r="AT22" s="9">
        <f t="shared" si="53"/>
        <v>12.574026005206841</v>
      </c>
      <c r="AU22" s="9">
        <f t="shared" si="53"/>
        <v>13.73290803434319</v>
      </c>
      <c r="AV22" s="9">
        <f t="shared" si="53"/>
        <v>15.00747787621483</v>
      </c>
      <c r="AW22" s="9">
        <f t="shared" si="53"/>
        <v>16.410004890827171</v>
      </c>
      <c r="AX22" s="9">
        <f t="shared" si="53"/>
        <v>17.95411719598982</v>
      </c>
      <c r="AY22" s="9">
        <f t="shared" si="53"/>
        <v>19.654956718518736</v>
      </c>
      <c r="AZ22" s="9">
        <f t="shared" si="53"/>
        <v>21.52935230523428</v>
      </c>
      <c r="BA22" s="9">
        <f t="shared" si="53"/>
        <v>23.59601302697676</v>
      </c>
      <c r="BB22" s="9">
        <f t="shared" si="53"/>
        <v>25.875744063270769</v>
      </c>
      <c r="BC22" s="9">
        <f t="shared" si="53"/>
        <v>28.391687840222438</v>
      </c>
      <c r="BD22" s="9">
        <f t="shared" si="53"/>
        <v>31.169593413413658</v>
      </c>
      <c r="BE22" s="9">
        <f t="shared" si="53"/>
        <v>34.238117445092819</v>
      </c>
      <c r="BF22" s="9">
        <f t="shared" si="53"/>
        <v>37.629160525483506</v>
      </c>
      <c r="BG22" s="9">
        <f t="shared" si="53"/>
        <v>41.378243036728747</v>
      </c>
      <c r="BH22" s="9">
        <f t="shared" si="53"/>
        <v>45.524925260678089</v>
      </c>
      <c r="BI22" s="9">
        <f t="shared" si="53"/>
        <v>50.113276994930452</v>
      </c>
      <c r="BJ22" s="9">
        <f t="shared" si="53"/>
        <v>55.192402572578665</v>
      </c>
      <c r="BK22" s="9">
        <f t="shared" si="53"/>
        <v>60.81702788816358</v>
      </c>
      <c r="BL22" s="9">
        <f t="shared" si="53"/>
        <v>67.048156824624925</v>
      </c>
      <c r="BM22" s="9">
        <f t="shared" si="53"/>
        <v>73.95380536384296</v>
      </c>
      <c r="BN22" s="9">
        <f t="shared" si="53"/>
        <v>81.60982265825227</v>
      </c>
      <c r="BO22" s="9">
        <f t="shared" si="53"/>
        <v>90.100809455936428</v>
      </c>
      <c r="BP22" s="9">
        <f t="shared" si="53"/>
        <v>99.521145521105609</v>
      </c>
      <c r="BQ22" s="9">
        <f t="shared" si="53"/>
        <v>109.9761390922117</v>
      </c>
      <c r="BR22" s="9">
        <f t="shared" si="53"/>
        <v>121.58331298943095</v>
      </c>
      <c r="BS22" s="9">
        <f t="shared" si="53"/>
        <v>134.47384374233081</v>
      </c>
      <c r="BT22" s="9">
        <f t="shared" si="53"/>
        <v>148.79417208019751</v>
      </c>
      <c r="BU22" s="9">
        <f t="shared" si="53"/>
        <v>164.70780533749812</v>
      </c>
      <c r="BV22" s="9">
        <f t="shared" si="53"/>
        <v>182.39733480416325</v>
      </c>
      <c r="BW22" s="9">
        <f t="shared" si="53"/>
        <v>202.06669382719704</v>
      </c>
      <c r="BX22" s="9">
        <f t="shared" si="53"/>
        <v>223.94368558287223</v>
      </c>
      <c r="BY22" s="9">
        <f t="shared" si="53"/>
        <v>248.28281292818031</v>
      </c>
      <c r="BZ22" s="9">
        <f t="shared" si="53"/>
        <v>275.36844665196884</v>
      </c>
      <c r="CA22" s="9">
        <f t="shared" si="53"/>
        <v>305.51837283152884</v>
      </c>
      <c r="CB22" s="9">
        <f t="shared" si="53"/>
        <v>339.08776491676025</v>
      </c>
      <c r="CC22" s="9">
        <f t="shared" si="53"/>
        <v>376.47363167586468</v>
      </c>
      <c r="CD22" s="9">
        <f t="shared" si="53"/>
        <v>418.11979831606618</v>
      </c>
      <c r="CE22" s="9">
        <f t="shared" si="53"/>
        <v>464.52248502117959</v>
      </c>
      <c r="CF22" s="9">
        <f t="shared" si="53"/>
        <v>516.23655491583247</v>
      </c>
      <c r="CG22" s="9">
        <f t="shared" ref="CG22:ER22" si="54">AVERAGE(CG14:CG21)</f>
        <v>573.88251217573531</v>
      </c>
      <c r="CH22" s="9">
        <f t="shared" si="54"/>
        <v>638.1543407689411</v>
      </c>
      <c r="CI22" s="9">
        <f t="shared" si="54"/>
        <v>709.82828526274113</v>
      </c>
      <c r="CJ22" s="9">
        <f t="shared" si="54"/>
        <v>789.77268740857858</v>
      </c>
      <c r="CK22" s="9">
        <f t="shared" si="54"/>
        <v>878.95900598439903</v>
      </c>
      <c r="CL22" s="9">
        <f t="shared" si="54"/>
        <v>978.47416281116512</v>
      </c>
      <c r="CM22" s="9">
        <f t="shared" si="54"/>
        <v>1089.5343751707485</v>
      </c>
      <c r="CN22" s="9">
        <f t="shared" si="54"/>
        <v>1213.5006542637259</v>
      </c>
      <c r="CO22" s="9">
        <f t="shared" si="54"/>
        <v>1351.8961711130212</v>
      </c>
      <c r="CP22" s="9">
        <f t="shared" si="54"/>
        <v>1506.4257157292434</v>
      </c>
      <c r="CQ22" s="9">
        <f t="shared" si="54"/>
        <v>1678.9975027271419</v>
      </c>
      <c r="CR22" s="9">
        <f t="shared" si="54"/>
        <v>1871.7476072801537</v>
      </c>
      <c r="CS22" s="9">
        <f t="shared" si="54"/>
        <v>2087.0673497256221</v>
      </c>
      <c r="CT22" s="9">
        <f t="shared" si="54"/>
        <v>2327.6339857402199</v>
      </c>
      <c r="CU22" s="9">
        <f t="shared" si="54"/>
        <v>2596.4451023018919</v>
      </c>
      <c r="CV22" s="9">
        <f t="shared" si="54"/>
        <v>2896.8571682115044</v>
      </c>
      <c r="CW22" s="9">
        <f t="shared" si="54"/>
        <v>3232.6287424041252</v>
      </c>
      <c r="CX22" s="9">
        <f t="shared" si="54"/>
        <v>3607.9689043540138</v>
      </c>
      <c r="CY22" s="9">
        <f t="shared" si="54"/>
        <v>4027.5915393739515</v>
      </c>
      <c r="CZ22" s="9">
        <f t="shared" si="54"/>
        <v>4496.7761884313495</v>
      </c>
      <c r="DA22" s="9">
        <f t="shared" si="54"/>
        <v>5021.4362582634594</v>
      </c>
      <c r="DB22" s="9">
        <f t="shared" si="54"/>
        <v>5608.1954842082014</v>
      </c>
      <c r="DC22" s="9">
        <f t="shared" si="54"/>
        <v>6264.4736465498254</v>
      </c>
      <c r="DD22" s="9">
        <f t="shared" si="54"/>
        <v>6998.5826627397328</v>
      </c>
      <c r="DE22" s="9">
        <f t="shared" si="54"/>
        <v>7819.8343141956293</v>
      </c>
      <c r="DF22" s="9">
        <f t="shared" si="54"/>
        <v>8738.6610193059623</v>
      </c>
      <c r="DG22" s="9">
        <f t="shared" si="54"/>
        <v>9766.7512357890191</v>
      </c>
      <c r="DH22" s="9">
        <f t="shared" si="54"/>
        <v>10917.201267941047</v>
      </c>
      <c r="DI22" s="9">
        <f t="shared" si="54"/>
        <v>12204.685470094404</v>
      </c>
      <c r="DJ22" s="9">
        <f t="shared" si="54"/>
        <v>13645.647079643886</v>
      </c>
      <c r="DK22" s="9">
        <f t="shared" si="54"/>
        <v>15258.512184482206</v>
      </c>
      <c r="DL22" s="9">
        <f t="shared" si="54"/>
        <v>17063.929634199292</v>
      </c>
      <c r="DM22" s="9">
        <f t="shared" si="54"/>
        <v>19085.040045965066</v>
      </c>
      <c r="DN22" s="9">
        <f t="shared" si="54"/>
        <v>21347.777439143905</v>
      </c>
      <c r="DO22" s="9">
        <f t="shared" si="54"/>
        <v>23881.207462440172</v>
      </c>
      <c r="DP22" s="9">
        <f t="shared" si="54"/>
        <v>26717.906659426422</v>
      </c>
      <c r="DQ22" s="9">
        <f t="shared" si="54"/>
        <v>29894.387759026187</v>
      </c>
      <c r="DR22" s="9">
        <f t="shared" si="54"/>
        <v>33451.576584056973</v>
      </c>
      <c r="DS22" s="9">
        <f t="shared" si="54"/>
        <v>37435.346851300004</v>
      </c>
      <c r="DT22" s="9">
        <f t="shared" si="54"/>
        <v>41897.119899742378</v>
      </c>
      <c r="DU22" s="9">
        <f t="shared" si="54"/>
        <v>46894.537239721059</v>
      </c>
      <c r="DV22" s="9">
        <f t="shared" si="54"/>
        <v>52492.214776000714</v>
      </c>
      <c r="DW22" s="9">
        <f t="shared" si="54"/>
        <v>58762.588635033579</v>
      </c>
      <c r="DX22" s="9">
        <f t="shared" si="54"/>
        <v>65786.863735017367</v>
      </c>
      <c r="DY22" s="9">
        <f t="shared" si="54"/>
        <v>73656.077592863527</v>
      </c>
      <c r="DZ22" s="9">
        <f t="shared" si="54"/>
        <v>82472.293382732852</v>
      </c>
      <c r="EA22" s="9">
        <f t="shared" si="54"/>
        <v>92349.937966494734</v>
      </c>
      <c r="EB22" s="9">
        <f t="shared" si="54"/>
        <v>103417.3025298726</v>
      </c>
      <c r="EC22" s="9">
        <f t="shared" si="54"/>
        <v>115818.22560445836</v>
      </c>
      <c r="ED22" s="9">
        <f t="shared" si="54"/>
        <v>129713.98066359272</v>
      </c>
      <c r="EE22" s="9">
        <f t="shared" si="54"/>
        <v>145285.39318117002</v>
      </c>
      <c r="EF22" s="9">
        <f t="shared" si="54"/>
        <v>162735.21507245058</v>
      </c>
      <c r="EG22" s="9">
        <f t="shared" si="54"/>
        <v>182290.787835041</v>
      </c>
      <c r="EH22" s="9">
        <f t="shared" si="54"/>
        <v>204207.02952128637</v>
      </c>
      <c r="EI22" s="9">
        <f t="shared" si="54"/>
        <v>228769.78495085909</v>
      </c>
      <c r="EJ22" s="9">
        <f t="shared" si="54"/>
        <v>256299.5833709111</v>
      </c>
      <c r="EK22" s="9">
        <f t="shared" si="54"/>
        <v>287155.85315426963</v>
      </c>
      <c r="EL22" s="9">
        <f t="shared" si="54"/>
        <v>321741.64916502271</v>
      </c>
      <c r="EM22" s="9">
        <f t="shared" si="54"/>
        <v>360508.95519536396</v>
      </c>
      <c r="EN22" s="9">
        <f t="shared" si="54"/>
        <v>403964.63147739344</v>
      </c>
      <c r="EO22" s="9">
        <f t="shared" si="54"/>
        <v>452677.08579925646</v>
      </c>
      <c r="EP22" s="9">
        <f t="shared" si="54"/>
        <v>507283.75631938898</v>
      </c>
      <c r="EQ22" s="9">
        <f t="shared" si="54"/>
        <v>568499.5049022825</v>
      </c>
      <c r="ER22" s="9">
        <f t="shared" si="54"/>
        <v>637126.03183610248</v>
      </c>
      <c r="ES22" s="9">
        <f t="shared" ref="ES22:FM22" si="55">AVERAGE(ES14:ES21)</f>
        <v>714062.43629597989</v>
      </c>
      <c r="ET22" s="9">
        <f t="shared" si="55"/>
        <v>800317.06206561322</v>
      </c>
      <c r="EU22" s="9">
        <f t="shared" si="55"/>
        <v>897020.78502441896</v>
      </c>
      <c r="EV22" s="9">
        <f t="shared" si="55"/>
        <v>1005441.9179728699</v>
      </c>
      <c r="EW22" s="9">
        <f t="shared" si="55"/>
        <v>1127002.9297571885</v>
      </c>
      <c r="EX22" s="9">
        <f t="shared" si="55"/>
        <v>1263299.199649357</v>
      </c>
      <c r="EY22" s="9">
        <f t="shared" si="55"/>
        <v>1416120.0548571383</v>
      </c>
      <c r="EZ22" s="9">
        <f t="shared" si="55"/>
        <v>1587472.3692377906</v>
      </c>
      <c r="FA22" s="9">
        <f t="shared" si="55"/>
        <v>1779607.035168241</v>
      </c>
      <c r="FB22" s="9">
        <f t="shared" si="55"/>
        <v>1995048.6585321878</v>
      </c>
      <c r="FC22" s="9">
        <f t="shared" si="55"/>
        <v>2236628.8694241121</v>
      </c>
      <c r="FD22" s="9">
        <f t="shared" si="55"/>
        <v>2507523.6890060906</v>
      </c>
      <c r="FE22" s="9">
        <f t="shared" si="55"/>
        <v>2811295.4466189397</v>
      </c>
      <c r="FF22" s="9">
        <f t="shared" si="55"/>
        <v>3151939.801455196</v>
      </c>
      <c r="FG22" s="9">
        <f t="shared" si="55"/>
        <v>3533938.4906449262</v>
      </c>
      <c r="FH22" s="9">
        <f t="shared" si="55"/>
        <v>3962318.5013807402</v>
      </c>
      <c r="FI22" s="9">
        <f t="shared" si="55"/>
        <v>4442718.4497190621</v>
      </c>
      <c r="FJ22" s="9">
        <f t="shared" si="55"/>
        <v>4981463.0440664534</v>
      </c>
      <c r="FK22" s="9">
        <f t="shared" si="55"/>
        <v>5585646.6183554092</v>
      </c>
      <c r="FL22" s="9">
        <f t="shared" si="55"/>
        <v>6263226.8399507189</v>
      </c>
      <c r="FM22" s="9">
        <f t="shared" si="55"/>
        <v>7023129.8319945289</v>
      </c>
      <c r="FN22" s="7" t="e">
        <f>AVERAGE(FN14:FN21)</f>
        <v>#NUM!</v>
      </c>
    </row>
    <row r="23" spans="1:170" x14ac:dyDescent="0.25">
      <c r="B23" s="56" t="s">
        <v>91</v>
      </c>
      <c r="C23" s="56"/>
      <c r="D23" s="128">
        <f>MEDIAN(D14:D21)</f>
        <v>2.16</v>
      </c>
      <c r="E23" s="128">
        <f t="shared" ref="E23:O23" si="56">MEDIAN(E14:E21)</f>
        <v>2.6</v>
      </c>
      <c r="F23" s="128">
        <f t="shared" si="56"/>
        <v>7.333333333333332E-2</v>
      </c>
      <c r="G23" s="128">
        <f t="shared" si="56"/>
        <v>83.213333333333338</v>
      </c>
      <c r="H23" s="128">
        <f t="shared" si="56"/>
        <v>2.16</v>
      </c>
      <c r="I23" s="128">
        <f t="shared" si="56"/>
        <v>2.3233333333333333</v>
      </c>
      <c r="J23" s="128">
        <f t="shared" si="56"/>
        <v>2.4866666666666664</v>
      </c>
      <c r="K23" s="128">
        <f t="shared" si="56"/>
        <v>2.6</v>
      </c>
      <c r="L23" s="128">
        <f t="shared" si="56"/>
        <v>2.7998464458430896</v>
      </c>
      <c r="M23" s="60">
        <f t="shared" si="56"/>
        <v>7.6864017631957521E-2</v>
      </c>
      <c r="N23" s="60">
        <f t="shared" si="56"/>
        <v>0.1004897724188254</v>
      </c>
      <c r="O23" s="60">
        <f t="shared" si="56"/>
        <v>9.1738466381737438E-2</v>
      </c>
    </row>
    <row r="24" spans="1:170" x14ac:dyDescent="0.25">
      <c r="B24" s="72" t="s">
        <v>335</v>
      </c>
    </row>
    <row r="25" spans="1:170" x14ac:dyDescent="0.25">
      <c r="B25" s="72" t="s">
        <v>191</v>
      </c>
    </row>
    <row r="26" spans="1:170" x14ac:dyDescent="0.25">
      <c r="B26" s="114" t="s">
        <v>192</v>
      </c>
    </row>
    <row r="27" spans="1:170" x14ac:dyDescent="0.25">
      <c r="B27" s="114" t="s">
        <v>193</v>
      </c>
    </row>
    <row r="28" spans="1:170" x14ac:dyDescent="0.25">
      <c r="B28" s="114" t="s">
        <v>194</v>
      </c>
    </row>
    <row r="29" spans="1:170" x14ac:dyDescent="0.25">
      <c r="B29" s="114" t="s">
        <v>195</v>
      </c>
    </row>
    <row r="30" spans="1:170" x14ac:dyDescent="0.25">
      <c r="B30" s="114"/>
    </row>
    <row r="31" spans="1:170" x14ac:dyDescent="0.25">
      <c r="B31" s="114"/>
    </row>
    <row r="32" spans="1:170" x14ac:dyDescent="0.25">
      <c r="B32" s="114"/>
    </row>
    <row r="33" spans="2:2" x14ac:dyDescent="0.25">
      <c r="B33" s="114"/>
    </row>
    <row r="34" spans="2:2" x14ac:dyDescent="0.25">
      <c r="B34" s="114"/>
    </row>
    <row r="35" spans="2:2" x14ac:dyDescent="0.25">
      <c r="B35" s="114"/>
    </row>
    <row r="36" spans="2:2" x14ac:dyDescent="0.25">
      <c r="B36" s="114"/>
    </row>
    <row r="37" spans="2:2" x14ac:dyDescent="0.25">
      <c r="B37" s="114"/>
    </row>
    <row r="38" spans="2:2" x14ac:dyDescent="0.25">
      <c r="B38" s="114"/>
    </row>
  </sheetData>
  <mergeCells count="4">
    <mergeCell ref="B6:O6"/>
    <mergeCell ref="B7:O7"/>
    <mergeCell ref="B8:O8"/>
    <mergeCell ref="B9:O9"/>
  </mergeCells>
  <phoneticPr fontId="17" type="noConversion"/>
  <pageMargins left="0.75" right="0.75" top="1" bottom="1" header="0.5" footer="0.5"/>
  <pageSetup scale="61" orientation="landscape" horizontalDpi="4294967292" verticalDpi="4294967292" r:id="rId1"/>
  <headerFooter>
    <oddHeader>&amp;R&amp;"Calibri,Regular"&amp;K000000EXHIBIT OCS 3.6S
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27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5.125" customWidth="1"/>
    <col min="2" max="2" width="30.625" customWidth="1"/>
    <col min="8" max="9" width="1" customWidth="1"/>
    <col min="10" max="10" width="32.5" customWidth="1"/>
    <col min="15" max="15" width="12" customWidth="1"/>
  </cols>
  <sheetData>
    <row r="6" spans="1:18" ht="21" x14ac:dyDescent="0.35">
      <c r="B6" s="224" t="s">
        <v>229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8" ht="21" x14ac:dyDescent="0.35">
      <c r="B7" s="224" t="s">
        <v>250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6"/>
      <c r="Q7" s="16"/>
    </row>
    <row r="8" spans="1:18" ht="21" x14ac:dyDescent="0.35">
      <c r="A8" s="3"/>
      <c r="B8" s="224" t="s">
        <v>231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16"/>
      <c r="Q8" s="16"/>
    </row>
    <row r="9" spans="1:18" ht="21" x14ac:dyDescent="0.35">
      <c r="A9" s="3"/>
      <c r="B9" s="225" t="s">
        <v>346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8" ht="21" x14ac:dyDescent="0.35">
      <c r="A10" s="3"/>
      <c r="B10" s="225" t="s">
        <v>65</v>
      </c>
      <c r="C10" s="225"/>
      <c r="D10" s="225"/>
      <c r="E10" s="225"/>
      <c r="F10" s="225"/>
      <c r="G10" s="225"/>
      <c r="H10" s="130"/>
      <c r="I10" s="130"/>
      <c r="J10" s="225" t="s">
        <v>66</v>
      </c>
      <c r="K10" s="225"/>
      <c r="L10" s="225"/>
      <c r="M10" s="225"/>
      <c r="N10" s="225"/>
      <c r="O10" s="225"/>
    </row>
    <row r="11" spans="1:18" ht="21" x14ac:dyDescent="0.35">
      <c r="A11" s="3"/>
      <c r="B11" s="61"/>
      <c r="C11" s="61" t="s">
        <v>67</v>
      </c>
      <c r="D11" s="61" t="s">
        <v>2</v>
      </c>
      <c r="E11" s="61" t="s">
        <v>52</v>
      </c>
      <c r="F11" s="61" t="s">
        <v>53</v>
      </c>
      <c r="G11" s="61" t="s">
        <v>54</v>
      </c>
      <c r="H11" s="61"/>
      <c r="I11" s="61"/>
      <c r="J11" s="61"/>
      <c r="K11" s="61"/>
      <c r="L11" s="61" t="s">
        <v>55</v>
      </c>
      <c r="M11" s="61" t="s">
        <v>56</v>
      </c>
      <c r="N11" s="61" t="s">
        <v>68</v>
      </c>
      <c r="O11" s="61" t="s">
        <v>69</v>
      </c>
    </row>
    <row r="12" spans="1:18" ht="29.25" customHeight="1" x14ac:dyDescent="0.35">
      <c r="A12" s="167" t="s">
        <v>0</v>
      </c>
      <c r="B12" s="61" t="s">
        <v>7</v>
      </c>
      <c r="C12" s="62" t="s">
        <v>1</v>
      </c>
      <c r="D12" s="62" t="s">
        <v>5</v>
      </c>
      <c r="E12" s="62" t="s">
        <v>87</v>
      </c>
      <c r="F12" s="62" t="s">
        <v>88</v>
      </c>
      <c r="G12" s="62" t="s">
        <v>89</v>
      </c>
      <c r="H12" s="62"/>
      <c r="I12" s="62"/>
      <c r="J12" s="61" t="s">
        <v>7</v>
      </c>
      <c r="K12" s="62" t="s">
        <v>1</v>
      </c>
      <c r="L12" s="62" t="s">
        <v>5</v>
      </c>
      <c r="M12" s="62" t="s">
        <v>87</v>
      </c>
      <c r="N12" s="62" t="s">
        <v>88</v>
      </c>
      <c r="O12" s="62" t="s">
        <v>90</v>
      </c>
      <c r="P12" s="20"/>
    </row>
    <row r="13" spans="1:18" x14ac:dyDescent="0.25">
      <c r="A13" s="64">
        <v>1</v>
      </c>
      <c r="B13" s="64" t="s">
        <v>233</v>
      </c>
      <c r="C13" s="64" t="s">
        <v>232</v>
      </c>
      <c r="D13" s="63">
        <f>'OCS SR 3.2'!D10</f>
        <v>0.6</v>
      </c>
      <c r="E13" s="122">
        <v>9.9400000000000002E-2</v>
      </c>
      <c r="F13" s="122">
        <f>'OCS SR 3.1)'!B94</f>
        <v>2.1566666666666668E-2</v>
      </c>
      <c r="G13" s="131">
        <f t="shared" ref="G13:G20" si="0">(D13*E13)+F13</f>
        <v>8.1206666666666663E-2</v>
      </c>
      <c r="H13" s="122"/>
      <c r="I13" s="56"/>
      <c r="J13" s="64" t="s">
        <v>233</v>
      </c>
      <c r="K13" s="64" t="s">
        <v>232</v>
      </c>
      <c r="L13" s="63">
        <f>D13</f>
        <v>0.6</v>
      </c>
      <c r="M13" s="122">
        <f t="shared" ref="M13:M20" si="1">E13</f>
        <v>9.9400000000000002E-2</v>
      </c>
      <c r="N13" s="122">
        <f>F13</f>
        <v>2.1566666666666668E-2</v>
      </c>
      <c r="O13" s="131">
        <f t="shared" ref="O13:O20" si="2">(0.25*M13)+(0.75*(L13*M13))+N13</f>
        <v>9.1146666666666668E-2</v>
      </c>
      <c r="Q13" s="10"/>
      <c r="R13" s="10"/>
    </row>
    <row r="14" spans="1:18" x14ac:dyDescent="0.25">
      <c r="A14" s="56">
        <f>A13+1</f>
        <v>2</v>
      </c>
      <c r="B14" s="56" t="s">
        <v>234</v>
      </c>
      <c r="C14" s="64" t="s">
        <v>235</v>
      </c>
      <c r="D14" s="63"/>
      <c r="E14" s="122">
        <f>E13</f>
        <v>9.9400000000000002E-2</v>
      </c>
      <c r="F14" s="122">
        <f>F13</f>
        <v>2.1566666666666668E-2</v>
      </c>
      <c r="G14" s="131"/>
      <c r="H14" s="122"/>
      <c r="I14" s="56"/>
      <c r="J14" s="56" t="s">
        <v>234</v>
      </c>
      <c r="K14" s="64" t="s">
        <v>235</v>
      </c>
      <c r="L14" s="63"/>
      <c r="M14" s="122">
        <f>M13</f>
        <v>9.9400000000000002E-2</v>
      </c>
      <c r="N14" s="122">
        <f>N13</f>
        <v>2.1566666666666668E-2</v>
      </c>
      <c r="O14" s="131"/>
      <c r="Q14" s="10"/>
      <c r="R14" s="10"/>
    </row>
    <row r="15" spans="1:18" x14ac:dyDescent="0.25">
      <c r="A15" s="64">
        <f t="shared" ref="A15:A22" si="3">A14+1</f>
        <v>3</v>
      </c>
      <c r="B15" s="64" t="s">
        <v>236</v>
      </c>
      <c r="C15" s="64" t="s">
        <v>237</v>
      </c>
      <c r="D15" s="63">
        <f>'OCS SR 3.2'!D12</f>
        <v>0.7</v>
      </c>
      <c r="E15" s="122">
        <f t="shared" ref="E15:F15" si="4">E14</f>
        <v>9.9400000000000002E-2</v>
      </c>
      <c r="F15" s="122">
        <f t="shared" si="4"/>
        <v>2.1566666666666668E-2</v>
      </c>
      <c r="G15" s="131">
        <f t="shared" si="0"/>
        <v>9.1146666666666668E-2</v>
      </c>
      <c r="H15" s="122"/>
      <c r="I15" s="56"/>
      <c r="J15" s="64" t="s">
        <v>236</v>
      </c>
      <c r="K15" s="64" t="s">
        <v>237</v>
      </c>
      <c r="L15" s="63">
        <f t="shared" ref="L15:L20" si="5">D15</f>
        <v>0.7</v>
      </c>
      <c r="M15" s="122">
        <f>M13</f>
        <v>9.9400000000000002E-2</v>
      </c>
      <c r="N15" s="122">
        <f t="shared" ref="N15:N20" si="6">F15</f>
        <v>2.1566666666666668E-2</v>
      </c>
      <c r="O15" s="131">
        <f t="shared" si="2"/>
        <v>9.8601666666666671E-2</v>
      </c>
    </row>
    <row r="16" spans="1:18" x14ac:dyDescent="0.25">
      <c r="A16" s="56">
        <f t="shared" si="3"/>
        <v>4</v>
      </c>
      <c r="B16" s="56" t="s">
        <v>238</v>
      </c>
      <c r="C16" s="64" t="s">
        <v>239</v>
      </c>
      <c r="D16" s="63">
        <f>'OCS SR 3.2'!D13</f>
        <v>0.6</v>
      </c>
      <c r="E16" s="122">
        <f t="shared" ref="E16:F16" si="7">E15</f>
        <v>9.9400000000000002E-2</v>
      </c>
      <c r="F16" s="122">
        <f t="shared" si="7"/>
        <v>2.1566666666666668E-2</v>
      </c>
      <c r="G16" s="131">
        <f t="shared" si="0"/>
        <v>8.1206666666666663E-2</v>
      </c>
      <c r="H16" s="122"/>
      <c r="I16" s="56"/>
      <c r="J16" s="56" t="s">
        <v>238</v>
      </c>
      <c r="K16" s="64" t="s">
        <v>239</v>
      </c>
      <c r="L16" s="63">
        <f t="shared" si="5"/>
        <v>0.6</v>
      </c>
      <c r="M16" s="122">
        <f>M15</f>
        <v>9.9400000000000002E-2</v>
      </c>
      <c r="N16" s="122">
        <f t="shared" si="6"/>
        <v>2.1566666666666668E-2</v>
      </c>
      <c r="O16" s="131">
        <f t="shared" si="2"/>
        <v>9.1146666666666668E-2</v>
      </c>
      <c r="Q16" s="10"/>
      <c r="R16" s="10"/>
    </row>
    <row r="17" spans="1:18" x14ac:dyDescent="0.25">
      <c r="A17" s="56">
        <f t="shared" si="3"/>
        <v>5</v>
      </c>
      <c r="B17" s="56" t="s">
        <v>240</v>
      </c>
      <c r="C17" s="64" t="s">
        <v>241</v>
      </c>
      <c r="D17" s="63">
        <f>'OCS SR 3.2'!D14</f>
        <v>0.65</v>
      </c>
      <c r="E17" s="122">
        <f t="shared" ref="E17:F17" si="8">E16</f>
        <v>9.9400000000000002E-2</v>
      </c>
      <c r="F17" s="122">
        <f t="shared" si="8"/>
        <v>2.1566666666666668E-2</v>
      </c>
      <c r="G17" s="131">
        <f t="shared" si="0"/>
        <v>8.6176666666666665E-2</v>
      </c>
      <c r="H17" s="122"/>
      <c r="I17" s="56"/>
      <c r="J17" s="56" t="s">
        <v>240</v>
      </c>
      <c r="K17" s="64" t="s">
        <v>241</v>
      </c>
      <c r="L17" s="63">
        <f t="shared" si="5"/>
        <v>0.65</v>
      </c>
      <c r="M17" s="122">
        <f t="shared" si="1"/>
        <v>9.9400000000000002E-2</v>
      </c>
      <c r="N17" s="122">
        <f t="shared" si="6"/>
        <v>2.1566666666666668E-2</v>
      </c>
      <c r="O17" s="131">
        <f t="shared" si="2"/>
        <v>9.4874166666666662E-2</v>
      </c>
    </row>
    <row r="18" spans="1:18" x14ac:dyDescent="0.25">
      <c r="A18" s="64">
        <f t="shared" si="3"/>
        <v>6</v>
      </c>
      <c r="B18" s="64" t="s">
        <v>242</v>
      </c>
      <c r="C18" s="64" t="s">
        <v>243</v>
      </c>
      <c r="D18" s="63">
        <f>'OCS SR 3.2'!D15</f>
        <v>0.8</v>
      </c>
      <c r="E18" s="122">
        <f t="shared" ref="E18:F18" si="9">E17</f>
        <v>9.9400000000000002E-2</v>
      </c>
      <c r="F18" s="122">
        <f t="shared" si="9"/>
        <v>2.1566666666666668E-2</v>
      </c>
      <c r="G18" s="131">
        <f t="shared" si="0"/>
        <v>0.10108666666666667</v>
      </c>
      <c r="H18" s="122"/>
      <c r="I18" s="56"/>
      <c r="J18" s="64" t="s">
        <v>242</v>
      </c>
      <c r="K18" s="64" t="s">
        <v>243</v>
      </c>
      <c r="L18" s="63">
        <f t="shared" si="5"/>
        <v>0.8</v>
      </c>
      <c r="M18" s="122">
        <f t="shared" si="1"/>
        <v>9.9400000000000002E-2</v>
      </c>
      <c r="N18" s="122">
        <f t="shared" si="6"/>
        <v>2.1566666666666668E-2</v>
      </c>
      <c r="O18" s="131">
        <f t="shared" si="2"/>
        <v>0.10605666666666667</v>
      </c>
      <c r="Q18" s="10"/>
      <c r="R18" s="10"/>
    </row>
    <row r="19" spans="1:18" x14ac:dyDescent="0.25">
      <c r="A19" s="64">
        <f t="shared" si="3"/>
        <v>7</v>
      </c>
      <c r="B19" s="64" t="s">
        <v>244</v>
      </c>
      <c r="C19" s="64" t="s">
        <v>245</v>
      </c>
      <c r="D19" s="63">
        <f>'OCS SR 3.2'!D16</f>
        <v>0.65</v>
      </c>
      <c r="E19" s="122">
        <f t="shared" ref="E19:F19" si="10">E18</f>
        <v>9.9400000000000002E-2</v>
      </c>
      <c r="F19" s="122">
        <f t="shared" si="10"/>
        <v>2.1566666666666668E-2</v>
      </c>
      <c r="G19" s="131">
        <f t="shared" si="0"/>
        <v>8.6176666666666665E-2</v>
      </c>
      <c r="H19" s="122"/>
      <c r="I19" s="56"/>
      <c r="J19" s="64" t="s">
        <v>244</v>
      </c>
      <c r="K19" s="64" t="s">
        <v>245</v>
      </c>
      <c r="L19" s="63">
        <f t="shared" si="5"/>
        <v>0.65</v>
      </c>
      <c r="M19" s="122">
        <f t="shared" si="1"/>
        <v>9.9400000000000002E-2</v>
      </c>
      <c r="N19" s="122">
        <f t="shared" si="6"/>
        <v>2.1566666666666668E-2</v>
      </c>
      <c r="O19" s="131">
        <f t="shared" si="2"/>
        <v>9.4874166666666662E-2</v>
      </c>
      <c r="Q19" s="10"/>
      <c r="R19" s="10"/>
    </row>
    <row r="20" spans="1:18" x14ac:dyDescent="0.25">
      <c r="A20" s="56">
        <f t="shared" si="3"/>
        <v>8</v>
      </c>
      <c r="B20" s="64" t="s">
        <v>246</v>
      </c>
      <c r="C20" s="64" t="s">
        <v>247</v>
      </c>
      <c r="D20" s="63">
        <f>'OCS SR 3.2'!D17</f>
        <v>0.7</v>
      </c>
      <c r="E20" s="122">
        <f t="shared" ref="E20:F20" si="11">E19</f>
        <v>9.9400000000000002E-2</v>
      </c>
      <c r="F20" s="122">
        <f t="shared" si="11"/>
        <v>2.1566666666666668E-2</v>
      </c>
      <c r="G20" s="131">
        <f t="shared" si="0"/>
        <v>9.1146666666666668E-2</v>
      </c>
      <c r="H20" s="122"/>
      <c r="I20" s="56"/>
      <c r="J20" s="64" t="s">
        <v>246</v>
      </c>
      <c r="K20" s="64" t="s">
        <v>247</v>
      </c>
      <c r="L20" s="63">
        <f t="shared" si="5"/>
        <v>0.7</v>
      </c>
      <c r="M20" s="122">
        <f t="shared" si="1"/>
        <v>9.9400000000000002E-2</v>
      </c>
      <c r="N20" s="122">
        <f t="shared" si="6"/>
        <v>2.1566666666666668E-2</v>
      </c>
      <c r="O20" s="131">
        <f t="shared" si="2"/>
        <v>9.8601666666666671E-2</v>
      </c>
      <c r="Q20" s="10"/>
      <c r="R20" s="10"/>
    </row>
    <row r="21" spans="1:18" x14ac:dyDescent="0.25">
      <c r="A21" s="32">
        <f t="shared" si="3"/>
        <v>9</v>
      </c>
      <c r="B21" s="56" t="s">
        <v>132</v>
      </c>
      <c r="C21" s="56"/>
      <c r="D21" s="132">
        <f>AVERAGE(D13:D20)</f>
        <v>0.67142857142857137</v>
      </c>
      <c r="E21" s="172">
        <f t="shared" ref="E21:G21" si="12">AVERAGE(E13:E20)</f>
        <v>9.9400000000000016E-2</v>
      </c>
      <c r="F21" s="172">
        <f t="shared" si="12"/>
        <v>2.1566666666666671E-2</v>
      </c>
      <c r="G21" s="172">
        <f t="shared" si="12"/>
        <v>8.8306666666666672E-2</v>
      </c>
      <c r="H21" s="122"/>
      <c r="I21" s="56"/>
      <c r="J21" s="56" t="s">
        <v>132</v>
      </c>
      <c r="K21" s="56"/>
      <c r="L21" s="132">
        <f t="shared" ref="L21:O21" si="13">AVERAGE(L13:L20)</f>
        <v>0.67142857142857137</v>
      </c>
      <c r="M21" s="172">
        <f t="shared" si="13"/>
        <v>9.9400000000000016E-2</v>
      </c>
      <c r="N21" s="172">
        <f t="shared" si="13"/>
        <v>2.1566666666666671E-2</v>
      </c>
      <c r="O21" s="172">
        <f t="shared" si="13"/>
        <v>9.6471666666666664E-2</v>
      </c>
    </row>
    <row r="22" spans="1:18" x14ac:dyDescent="0.25">
      <c r="A22" s="32">
        <f t="shared" si="3"/>
        <v>10</v>
      </c>
      <c r="B22" s="56" t="s">
        <v>91</v>
      </c>
      <c r="C22" s="56"/>
      <c r="D22" s="132">
        <f>MEDIAN(D13:D20)</f>
        <v>0.65</v>
      </c>
      <c r="E22" s="172">
        <f t="shared" ref="E22:G22" si="14">MEDIAN(E13:E20)</f>
        <v>9.9400000000000002E-2</v>
      </c>
      <c r="F22" s="172">
        <f t="shared" si="14"/>
        <v>2.1566666666666668E-2</v>
      </c>
      <c r="G22" s="172">
        <f t="shared" si="14"/>
        <v>8.6176666666666665E-2</v>
      </c>
      <c r="H22" s="66"/>
      <c r="I22" s="66"/>
      <c r="J22" s="56" t="s">
        <v>91</v>
      </c>
      <c r="K22" s="56"/>
      <c r="L22" s="132">
        <f t="shared" ref="L22:O22" si="15">MEDIAN(L13:L20)</f>
        <v>0.65</v>
      </c>
      <c r="M22" s="172">
        <f t="shared" si="15"/>
        <v>9.9400000000000002E-2</v>
      </c>
      <c r="N22" s="172">
        <f t="shared" si="15"/>
        <v>2.1566666666666668E-2</v>
      </c>
      <c r="O22" s="172">
        <f t="shared" si="15"/>
        <v>9.4874166666666662E-2</v>
      </c>
      <c r="Q22" s="7"/>
      <c r="R22" s="7"/>
    </row>
    <row r="23" spans="1:18" x14ac:dyDescent="0.25">
      <c r="B23" s="72" t="s">
        <v>336</v>
      </c>
    </row>
    <row r="24" spans="1:18" x14ac:dyDescent="0.25">
      <c r="B24" s="72" t="s">
        <v>337</v>
      </c>
    </row>
    <row r="25" spans="1:18" x14ac:dyDescent="0.25">
      <c r="B25" s="72" t="s">
        <v>211</v>
      </c>
    </row>
    <row r="26" spans="1:18" x14ac:dyDescent="0.25">
      <c r="B26" s="72" t="s">
        <v>212</v>
      </c>
    </row>
    <row r="27" spans="1:18" x14ac:dyDescent="0.25">
      <c r="B27" s="72"/>
    </row>
  </sheetData>
  <mergeCells count="6">
    <mergeCell ref="B10:G10"/>
    <mergeCell ref="J10:O10"/>
    <mergeCell ref="B9:O9"/>
    <mergeCell ref="B6:O6"/>
    <mergeCell ref="B7:O7"/>
    <mergeCell ref="B8:O8"/>
  </mergeCells>
  <phoneticPr fontId="17" type="noConversion"/>
  <pageMargins left="0.75" right="0.75" top="1" bottom="1" header="0.5" footer="0.5"/>
  <pageSetup scale="61" orientation="landscape" horizontalDpi="4294967292" verticalDpi="4294967292" r:id="rId1"/>
  <headerFooter>
    <oddHeader xml:space="preserve">&amp;R&amp;"Calibri,Regular"&amp;K000000EXHIBIT OCS 3.7S
PAGE 1 OF 1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1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14.375" customWidth="1"/>
    <col min="2" max="2" width="19.375" customWidth="1"/>
    <col min="3" max="3" width="17.625" customWidth="1"/>
    <col min="4" max="4" width="22.375" customWidth="1"/>
  </cols>
  <sheetData>
    <row r="3" spans="1:14" ht="21" x14ac:dyDescent="0.35">
      <c r="A3" s="225" t="s">
        <v>229</v>
      </c>
      <c r="B3" s="225"/>
      <c r="C3" s="225"/>
      <c r="D3" s="225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1" x14ac:dyDescent="0.35">
      <c r="A4" s="225" t="s">
        <v>250</v>
      </c>
      <c r="B4" s="225"/>
      <c r="C4" s="225"/>
      <c r="D4" s="225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1" x14ac:dyDescent="0.35">
      <c r="A5" s="225" t="s">
        <v>231</v>
      </c>
      <c r="B5" s="225"/>
      <c r="C5" s="225"/>
      <c r="D5" s="225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1" x14ac:dyDescent="0.35">
      <c r="A6" s="225" t="s">
        <v>347</v>
      </c>
      <c r="B6" s="225"/>
      <c r="C6" s="225"/>
      <c r="D6" s="225"/>
      <c r="E6" s="16"/>
    </row>
    <row r="7" spans="1:14" x14ac:dyDescent="0.25">
      <c r="A7" s="115"/>
      <c r="B7" s="115"/>
      <c r="C7" s="115"/>
      <c r="D7" s="115"/>
      <c r="E7" s="3"/>
    </row>
    <row r="8" spans="1:14" x14ac:dyDescent="0.25">
      <c r="A8" s="115"/>
      <c r="B8" s="115"/>
      <c r="C8" s="115"/>
      <c r="D8" s="115"/>
      <c r="E8" s="3"/>
    </row>
    <row r="9" spans="1:14" x14ac:dyDescent="0.25">
      <c r="A9" s="115"/>
      <c r="B9" s="115"/>
      <c r="C9" s="115"/>
      <c r="D9" s="115"/>
      <c r="E9" s="3"/>
    </row>
    <row r="10" spans="1:14" x14ac:dyDescent="0.25">
      <c r="A10" s="3"/>
      <c r="B10" s="3"/>
      <c r="C10" s="3"/>
      <c r="D10" s="3"/>
      <c r="E10" s="3"/>
    </row>
    <row r="11" spans="1:14" ht="18.75" x14ac:dyDescent="0.3">
      <c r="A11" s="113"/>
      <c r="B11" s="123" t="s">
        <v>2</v>
      </c>
      <c r="C11" s="123" t="s">
        <v>52</v>
      </c>
      <c r="D11" s="123" t="s">
        <v>53</v>
      </c>
      <c r="E11" s="17"/>
    </row>
    <row r="12" spans="1:14" ht="26.25" x14ac:dyDescent="0.25">
      <c r="A12" s="113" t="s">
        <v>72</v>
      </c>
      <c r="B12" s="62" t="s">
        <v>73</v>
      </c>
      <c r="C12" s="62" t="s">
        <v>308</v>
      </c>
      <c r="D12" s="62" t="s">
        <v>74</v>
      </c>
      <c r="E12" s="4"/>
    </row>
    <row r="13" spans="1:14" x14ac:dyDescent="0.25">
      <c r="A13" s="56">
        <v>1981</v>
      </c>
      <c r="B13" s="133">
        <v>0.13450000000000001</v>
      </c>
      <c r="C13" s="133">
        <f>DEUDCF!B12</f>
        <v>0.15110000000000001</v>
      </c>
      <c r="D13" s="133">
        <f t="shared" ref="D13:D50" si="0">C13-B13</f>
        <v>1.6600000000000004E-2</v>
      </c>
      <c r="E13" s="18"/>
    </row>
    <row r="14" spans="1:14" x14ac:dyDescent="0.25">
      <c r="A14" s="56">
        <f t="shared" ref="A14:A45" si="1">A13+1</f>
        <v>1982</v>
      </c>
      <c r="B14" s="133">
        <v>0.12759999999999999</v>
      </c>
      <c r="C14" s="133">
        <f>DEUDCF!B13</f>
        <v>0.15620000000000001</v>
      </c>
      <c r="D14" s="133">
        <f t="shared" si="0"/>
        <v>2.8600000000000014E-2</v>
      </c>
      <c r="E14" s="18"/>
    </row>
    <row r="15" spans="1:14" x14ac:dyDescent="0.25">
      <c r="A15" s="56">
        <f t="shared" si="1"/>
        <v>1983</v>
      </c>
      <c r="B15" s="133">
        <v>0.1118</v>
      </c>
      <c r="C15" s="133">
        <f>DEUDCF!B14</f>
        <v>0.1525</v>
      </c>
      <c r="D15" s="133">
        <f t="shared" si="0"/>
        <v>4.07E-2</v>
      </c>
      <c r="E15" s="18"/>
    </row>
    <row r="16" spans="1:14" x14ac:dyDescent="0.25">
      <c r="A16" s="56">
        <f t="shared" si="1"/>
        <v>1984</v>
      </c>
      <c r="B16" s="133">
        <v>0.1241</v>
      </c>
      <c r="C16" s="133">
        <f>DEUDCF!B15</f>
        <v>0.15310000000000001</v>
      </c>
      <c r="D16" s="133">
        <f t="shared" si="0"/>
        <v>2.9000000000000012E-2</v>
      </c>
      <c r="E16" s="18"/>
    </row>
    <row r="17" spans="1:5" x14ac:dyDescent="0.25">
      <c r="A17" s="56">
        <f t="shared" si="1"/>
        <v>1985</v>
      </c>
      <c r="B17" s="133">
        <v>0.1079</v>
      </c>
      <c r="C17" s="133">
        <f>DEUDCF!B16</f>
        <v>0.14749999999999999</v>
      </c>
      <c r="D17" s="133">
        <f t="shared" si="0"/>
        <v>3.9599999999999996E-2</v>
      </c>
      <c r="E17" s="18"/>
    </row>
    <row r="18" spans="1:5" x14ac:dyDescent="0.25">
      <c r="A18" s="56">
        <f t="shared" si="1"/>
        <v>1986</v>
      </c>
      <c r="B18" s="133">
        <v>7.7799999999999994E-2</v>
      </c>
      <c r="C18" s="133">
        <f>DEUDCF!B17</f>
        <v>0.1346</v>
      </c>
      <c r="D18" s="133">
        <f t="shared" si="0"/>
        <v>5.6800000000000003E-2</v>
      </c>
      <c r="E18" s="18"/>
    </row>
    <row r="19" spans="1:5" x14ac:dyDescent="0.25">
      <c r="A19" s="56">
        <f t="shared" si="1"/>
        <v>1987</v>
      </c>
      <c r="B19" s="133">
        <v>8.5900000000000004E-2</v>
      </c>
      <c r="C19" s="133">
        <f>DEUDCF!B18</f>
        <v>0.12740000000000001</v>
      </c>
      <c r="D19" s="133">
        <f t="shared" si="0"/>
        <v>4.1500000000000009E-2</v>
      </c>
      <c r="E19" s="18"/>
    </row>
    <row r="20" spans="1:5" x14ac:dyDescent="0.25">
      <c r="A20" s="56">
        <f t="shared" si="1"/>
        <v>1988</v>
      </c>
      <c r="B20" s="133">
        <v>8.9599999999999999E-2</v>
      </c>
      <c r="C20" s="133">
        <f>DEUDCF!B19</f>
        <v>0.1285</v>
      </c>
      <c r="D20" s="133">
        <f t="shared" si="0"/>
        <v>3.8900000000000004E-2</v>
      </c>
      <c r="E20" s="18"/>
    </row>
    <row r="21" spans="1:5" x14ac:dyDescent="0.25">
      <c r="A21" s="56">
        <f t="shared" si="1"/>
        <v>1989</v>
      </c>
      <c r="B21" s="133">
        <v>8.4500000000000006E-2</v>
      </c>
      <c r="C21" s="133">
        <f>DEUDCF!B20</f>
        <v>0.1288</v>
      </c>
      <c r="D21" s="133">
        <f t="shared" si="0"/>
        <v>4.4299999999999992E-2</v>
      </c>
      <c r="E21" s="18"/>
    </row>
    <row r="22" spans="1:5" x14ac:dyDescent="0.25">
      <c r="A22" s="56">
        <f t="shared" si="1"/>
        <v>1990</v>
      </c>
      <c r="B22" s="133">
        <v>8.6099999999999996E-2</v>
      </c>
      <c r="C22" s="133">
        <f>DEUDCF!B21</f>
        <v>0.12670000000000001</v>
      </c>
      <c r="D22" s="133">
        <f t="shared" si="0"/>
        <v>4.0600000000000011E-2</v>
      </c>
      <c r="E22" s="18"/>
    </row>
    <row r="23" spans="1:5" x14ac:dyDescent="0.25">
      <c r="A23" s="56">
        <f t="shared" si="1"/>
        <v>1991</v>
      </c>
      <c r="B23" s="133">
        <v>8.14E-2</v>
      </c>
      <c r="C23" s="133">
        <f>DEUDCF!B22</f>
        <v>0.1246</v>
      </c>
      <c r="D23" s="133">
        <f t="shared" si="0"/>
        <v>4.3200000000000002E-2</v>
      </c>
      <c r="E23" s="18"/>
    </row>
    <row r="24" spans="1:5" x14ac:dyDescent="0.25">
      <c r="A24" s="56">
        <f t="shared" si="1"/>
        <v>1992</v>
      </c>
      <c r="B24" s="133">
        <v>7.6700000000000004E-2</v>
      </c>
      <c r="C24" s="133">
        <f>DEUDCF!B23</f>
        <v>0.1201</v>
      </c>
      <c r="D24" s="133">
        <f t="shared" si="0"/>
        <v>4.3399999999999994E-2</v>
      </c>
      <c r="E24" s="18"/>
    </row>
    <row r="25" spans="1:5" x14ac:dyDescent="0.25">
      <c r="A25" s="56">
        <f t="shared" si="1"/>
        <v>1993</v>
      </c>
      <c r="B25" s="133">
        <v>6.59E-2</v>
      </c>
      <c r="C25" s="133">
        <f>DEUDCF!B24</f>
        <v>0.1135</v>
      </c>
      <c r="D25" s="133">
        <f t="shared" si="0"/>
        <v>4.7600000000000003E-2</v>
      </c>
      <c r="E25" s="18"/>
    </row>
    <row r="26" spans="1:5" x14ac:dyDescent="0.25">
      <c r="A26" s="56">
        <f t="shared" si="1"/>
        <v>1994</v>
      </c>
      <c r="B26" s="133">
        <v>7.3700000000000002E-2</v>
      </c>
      <c r="C26" s="133">
        <f>DEUDCF!B25</f>
        <v>0.1135</v>
      </c>
      <c r="D26" s="133">
        <f t="shared" si="0"/>
        <v>3.9800000000000002E-2</v>
      </c>
      <c r="E26" s="18"/>
    </row>
    <row r="27" spans="1:5" x14ac:dyDescent="0.25">
      <c r="A27" s="56">
        <f t="shared" si="1"/>
        <v>1995</v>
      </c>
      <c r="B27" s="133">
        <v>6.88E-2</v>
      </c>
      <c r="C27" s="133">
        <f>DEUDCF!B26</f>
        <v>0.1143</v>
      </c>
      <c r="D27" s="133">
        <f t="shared" si="0"/>
        <v>4.5499999999999999E-2</v>
      </c>
      <c r="E27" s="18"/>
    </row>
    <row r="28" spans="1:5" x14ac:dyDescent="0.25">
      <c r="A28" s="56">
        <f t="shared" si="1"/>
        <v>1996</v>
      </c>
      <c r="B28" s="133">
        <v>6.7100000000000007E-2</v>
      </c>
      <c r="C28" s="133">
        <f>DEUDCF!B27</f>
        <v>0.1119</v>
      </c>
      <c r="D28" s="133">
        <f t="shared" si="0"/>
        <v>4.4799999999999993E-2</v>
      </c>
      <c r="E28" s="18"/>
    </row>
    <row r="29" spans="1:5" x14ac:dyDescent="0.25">
      <c r="A29" s="56">
        <f t="shared" si="1"/>
        <v>1997</v>
      </c>
      <c r="B29" s="133">
        <v>6.6100000000000006E-2</v>
      </c>
      <c r="C29" s="133">
        <f>DEUDCF!B28</f>
        <v>0.1129</v>
      </c>
      <c r="D29" s="133">
        <f t="shared" si="0"/>
        <v>4.6799999999999994E-2</v>
      </c>
      <c r="E29" s="18"/>
    </row>
    <row r="30" spans="1:5" x14ac:dyDescent="0.25">
      <c r="A30" s="56">
        <f t="shared" si="1"/>
        <v>1998</v>
      </c>
      <c r="B30" s="133">
        <v>5.5800000000000002E-2</v>
      </c>
      <c r="C30" s="133">
        <f>DEUDCF!B29</f>
        <v>0.11509999999999999</v>
      </c>
      <c r="D30" s="133">
        <f t="shared" si="0"/>
        <v>5.9299999999999992E-2</v>
      </c>
      <c r="E30" s="18"/>
    </row>
    <row r="31" spans="1:5" x14ac:dyDescent="0.25">
      <c r="A31" s="56">
        <f t="shared" si="1"/>
        <v>1999</v>
      </c>
      <c r="B31" s="133">
        <v>5.8700000000000002E-2</v>
      </c>
      <c r="C31" s="133">
        <f>DEUDCF!B30</f>
        <v>0.1066</v>
      </c>
      <c r="D31" s="133">
        <f t="shared" si="0"/>
        <v>4.7899999999999998E-2</v>
      </c>
      <c r="E31" s="18"/>
    </row>
    <row r="32" spans="1:5" x14ac:dyDescent="0.25">
      <c r="A32" s="56">
        <f t="shared" si="1"/>
        <v>2000</v>
      </c>
      <c r="B32" s="133">
        <v>5.9400000000000001E-2</v>
      </c>
      <c r="C32" s="133">
        <f>DEUDCF!B31</f>
        <v>0.1139</v>
      </c>
      <c r="D32" s="133">
        <f t="shared" si="0"/>
        <v>5.45E-2</v>
      </c>
      <c r="E32" s="18"/>
    </row>
    <row r="33" spans="1:5" x14ac:dyDescent="0.25">
      <c r="A33" s="56">
        <f t="shared" si="1"/>
        <v>2001</v>
      </c>
      <c r="B33" s="133">
        <v>5.4899999999999997E-2</v>
      </c>
      <c r="C33" s="133">
        <f>DEUDCF!B32</f>
        <v>0.1095</v>
      </c>
      <c r="D33" s="133">
        <f t="shared" si="0"/>
        <v>5.4600000000000003E-2</v>
      </c>
      <c r="E33" s="18"/>
    </row>
    <row r="34" spans="1:5" x14ac:dyDescent="0.25">
      <c r="A34" s="56">
        <f t="shared" si="1"/>
        <v>2002</v>
      </c>
      <c r="B34" s="133">
        <v>5.4300000000000001E-2</v>
      </c>
      <c r="C34" s="133">
        <f>DEUDCF!B33</f>
        <v>0.1103</v>
      </c>
      <c r="D34" s="133">
        <f t="shared" si="0"/>
        <v>5.5999999999999994E-2</v>
      </c>
      <c r="E34" s="18"/>
    </row>
    <row r="35" spans="1:5" x14ac:dyDescent="0.25">
      <c r="A35" s="56">
        <f t="shared" si="1"/>
        <v>2003</v>
      </c>
      <c r="B35" s="133">
        <v>4.9599999999999998E-2</v>
      </c>
      <c r="C35" s="133">
        <f>DEUDCF!B34</f>
        <v>0.1099</v>
      </c>
      <c r="D35" s="133">
        <f t="shared" si="0"/>
        <v>6.0299999999999999E-2</v>
      </c>
      <c r="E35" s="18"/>
    </row>
    <row r="36" spans="1:5" x14ac:dyDescent="0.25">
      <c r="A36" s="56">
        <f t="shared" si="1"/>
        <v>2004</v>
      </c>
      <c r="B36" s="133">
        <v>5.04E-2</v>
      </c>
      <c r="C36" s="133">
        <f>DEUDCF!B35</f>
        <v>0.10589999999999999</v>
      </c>
      <c r="D36" s="133">
        <f t="shared" si="0"/>
        <v>5.5499999999999994E-2</v>
      </c>
      <c r="E36" s="18"/>
    </row>
    <row r="37" spans="1:5" x14ac:dyDescent="0.25">
      <c r="A37" s="56">
        <f t="shared" si="1"/>
        <v>2005</v>
      </c>
      <c r="B37" s="133">
        <v>4.6399999999999997E-2</v>
      </c>
      <c r="C37" s="133">
        <f>DEUDCF!B36</f>
        <v>0.1046</v>
      </c>
      <c r="D37" s="133">
        <f t="shared" si="0"/>
        <v>5.8200000000000002E-2</v>
      </c>
      <c r="E37" s="18"/>
    </row>
    <row r="38" spans="1:5" x14ac:dyDescent="0.25">
      <c r="A38" s="56">
        <f t="shared" si="1"/>
        <v>2006</v>
      </c>
      <c r="B38" s="133">
        <v>4.9099999999999998E-2</v>
      </c>
      <c r="C38" s="133">
        <f>DEUDCF!B37</f>
        <v>0.1043</v>
      </c>
      <c r="D38" s="133">
        <f t="shared" si="0"/>
        <v>5.5200000000000006E-2</v>
      </c>
      <c r="E38" s="18"/>
    </row>
    <row r="39" spans="1:5" x14ac:dyDescent="0.25">
      <c r="A39" s="56">
        <f t="shared" si="1"/>
        <v>2007</v>
      </c>
      <c r="B39" s="133">
        <v>4.8399999999999999E-2</v>
      </c>
      <c r="C39" s="133">
        <f>DEUDCF!B38</f>
        <v>0.1024</v>
      </c>
      <c r="D39" s="133">
        <f t="shared" si="0"/>
        <v>5.4000000000000006E-2</v>
      </c>
      <c r="E39" s="18"/>
    </row>
    <row r="40" spans="1:5" x14ac:dyDescent="0.25">
      <c r="A40" s="56">
        <f t="shared" si="1"/>
        <v>2008</v>
      </c>
      <c r="B40" s="133">
        <v>4.2799999999999998E-2</v>
      </c>
      <c r="C40" s="133">
        <f>DEUDCF!B39</f>
        <v>0.1037</v>
      </c>
      <c r="D40" s="133">
        <f t="shared" si="0"/>
        <v>6.0900000000000003E-2</v>
      </c>
      <c r="E40" s="18"/>
    </row>
    <row r="41" spans="1:5" x14ac:dyDescent="0.25">
      <c r="A41" s="56">
        <f t="shared" si="1"/>
        <v>2009</v>
      </c>
      <c r="B41" s="133">
        <v>4.0800000000000003E-2</v>
      </c>
      <c r="C41" s="133">
        <f>DEUDCF!B40</f>
        <v>0.1019</v>
      </c>
      <c r="D41" s="133">
        <f t="shared" si="0"/>
        <v>6.1100000000000002E-2</v>
      </c>
      <c r="E41" s="18"/>
    </row>
    <row r="42" spans="1:5" x14ac:dyDescent="0.25">
      <c r="A42" s="56">
        <f t="shared" si="1"/>
        <v>2010</v>
      </c>
      <c r="B42" s="133">
        <v>4.2500000000000003E-2</v>
      </c>
      <c r="C42" s="133">
        <f>DEUDCF!B41</f>
        <v>0.1008</v>
      </c>
      <c r="D42" s="133">
        <f t="shared" si="0"/>
        <v>5.8299999999999998E-2</v>
      </c>
      <c r="E42" s="18"/>
    </row>
    <row r="43" spans="1:5" x14ac:dyDescent="0.25">
      <c r="A43" s="56">
        <f t="shared" si="1"/>
        <v>2011</v>
      </c>
      <c r="B43" s="133">
        <v>3.9100000000000003E-2</v>
      </c>
      <c r="C43" s="133">
        <f>DEUDCF!B42</f>
        <v>9.9199999999999997E-2</v>
      </c>
      <c r="D43" s="133">
        <f t="shared" si="0"/>
        <v>6.0099999999999994E-2</v>
      </c>
      <c r="E43" s="18"/>
    </row>
    <row r="44" spans="1:5" x14ac:dyDescent="0.25">
      <c r="A44" s="56">
        <f t="shared" si="1"/>
        <v>2012</v>
      </c>
      <c r="B44" s="133">
        <v>2.92E-2</v>
      </c>
      <c r="C44" s="133">
        <f>DEUDCF!B43</f>
        <v>9.9299999999999999E-2</v>
      </c>
      <c r="D44" s="133">
        <f t="shared" si="0"/>
        <v>7.0099999999999996E-2</v>
      </c>
      <c r="E44" s="18"/>
    </row>
    <row r="45" spans="1:5" x14ac:dyDescent="0.25">
      <c r="A45" s="56">
        <f t="shared" si="1"/>
        <v>2013</v>
      </c>
      <c r="B45" s="133">
        <v>3.4500000000000003E-2</v>
      </c>
      <c r="C45" s="133">
        <f>DEUDCF!B44</f>
        <v>9.6799999999999997E-2</v>
      </c>
      <c r="D45" s="133">
        <f t="shared" si="0"/>
        <v>6.2299999999999994E-2</v>
      </c>
      <c r="E45" s="18"/>
    </row>
    <row r="46" spans="1:5" x14ac:dyDescent="0.25">
      <c r="A46" s="56">
        <v>2014</v>
      </c>
      <c r="B46" s="133">
        <v>3.3399999999999999E-2</v>
      </c>
      <c r="C46" s="133">
        <f>DEUDCF!B45</f>
        <v>9.7799999999999998E-2</v>
      </c>
      <c r="D46" s="133">
        <f t="shared" si="0"/>
        <v>6.4399999999999999E-2</v>
      </c>
      <c r="E46" s="18"/>
    </row>
    <row r="47" spans="1:5" x14ac:dyDescent="0.25">
      <c r="A47" s="56">
        <v>2015</v>
      </c>
      <c r="B47" s="133">
        <v>2.8400000000000002E-2</v>
      </c>
      <c r="C47" s="133">
        <f>DEUDCF!B46</f>
        <v>9.6299999999999997E-2</v>
      </c>
      <c r="D47" s="133">
        <f t="shared" si="0"/>
        <v>6.7899999999999988E-2</v>
      </c>
      <c r="E47" s="18"/>
    </row>
    <row r="48" spans="1:5" x14ac:dyDescent="0.25">
      <c r="A48" s="56">
        <v>2016</v>
      </c>
      <c r="B48" s="133">
        <v>2.5999999999999999E-2</v>
      </c>
      <c r="C48" s="133">
        <f>DEUDCF!B47</f>
        <v>9.5799999999999996E-2</v>
      </c>
      <c r="D48" s="133">
        <f t="shared" si="0"/>
        <v>6.9800000000000001E-2</v>
      </c>
      <c r="E48" s="18"/>
    </row>
    <row r="49" spans="1:5" x14ac:dyDescent="0.25">
      <c r="A49" s="56">
        <v>2017</v>
      </c>
      <c r="B49" s="133">
        <v>2.9000000000000001E-2</v>
      </c>
      <c r="C49" s="133">
        <f>DEUDCF!B48</f>
        <v>9.7199999999999995E-2</v>
      </c>
      <c r="D49" s="133">
        <f t="shared" si="0"/>
        <v>6.8199999999999997E-2</v>
      </c>
      <c r="E49" s="18"/>
    </row>
    <row r="50" spans="1:5" x14ac:dyDescent="0.25">
      <c r="A50" s="56">
        <v>2018</v>
      </c>
      <c r="B50" s="133">
        <v>3.1099999999999999E-2</v>
      </c>
      <c r="C50" s="133">
        <f>DEUDCF!B49</f>
        <v>9.5899999999999999E-2</v>
      </c>
      <c r="D50" s="133">
        <f t="shared" si="0"/>
        <v>6.4799999999999996E-2</v>
      </c>
      <c r="E50" s="18"/>
    </row>
    <row r="51" spans="1:5" x14ac:dyDescent="0.25">
      <c r="A51" s="56" t="s">
        <v>4</v>
      </c>
      <c r="B51" s="133">
        <f>AVERAGE(B13:B50)</f>
        <v>6.4034210526315777E-2</v>
      </c>
      <c r="C51" s="133">
        <f>AVERAGE(C13:C50)</f>
        <v>0.11537894736842107</v>
      </c>
      <c r="D51" s="133">
        <f>AVERAGE(D13:D50)</f>
        <v>5.1344736842105269E-2</v>
      </c>
      <c r="E51" s="18"/>
    </row>
    <row r="52" spans="1:5" x14ac:dyDescent="0.25">
      <c r="A52" s="56"/>
      <c r="B52" s="133"/>
      <c r="C52" s="133"/>
      <c r="D52" s="133"/>
      <c r="E52" s="18"/>
    </row>
    <row r="53" spans="1:5" ht="18.75" x14ac:dyDescent="0.3">
      <c r="A53" s="123" t="s">
        <v>68</v>
      </c>
      <c r="B53" s="134"/>
      <c r="C53" s="134"/>
      <c r="D53" s="134"/>
      <c r="E53" s="19"/>
    </row>
    <row r="54" spans="1:5" x14ac:dyDescent="0.25">
      <c r="A54" s="56" t="s">
        <v>75</v>
      </c>
      <c r="B54" s="56"/>
      <c r="C54" s="135" t="s">
        <v>76</v>
      </c>
      <c r="D54" s="136" t="s">
        <v>77</v>
      </c>
    </row>
    <row r="55" spans="1:5" x14ac:dyDescent="0.25">
      <c r="A55" s="56" t="s">
        <v>78</v>
      </c>
      <c r="B55" s="56"/>
      <c r="C55" s="60">
        <v>2.1999999999999999E-2</v>
      </c>
      <c r="D55" s="122">
        <f>'OCS SR 3.1)'!B94</f>
        <v>2.1566666666666668E-2</v>
      </c>
    </row>
    <row r="56" spans="1:5" x14ac:dyDescent="0.25">
      <c r="A56" s="56" t="s">
        <v>79</v>
      </c>
      <c r="B56" s="56"/>
      <c r="C56" s="60">
        <f>B51</f>
        <v>6.4034210526315777E-2</v>
      </c>
      <c r="D56" s="122">
        <f>B51</f>
        <v>6.4034210526315777E-2</v>
      </c>
    </row>
    <row r="57" spans="1:5" x14ac:dyDescent="0.25">
      <c r="A57" s="56" t="s">
        <v>80</v>
      </c>
      <c r="B57" s="56"/>
      <c r="C57" s="60">
        <f>C55-C56</f>
        <v>-4.2034210526315778E-2</v>
      </c>
      <c r="D57" s="122">
        <f>D55-D56</f>
        <v>-4.2467543859649112E-2</v>
      </c>
    </row>
    <row r="58" spans="1:5" x14ac:dyDescent="0.25">
      <c r="A58" s="56" t="s">
        <v>81</v>
      </c>
      <c r="B58" s="56"/>
      <c r="C58" s="137">
        <f>D58</f>
        <v>-0.40206105565676481</v>
      </c>
      <c r="D58" s="138">
        <f>SLOPE(D13:D50,B13:B50)</f>
        <v>-0.40206105565676481</v>
      </c>
    </row>
    <row r="59" spans="1:5" x14ac:dyDescent="0.25">
      <c r="A59" s="56" t="s">
        <v>82</v>
      </c>
      <c r="B59" s="56"/>
      <c r="C59" s="60">
        <f>C58*C57</f>
        <v>1.6900319057909216E-2</v>
      </c>
      <c r="D59" s="60">
        <f>(D57*D58)</f>
        <v>1.7074545515360483E-2</v>
      </c>
    </row>
    <row r="60" spans="1:5" x14ac:dyDescent="0.25">
      <c r="A60" s="56" t="s">
        <v>83</v>
      </c>
      <c r="B60" s="56"/>
      <c r="C60" s="122">
        <f>D51</f>
        <v>5.1344736842105269E-2</v>
      </c>
      <c r="D60" s="60">
        <f>D51</f>
        <v>5.1344736842105269E-2</v>
      </c>
    </row>
    <row r="61" spans="1:5" x14ac:dyDescent="0.25">
      <c r="A61" s="56" t="s">
        <v>84</v>
      </c>
      <c r="B61" s="56"/>
      <c r="C61" s="122">
        <f>C59+C60</f>
        <v>6.8245055900014479E-2</v>
      </c>
      <c r="D61" s="60">
        <f>D60+D59</f>
        <v>6.8419282357465749E-2</v>
      </c>
    </row>
    <row r="62" spans="1:5" ht="18.75" x14ac:dyDescent="0.3">
      <c r="A62" s="56" t="s">
        <v>85</v>
      </c>
      <c r="B62" s="56"/>
      <c r="C62" s="139">
        <f>C61+C55</f>
        <v>9.024505590001447E-2</v>
      </c>
      <c r="D62" s="79">
        <f>D61+D55</f>
        <v>8.9985949024132414E-2</v>
      </c>
    </row>
    <row r="63" spans="1:5" x14ac:dyDescent="0.25">
      <c r="A63" s="34" t="s">
        <v>71</v>
      </c>
      <c r="D63" s="7"/>
    </row>
    <row r="64" spans="1:5" x14ac:dyDescent="0.25">
      <c r="A64" s="34" t="s">
        <v>226</v>
      </c>
      <c r="D64" s="7"/>
    </row>
    <row r="65" spans="1:4" x14ac:dyDescent="0.25">
      <c r="A65" s="34" t="s">
        <v>227</v>
      </c>
      <c r="D65" s="7"/>
    </row>
    <row r="66" spans="1:4" x14ac:dyDescent="0.25">
      <c r="A66" s="34" t="s">
        <v>309</v>
      </c>
    </row>
    <row r="67" spans="1:4" x14ac:dyDescent="0.25">
      <c r="A67" s="34" t="s">
        <v>117</v>
      </c>
    </row>
    <row r="68" spans="1:4" x14ac:dyDescent="0.25">
      <c r="A68" s="34" t="s">
        <v>172</v>
      </c>
    </row>
    <row r="69" spans="1:4" x14ac:dyDescent="0.25">
      <c r="A69" s="34" t="s">
        <v>262</v>
      </c>
    </row>
    <row r="70" spans="1:4" x14ac:dyDescent="0.25">
      <c r="A70" s="34" t="s">
        <v>86</v>
      </c>
    </row>
    <row r="71" spans="1:4" x14ac:dyDescent="0.25">
      <c r="A71" s="114"/>
    </row>
  </sheetData>
  <mergeCells count="4">
    <mergeCell ref="A6:D6"/>
    <mergeCell ref="A3:D3"/>
    <mergeCell ref="A4:D4"/>
    <mergeCell ref="A5:D5"/>
  </mergeCells>
  <phoneticPr fontId="17" type="noConversion"/>
  <pageMargins left="0.75" right="0.75" top="1" bottom="1" header="0.5" footer="0.5"/>
  <pageSetup scale="57" orientation="portrait" horizontalDpi="4294967292" verticalDpi="4294967292" r:id="rId1"/>
  <headerFooter>
    <oddHeader xml:space="preserve">&amp;R&amp;"Calibri,Regular"&amp;K000000EXHIBIT OCS 3.8S
PAGE 1 OF 1 </oddHead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Layout" topLeftCell="A8" zoomScale="95" zoomScaleNormal="100" zoomScalePageLayoutView="95" workbookViewId="0">
      <selection activeCell="A8" sqref="A8"/>
    </sheetView>
  </sheetViews>
  <sheetFormatPr defaultColWidth="11" defaultRowHeight="15.75" x14ac:dyDescent="0.25"/>
  <cols>
    <col min="1" max="1" width="4.625" customWidth="1"/>
    <col min="2" max="2" width="43" customWidth="1"/>
    <col min="3" max="3" width="16.875" customWidth="1"/>
    <col min="4" max="4" width="15.375" customWidth="1"/>
    <col min="5" max="5" width="15.625" customWidth="1"/>
    <col min="6" max="6" width="14.375" customWidth="1"/>
    <col min="7" max="7" width="13.875" customWidth="1"/>
    <col min="8" max="8" width="15.125" customWidth="1"/>
    <col min="9" max="9" width="13.625" customWidth="1"/>
    <col min="11" max="11" width="12.375" bestFit="1" customWidth="1"/>
    <col min="12" max="12" width="12.875" bestFit="1" customWidth="1"/>
    <col min="13" max="13" width="14.875" bestFit="1" customWidth="1"/>
  </cols>
  <sheetData>
    <row r="1" spans="1:13" x14ac:dyDescent="0.25">
      <c r="A1" t="s">
        <v>323</v>
      </c>
    </row>
    <row r="5" spans="1:13" ht="21" x14ac:dyDescent="0.35">
      <c r="A5" s="3"/>
      <c r="B5" s="224" t="s">
        <v>229</v>
      </c>
      <c r="C5" s="224"/>
      <c r="D5" s="224"/>
      <c r="E5" s="224"/>
      <c r="F5" s="224"/>
      <c r="G5" s="224"/>
      <c r="H5" s="224"/>
      <c r="I5" s="224"/>
      <c r="J5" s="36"/>
      <c r="K5" s="36"/>
      <c r="L5" s="36"/>
      <c r="M5" s="36"/>
    </row>
    <row r="6" spans="1:13" ht="21" x14ac:dyDescent="0.35">
      <c r="A6" s="3"/>
      <c r="B6" s="224" t="s">
        <v>250</v>
      </c>
      <c r="C6" s="224"/>
      <c r="D6" s="224"/>
      <c r="E6" s="224"/>
      <c r="F6" s="224"/>
      <c r="G6" s="224"/>
      <c r="H6" s="224"/>
      <c r="I6" s="224"/>
      <c r="J6" s="36"/>
      <c r="K6" s="36"/>
      <c r="L6" s="36"/>
      <c r="M6" s="36"/>
    </row>
    <row r="7" spans="1:13" ht="21" x14ac:dyDescent="0.35">
      <c r="A7" s="3"/>
      <c r="B7" s="224" t="s">
        <v>263</v>
      </c>
      <c r="C7" s="224"/>
      <c r="D7" s="224"/>
      <c r="E7" s="224"/>
      <c r="F7" s="224"/>
      <c r="G7" s="224"/>
      <c r="H7" s="224"/>
      <c r="I7" s="224"/>
      <c r="J7" s="36"/>
      <c r="K7" s="36"/>
      <c r="L7" s="36"/>
      <c r="M7" s="36"/>
    </row>
    <row r="8" spans="1:13" ht="21" x14ac:dyDescent="0.35">
      <c r="A8" s="3"/>
      <c r="B8" s="225" t="s">
        <v>92</v>
      </c>
      <c r="C8" s="225"/>
      <c r="D8" s="225"/>
      <c r="E8" s="225"/>
      <c r="F8" s="225"/>
      <c r="G8" s="225"/>
      <c r="H8" s="225"/>
      <c r="I8" s="225"/>
    </row>
    <row r="9" spans="1:13" ht="18.75" x14ac:dyDescent="0.3">
      <c r="A9" s="3"/>
      <c r="B9" s="123"/>
      <c r="C9" s="123"/>
      <c r="D9" s="123"/>
      <c r="E9" s="115"/>
      <c r="F9" s="115"/>
      <c r="G9" s="115"/>
      <c r="H9" s="56"/>
      <c r="I9" s="56"/>
    </row>
    <row r="10" spans="1:13" x14ac:dyDescent="0.25">
      <c r="A10" s="3"/>
      <c r="B10" s="229" t="s">
        <v>152</v>
      </c>
      <c r="C10" s="229"/>
      <c r="D10" s="229"/>
      <c r="E10" s="229"/>
      <c r="F10" s="229"/>
      <c r="G10" s="229"/>
      <c r="H10" s="229"/>
      <c r="I10" s="229"/>
    </row>
    <row r="11" spans="1:13" ht="36.75" x14ac:dyDescent="0.25">
      <c r="A11" s="3"/>
      <c r="B11" s="44" t="s">
        <v>75</v>
      </c>
      <c r="C11" s="45" t="s">
        <v>93</v>
      </c>
      <c r="D11" s="45" t="s">
        <v>94</v>
      </c>
      <c r="E11" s="46" t="s">
        <v>95</v>
      </c>
      <c r="F11" s="45" t="s">
        <v>96</v>
      </c>
      <c r="G11" s="45" t="s">
        <v>97</v>
      </c>
      <c r="H11" s="47" t="s">
        <v>196</v>
      </c>
      <c r="I11" s="47" t="s">
        <v>197</v>
      </c>
    </row>
    <row r="12" spans="1:13" x14ac:dyDescent="0.25">
      <c r="A12" s="3"/>
      <c r="B12" s="48" t="s">
        <v>98</v>
      </c>
      <c r="C12" s="49">
        <f>D12*E15</f>
        <v>817296277.95000005</v>
      </c>
      <c r="D12" s="52">
        <v>0.45</v>
      </c>
      <c r="E12" s="53">
        <v>4.3400000000000001E-2</v>
      </c>
      <c r="F12" s="50">
        <f>D12*E12</f>
        <v>1.9530000000000002E-2</v>
      </c>
      <c r="G12" s="51">
        <f>F12*E15</f>
        <v>35470658.463030003</v>
      </c>
      <c r="H12" s="50">
        <f>F12</f>
        <v>1.9530000000000002E-2</v>
      </c>
      <c r="I12" s="51">
        <f>H12*E15</f>
        <v>35470658.463030003</v>
      </c>
    </row>
    <row r="13" spans="1:13" x14ac:dyDescent="0.25">
      <c r="A13" s="3"/>
      <c r="B13" s="48" t="s">
        <v>99</v>
      </c>
      <c r="C13" s="49">
        <f>D13*E15</f>
        <v>998917673.05000007</v>
      </c>
      <c r="D13" s="52">
        <v>0.55000000000000004</v>
      </c>
      <c r="E13" s="53">
        <v>0.105</v>
      </c>
      <c r="F13" s="50">
        <f t="shared" ref="F13" si="0">D13*E13</f>
        <v>5.7750000000000003E-2</v>
      </c>
      <c r="G13" s="51">
        <f>F13*E15</f>
        <v>104886355.67025</v>
      </c>
      <c r="H13" s="50">
        <f>(1.265822785*F13)</f>
        <v>7.3101265833749998E-2</v>
      </c>
      <c r="I13" s="51">
        <f>H13*E15</f>
        <v>132767538.84301639</v>
      </c>
    </row>
    <row r="14" spans="1:13" x14ac:dyDescent="0.25">
      <c r="A14" s="3"/>
      <c r="B14" s="48" t="s">
        <v>100</v>
      </c>
      <c r="C14" s="49">
        <f>SUM(C12:C13)</f>
        <v>1816213951</v>
      </c>
      <c r="D14" s="52">
        <f>SUM(D12:D13)</f>
        <v>1</v>
      </c>
      <c r="E14" s="53"/>
      <c r="F14" s="50">
        <f>SUM(F12:F13)</f>
        <v>7.7280000000000001E-2</v>
      </c>
      <c r="G14" s="51">
        <f>SUM(G12:G13)</f>
        <v>140357014.13328001</v>
      </c>
      <c r="H14" s="50">
        <f>SUM(H12:H13)</f>
        <v>9.2631265833750004E-2</v>
      </c>
      <c r="I14" s="51">
        <f>SUM(I12:I13)</f>
        <v>168238197.3060464</v>
      </c>
      <c r="K14" s="25"/>
    </row>
    <row r="15" spans="1:13" x14ac:dyDescent="0.25">
      <c r="A15" s="3"/>
      <c r="B15" s="48" t="s">
        <v>101</v>
      </c>
      <c r="C15" s="49"/>
      <c r="D15" s="52"/>
      <c r="E15" s="54">
        <v>1816213951</v>
      </c>
      <c r="F15" s="53"/>
      <c r="G15" s="55"/>
      <c r="H15" s="56"/>
      <c r="I15" s="56"/>
    </row>
    <row r="16" spans="1:13" x14ac:dyDescent="0.25">
      <c r="A16" s="3"/>
      <c r="B16" s="26" t="s">
        <v>199</v>
      </c>
      <c r="C16" s="21"/>
      <c r="D16" s="22"/>
      <c r="E16" s="3"/>
      <c r="F16" s="23"/>
      <c r="G16" s="3"/>
    </row>
    <row r="17" spans="1:13" x14ac:dyDescent="0.25">
      <c r="A17" s="3"/>
      <c r="B17" s="26" t="s">
        <v>198</v>
      </c>
      <c r="C17" s="21"/>
      <c r="D17" s="22"/>
      <c r="E17" s="3"/>
      <c r="F17" s="23"/>
      <c r="G17" s="3"/>
    </row>
    <row r="18" spans="1:13" x14ac:dyDescent="0.25">
      <c r="A18" s="3"/>
      <c r="B18" s="228" t="s">
        <v>219</v>
      </c>
      <c r="C18" s="228"/>
      <c r="D18" s="228"/>
      <c r="E18" s="228"/>
      <c r="F18" s="228"/>
      <c r="G18" s="228"/>
      <c r="H18" s="228"/>
      <c r="I18" s="228"/>
    </row>
    <row r="19" spans="1:13" ht="30" x14ac:dyDescent="0.25">
      <c r="A19" s="3"/>
      <c r="B19" s="44" t="s">
        <v>75</v>
      </c>
      <c r="C19" s="45" t="s">
        <v>102</v>
      </c>
      <c r="D19" s="45" t="s">
        <v>94</v>
      </c>
      <c r="E19" s="45" t="s">
        <v>95</v>
      </c>
      <c r="F19" s="45" t="s">
        <v>96</v>
      </c>
      <c r="G19" s="45" t="s">
        <v>97</v>
      </c>
      <c r="H19" s="45" t="s">
        <v>146</v>
      </c>
      <c r="I19" s="45" t="s">
        <v>147</v>
      </c>
    </row>
    <row r="20" spans="1:13" x14ac:dyDescent="0.25">
      <c r="A20" s="3"/>
      <c r="B20" s="48" t="s">
        <v>98</v>
      </c>
      <c r="C20" s="49">
        <f>D20*E23</f>
        <v>817296277.95000005</v>
      </c>
      <c r="D20" s="52">
        <f>D12</f>
        <v>0.45</v>
      </c>
      <c r="E20" s="50">
        <f>E12</f>
        <v>4.3400000000000001E-2</v>
      </c>
      <c r="F20" s="50">
        <f>D20*E20</f>
        <v>1.9530000000000002E-2</v>
      </c>
      <c r="G20" s="51">
        <f>F20*E23</f>
        <v>35470658.463030003</v>
      </c>
      <c r="H20" s="57">
        <f>D20*E20</f>
        <v>1.9530000000000002E-2</v>
      </c>
      <c r="I20" s="58">
        <f>H20*E23</f>
        <v>35470658.463030003</v>
      </c>
    </row>
    <row r="21" spans="1:13" x14ac:dyDescent="0.25">
      <c r="A21" s="3"/>
      <c r="B21" s="48" t="s">
        <v>99</v>
      </c>
      <c r="C21" s="49">
        <f>D21*E23</f>
        <v>998917673.05000007</v>
      </c>
      <c r="D21" s="52">
        <f>D13</f>
        <v>0.55000000000000004</v>
      </c>
      <c r="E21" s="50">
        <v>9.0999999999999998E-2</v>
      </c>
      <c r="F21" s="50">
        <f t="shared" ref="F21" si="1">D21*E21</f>
        <v>5.0050000000000004E-2</v>
      </c>
      <c r="G21" s="51">
        <f>F21*E23</f>
        <v>90901508.247550011</v>
      </c>
      <c r="H21" s="50">
        <f>(1.265822785)*F21</f>
        <v>6.3354430389249997E-2</v>
      </c>
      <c r="I21" s="58">
        <f>H21*E23</f>
        <v>115065200.33061421</v>
      </c>
    </row>
    <row r="22" spans="1:13" x14ac:dyDescent="0.25">
      <c r="A22" s="3"/>
      <c r="B22" s="48" t="s">
        <v>100</v>
      </c>
      <c r="C22" s="49">
        <f>SUM(C20:C21)</f>
        <v>1816213951</v>
      </c>
      <c r="D22" s="52">
        <f>SUM(D20:D21)</f>
        <v>1</v>
      </c>
      <c r="E22" s="57" t="s">
        <v>118</v>
      </c>
      <c r="F22" s="50">
        <f>F20+F21</f>
        <v>6.9580000000000003E-2</v>
      </c>
      <c r="G22" s="51">
        <f>SUM(G20:G21)</f>
        <v>126372166.71058002</v>
      </c>
      <c r="H22" s="50">
        <f>SUM(H20:H21)</f>
        <v>8.2884430389250002E-2</v>
      </c>
      <c r="I22" s="58">
        <f>SUM(I20:I21)</f>
        <v>150535858.79364422</v>
      </c>
    </row>
    <row r="23" spans="1:13" x14ac:dyDescent="0.25">
      <c r="A23" s="3"/>
      <c r="B23" s="48" t="s">
        <v>101</v>
      </c>
      <c r="C23" s="49"/>
      <c r="D23" s="52"/>
      <c r="E23" s="54">
        <f>E15</f>
        <v>1816213951</v>
      </c>
      <c r="F23" s="53"/>
      <c r="G23" s="168">
        <f>G22-G14</f>
        <v>-13984847.422699988</v>
      </c>
      <c r="H23" s="60"/>
      <c r="I23" s="59">
        <f>I22-I14</f>
        <v>-17702338.512402177</v>
      </c>
    </row>
    <row r="24" spans="1:13" x14ac:dyDescent="0.25">
      <c r="A24" s="3"/>
      <c r="B24" s="26" t="s">
        <v>201</v>
      </c>
      <c r="C24" s="21"/>
      <c r="D24" s="22"/>
      <c r="E24" s="3"/>
      <c r="F24" s="23"/>
      <c r="G24" s="24"/>
      <c r="H24" s="7"/>
      <c r="I24" s="25"/>
    </row>
    <row r="25" spans="1:13" x14ac:dyDescent="0.25">
      <c r="A25" s="3"/>
      <c r="B25" s="26" t="s">
        <v>198</v>
      </c>
      <c r="C25" s="21"/>
      <c r="D25" s="22"/>
      <c r="E25" s="3"/>
      <c r="F25" s="23"/>
      <c r="G25" s="24"/>
      <c r="H25" s="7"/>
      <c r="I25" s="25"/>
    </row>
    <row r="26" spans="1:13" x14ac:dyDescent="0.25">
      <c r="A26" s="3"/>
      <c r="B26" s="26"/>
      <c r="C26" s="21"/>
      <c r="D26" s="22"/>
      <c r="E26" s="3"/>
      <c r="F26" s="23"/>
      <c r="G26" s="24"/>
      <c r="H26" s="7"/>
      <c r="I26" s="25"/>
    </row>
    <row r="27" spans="1:13" x14ac:dyDescent="0.25">
      <c r="A27" s="3"/>
      <c r="B27" s="26"/>
      <c r="C27" s="21"/>
      <c r="D27" s="22"/>
      <c r="E27" s="3"/>
      <c r="F27" s="23"/>
      <c r="G27" s="24"/>
      <c r="H27" s="7"/>
      <c r="I27" s="25"/>
    </row>
    <row r="28" spans="1:13" ht="18.75" x14ac:dyDescent="0.3">
      <c r="A28" s="115"/>
      <c r="B28" s="140"/>
      <c r="C28" s="141" t="s">
        <v>2</v>
      </c>
      <c r="D28" s="134" t="s">
        <v>52</v>
      </c>
      <c r="E28" s="123" t="s">
        <v>53</v>
      </c>
      <c r="F28" s="53"/>
      <c r="G28" s="54"/>
      <c r="H28" s="81"/>
      <c r="I28" s="37"/>
      <c r="L28" s="9"/>
      <c r="M28" s="9"/>
    </row>
    <row r="29" spans="1:13" ht="39" x14ac:dyDescent="0.25">
      <c r="A29" s="62" t="s">
        <v>0</v>
      </c>
      <c r="B29" s="115" t="s">
        <v>75</v>
      </c>
      <c r="C29" s="62" t="s">
        <v>355</v>
      </c>
      <c r="D29" s="62" t="s">
        <v>220</v>
      </c>
      <c r="E29" s="115" t="s">
        <v>103</v>
      </c>
      <c r="F29" s="142" t="s">
        <v>104</v>
      </c>
      <c r="G29" s="142" t="s">
        <v>105</v>
      </c>
      <c r="H29" s="104"/>
      <c r="I29" s="4"/>
    </row>
    <row r="30" spans="1:13" ht="34.5" x14ac:dyDescent="0.25">
      <c r="A30" s="56">
        <v>1</v>
      </c>
      <c r="B30" s="161" t="s">
        <v>101</v>
      </c>
      <c r="C30" s="143">
        <f>E23</f>
        <v>1816213951</v>
      </c>
      <c r="D30" s="144">
        <f>C30</f>
        <v>1816213951</v>
      </c>
      <c r="E30" s="145"/>
      <c r="F30" s="142" t="s">
        <v>264</v>
      </c>
      <c r="G30" s="142" t="s">
        <v>264</v>
      </c>
      <c r="H30" s="66"/>
      <c r="I30" s="25"/>
    </row>
    <row r="31" spans="1:13" ht="45.75" x14ac:dyDescent="0.25">
      <c r="A31" s="56">
        <f>A30+1</f>
        <v>2</v>
      </c>
      <c r="B31" s="161" t="s">
        <v>106</v>
      </c>
      <c r="C31" s="146">
        <f>F14</f>
        <v>7.7280000000000001E-2</v>
      </c>
      <c r="D31" s="146">
        <f>F22</f>
        <v>6.9580000000000003E-2</v>
      </c>
      <c r="E31" s="145"/>
      <c r="F31" s="142" t="s">
        <v>265</v>
      </c>
      <c r="G31" s="142" t="s">
        <v>113</v>
      </c>
      <c r="H31" s="66"/>
    </row>
    <row r="32" spans="1:13" x14ac:dyDescent="0.25">
      <c r="A32" s="147">
        <f t="shared" ref="A32:A42" si="2">A31+1</f>
        <v>3</v>
      </c>
      <c r="B32" s="161" t="s">
        <v>97</v>
      </c>
      <c r="C32" s="143">
        <f>C31*C30</f>
        <v>140357014.13328001</v>
      </c>
      <c r="D32" s="143">
        <f>D31*D30</f>
        <v>126372166.71058001</v>
      </c>
      <c r="E32" s="145">
        <f>D32-C32</f>
        <v>-13984847.422700003</v>
      </c>
      <c r="F32" s="142" t="s">
        <v>107</v>
      </c>
      <c r="G32" s="142" t="s">
        <v>107</v>
      </c>
      <c r="H32" s="107"/>
    </row>
    <row r="33" spans="1:8" ht="34.5" x14ac:dyDescent="0.25">
      <c r="A33" s="147">
        <f t="shared" si="2"/>
        <v>4</v>
      </c>
      <c r="B33" s="161" t="s">
        <v>213</v>
      </c>
      <c r="C33" s="143">
        <v>85423490</v>
      </c>
      <c r="D33" s="143">
        <f>C33</f>
        <v>85423490</v>
      </c>
      <c r="E33" s="145">
        <f>D33-C33</f>
        <v>0</v>
      </c>
      <c r="F33" s="142" t="s">
        <v>266</v>
      </c>
      <c r="G33" s="142" t="s">
        <v>266</v>
      </c>
      <c r="H33" s="66"/>
    </row>
    <row r="34" spans="1:8" ht="34.5" x14ac:dyDescent="0.25">
      <c r="A34" s="147">
        <v>5</v>
      </c>
      <c r="B34" s="161" t="s">
        <v>311</v>
      </c>
      <c r="C34" s="143">
        <f>C33+C32</f>
        <v>225780504.13328001</v>
      </c>
      <c r="D34" s="143">
        <f>D33+D32</f>
        <v>211795656.71057999</v>
      </c>
      <c r="E34" s="145"/>
      <c r="F34" s="142" t="s">
        <v>318</v>
      </c>
      <c r="G34" s="142" t="s">
        <v>318</v>
      </c>
      <c r="H34" s="66"/>
    </row>
    <row r="35" spans="1:8" ht="23.25" x14ac:dyDescent="0.25">
      <c r="A35" s="147">
        <v>6</v>
      </c>
      <c r="B35" s="161" t="s">
        <v>200</v>
      </c>
      <c r="C35" s="143">
        <v>5817654</v>
      </c>
      <c r="D35" s="143">
        <f>C35</f>
        <v>5817654</v>
      </c>
      <c r="E35" s="145"/>
      <c r="F35" s="142" t="s">
        <v>310</v>
      </c>
      <c r="G35" s="142" t="s">
        <v>310</v>
      </c>
      <c r="H35" s="66"/>
    </row>
    <row r="36" spans="1:8" ht="23.25" x14ac:dyDescent="0.25">
      <c r="A36" s="147">
        <f t="shared" si="2"/>
        <v>7</v>
      </c>
      <c r="B36" s="161" t="s">
        <v>316</v>
      </c>
      <c r="C36" s="143">
        <f>C34-C38+C35</f>
        <v>196127499.67025</v>
      </c>
      <c r="D36" s="143">
        <f>D34-D38+D35</f>
        <v>182142652.24754998</v>
      </c>
      <c r="E36" s="145">
        <f>D36-C36</f>
        <v>-13984847.422700018</v>
      </c>
      <c r="F36" s="142" t="s">
        <v>218</v>
      </c>
      <c r="G36" s="142" t="s">
        <v>218</v>
      </c>
      <c r="H36" s="107"/>
    </row>
    <row r="37" spans="1:8" ht="23.25" x14ac:dyDescent="0.25">
      <c r="A37" s="147">
        <f t="shared" si="2"/>
        <v>8</v>
      </c>
      <c r="B37" s="161" t="s">
        <v>108</v>
      </c>
      <c r="C37" s="143">
        <f>C12</f>
        <v>817296277.95000005</v>
      </c>
      <c r="D37" s="143">
        <f>C20</f>
        <v>817296277.95000005</v>
      </c>
      <c r="E37" s="145">
        <f>D37-C37</f>
        <v>0</v>
      </c>
      <c r="F37" s="149" t="s">
        <v>228</v>
      </c>
      <c r="G37" s="149" t="s">
        <v>228</v>
      </c>
      <c r="H37" s="107"/>
    </row>
    <row r="38" spans="1:8" ht="23.25" x14ac:dyDescent="0.25">
      <c r="A38" s="147">
        <f t="shared" si="2"/>
        <v>9</v>
      </c>
      <c r="B38" s="161" t="s">
        <v>214</v>
      </c>
      <c r="C38" s="143">
        <f>G12</f>
        <v>35470658.463030003</v>
      </c>
      <c r="D38" s="143">
        <f>G20</f>
        <v>35470658.463030003</v>
      </c>
      <c r="E38" s="145">
        <f>D38-C38</f>
        <v>0</v>
      </c>
      <c r="F38" s="142" t="s">
        <v>114</v>
      </c>
      <c r="G38" s="142" t="s">
        <v>114</v>
      </c>
      <c r="H38" s="66"/>
    </row>
    <row r="39" spans="1:8" ht="48" x14ac:dyDescent="0.3">
      <c r="A39" s="147"/>
      <c r="B39" s="161" t="s">
        <v>322</v>
      </c>
      <c r="C39" s="141" t="s">
        <v>215</v>
      </c>
      <c r="D39" s="141" t="s">
        <v>216</v>
      </c>
      <c r="E39" s="68" t="s">
        <v>317</v>
      </c>
      <c r="F39" s="68"/>
      <c r="G39" s="68"/>
      <c r="H39" s="66"/>
    </row>
    <row r="40" spans="1:8" x14ac:dyDescent="0.25">
      <c r="A40" s="147">
        <v>10</v>
      </c>
      <c r="B40" s="148" t="s">
        <v>312</v>
      </c>
      <c r="C40" s="60">
        <f>C36/C37</f>
        <v>0.23997111569159568</v>
      </c>
      <c r="D40" s="60">
        <f>D36/D37</f>
        <v>0.22286000458048455</v>
      </c>
      <c r="E40" s="116" t="s">
        <v>314</v>
      </c>
      <c r="F40" s="159"/>
      <c r="G40" s="135"/>
      <c r="H40" s="66"/>
    </row>
    <row r="41" spans="1:8" x14ac:dyDescent="0.25">
      <c r="A41" s="147">
        <f t="shared" si="2"/>
        <v>11</v>
      </c>
      <c r="B41" s="148" t="s">
        <v>313</v>
      </c>
      <c r="C41" s="60">
        <f>(C36-(0.6*G13))/C37</f>
        <v>0.16297111569159567</v>
      </c>
      <c r="D41" s="60">
        <f>(D36-(0.6*G21))/D37</f>
        <v>0.15612667124715121</v>
      </c>
      <c r="E41" s="116" t="s">
        <v>315</v>
      </c>
      <c r="F41" s="159"/>
      <c r="G41" s="135"/>
      <c r="H41" s="66"/>
    </row>
    <row r="42" spans="1:8" x14ac:dyDescent="0.25">
      <c r="A42" s="147">
        <f t="shared" si="2"/>
        <v>12</v>
      </c>
      <c r="B42" s="148" t="s">
        <v>221</v>
      </c>
      <c r="C42" s="122">
        <f>D12</f>
        <v>0.45</v>
      </c>
      <c r="D42" s="122">
        <f>D20</f>
        <v>0.45</v>
      </c>
      <c r="E42" s="116" t="s">
        <v>115</v>
      </c>
      <c r="F42" s="159"/>
      <c r="G42" s="135"/>
      <c r="H42" s="66"/>
    </row>
    <row r="43" spans="1:8" x14ac:dyDescent="0.25">
      <c r="A43" s="12"/>
      <c r="B43" s="26" t="s">
        <v>34</v>
      </c>
      <c r="G43" s="6"/>
    </row>
    <row r="44" spans="1:8" x14ac:dyDescent="0.25">
      <c r="A44" s="12"/>
      <c r="B44" s="26" t="s">
        <v>217</v>
      </c>
    </row>
    <row r="45" spans="1:8" x14ac:dyDescent="0.25">
      <c r="A45" s="12"/>
      <c r="B45" s="26" t="s">
        <v>319</v>
      </c>
    </row>
    <row r="46" spans="1:8" x14ac:dyDescent="0.25">
      <c r="A46" s="12"/>
      <c r="B46" s="26" t="s">
        <v>320</v>
      </c>
    </row>
    <row r="47" spans="1:8" x14ac:dyDescent="0.25">
      <c r="B47" s="15" t="s">
        <v>321</v>
      </c>
    </row>
    <row r="48" spans="1:8" x14ac:dyDescent="0.25">
      <c r="B48" s="15"/>
    </row>
    <row r="49" spans="2:4" x14ac:dyDescent="0.25">
      <c r="B49" s="15"/>
    </row>
    <row r="50" spans="2:4" x14ac:dyDescent="0.25">
      <c r="B50" s="15"/>
    </row>
    <row r="51" spans="2:4" x14ac:dyDescent="0.25">
      <c r="B51" s="15"/>
    </row>
    <row r="52" spans="2:4" x14ac:dyDescent="0.25">
      <c r="C52" s="25"/>
      <c r="D52" s="25"/>
    </row>
    <row r="53" spans="2:4" x14ac:dyDescent="0.25">
      <c r="C53" s="25"/>
      <c r="D53" s="25"/>
    </row>
    <row r="56" spans="2:4" x14ac:dyDescent="0.25">
      <c r="C56" s="160"/>
      <c r="D56" s="160"/>
    </row>
    <row r="57" spans="2:4" x14ac:dyDescent="0.25">
      <c r="C57" s="8"/>
      <c r="D57" s="8"/>
    </row>
    <row r="58" spans="2:4" x14ac:dyDescent="0.25">
      <c r="C58" s="8"/>
      <c r="D58" s="8"/>
    </row>
  </sheetData>
  <mergeCells count="6">
    <mergeCell ref="B18:I18"/>
    <mergeCell ref="B5:I5"/>
    <mergeCell ref="B6:I6"/>
    <mergeCell ref="B7:I7"/>
    <mergeCell ref="B8:I8"/>
    <mergeCell ref="B10:I10"/>
  </mergeCells>
  <phoneticPr fontId="17" type="noConversion"/>
  <pageMargins left="0.5" right="0.5" top="1" bottom="1" header="0.5" footer="0.5"/>
  <pageSetup scale="55" orientation="portrait" horizontalDpi="4294967292" verticalDpi="4294967292" r:id="rId1"/>
  <headerFooter>
    <oddHeader xml:space="preserve">&amp;R&amp;"Calibri,Regular"&amp;K000000EXHIBIT OCS 3.9S
PAGE 1 OF 1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4"/>
  <sheetViews>
    <sheetView view="pageLayout" zoomScaleNormal="100" workbookViewId="0">
      <selection activeCell="A8" sqref="A8"/>
    </sheetView>
  </sheetViews>
  <sheetFormatPr defaultColWidth="11" defaultRowHeight="15.75" x14ac:dyDescent="0.25"/>
  <sheetData>
    <row r="7" spans="1:10" ht="23.25" x14ac:dyDescent="0.35">
      <c r="B7" s="220" t="s">
        <v>229</v>
      </c>
      <c r="C7" s="220"/>
      <c r="D7" s="220"/>
      <c r="E7" s="220"/>
      <c r="F7" s="220"/>
      <c r="G7" s="220"/>
      <c r="H7" s="220"/>
      <c r="I7" s="220"/>
    </row>
    <row r="8" spans="1:10" ht="23.25" x14ac:dyDescent="0.35">
      <c r="A8" s="13"/>
      <c r="B8" s="220" t="s">
        <v>250</v>
      </c>
      <c r="C8" s="220"/>
      <c r="D8" s="220"/>
      <c r="E8" s="220"/>
      <c r="F8" s="220"/>
      <c r="G8" s="220"/>
      <c r="H8" s="220"/>
      <c r="I8" s="220"/>
      <c r="J8" s="13"/>
    </row>
    <row r="9" spans="1:10" ht="23.25" x14ac:dyDescent="0.35">
      <c r="B9" s="220" t="s">
        <v>348</v>
      </c>
      <c r="C9" s="220"/>
      <c r="D9" s="220"/>
      <c r="E9" s="220"/>
      <c r="F9" s="220"/>
      <c r="G9" s="220"/>
      <c r="H9" s="220"/>
      <c r="I9" s="220"/>
      <c r="J9" s="217"/>
    </row>
    <row r="10" spans="1:10" ht="23.25" x14ac:dyDescent="0.35">
      <c r="A10" s="13"/>
      <c r="B10" s="163" t="s">
        <v>349</v>
      </c>
      <c r="C10" s="163"/>
      <c r="D10" s="163"/>
      <c r="E10" s="163"/>
      <c r="F10" s="163"/>
      <c r="G10" s="163"/>
      <c r="H10" s="162"/>
      <c r="I10" s="162"/>
      <c r="J10" s="13"/>
    </row>
    <row r="11" spans="1:10" ht="23.25" x14ac:dyDescent="0.35">
      <c r="A11" s="13"/>
      <c r="B11" s="163" t="s">
        <v>350</v>
      </c>
      <c r="C11" s="162"/>
      <c r="D11" s="162"/>
      <c r="E11" s="162"/>
      <c r="F11" s="162"/>
      <c r="G11" s="162"/>
      <c r="H11" s="162"/>
      <c r="I11" s="162"/>
      <c r="J11" s="13"/>
    </row>
    <row r="12" spans="1:10" ht="23.25" x14ac:dyDescent="0.35">
      <c r="A12" s="13"/>
      <c r="B12" s="220" t="s">
        <v>351</v>
      </c>
      <c r="C12" s="220"/>
      <c r="D12" s="220"/>
      <c r="E12" s="220"/>
      <c r="F12" s="220"/>
      <c r="G12" s="220"/>
      <c r="H12" s="220"/>
      <c r="I12" s="220"/>
      <c r="J12" s="217"/>
    </row>
    <row r="13" spans="1:10" ht="18.75" x14ac:dyDescent="0.3">
      <c r="B13" s="164"/>
      <c r="C13" s="164"/>
      <c r="D13" s="164"/>
      <c r="E13" s="164"/>
      <c r="F13" s="164"/>
      <c r="G13" s="164"/>
      <c r="H13" s="164"/>
      <c r="I13" s="164"/>
    </row>
    <row r="14" spans="1:10" ht="18.75" x14ac:dyDescent="0.3">
      <c r="B14" s="165" t="s">
        <v>222</v>
      </c>
      <c r="C14" s="165"/>
      <c r="D14" s="165"/>
      <c r="E14" s="165"/>
      <c r="F14" s="165"/>
      <c r="G14" s="165"/>
      <c r="H14" s="165"/>
      <c r="I14" s="165"/>
    </row>
  </sheetData>
  <mergeCells count="4">
    <mergeCell ref="B7:I7"/>
    <mergeCell ref="B8:I8"/>
    <mergeCell ref="B9:I9"/>
    <mergeCell ref="B12:I12"/>
  </mergeCells>
  <pageMargins left="0.7" right="0.7" top="0.75" bottom="0.75" header="0.3" footer="0.3"/>
  <pageSetup scale="84" orientation="portrait" r:id="rId1"/>
  <headerFooter>
    <oddHeader>&amp;R&amp;"System Font,Regular"&amp;10&amp;K000000EXHIBIT OCS 3.10S
2 PAGES INCL. COVER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Layout" zoomScaleNormal="100" workbookViewId="0">
      <selection activeCell="A8" sqref="A8"/>
    </sheetView>
  </sheetViews>
  <sheetFormatPr defaultColWidth="11" defaultRowHeight="15.75" x14ac:dyDescent="0.25"/>
  <sheetData>
    <row r="1" spans="1:10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10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</row>
    <row r="5" spans="1:10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0" x14ac:dyDescent="0.25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0" ht="23.25" x14ac:dyDescent="0.35">
      <c r="A7" s="213"/>
      <c r="B7" s="230" t="s">
        <v>229</v>
      </c>
      <c r="C7" s="230"/>
      <c r="D7" s="230"/>
      <c r="E7" s="230"/>
      <c r="F7" s="230"/>
      <c r="G7" s="230"/>
      <c r="H7" s="230"/>
      <c r="I7" s="230"/>
      <c r="J7" s="213"/>
    </row>
    <row r="8" spans="1:10" ht="23.25" x14ac:dyDescent="0.35">
      <c r="A8" s="213"/>
      <c r="B8" s="230" t="s">
        <v>250</v>
      </c>
      <c r="C8" s="230"/>
      <c r="D8" s="230"/>
      <c r="E8" s="230"/>
      <c r="F8" s="230"/>
      <c r="G8" s="230"/>
      <c r="H8" s="230"/>
      <c r="I8" s="230"/>
      <c r="J8" s="213"/>
    </row>
    <row r="9" spans="1:10" ht="23.25" x14ac:dyDescent="0.35">
      <c r="A9" s="213"/>
      <c r="B9" s="230" t="s">
        <v>231</v>
      </c>
      <c r="C9" s="230"/>
      <c r="D9" s="230"/>
      <c r="E9" s="230"/>
      <c r="F9" s="230"/>
      <c r="G9" s="230"/>
      <c r="H9" s="230"/>
      <c r="I9" s="230"/>
      <c r="J9" s="230"/>
    </row>
    <row r="10" spans="1:10" ht="23.25" x14ac:dyDescent="0.35">
      <c r="A10" s="213"/>
      <c r="B10" s="214" t="s">
        <v>352</v>
      </c>
      <c r="C10" s="214"/>
      <c r="D10" s="214"/>
      <c r="E10" s="214"/>
      <c r="F10" s="214"/>
      <c r="G10" s="214"/>
      <c r="H10" s="214"/>
      <c r="I10" s="214"/>
      <c r="J10" s="213"/>
    </row>
    <row r="11" spans="1:10" ht="23.25" x14ac:dyDescent="0.35">
      <c r="A11" s="213"/>
      <c r="B11" s="214" t="s">
        <v>353</v>
      </c>
      <c r="C11" s="214"/>
      <c r="D11" s="214"/>
      <c r="E11" s="214"/>
      <c r="F11" s="214"/>
      <c r="G11" s="214"/>
      <c r="H11" s="214"/>
      <c r="I11" s="214"/>
      <c r="J11" s="213"/>
    </row>
    <row r="12" spans="1:10" ht="23.25" x14ac:dyDescent="0.35">
      <c r="A12" s="213"/>
      <c r="B12" s="230" t="s">
        <v>354</v>
      </c>
      <c r="C12" s="230"/>
      <c r="D12" s="230"/>
      <c r="E12" s="230"/>
      <c r="F12" s="230"/>
      <c r="G12" s="230"/>
      <c r="H12" s="230"/>
      <c r="I12" s="230"/>
      <c r="J12" s="213"/>
    </row>
    <row r="13" spans="1:10" ht="18.75" x14ac:dyDescent="0.3">
      <c r="A13" s="213"/>
      <c r="B13" s="215"/>
      <c r="C13" s="215"/>
      <c r="D13" s="215"/>
      <c r="E13" s="215"/>
      <c r="F13" s="215"/>
      <c r="G13" s="215"/>
      <c r="H13" s="215"/>
      <c r="I13" s="215"/>
      <c r="J13" s="213"/>
    </row>
    <row r="14" spans="1:10" ht="18.75" x14ac:dyDescent="0.3">
      <c r="A14" s="213"/>
      <c r="B14" s="216" t="s">
        <v>222</v>
      </c>
      <c r="C14" s="216"/>
      <c r="D14" s="216"/>
      <c r="E14" s="216"/>
      <c r="F14" s="216"/>
      <c r="G14" s="216"/>
      <c r="H14" s="216"/>
      <c r="I14" s="216"/>
      <c r="J14" s="213"/>
    </row>
    <row r="15" spans="1:10" x14ac:dyDescent="0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x14ac:dyDescent="0.25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x14ac:dyDescent="0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x14ac:dyDescent="0.25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x14ac:dyDescent="0.25">
      <c r="A19" s="213"/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0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x14ac:dyDescent="0.25">
      <c r="A22" s="213"/>
      <c r="B22" s="213"/>
      <c r="C22" s="213"/>
      <c r="D22" s="213"/>
      <c r="E22" s="213"/>
      <c r="F22" s="213"/>
      <c r="G22" s="213"/>
      <c r="H22" s="213"/>
      <c r="I22" s="213"/>
      <c r="J22" s="213"/>
    </row>
    <row r="23" spans="1:10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x14ac:dyDescent="0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x14ac:dyDescent="0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x14ac:dyDescent="0.25">
      <c r="A26" s="213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x14ac:dyDescent="0.25">
      <c r="A27" s="213"/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x14ac:dyDescent="0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x14ac:dyDescent="0.25">
      <c r="A29" s="213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x14ac:dyDescent="0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x14ac:dyDescent="0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x14ac:dyDescent="0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x14ac:dyDescent="0.25">
      <c r="A34" s="213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x14ac:dyDescent="0.25">
      <c r="A35" s="213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x14ac:dyDescent="0.25">
      <c r="A36" s="213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x14ac:dyDescent="0.25">
      <c r="A37" s="213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x14ac:dyDescent="0.25">
      <c r="A38" s="213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x14ac:dyDescent="0.25">
      <c r="A39" s="213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x14ac:dyDescent="0.25">
      <c r="A40" s="213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x14ac:dyDescent="0.25">
      <c r="A41" s="213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x14ac:dyDescent="0.25">
      <c r="A42" s="213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x14ac:dyDescent="0.25">
      <c r="A43" s="213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x14ac:dyDescent="0.25">
      <c r="A44" s="213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x14ac:dyDescent="0.25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x14ac:dyDescent="0.25">
      <c r="A46" s="213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x14ac:dyDescent="0.25">
      <c r="A47" s="213"/>
      <c r="B47" s="213"/>
      <c r="C47" s="213"/>
      <c r="D47" s="213"/>
      <c r="E47" s="213"/>
      <c r="F47" s="213"/>
      <c r="G47" s="213"/>
      <c r="H47" s="213"/>
      <c r="I47" s="213"/>
      <c r="J47" s="213"/>
    </row>
  </sheetData>
  <mergeCells count="4">
    <mergeCell ref="B7:I7"/>
    <mergeCell ref="B8:I8"/>
    <mergeCell ref="B9:J9"/>
    <mergeCell ref="B12:I12"/>
  </mergeCells>
  <pageMargins left="0.7" right="0.7" top="0.75" bottom="0.75" header="0.3" footer="0.3"/>
  <pageSetup scale="75" orientation="portrait" r:id="rId1"/>
  <headerFooter>
    <oddHeader>&amp;R&amp;"System Font,Regular"&amp;10&amp;K000000EXHIBIT OCS 3.11S
18 PAGES INCL. COVER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16" workbookViewId="0">
      <selection activeCell="E39" sqref="E39"/>
    </sheetView>
  </sheetViews>
  <sheetFormatPr defaultColWidth="11" defaultRowHeight="15.75" x14ac:dyDescent="0.25"/>
  <cols>
    <col min="3" max="3" width="21.5" customWidth="1"/>
    <col min="4" max="4" width="19.875" customWidth="1"/>
    <col min="5" max="5" width="17.375" customWidth="1"/>
    <col min="6" max="6" width="22.875" customWidth="1"/>
    <col min="7" max="7" width="19.125" customWidth="1"/>
  </cols>
  <sheetData>
    <row r="1" spans="1:9" x14ac:dyDescent="0.25">
      <c r="A1" s="66"/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6"/>
      <c r="B3" s="66"/>
      <c r="C3" s="66"/>
      <c r="D3" s="66"/>
      <c r="E3" s="66"/>
      <c r="F3" s="66"/>
      <c r="G3" s="66"/>
      <c r="H3" s="66"/>
      <c r="I3" s="66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ht="21" x14ac:dyDescent="0.35">
      <c r="A5" s="85"/>
      <c r="B5" s="233"/>
      <c r="C5" s="233"/>
      <c r="D5" s="233"/>
      <c r="E5" s="233"/>
      <c r="F5" s="233"/>
      <c r="G5" s="233"/>
      <c r="H5" s="233"/>
      <c r="I5" s="233"/>
    </row>
    <row r="6" spans="1:9" ht="21" x14ac:dyDescent="0.35">
      <c r="A6" s="85"/>
      <c r="B6" s="233"/>
      <c r="C6" s="233"/>
      <c r="D6" s="233"/>
      <c r="E6" s="233"/>
      <c r="F6" s="233"/>
      <c r="G6" s="233"/>
      <c r="H6" s="233"/>
      <c r="I6" s="233"/>
    </row>
    <row r="7" spans="1:9" ht="21" x14ac:dyDescent="0.35">
      <c r="A7" s="85"/>
      <c r="B7" s="233"/>
      <c r="C7" s="233"/>
      <c r="D7" s="233"/>
      <c r="E7" s="233"/>
      <c r="F7" s="233"/>
      <c r="G7" s="233"/>
      <c r="H7" s="233"/>
      <c r="I7" s="233"/>
    </row>
    <row r="8" spans="1:9" ht="21" x14ac:dyDescent="0.35">
      <c r="A8" s="85"/>
      <c r="B8" s="234"/>
      <c r="C8" s="234"/>
      <c r="D8" s="234"/>
      <c r="E8" s="234"/>
      <c r="F8" s="234"/>
      <c r="G8" s="234"/>
      <c r="H8" s="234"/>
      <c r="I8" s="234"/>
    </row>
    <row r="9" spans="1:9" ht="18.75" x14ac:dyDescent="0.3">
      <c r="A9" s="85"/>
      <c r="B9" s="86"/>
      <c r="C9" s="86"/>
      <c r="D9" s="86"/>
      <c r="E9" s="85"/>
      <c r="F9" s="85"/>
      <c r="G9" s="85"/>
      <c r="H9" s="66"/>
      <c r="I9" s="66"/>
    </row>
    <row r="10" spans="1:9" x14ac:dyDescent="0.25">
      <c r="A10" s="85"/>
      <c r="B10" s="232"/>
      <c r="C10" s="232"/>
      <c r="D10" s="232"/>
      <c r="E10" s="232"/>
      <c r="F10" s="232"/>
      <c r="G10" s="232"/>
      <c r="H10" s="232"/>
      <c r="I10" s="232"/>
    </row>
    <row r="11" spans="1:9" x14ac:dyDescent="0.25">
      <c r="A11" s="85"/>
      <c r="B11" s="87"/>
      <c r="C11" s="88"/>
      <c r="D11" s="88"/>
      <c r="E11" s="89"/>
      <c r="F11" s="88"/>
      <c r="G11" s="88"/>
      <c r="H11" s="90"/>
      <c r="I11" s="90"/>
    </row>
    <row r="12" spans="1:9" x14ac:dyDescent="0.25">
      <c r="A12" s="85"/>
      <c r="B12" s="91"/>
      <c r="C12" s="92"/>
      <c r="D12" s="93"/>
      <c r="E12" s="94"/>
      <c r="F12" s="94"/>
      <c r="G12" s="95"/>
      <c r="H12" s="94"/>
      <c r="I12" s="95"/>
    </row>
    <row r="13" spans="1:9" x14ac:dyDescent="0.25">
      <c r="A13" s="85"/>
      <c r="B13" s="91"/>
      <c r="C13" s="92"/>
      <c r="D13" s="93"/>
      <c r="E13" s="94"/>
      <c r="F13" s="94"/>
      <c r="G13" s="95"/>
      <c r="H13" s="94"/>
      <c r="I13" s="95"/>
    </row>
    <row r="14" spans="1:9" x14ac:dyDescent="0.25">
      <c r="A14" s="85"/>
      <c r="B14" s="91"/>
      <c r="C14" s="92"/>
      <c r="D14" s="96"/>
      <c r="E14" s="97"/>
      <c r="F14" s="94"/>
      <c r="G14" s="95"/>
      <c r="H14" s="94"/>
      <c r="I14" s="95"/>
    </row>
    <row r="15" spans="1:9" x14ac:dyDescent="0.25">
      <c r="A15" s="85"/>
      <c r="B15" s="91"/>
      <c r="C15" s="92"/>
      <c r="D15" s="96"/>
      <c r="E15" s="98"/>
      <c r="F15" s="97"/>
      <c r="G15" s="85"/>
      <c r="H15" s="66"/>
      <c r="I15" s="66"/>
    </row>
    <row r="16" spans="1:9" x14ac:dyDescent="0.25">
      <c r="A16" s="85"/>
      <c r="B16" s="99"/>
      <c r="C16" s="92"/>
      <c r="D16" s="96"/>
      <c r="E16" s="85"/>
      <c r="F16" s="97"/>
      <c r="G16" s="85"/>
      <c r="H16" s="66"/>
      <c r="I16" s="66"/>
    </row>
    <row r="17" spans="1:9" x14ac:dyDescent="0.25">
      <c r="A17" s="85"/>
      <c r="B17" s="99"/>
      <c r="C17" s="92"/>
      <c r="D17" s="96"/>
      <c r="E17" s="85"/>
      <c r="F17" s="97"/>
      <c r="G17" s="85"/>
      <c r="H17" s="66"/>
      <c r="I17" s="66"/>
    </row>
    <row r="18" spans="1:9" x14ac:dyDescent="0.25">
      <c r="A18" s="85"/>
      <c r="B18" s="232"/>
      <c r="C18" s="232"/>
      <c r="D18" s="232"/>
      <c r="E18" s="232"/>
      <c r="F18" s="232"/>
      <c r="G18" s="232"/>
      <c r="H18" s="232"/>
      <c r="I18" s="232"/>
    </row>
    <row r="19" spans="1:9" x14ac:dyDescent="0.25">
      <c r="A19" s="85"/>
      <c r="B19" s="87"/>
      <c r="C19" s="88"/>
      <c r="D19" s="88"/>
      <c r="E19" s="88"/>
      <c r="F19" s="88"/>
      <c r="G19" s="88"/>
      <c r="H19" s="88"/>
      <c r="I19" s="88"/>
    </row>
    <row r="20" spans="1:9" x14ac:dyDescent="0.25">
      <c r="A20" s="85"/>
      <c r="B20" s="91"/>
      <c r="C20" s="92"/>
      <c r="D20" s="93"/>
      <c r="E20" s="94"/>
      <c r="F20" s="94"/>
      <c r="G20" s="95"/>
      <c r="H20" s="100"/>
      <c r="I20" s="101"/>
    </row>
    <row r="21" spans="1:9" x14ac:dyDescent="0.25">
      <c r="A21" s="85"/>
      <c r="B21" s="91"/>
      <c r="C21" s="92"/>
      <c r="D21" s="93"/>
      <c r="E21" s="94"/>
      <c r="F21" s="94"/>
      <c r="G21" s="95"/>
      <c r="H21" s="94"/>
      <c r="I21" s="101"/>
    </row>
    <row r="22" spans="1:9" x14ac:dyDescent="0.25">
      <c r="A22" s="85"/>
      <c r="B22" s="91"/>
      <c r="C22" s="92"/>
      <c r="D22" s="96"/>
      <c r="E22" s="100"/>
      <c r="F22" s="94"/>
      <c r="G22" s="95"/>
      <c r="H22" s="94"/>
      <c r="I22" s="101"/>
    </row>
    <row r="23" spans="1:9" x14ac:dyDescent="0.25">
      <c r="A23" s="85"/>
      <c r="B23" s="91"/>
      <c r="C23" s="92"/>
      <c r="D23" s="96"/>
      <c r="E23" s="98"/>
      <c r="F23" s="97"/>
      <c r="G23" s="102"/>
      <c r="H23" s="81"/>
      <c r="I23" s="102"/>
    </row>
    <row r="24" spans="1:9" x14ac:dyDescent="0.25">
      <c r="A24" s="85"/>
      <c r="B24" s="231" t="s">
        <v>274</v>
      </c>
      <c r="C24" s="231"/>
      <c r="D24" s="231"/>
      <c r="E24" s="231"/>
      <c r="F24" s="231"/>
      <c r="G24" s="231"/>
      <c r="H24" s="81"/>
      <c r="I24" s="103"/>
    </row>
    <row r="25" spans="1:9" ht="18.75" x14ac:dyDescent="0.3">
      <c r="A25" s="85"/>
      <c r="B25" s="231" t="s">
        <v>273</v>
      </c>
      <c r="C25" s="231"/>
      <c r="D25" s="231"/>
      <c r="E25" s="231"/>
      <c r="F25" s="231"/>
      <c r="G25" s="231"/>
      <c r="H25" s="81"/>
      <c r="I25" s="86"/>
    </row>
    <row r="26" spans="1:9" x14ac:dyDescent="0.25">
      <c r="A26" s="83"/>
      <c r="B26" s="111"/>
      <c r="C26" s="109"/>
      <c r="D26" s="109"/>
      <c r="E26" s="111"/>
      <c r="F26" s="109"/>
      <c r="G26" s="109"/>
      <c r="H26" s="104"/>
      <c r="I26" s="83"/>
    </row>
    <row r="27" spans="1:9" x14ac:dyDescent="0.25">
      <c r="A27" s="66"/>
      <c r="B27" s="111" t="s">
        <v>72</v>
      </c>
      <c r="C27" s="182" t="s">
        <v>267</v>
      </c>
      <c r="D27" s="182" t="s">
        <v>268</v>
      </c>
      <c r="E27" s="183" t="s">
        <v>269</v>
      </c>
      <c r="F27" s="109" t="s">
        <v>275</v>
      </c>
      <c r="G27" s="109" t="s">
        <v>276</v>
      </c>
      <c r="H27" s="66"/>
      <c r="I27" s="103"/>
    </row>
    <row r="28" spans="1:9" x14ac:dyDescent="0.25">
      <c r="A28" s="66"/>
      <c r="B28" s="108">
        <v>2019</v>
      </c>
      <c r="C28" s="180">
        <v>232899070</v>
      </c>
      <c r="D28" s="177">
        <v>70936572</v>
      </c>
      <c r="E28" s="177">
        <v>85423490</v>
      </c>
      <c r="F28" s="174">
        <f>C28-D28-E28</f>
        <v>76539008</v>
      </c>
      <c r="G28" s="181">
        <f>F28-42000000</f>
        <v>34539008</v>
      </c>
      <c r="H28" s="66"/>
      <c r="I28" s="66"/>
    </row>
    <row r="29" spans="1:9" x14ac:dyDescent="0.25">
      <c r="A29" s="106"/>
      <c r="B29" s="108">
        <f>B28+1</f>
        <v>2020</v>
      </c>
      <c r="C29" s="180">
        <v>288295417</v>
      </c>
      <c r="D29" s="177">
        <v>80000000</v>
      </c>
      <c r="E29" s="177">
        <v>85423490</v>
      </c>
      <c r="F29" s="174">
        <f t="shared" ref="F29:F32" si="0">C29-D29-E29</f>
        <v>122871927</v>
      </c>
      <c r="G29" s="181">
        <f t="shared" ref="G29:G32" si="1">F29-42000000</f>
        <v>80871927</v>
      </c>
      <c r="H29" s="107"/>
      <c r="I29" s="66"/>
    </row>
    <row r="30" spans="1:9" x14ac:dyDescent="0.25">
      <c r="A30" s="106"/>
      <c r="B30" s="108">
        <f t="shared" ref="B30:B32" si="2">B29+1</f>
        <v>2021</v>
      </c>
      <c r="C30" s="180">
        <v>262997629</v>
      </c>
      <c r="D30" s="177">
        <v>82000000</v>
      </c>
      <c r="E30" s="177">
        <v>85423490</v>
      </c>
      <c r="F30" s="174">
        <f t="shared" si="0"/>
        <v>95574139</v>
      </c>
      <c r="G30" s="181">
        <f t="shared" si="1"/>
        <v>53574139</v>
      </c>
      <c r="H30" s="66"/>
      <c r="I30" s="66"/>
    </row>
    <row r="31" spans="1:9" x14ac:dyDescent="0.25">
      <c r="A31" s="106"/>
      <c r="B31" s="108">
        <f t="shared" si="2"/>
        <v>2022</v>
      </c>
      <c r="C31" s="180">
        <v>306091541</v>
      </c>
      <c r="D31" s="177">
        <v>84050000</v>
      </c>
      <c r="E31" s="177">
        <v>85423490</v>
      </c>
      <c r="F31" s="174">
        <f t="shared" si="0"/>
        <v>136618051</v>
      </c>
      <c r="G31" s="181">
        <f t="shared" si="1"/>
        <v>94618051</v>
      </c>
      <c r="H31" s="107"/>
      <c r="I31" s="66"/>
    </row>
    <row r="32" spans="1:9" x14ac:dyDescent="0.25">
      <c r="A32" s="106"/>
      <c r="B32" s="108">
        <f t="shared" si="2"/>
        <v>2023</v>
      </c>
      <c r="C32" s="180">
        <v>283387001</v>
      </c>
      <c r="D32" s="177">
        <v>85983150</v>
      </c>
      <c r="E32" s="177">
        <v>85423490</v>
      </c>
      <c r="F32" s="174">
        <f t="shared" si="0"/>
        <v>111980361</v>
      </c>
      <c r="G32" s="181">
        <f t="shared" si="1"/>
        <v>69980361</v>
      </c>
      <c r="H32" s="107"/>
      <c r="I32" s="66"/>
    </row>
    <row r="33" spans="1:9" x14ac:dyDescent="0.25">
      <c r="A33" s="106"/>
      <c r="B33" s="108" t="s">
        <v>270</v>
      </c>
      <c r="C33" s="180">
        <f>SUM(C28:C32)</f>
        <v>1373670658</v>
      </c>
      <c r="D33" s="177">
        <f>SUM(D28:D32)</f>
        <v>402969722</v>
      </c>
      <c r="E33" s="177">
        <f>SUM(E28:E32)</f>
        <v>427117450</v>
      </c>
      <c r="F33" s="174">
        <f>SUM(F28:F32)</f>
        <v>543583486</v>
      </c>
      <c r="G33" s="181">
        <f>SUM(G28:G32)</f>
        <v>333583486</v>
      </c>
      <c r="H33" s="66"/>
      <c r="I33" s="66"/>
    </row>
    <row r="34" spans="1:9" x14ac:dyDescent="0.25">
      <c r="A34" s="106"/>
      <c r="B34" s="108" t="s">
        <v>4</v>
      </c>
      <c r="C34" s="182">
        <f>AVERAGE(C28:C32)</f>
        <v>274734131.60000002</v>
      </c>
      <c r="D34" s="182">
        <f>AVERAGE(D28:D33)</f>
        <v>134323240.66666666</v>
      </c>
      <c r="E34" s="175">
        <f>AVERAGE(E28:E32)</f>
        <v>85423490</v>
      </c>
      <c r="F34" s="174">
        <f>AVERAGE(F28:F32)</f>
        <v>108716697.2</v>
      </c>
      <c r="G34" s="181">
        <f>AVERAGE(G28:G32)</f>
        <v>66716697.200000003</v>
      </c>
      <c r="H34" s="66"/>
      <c r="I34" s="66"/>
    </row>
    <row r="35" spans="1:9" ht="21" x14ac:dyDescent="0.35">
      <c r="A35" s="106"/>
      <c r="B35" s="105"/>
      <c r="C35" s="66"/>
      <c r="D35" s="173"/>
      <c r="E35" s="174"/>
      <c r="F35" s="176"/>
      <c r="G35" s="179"/>
      <c r="H35" s="66"/>
      <c r="I35" s="66"/>
    </row>
    <row r="36" spans="1:9" ht="21" x14ac:dyDescent="0.35">
      <c r="A36" s="106"/>
      <c r="B36" s="105"/>
      <c r="C36" s="110"/>
      <c r="D36" s="173" t="s">
        <v>271</v>
      </c>
      <c r="E36" s="175">
        <v>210000000</v>
      </c>
      <c r="F36" s="177"/>
      <c r="G36" s="178"/>
      <c r="H36" s="66"/>
      <c r="I36" s="66"/>
    </row>
    <row r="37" spans="1:9" x14ac:dyDescent="0.25">
      <c r="A37" s="106"/>
      <c r="B37" s="108"/>
      <c r="C37" s="81"/>
      <c r="D37" s="82" t="s">
        <v>272</v>
      </c>
      <c r="E37" s="175">
        <f>E36/5</f>
        <v>42000000</v>
      </c>
      <c r="F37" s="177"/>
      <c r="G37" s="112"/>
      <c r="H37" s="66"/>
      <c r="I37" s="66"/>
    </row>
    <row r="38" spans="1:9" x14ac:dyDescent="0.25">
      <c r="A38" s="106"/>
      <c r="B38" s="108"/>
      <c r="C38" s="84"/>
      <c r="D38" s="84"/>
      <c r="E38" s="111"/>
      <c r="F38" s="66"/>
      <c r="G38" s="112"/>
      <c r="H38" s="66"/>
      <c r="I38" s="66"/>
    </row>
    <row r="39" spans="1:9" x14ac:dyDescent="0.25">
      <c r="A39" s="106"/>
      <c r="B39" s="99"/>
      <c r="C39" s="66"/>
      <c r="D39" s="66"/>
      <c r="E39" s="66"/>
      <c r="F39" s="66"/>
      <c r="G39" s="112"/>
      <c r="H39" s="66"/>
      <c r="I39" s="66"/>
    </row>
    <row r="40" spans="1:9" x14ac:dyDescent="0.25">
      <c r="A40" s="106"/>
      <c r="B40" s="99"/>
      <c r="C40" s="66"/>
      <c r="D40" s="66"/>
      <c r="E40" s="66"/>
      <c r="F40" s="66"/>
      <c r="G40" s="66"/>
      <c r="H40" s="66"/>
      <c r="I40" s="66"/>
    </row>
    <row r="41" spans="1:9" x14ac:dyDescent="0.25">
      <c r="A41" s="106"/>
      <c r="B41" s="99"/>
      <c r="C41" s="66"/>
      <c r="D41" s="66"/>
      <c r="E41" s="66"/>
      <c r="F41" s="66"/>
      <c r="G41" s="66"/>
      <c r="H41" s="66"/>
      <c r="I41" s="66"/>
    </row>
    <row r="42" spans="1:9" x14ac:dyDescent="0.25">
      <c r="A42" s="66"/>
      <c r="B42" s="99"/>
      <c r="C42" s="66"/>
      <c r="D42" s="66"/>
      <c r="E42" s="66"/>
      <c r="F42" s="66"/>
      <c r="G42" s="66"/>
      <c r="H42" s="66"/>
      <c r="I42" s="66"/>
    </row>
    <row r="43" spans="1:9" x14ac:dyDescent="0.25">
      <c r="A43" s="66"/>
      <c r="B43" s="107"/>
      <c r="C43" s="66"/>
      <c r="D43" s="66"/>
      <c r="E43" s="66"/>
      <c r="F43" s="66"/>
      <c r="G43" s="66"/>
      <c r="H43" s="66"/>
      <c r="I43" s="66"/>
    </row>
    <row r="44" spans="1:9" x14ac:dyDescent="0.25">
      <c r="A44" s="66"/>
      <c r="B44" s="66"/>
      <c r="C44" s="66"/>
      <c r="D44" s="66"/>
      <c r="E44" s="81"/>
      <c r="F44" s="81"/>
      <c r="G44" s="81"/>
      <c r="H44" s="81"/>
      <c r="I44" s="81"/>
    </row>
    <row r="45" spans="1:9" x14ac:dyDescent="0.25">
      <c r="A45" s="66"/>
      <c r="B45" s="66"/>
      <c r="C45" s="111"/>
      <c r="D45" s="112"/>
      <c r="E45" s="81"/>
      <c r="F45" s="81"/>
      <c r="G45" s="81"/>
      <c r="H45" s="81"/>
      <c r="I45" s="81"/>
    </row>
    <row r="46" spans="1:9" x14ac:dyDescent="0.25">
      <c r="A46" s="66"/>
      <c r="B46" s="66"/>
      <c r="C46" s="111"/>
      <c r="D46" s="112"/>
      <c r="E46" s="81"/>
      <c r="F46" s="81"/>
      <c r="G46" s="81"/>
      <c r="H46" s="81"/>
      <c r="I46" s="81"/>
    </row>
    <row r="47" spans="1:9" x14ac:dyDescent="0.25">
      <c r="A47" s="66"/>
      <c r="B47" s="66"/>
      <c r="C47" s="66"/>
      <c r="D47" s="66"/>
      <c r="E47" s="81"/>
      <c r="F47" s="81"/>
      <c r="G47" s="81"/>
      <c r="H47" s="81"/>
      <c r="I47" s="81"/>
    </row>
    <row r="48" spans="1:9" x14ac:dyDescent="0.25">
      <c r="A48" s="66"/>
      <c r="B48" s="66"/>
      <c r="C48" s="66"/>
      <c r="D48" s="66"/>
      <c r="E48" s="81"/>
      <c r="F48" s="81"/>
      <c r="G48" s="81"/>
      <c r="H48" s="81"/>
      <c r="I48" s="81"/>
    </row>
    <row r="49" spans="1:9" x14ac:dyDescent="0.25">
      <c r="A49" s="66"/>
      <c r="B49" s="66"/>
      <c r="C49" s="66"/>
      <c r="D49" s="66"/>
      <c r="E49" s="81"/>
      <c r="F49" s="81"/>
      <c r="G49" s="81"/>
      <c r="H49" s="81"/>
      <c r="I49" s="81"/>
    </row>
    <row r="50" spans="1:9" x14ac:dyDescent="0.25">
      <c r="A50" s="66"/>
      <c r="B50" s="66"/>
      <c r="C50" s="66"/>
      <c r="D50" s="66"/>
      <c r="E50" s="66"/>
      <c r="F50" s="66"/>
      <c r="G50" s="66"/>
      <c r="H50" s="66"/>
      <c r="I50" s="66"/>
    </row>
    <row r="51" spans="1:9" x14ac:dyDescent="0.25">
      <c r="A51" s="66"/>
      <c r="B51" s="66"/>
      <c r="C51" s="66"/>
      <c r="D51" s="66"/>
      <c r="E51" s="66"/>
      <c r="F51" s="66"/>
      <c r="G51" s="66"/>
      <c r="H51" s="66"/>
      <c r="I51" s="66"/>
    </row>
    <row r="52" spans="1:9" x14ac:dyDescent="0.25">
      <c r="A52" s="66"/>
      <c r="B52" s="66"/>
      <c r="C52" s="66"/>
      <c r="D52" s="66"/>
      <c r="E52" s="66"/>
      <c r="F52" s="66"/>
      <c r="G52" s="66"/>
      <c r="H52" s="66"/>
      <c r="I52" s="66"/>
    </row>
  </sheetData>
  <mergeCells count="8">
    <mergeCell ref="B24:G24"/>
    <mergeCell ref="B25:G25"/>
    <mergeCell ref="B18:I18"/>
    <mergeCell ref="B5:I5"/>
    <mergeCell ref="B6:I6"/>
    <mergeCell ref="B7:I7"/>
    <mergeCell ref="B8:I8"/>
    <mergeCell ref="B10:I10"/>
  </mergeCells>
  <phoneticPr fontId="17" type="noConversion"/>
  <pageMargins left="0.75" right="0.75" top="1" bottom="1" header="0.5" footer="0.5"/>
  <pageSetup scale="70" orientation="portrait" horizontalDpi="4294967292" verticalDpi="4294967292"/>
  <headerFooter>
    <oddHeader>&amp;R&amp;"Calibri,Regular"&amp;K000000EXHIBIT_____x000D_SCHEDULE (DJL-11)_x000D_PAGE 2 OF 3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A3" workbookViewId="0">
      <selection activeCell="E20" sqref="E20"/>
    </sheetView>
  </sheetViews>
  <sheetFormatPr defaultColWidth="11" defaultRowHeight="15.75" x14ac:dyDescent="0.25"/>
  <cols>
    <col min="1" max="1" width="5.375" customWidth="1"/>
    <col min="2" max="2" width="33.625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x14ac:dyDescent="0.3">
      <c r="A3" s="3"/>
      <c r="B3" s="218" t="s">
        <v>229</v>
      </c>
      <c r="C3" s="218"/>
      <c r="D3" s="218"/>
      <c r="E3" s="218"/>
      <c r="F3" s="218"/>
      <c r="G3" s="218"/>
      <c r="H3" s="218"/>
      <c r="I3" s="3"/>
      <c r="J3" s="3"/>
      <c r="K3" s="3"/>
      <c r="L3" s="3"/>
      <c r="M3" s="3"/>
      <c r="N3" s="3"/>
    </row>
    <row r="4" spans="1:14" ht="18.75" x14ac:dyDescent="0.3">
      <c r="A4" s="3"/>
      <c r="B4" s="218" t="s">
        <v>230</v>
      </c>
      <c r="C4" s="218"/>
      <c r="D4" s="218"/>
      <c r="E4" s="218"/>
      <c r="F4" s="218"/>
      <c r="G4" s="218"/>
      <c r="H4" s="218"/>
      <c r="I4" s="3"/>
      <c r="J4" s="3"/>
      <c r="K4" s="3"/>
      <c r="L4" s="3"/>
      <c r="M4" s="3"/>
      <c r="N4" s="3"/>
    </row>
    <row r="5" spans="1:14" ht="18.75" x14ac:dyDescent="0.3">
      <c r="A5" s="3"/>
      <c r="B5" s="218" t="s">
        <v>231</v>
      </c>
      <c r="C5" s="218"/>
      <c r="D5" s="218"/>
      <c r="E5" s="218"/>
      <c r="F5" s="218"/>
      <c r="G5" s="218"/>
      <c r="H5" s="218"/>
      <c r="I5" s="3"/>
      <c r="J5" s="3"/>
      <c r="K5" s="3"/>
      <c r="L5" s="3"/>
      <c r="M5" s="3"/>
      <c r="N5" s="3"/>
    </row>
    <row r="6" spans="1:14" ht="18.75" x14ac:dyDescent="0.3">
      <c r="A6" s="3"/>
      <c r="B6" s="219" t="s">
        <v>131</v>
      </c>
      <c r="C6" s="219"/>
      <c r="D6" s="219"/>
      <c r="E6" s="219"/>
      <c r="F6" s="219"/>
      <c r="G6" s="219"/>
      <c r="H6" s="219"/>
      <c r="I6" s="3"/>
      <c r="J6" s="3"/>
      <c r="K6" s="3"/>
      <c r="L6" s="3"/>
      <c r="M6" s="3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71"/>
      <c r="B9" s="71"/>
      <c r="C9" s="71"/>
      <c r="D9" s="71" t="s">
        <v>2</v>
      </c>
      <c r="E9" s="71" t="s">
        <v>52</v>
      </c>
      <c r="F9" s="71" t="s">
        <v>53</v>
      </c>
      <c r="G9" s="71" t="s">
        <v>54</v>
      </c>
      <c r="H9" s="71" t="s">
        <v>55</v>
      </c>
      <c r="I9" s="3"/>
      <c r="J9" s="3"/>
      <c r="K9" s="3"/>
      <c r="L9" s="3"/>
      <c r="M9" s="3"/>
      <c r="N9" s="3"/>
    </row>
    <row r="10" spans="1:14" ht="26.25" x14ac:dyDescent="0.25">
      <c r="A10" s="62" t="s">
        <v>0</v>
      </c>
      <c r="B10" s="62" t="s">
        <v>3</v>
      </c>
      <c r="C10" s="62" t="s">
        <v>1</v>
      </c>
      <c r="D10" s="71" t="s">
        <v>5</v>
      </c>
      <c r="E10" s="62" t="s">
        <v>136</v>
      </c>
      <c r="F10" s="62" t="s">
        <v>148</v>
      </c>
      <c r="G10" s="62" t="s">
        <v>153</v>
      </c>
      <c r="H10" s="62" t="s">
        <v>154</v>
      </c>
      <c r="I10" s="3"/>
      <c r="J10" s="3"/>
      <c r="K10" s="3"/>
      <c r="L10" s="3"/>
      <c r="M10" s="3"/>
      <c r="N10" s="3"/>
    </row>
    <row r="11" spans="1:14" x14ac:dyDescent="0.25">
      <c r="A11" s="64">
        <v>1</v>
      </c>
      <c r="B11" s="64" t="s">
        <v>233</v>
      </c>
      <c r="C11" s="64" t="s">
        <v>232</v>
      </c>
      <c r="D11" s="63">
        <v>0.6</v>
      </c>
      <c r="E11" s="60">
        <v>0.65700000000000003</v>
      </c>
      <c r="F11" s="60">
        <v>0.62</v>
      </c>
      <c r="G11" s="60">
        <v>0.63</v>
      </c>
      <c r="H11" s="60">
        <v>0.65</v>
      </c>
    </row>
    <row r="12" spans="1:14" x14ac:dyDescent="0.25">
      <c r="A12" s="64">
        <f>A11+1</f>
        <v>2</v>
      </c>
      <c r="B12" s="56" t="s">
        <v>234</v>
      </c>
      <c r="C12" s="64" t="s">
        <v>235</v>
      </c>
      <c r="D12" s="63"/>
      <c r="E12" s="60"/>
      <c r="F12" s="60"/>
      <c r="G12" s="60"/>
      <c r="H12" s="60"/>
    </row>
    <row r="13" spans="1:14" x14ac:dyDescent="0.25">
      <c r="A13" s="64">
        <f t="shared" ref="A13:A22" si="0">A12+1</f>
        <v>3</v>
      </c>
      <c r="B13" s="64" t="s">
        <v>236</v>
      </c>
      <c r="C13" s="64" t="s">
        <v>237</v>
      </c>
      <c r="D13" s="63">
        <v>0.7</v>
      </c>
      <c r="E13" s="60">
        <v>0.54600000000000004</v>
      </c>
      <c r="F13" s="60">
        <v>0.56499999999999995</v>
      </c>
      <c r="G13" s="60">
        <v>0.57499999999999996</v>
      </c>
      <c r="H13" s="60">
        <v>0.59499999999999997</v>
      </c>
    </row>
    <row r="14" spans="1:14" x14ac:dyDescent="0.25">
      <c r="A14" s="64">
        <f t="shared" si="0"/>
        <v>4</v>
      </c>
      <c r="B14" s="56" t="s">
        <v>238</v>
      </c>
      <c r="C14" s="64" t="s">
        <v>239</v>
      </c>
      <c r="D14" s="63">
        <v>0.6</v>
      </c>
      <c r="E14" s="74">
        <v>0.51900000000000002</v>
      </c>
      <c r="F14" s="74">
        <v>0.52</v>
      </c>
      <c r="G14" s="74">
        <v>0.52</v>
      </c>
      <c r="H14" s="75">
        <v>0.52500000000000002</v>
      </c>
    </row>
    <row r="15" spans="1:14" x14ac:dyDescent="0.25">
      <c r="A15" s="64">
        <f t="shared" si="0"/>
        <v>5</v>
      </c>
      <c r="B15" s="56" t="s">
        <v>240</v>
      </c>
      <c r="C15" s="64" t="s">
        <v>241</v>
      </c>
      <c r="D15" s="63">
        <v>0.65</v>
      </c>
      <c r="E15" s="74">
        <v>0.61399999999999999</v>
      </c>
      <c r="F15" s="74">
        <v>0.62</v>
      </c>
      <c r="G15" s="74">
        <v>0.62</v>
      </c>
      <c r="H15" s="74">
        <v>0.62</v>
      </c>
    </row>
    <row r="16" spans="1:14" x14ac:dyDescent="0.25">
      <c r="A16" s="64">
        <f t="shared" si="0"/>
        <v>6</v>
      </c>
      <c r="B16" s="64" t="s">
        <v>242</v>
      </c>
      <c r="C16" s="64" t="s">
        <v>243</v>
      </c>
      <c r="D16" s="63">
        <v>0.8</v>
      </c>
      <c r="E16" s="60">
        <v>0.376</v>
      </c>
      <c r="F16" s="60">
        <v>0.42</v>
      </c>
      <c r="G16" s="60">
        <v>0.41499999999999998</v>
      </c>
      <c r="H16" s="60">
        <v>0.42</v>
      </c>
    </row>
    <row r="17" spans="1:8" x14ac:dyDescent="0.25">
      <c r="A17" s="64">
        <f t="shared" si="0"/>
        <v>7</v>
      </c>
      <c r="B17" s="64" t="s">
        <v>244</v>
      </c>
      <c r="C17" s="64" t="s">
        <v>245</v>
      </c>
      <c r="D17" s="63">
        <v>0.65</v>
      </c>
      <c r="E17" s="76">
        <v>0.54300000000000004</v>
      </c>
      <c r="F17" s="76">
        <v>0.56000000000000005</v>
      </c>
      <c r="G17" s="76">
        <v>0.57999999999999996</v>
      </c>
      <c r="H17" s="76">
        <v>0.6</v>
      </c>
    </row>
    <row r="18" spans="1:8" x14ac:dyDescent="0.25">
      <c r="A18" s="64">
        <f t="shared" si="0"/>
        <v>8</v>
      </c>
      <c r="B18" s="64" t="s">
        <v>246</v>
      </c>
      <c r="C18" s="64" t="s">
        <v>247</v>
      </c>
      <c r="D18" s="63">
        <v>0.7</v>
      </c>
      <c r="E18" s="76">
        <v>0.51700000000000002</v>
      </c>
      <c r="F18" s="76">
        <v>0.5</v>
      </c>
      <c r="G18" s="76">
        <v>0.51500000000000001</v>
      </c>
      <c r="H18" s="76">
        <v>0.54</v>
      </c>
    </row>
    <row r="19" spans="1:8" x14ac:dyDescent="0.25">
      <c r="A19" s="64">
        <f t="shared" si="0"/>
        <v>9</v>
      </c>
      <c r="B19" s="56" t="s">
        <v>132</v>
      </c>
      <c r="C19" s="56"/>
      <c r="D19" s="65">
        <f>AVERAGE(D11:D18)</f>
        <v>0.67142857142857137</v>
      </c>
      <c r="E19" s="60">
        <f>AVERAGE(E11:E18)</f>
        <v>0.53885714285714281</v>
      </c>
      <c r="F19" s="60">
        <f>AVERAGE(F11:F18)</f>
        <v>0.54357142857142859</v>
      </c>
      <c r="G19" s="60">
        <f>AVERAGE(G11:G18)</f>
        <v>0.55071428571428582</v>
      </c>
      <c r="H19" s="60">
        <f>AVERAGE(H11:H18)</f>
        <v>0.56428571428571428</v>
      </c>
    </row>
    <row r="20" spans="1:8" x14ac:dyDescent="0.25">
      <c r="A20" s="64">
        <f t="shared" si="0"/>
        <v>10</v>
      </c>
      <c r="B20" s="56" t="s">
        <v>91</v>
      </c>
      <c r="C20" s="56"/>
      <c r="D20" s="65">
        <f>MEDIAN(D11:D18)</f>
        <v>0.65</v>
      </c>
      <c r="E20" s="60">
        <f t="shared" ref="E20:H20" si="1">MEDIAN(E11:E18)</f>
        <v>0.54300000000000004</v>
      </c>
      <c r="F20" s="60">
        <f t="shared" si="1"/>
        <v>0.56000000000000005</v>
      </c>
      <c r="G20" s="60">
        <f t="shared" si="1"/>
        <v>0.57499999999999996</v>
      </c>
      <c r="H20" s="60">
        <f t="shared" si="1"/>
        <v>0.59499999999999997</v>
      </c>
    </row>
    <row r="21" spans="1:8" x14ac:dyDescent="0.25">
      <c r="A21" s="64">
        <f t="shared" si="0"/>
        <v>11</v>
      </c>
      <c r="B21" s="56"/>
      <c r="C21" s="56"/>
      <c r="D21" s="65"/>
      <c r="E21" s="60"/>
      <c r="F21" s="60"/>
      <c r="G21" s="60"/>
      <c r="H21" s="60"/>
    </row>
    <row r="22" spans="1:8" ht="18.75" x14ac:dyDescent="0.3">
      <c r="A22" s="64">
        <f t="shared" si="0"/>
        <v>12</v>
      </c>
      <c r="B22" s="77" t="s">
        <v>229</v>
      </c>
      <c r="C22" s="77"/>
      <c r="D22" s="78"/>
      <c r="E22" s="79"/>
      <c r="F22" s="79"/>
      <c r="G22" s="79">
        <v>0.55000000000000004</v>
      </c>
      <c r="H22" s="79"/>
    </row>
    <row r="23" spans="1:8" x14ac:dyDescent="0.25">
      <c r="B23" s="34" t="s">
        <v>71</v>
      </c>
    </row>
    <row r="24" spans="1:8" x14ac:dyDescent="0.25">
      <c r="B24" s="34" t="s">
        <v>325</v>
      </c>
    </row>
    <row r="25" spans="1:8" x14ac:dyDescent="0.25">
      <c r="B25" s="34" t="s">
        <v>248</v>
      </c>
    </row>
  </sheetData>
  <mergeCells count="4">
    <mergeCell ref="B6:H6"/>
    <mergeCell ref="B3:H3"/>
    <mergeCell ref="B4:H4"/>
    <mergeCell ref="B5:H5"/>
  </mergeCells>
  <phoneticPr fontId="17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opLeftCell="A35" zoomScale="150" zoomScaleNormal="150" workbookViewId="0">
      <selection activeCell="A5" sqref="A5"/>
    </sheetView>
  </sheetViews>
  <sheetFormatPr defaultColWidth="11" defaultRowHeight="15.75" x14ac:dyDescent="0.25"/>
  <cols>
    <col min="2" max="2" width="12.875" customWidth="1"/>
    <col min="3" max="3" width="13.375" customWidth="1"/>
    <col min="5" max="5" width="14.625" customWidth="1"/>
  </cols>
  <sheetData>
    <row r="1" spans="1:9" x14ac:dyDescent="0.25">
      <c r="A1" s="85"/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85"/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85"/>
      <c r="B3" s="85"/>
      <c r="C3" s="85"/>
      <c r="D3" s="85"/>
      <c r="E3" s="85"/>
      <c r="F3" s="85"/>
      <c r="G3" s="85"/>
      <c r="H3" s="85"/>
      <c r="I3" s="85"/>
    </row>
    <row r="4" spans="1:9" x14ac:dyDescent="0.25">
      <c r="A4" s="85"/>
      <c r="B4" s="85"/>
      <c r="C4" s="85"/>
      <c r="D4" s="85"/>
      <c r="E4" s="85"/>
      <c r="F4" s="85"/>
      <c r="G4" s="85"/>
      <c r="H4" s="85"/>
      <c r="I4" s="85"/>
    </row>
    <row r="5" spans="1:9" x14ac:dyDescent="0.25">
      <c r="A5" s="85"/>
      <c r="B5" s="236"/>
      <c r="C5" s="236"/>
      <c r="D5" s="236"/>
      <c r="E5" s="236"/>
      <c r="F5" s="236"/>
      <c r="G5" s="236"/>
      <c r="H5" s="236"/>
      <c r="I5" s="236"/>
    </row>
    <row r="6" spans="1:9" x14ac:dyDescent="0.25">
      <c r="A6" s="85"/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85"/>
      <c r="B7" s="236"/>
      <c r="C7" s="236"/>
      <c r="D7" s="236"/>
      <c r="E7" s="236"/>
      <c r="F7" s="236"/>
      <c r="G7" s="236"/>
      <c r="H7" s="236"/>
      <c r="I7" s="236"/>
    </row>
    <row r="8" spans="1:9" x14ac:dyDescent="0.25">
      <c r="A8" s="85"/>
      <c r="B8" s="235"/>
      <c r="C8" s="235"/>
      <c r="D8" s="235"/>
      <c r="E8" s="235"/>
      <c r="F8" s="235"/>
      <c r="G8" s="235"/>
      <c r="H8" s="235"/>
      <c r="I8" s="235"/>
    </row>
    <row r="9" spans="1:9" x14ac:dyDescent="0.25">
      <c r="A9" s="85"/>
      <c r="B9" s="85"/>
      <c r="C9" s="85"/>
      <c r="D9" s="85"/>
      <c r="E9" s="85"/>
      <c r="F9" s="85"/>
      <c r="G9" s="85"/>
      <c r="H9" s="85"/>
      <c r="I9" s="85"/>
    </row>
    <row r="10" spans="1:9" x14ac:dyDescent="0.25">
      <c r="A10" s="85" t="s">
        <v>72</v>
      </c>
      <c r="B10" s="184" t="s">
        <v>277</v>
      </c>
      <c r="C10" s="184" t="s">
        <v>278</v>
      </c>
      <c r="D10" s="184"/>
      <c r="E10" s="184"/>
      <c r="F10" s="184"/>
      <c r="G10" s="184"/>
      <c r="H10" s="184"/>
      <c r="I10" s="184"/>
    </row>
    <row r="11" spans="1:9" x14ac:dyDescent="0.25">
      <c r="A11" s="85">
        <v>1980</v>
      </c>
      <c r="B11" s="185"/>
      <c r="C11" s="191"/>
      <c r="D11" s="186"/>
      <c r="E11" s="186"/>
      <c r="F11" s="186"/>
      <c r="G11" s="186"/>
      <c r="H11" s="187"/>
      <c r="I11" s="187"/>
    </row>
    <row r="12" spans="1:9" x14ac:dyDescent="0.25">
      <c r="A12" s="85">
        <f>A11+1</f>
        <v>1981</v>
      </c>
      <c r="B12" s="193">
        <v>0.15110000000000001</v>
      </c>
      <c r="C12" s="191">
        <v>60</v>
      </c>
      <c r="D12" s="96"/>
      <c r="E12" s="97"/>
      <c r="F12" s="97"/>
      <c r="G12" s="188"/>
      <c r="H12" s="97"/>
      <c r="I12" s="188"/>
    </row>
    <row r="13" spans="1:9" x14ac:dyDescent="0.25">
      <c r="A13" s="85">
        <f t="shared" ref="A13:A50" si="0">A12+1</f>
        <v>1982</v>
      </c>
      <c r="B13" s="194">
        <v>0.15620000000000001</v>
      </c>
      <c r="C13" s="195">
        <v>83</v>
      </c>
      <c r="D13" s="96"/>
      <c r="E13" s="97"/>
      <c r="F13" s="97"/>
      <c r="G13" s="188"/>
      <c r="H13" s="97"/>
      <c r="I13" s="188"/>
    </row>
    <row r="14" spans="1:9" x14ac:dyDescent="0.25">
      <c r="A14" s="85">
        <f t="shared" si="0"/>
        <v>1983</v>
      </c>
      <c r="B14" s="194">
        <v>0.1525</v>
      </c>
      <c r="C14" s="195">
        <v>65</v>
      </c>
      <c r="D14" s="96"/>
      <c r="E14" s="97"/>
      <c r="F14" s="97"/>
      <c r="G14" s="188"/>
      <c r="H14" s="97"/>
      <c r="I14" s="188"/>
    </row>
    <row r="15" spans="1:9" x14ac:dyDescent="0.25">
      <c r="A15" s="85">
        <f t="shared" si="0"/>
        <v>1984</v>
      </c>
      <c r="B15" s="194">
        <v>0.15310000000000001</v>
      </c>
      <c r="C15" s="195">
        <v>39</v>
      </c>
      <c r="D15" s="96"/>
      <c r="E15" s="97"/>
      <c r="F15" s="97"/>
      <c r="G15" s="97"/>
      <c r="H15" s="81"/>
      <c r="I15" s="81"/>
    </row>
    <row r="16" spans="1:9" x14ac:dyDescent="0.25">
      <c r="A16" s="85">
        <f t="shared" si="0"/>
        <v>1985</v>
      </c>
      <c r="B16" s="194">
        <v>0.14749999999999999</v>
      </c>
      <c r="C16" s="195">
        <v>34</v>
      </c>
      <c r="D16" s="96"/>
      <c r="E16" s="97"/>
      <c r="F16" s="97"/>
      <c r="G16" s="97"/>
      <c r="H16" s="81"/>
      <c r="I16" s="81"/>
    </row>
    <row r="17" spans="1:9" x14ac:dyDescent="0.25">
      <c r="A17" s="85">
        <f t="shared" si="0"/>
        <v>1986</v>
      </c>
      <c r="B17" s="194">
        <v>0.1346</v>
      </c>
      <c r="C17" s="195">
        <v>25</v>
      </c>
      <c r="D17" s="96"/>
      <c r="E17" s="97"/>
      <c r="F17" s="97"/>
      <c r="G17" s="97"/>
      <c r="H17" s="81"/>
      <c r="I17" s="81"/>
    </row>
    <row r="18" spans="1:9" x14ac:dyDescent="0.25">
      <c r="A18" s="85">
        <f t="shared" si="0"/>
        <v>1987</v>
      </c>
      <c r="B18" s="194">
        <v>0.12740000000000001</v>
      </c>
      <c r="C18" s="196">
        <v>29</v>
      </c>
      <c r="D18" s="192"/>
      <c r="E18" s="192"/>
      <c r="F18" s="192"/>
      <c r="G18" s="192"/>
      <c r="H18" s="192"/>
      <c r="I18" s="192"/>
    </row>
    <row r="19" spans="1:9" x14ac:dyDescent="0.25">
      <c r="A19" s="85">
        <f t="shared" si="0"/>
        <v>1988</v>
      </c>
      <c r="B19" s="193">
        <v>0.1285</v>
      </c>
      <c r="C19" s="191">
        <v>31</v>
      </c>
      <c r="D19" s="186"/>
      <c r="E19" s="186"/>
      <c r="F19" s="186"/>
      <c r="G19" s="186"/>
      <c r="H19" s="186"/>
      <c r="I19" s="186"/>
    </row>
    <row r="20" spans="1:9" x14ac:dyDescent="0.25">
      <c r="A20" s="85">
        <f t="shared" si="0"/>
        <v>1989</v>
      </c>
      <c r="B20" s="194">
        <v>0.1288</v>
      </c>
      <c r="C20" s="195">
        <v>31</v>
      </c>
      <c r="D20" s="96"/>
      <c r="E20" s="97"/>
      <c r="F20" s="97"/>
      <c r="G20" s="188"/>
      <c r="H20" s="97"/>
      <c r="I20" s="189"/>
    </row>
    <row r="21" spans="1:9" x14ac:dyDescent="0.25">
      <c r="A21" s="85">
        <f t="shared" si="0"/>
        <v>1990</v>
      </c>
      <c r="B21" s="194">
        <v>0.12670000000000001</v>
      </c>
      <c r="C21" s="195">
        <v>31</v>
      </c>
      <c r="D21" s="96"/>
      <c r="E21" s="97"/>
      <c r="F21" s="97"/>
      <c r="G21" s="188"/>
      <c r="H21" s="97"/>
      <c r="I21" s="189"/>
    </row>
    <row r="22" spans="1:9" x14ac:dyDescent="0.25">
      <c r="A22" s="85">
        <f t="shared" si="0"/>
        <v>1991</v>
      </c>
      <c r="B22" s="194">
        <v>0.1246</v>
      </c>
      <c r="C22" s="195">
        <v>35</v>
      </c>
      <c r="D22" s="96"/>
      <c r="E22" s="97"/>
      <c r="F22" s="97"/>
      <c r="G22" s="188"/>
      <c r="H22" s="97"/>
      <c r="I22" s="189"/>
    </row>
    <row r="23" spans="1:9" x14ac:dyDescent="0.25">
      <c r="A23" s="85">
        <f t="shared" si="0"/>
        <v>1992</v>
      </c>
      <c r="B23" s="197">
        <v>0.1201</v>
      </c>
      <c r="C23" s="195">
        <v>29</v>
      </c>
      <c r="D23" s="96"/>
      <c r="E23" s="97"/>
      <c r="F23" s="97"/>
      <c r="G23" s="97"/>
      <c r="H23" s="81"/>
      <c r="I23" s="97"/>
    </row>
    <row r="24" spans="1:9" x14ac:dyDescent="0.25">
      <c r="A24" s="85">
        <f t="shared" si="0"/>
        <v>1993</v>
      </c>
      <c r="B24" s="81">
        <v>0.1135</v>
      </c>
      <c r="C24" s="198">
        <v>45</v>
      </c>
      <c r="D24" s="81"/>
      <c r="E24" s="81"/>
      <c r="F24" s="81"/>
      <c r="G24" s="81"/>
      <c r="H24" s="81"/>
      <c r="I24" s="81"/>
    </row>
    <row r="25" spans="1:9" x14ac:dyDescent="0.25">
      <c r="A25" s="85">
        <f t="shared" si="0"/>
        <v>1994</v>
      </c>
      <c r="B25" s="81">
        <v>0.1135</v>
      </c>
      <c r="C25" s="198">
        <v>28</v>
      </c>
      <c r="D25" s="81"/>
      <c r="E25" s="81"/>
      <c r="F25" s="81"/>
      <c r="G25" s="81"/>
      <c r="H25" s="81"/>
      <c r="I25" s="81"/>
    </row>
    <row r="26" spans="1:9" x14ac:dyDescent="0.25">
      <c r="A26" s="85">
        <f t="shared" si="0"/>
        <v>1995</v>
      </c>
      <c r="B26" s="194">
        <v>0.1143</v>
      </c>
      <c r="C26" s="196">
        <v>16</v>
      </c>
      <c r="D26" s="192"/>
      <c r="E26" s="192"/>
      <c r="F26" s="192"/>
      <c r="G26" s="192"/>
      <c r="H26" s="192"/>
      <c r="I26" s="192"/>
    </row>
    <row r="27" spans="1:9" x14ac:dyDescent="0.25">
      <c r="A27" s="85">
        <f t="shared" si="0"/>
        <v>1996</v>
      </c>
      <c r="B27" s="96">
        <v>0.1119</v>
      </c>
      <c r="C27" s="191">
        <v>20</v>
      </c>
      <c r="D27" s="186"/>
      <c r="E27" s="186"/>
      <c r="F27" s="186"/>
      <c r="G27" s="186"/>
      <c r="H27" s="186"/>
      <c r="I27" s="186"/>
    </row>
    <row r="28" spans="1:9" x14ac:dyDescent="0.25">
      <c r="A28" s="85">
        <f t="shared" si="0"/>
        <v>1997</v>
      </c>
      <c r="B28" s="197">
        <v>0.1129</v>
      </c>
      <c r="C28" s="195">
        <v>13</v>
      </c>
      <c r="D28" s="96"/>
      <c r="E28" s="97"/>
      <c r="F28" s="97"/>
      <c r="G28" s="188"/>
      <c r="H28" s="97"/>
      <c r="I28" s="189"/>
    </row>
    <row r="29" spans="1:9" x14ac:dyDescent="0.25">
      <c r="A29" s="85">
        <f t="shared" si="0"/>
        <v>1998</v>
      </c>
      <c r="B29" s="197">
        <v>0.11509999999999999</v>
      </c>
      <c r="C29" s="195">
        <v>10</v>
      </c>
      <c r="D29" s="96"/>
      <c r="E29" s="97"/>
      <c r="F29" s="97"/>
      <c r="G29" s="188"/>
      <c r="H29" s="97"/>
      <c r="I29" s="189"/>
    </row>
    <row r="30" spans="1:9" x14ac:dyDescent="0.25">
      <c r="A30" s="85">
        <f t="shared" si="0"/>
        <v>1999</v>
      </c>
      <c r="B30" s="197">
        <v>0.1066</v>
      </c>
      <c r="C30" s="195">
        <v>9</v>
      </c>
      <c r="D30" s="96"/>
      <c r="E30" s="97"/>
      <c r="F30" s="97"/>
      <c r="G30" s="188"/>
      <c r="H30" s="97"/>
      <c r="I30" s="189"/>
    </row>
    <row r="31" spans="1:9" x14ac:dyDescent="0.25">
      <c r="A31" s="85">
        <f t="shared" si="0"/>
        <v>2000</v>
      </c>
      <c r="B31" s="197">
        <v>0.1139</v>
      </c>
      <c r="C31" s="195">
        <v>12</v>
      </c>
      <c r="D31" s="190"/>
      <c r="E31" s="199"/>
      <c r="F31" s="97"/>
      <c r="G31" s="97"/>
      <c r="H31" s="81"/>
      <c r="I31" s="97"/>
    </row>
    <row r="32" spans="1:9" x14ac:dyDescent="0.25">
      <c r="A32" s="85">
        <f t="shared" si="0"/>
        <v>2001</v>
      </c>
      <c r="B32" s="7">
        <v>0.1095</v>
      </c>
      <c r="C32" s="200">
        <v>7</v>
      </c>
      <c r="D32" s="5"/>
      <c r="E32" s="5"/>
      <c r="F32" s="7"/>
      <c r="G32" s="7"/>
      <c r="H32" s="7"/>
      <c r="I32" s="7"/>
    </row>
    <row r="33" spans="1:9" x14ac:dyDescent="0.25">
      <c r="A33" s="85">
        <f t="shared" si="0"/>
        <v>2002</v>
      </c>
      <c r="B33" s="7">
        <v>0.1103</v>
      </c>
      <c r="C33" s="200">
        <v>21</v>
      </c>
      <c r="D33" s="5"/>
      <c r="E33" s="5"/>
      <c r="F33" s="7"/>
      <c r="G33" s="7"/>
      <c r="H33" s="7"/>
      <c r="I33" s="7"/>
    </row>
    <row r="34" spans="1:9" x14ac:dyDescent="0.25">
      <c r="A34" s="85">
        <f t="shared" si="0"/>
        <v>2003</v>
      </c>
      <c r="B34" s="7">
        <v>0.1099</v>
      </c>
      <c r="C34" s="200">
        <v>25</v>
      </c>
      <c r="D34" s="5"/>
      <c r="E34" s="5"/>
      <c r="F34" s="7"/>
      <c r="G34" s="7"/>
      <c r="H34" s="7"/>
      <c r="I34" s="7"/>
    </row>
    <row r="35" spans="1:9" x14ac:dyDescent="0.25">
      <c r="A35" s="85">
        <f t="shared" si="0"/>
        <v>2004</v>
      </c>
      <c r="B35" s="7">
        <v>0.10589999999999999</v>
      </c>
      <c r="C35" s="200">
        <v>20</v>
      </c>
      <c r="D35" s="5"/>
      <c r="E35" s="5"/>
      <c r="F35" s="7"/>
      <c r="G35" s="7"/>
      <c r="H35" s="7"/>
      <c r="I35" s="7"/>
    </row>
    <row r="36" spans="1:9" x14ac:dyDescent="0.25">
      <c r="A36" s="85">
        <f t="shared" si="0"/>
        <v>2005</v>
      </c>
      <c r="B36" s="7">
        <v>0.1046</v>
      </c>
      <c r="C36" s="200">
        <v>26</v>
      </c>
      <c r="D36" s="5"/>
      <c r="E36" s="5"/>
      <c r="F36" s="7"/>
      <c r="G36" s="7"/>
      <c r="H36" s="7"/>
      <c r="I36" s="7"/>
    </row>
    <row r="37" spans="1:9" x14ac:dyDescent="0.25">
      <c r="A37" s="85">
        <f t="shared" si="0"/>
        <v>2006</v>
      </c>
      <c r="B37" s="7">
        <v>0.1043</v>
      </c>
      <c r="C37" s="200">
        <v>16</v>
      </c>
      <c r="D37" s="5"/>
      <c r="E37" s="5"/>
      <c r="F37" s="7"/>
      <c r="G37" s="7"/>
      <c r="H37" s="7"/>
      <c r="I37" s="7"/>
    </row>
    <row r="38" spans="1:9" x14ac:dyDescent="0.25">
      <c r="A38" s="85">
        <f t="shared" si="0"/>
        <v>2007</v>
      </c>
      <c r="B38" s="7">
        <v>0.1024</v>
      </c>
      <c r="C38" s="200">
        <v>37</v>
      </c>
      <c r="D38" s="5"/>
      <c r="E38" s="5"/>
      <c r="F38" s="7"/>
      <c r="G38" s="7"/>
      <c r="H38" s="7"/>
      <c r="I38" s="7"/>
    </row>
    <row r="39" spans="1:9" x14ac:dyDescent="0.25">
      <c r="A39" s="85">
        <f t="shared" si="0"/>
        <v>2008</v>
      </c>
      <c r="B39" s="7">
        <v>0.1037</v>
      </c>
      <c r="C39" s="200">
        <v>30</v>
      </c>
      <c r="D39" s="5"/>
      <c r="E39" s="5"/>
      <c r="F39" s="7"/>
      <c r="G39" s="7"/>
      <c r="H39" s="7"/>
      <c r="I39" s="7"/>
    </row>
    <row r="40" spans="1:9" x14ac:dyDescent="0.25">
      <c r="A40" s="85">
        <f t="shared" si="0"/>
        <v>2009</v>
      </c>
      <c r="B40" s="7">
        <v>0.1019</v>
      </c>
      <c r="C40" s="200">
        <v>29</v>
      </c>
      <c r="D40" s="5"/>
      <c r="E40" s="5"/>
      <c r="F40" s="7"/>
      <c r="G40" s="7"/>
      <c r="H40" s="7"/>
      <c r="I40" s="7"/>
    </row>
    <row r="41" spans="1:9" x14ac:dyDescent="0.25">
      <c r="A41" s="85">
        <f t="shared" si="0"/>
        <v>2010</v>
      </c>
      <c r="B41" s="7">
        <v>0.1008</v>
      </c>
      <c r="C41" s="200">
        <v>36</v>
      </c>
      <c r="D41" s="5"/>
      <c r="E41" s="5"/>
      <c r="F41" s="7"/>
      <c r="G41" s="7"/>
      <c r="H41" s="7"/>
      <c r="I41" s="7"/>
    </row>
    <row r="42" spans="1:9" x14ac:dyDescent="0.25">
      <c r="A42" s="85">
        <f t="shared" si="0"/>
        <v>2011</v>
      </c>
      <c r="B42" s="7">
        <v>9.9199999999999997E-2</v>
      </c>
      <c r="C42" s="200"/>
      <c r="D42" s="5"/>
      <c r="E42" s="5"/>
      <c r="F42" s="7"/>
      <c r="G42" s="7"/>
      <c r="H42" s="7"/>
      <c r="I42" s="7"/>
    </row>
    <row r="43" spans="1:9" x14ac:dyDescent="0.25">
      <c r="A43" s="85">
        <f t="shared" si="0"/>
        <v>2012</v>
      </c>
      <c r="B43" s="7">
        <v>9.9299999999999999E-2</v>
      </c>
      <c r="C43" s="5">
        <v>34</v>
      </c>
      <c r="D43" s="5"/>
      <c r="E43" s="5"/>
      <c r="F43" s="7"/>
      <c r="G43" s="7"/>
      <c r="H43" s="7"/>
      <c r="I43" s="7"/>
    </row>
    <row r="44" spans="1:9" x14ac:dyDescent="0.25">
      <c r="A44" s="85">
        <f t="shared" si="0"/>
        <v>2013</v>
      </c>
      <c r="B44" s="7">
        <v>9.6799999999999997E-2</v>
      </c>
      <c r="C44" s="5">
        <v>21</v>
      </c>
      <c r="D44" s="5"/>
      <c r="E44" s="5"/>
      <c r="F44" s="7"/>
      <c r="G44" s="7"/>
      <c r="H44" s="7"/>
      <c r="I44" s="7"/>
    </row>
    <row r="45" spans="1:9" x14ac:dyDescent="0.25">
      <c r="A45" s="85">
        <f t="shared" si="0"/>
        <v>2014</v>
      </c>
      <c r="B45" s="7">
        <v>9.7799999999999998E-2</v>
      </c>
      <c r="C45" s="5">
        <v>26</v>
      </c>
      <c r="D45" s="5"/>
      <c r="E45" s="5"/>
      <c r="F45" s="7"/>
      <c r="G45" s="7"/>
      <c r="H45" s="7"/>
      <c r="I45" s="7"/>
    </row>
    <row r="46" spans="1:9" x14ac:dyDescent="0.25">
      <c r="A46" s="85">
        <f t="shared" si="0"/>
        <v>2015</v>
      </c>
      <c r="B46" s="7">
        <v>9.6299999999999997E-2</v>
      </c>
      <c r="C46" s="5">
        <v>17</v>
      </c>
      <c r="D46" s="5"/>
      <c r="E46" s="5"/>
      <c r="F46" s="7"/>
      <c r="G46" s="7"/>
      <c r="H46" s="7"/>
      <c r="I46" s="7"/>
    </row>
    <row r="47" spans="1:9" x14ac:dyDescent="0.25">
      <c r="A47" s="85">
        <f t="shared" si="0"/>
        <v>2016</v>
      </c>
      <c r="B47" s="7">
        <v>9.5799999999999996E-2</v>
      </c>
      <c r="C47" s="5">
        <v>24</v>
      </c>
      <c r="D47" s="5"/>
      <c r="E47" s="5"/>
      <c r="F47" s="7"/>
      <c r="G47" s="7"/>
      <c r="H47" s="7"/>
      <c r="I47" s="7"/>
    </row>
    <row r="48" spans="1:9" x14ac:dyDescent="0.25">
      <c r="A48" s="85">
        <f t="shared" si="0"/>
        <v>2017</v>
      </c>
      <c r="B48" s="7">
        <v>9.7199999999999995E-2</v>
      </c>
      <c r="C48" s="5"/>
      <c r="D48" s="5"/>
      <c r="E48" s="5"/>
      <c r="F48" s="7"/>
      <c r="G48" s="7"/>
      <c r="H48" s="7"/>
      <c r="I48" s="7"/>
    </row>
    <row r="49" spans="1:9" x14ac:dyDescent="0.25">
      <c r="A49" s="85">
        <f t="shared" si="0"/>
        <v>2018</v>
      </c>
      <c r="B49" s="7">
        <v>9.5899999999999999E-2</v>
      </c>
      <c r="C49" s="5"/>
      <c r="D49" s="5"/>
      <c r="E49" s="5"/>
      <c r="F49" s="7"/>
      <c r="G49" s="7"/>
      <c r="H49" s="7"/>
      <c r="I49" s="7"/>
    </row>
    <row r="50" spans="1:9" x14ac:dyDescent="0.25">
      <c r="A50" s="85">
        <f t="shared" si="0"/>
        <v>2019</v>
      </c>
      <c r="B50" s="7">
        <v>9.5500000000000002E-2</v>
      </c>
      <c r="C50" s="5"/>
      <c r="D50" s="5"/>
      <c r="E50" s="5"/>
      <c r="F50" s="7"/>
      <c r="G50" s="7"/>
      <c r="H50" s="7"/>
      <c r="I50" s="7"/>
    </row>
    <row r="51" spans="1:9" x14ac:dyDescent="0.25">
      <c r="A51" s="85"/>
      <c r="B51" s="201"/>
      <c r="C51" s="5"/>
      <c r="D51" s="5"/>
      <c r="E51" s="5"/>
      <c r="F51" s="7"/>
      <c r="G51" s="7"/>
      <c r="H51" s="7"/>
      <c r="I51" s="7"/>
    </row>
    <row r="52" spans="1:9" x14ac:dyDescent="0.25">
      <c r="A52" s="202" t="s">
        <v>279</v>
      </c>
      <c r="B52" s="202"/>
      <c r="C52" s="202"/>
      <c r="D52" s="202"/>
      <c r="E52" s="202"/>
      <c r="F52" s="7"/>
      <c r="G52" s="7"/>
      <c r="H52" s="7"/>
      <c r="I52" s="7"/>
    </row>
    <row r="53" spans="1:9" x14ac:dyDescent="0.25">
      <c r="A53" s="235" t="s">
        <v>280</v>
      </c>
      <c r="B53" s="235"/>
      <c r="C53" s="235"/>
      <c r="D53" s="8"/>
      <c r="E53" s="8"/>
    </row>
    <row r="54" spans="1:9" x14ac:dyDescent="0.25">
      <c r="A54" s="85"/>
      <c r="C54" s="8"/>
      <c r="D54" s="8"/>
      <c r="E54" s="8"/>
    </row>
    <row r="55" spans="1:9" x14ac:dyDescent="0.25">
      <c r="A55" s="85"/>
      <c r="C55" s="8"/>
      <c r="D55" s="8"/>
      <c r="E55" s="8"/>
    </row>
    <row r="56" spans="1:9" x14ac:dyDescent="0.25">
      <c r="A56" s="85"/>
      <c r="C56" s="8"/>
      <c r="D56" s="8"/>
      <c r="E56" s="8"/>
    </row>
    <row r="57" spans="1:9" x14ac:dyDescent="0.25">
      <c r="A57" s="85"/>
      <c r="C57" s="8"/>
      <c r="D57" s="8"/>
      <c r="E57" s="8"/>
    </row>
    <row r="58" spans="1:9" x14ac:dyDescent="0.25">
      <c r="A58" s="85"/>
      <c r="C58" s="8"/>
      <c r="D58" s="8"/>
      <c r="E58" s="8"/>
    </row>
    <row r="59" spans="1:9" x14ac:dyDescent="0.25">
      <c r="A59" s="85"/>
      <c r="C59" s="8"/>
      <c r="D59" s="8"/>
      <c r="E59" s="8"/>
    </row>
    <row r="60" spans="1:9" x14ac:dyDescent="0.25">
      <c r="A60" s="85"/>
      <c r="C60" s="8"/>
      <c r="D60" s="8"/>
      <c r="E60" s="8"/>
    </row>
    <row r="61" spans="1:9" x14ac:dyDescent="0.25">
      <c r="A61" s="85"/>
    </row>
    <row r="62" spans="1:9" x14ac:dyDescent="0.25">
      <c r="A62" s="85"/>
    </row>
    <row r="63" spans="1:9" x14ac:dyDescent="0.25">
      <c r="A63" s="85"/>
    </row>
    <row r="64" spans="1:9" x14ac:dyDescent="0.25">
      <c r="A64" s="85"/>
    </row>
    <row r="65" spans="1:1" x14ac:dyDescent="0.25">
      <c r="A65" s="85"/>
    </row>
    <row r="66" spans="1:1" x14ac:dyDescent="0.25">
      <c r="A66" s="85"/>
    </row>
    <row r="67" spans="1:1" x14ac:dyDescent="0.25">
      <c r="A67" s="85"/>
    </row>
    <row r="68" spans="1:1" x14ac:dyDescent="0.25">
      <c r="A68" s="85"/>
    </row>
    <row r="69" spans="1:1" x14ac:dyDescent="0.25">
      <c r="A69" s="85"/>
    </row>
    <row r="70" spans="1:1" x14ac:dyDescent="0.25">
      <c r="A70" s="85"/>
    </row>
    <row r="71" spans="1:1" x14ac:dyDescent="0.25">
      <c r="A71" s="85"/>
    </row>
    <row r="72" spans="1:1" x14ac:dyDescent="0.25">
      <c r="A72" s="85"/>
    </row>
    <row r="73" spans="1:1" x14ac:dyDescent="0.25">
      <c r="A73" s="85"/>
    </row>
    <row r="74" spans="1:1" x14ac:dyDescent="0.25">
      <c r="A74" s="85"/>
    </row>
    <row r="75" spans="1:1" x14ac:dyDescent="0.25">
      <c r="A75" s="85"/>
    </row>
    <row r="76" spans="1:1" x14ac:dyDescent="0.25">
      <c r="A76" s="85"/>
    </row>
    <row r="77" spans="1:1" x14ac:dyDescent="0.25">
      <c r="A77" s="85"/>
    </row>
    <row r="78" spans="1:1" x14ac:dyDescent="0.25">
      <c r="A78" s="85"/>
    </row>
    <row r="79" spans="1:1" x14ac:dyDescent="0.25">
      <c r="A79" s="85"/>
    </row>
    <row r="80" spans="1:1" x14ac:dyDescent="0.25">
      <c r="A80" s="85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5"/>
    </row>
    <row r="88" spans="1:1" x14ac:dyDescent="0.25">
      <c r="A88" s="85"/>
    </row>
    <row r="89" spans="1:1" x14ac:dyDescent="0.25">
      <c r="A89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85"/>
    </row>
    <row r="97" spans="1:1" x14ac:dyDescent="0.25">
      <c r="A97" s="85"/>
    </row>
    <row r="98" spans="1:1" x14ac:dyDescent="0.25">
      <c r="A98" s="85"/>
    </row>
    <row r="99" spans="1:1" x14ac:dyDescent="0.25">
      <c r="A99" s="85"/>
    </row>
    <row r="100" spans="1:1" x14ac:dyDescent="0.25">
      <c r="A100" s="85"/>
    </row>
    <row r="101" spans="1:1" x14ac:dyDescent="0.25">
      <c r="A101" s="85"/>
    </row>
    <row r="102" spans="1:1" x14ac:dyDescent="0.25">
      <c r="A102" s="85"/>
    </row>
    <row r="103" spans="1:1" x14ac:dyDescent="0.25">
      <c r="A103" s="85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0" spans="1:1" x14ac:dyDescent="0.25">
      <c r="A110" s="85"/>
    </row>
    <row r="111" spans="1:1" x14ac:dyDescent="0.25">
      <c r="A111" s="85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</sheetData>
  <mergeCells count="5">
    <mergeCell ref="A53:C53"/>
    <mergeCell ref="B5:I5"/>
    <mergeCell ref="B6:I6"/>
    <mergeCell ref="B7:I7"/>
    <mergeCell ref="B8:I8"/>
  </mergeCells>
  <phoneticPr fontId="17" type="noConversion"/>
  <pageMargins left="0.75" right="0.75" top="1" bottom="1" header="0.5" footer="0.5"/>
  <pageSetup scale="93" orientation="portrait" horizontalDpi="4294967292" verticalDpi="4294967292"/>
  <headerFooter>
    <oddHeader>&amp;R&amp;"Calibri,Regular"&amp;K000000EXHIBIT_____x000D_SCHEDULE (DJL-11)_x000D_PAGE 3 OF 3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selection activeCell="C5" sqref="C5"/>
    </sheetView>
  </sheetViews>
  <sheetFormatPr defaultColWidth="11" defaultRowHeight="15.75" x14ac:dyDescent="0.25"/>
  <cols>
    <col min="1" max="1" width="7.5" customWidth="1"/>
    <col min="2" max="2" width="41.625" customWidth="1"/>
    <col min="5" max="5" width="13.5" customWidth="1"/>
    <col min="7" max="7" width="13.125" customWidth="1"/>
    <col min="9" max="9" width="13.5" customWidth="1"/>
    <col min="11" max="11" width="13.5" customWidth="1"/>
    <col min="17" max="17" width="14.625" customWidth="1"/>
  </cols>
  <sheetData>
    <row r="1" spans="1:19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</row>
    <row r="9" spans="1:19" x14ac:dyDescent="0.25">
      <c r="A9" s="205"/>
      <c r="B9" s="205"/>
      <c r="C9" s="205"/>
      <c r="D9" s="228" t="s">
        <v>288</v>
      </c>
      <c r="E9" s="228"/>
      <c r="F9" s="228"/>
      <c r="G9" s="205"/>
      <c r="H9" s="228" t="s">
        <v>289</v>
      </c>
      <c r="I9" s="228"/>
      <c r="J9" s="228"/>
      <c r="K9" s="205"/>
      <c r="L9" s="228" t="s">
        <v>290</v>
      </c>
      <c r="M9" s="228"/>
      <c r="N9" s="228"/>
      <c r="O9" s="205"/>
      <c r="P9" s="228" t="s">
        <v>291</v>
      </c>
      <c r="Q9" s="228"/>
      <c r="R9" s="228"/>
      <c r="S9" s="205"/>
    </row>
    <row r="10" spans="1:19" ht="31.5" x14ac:dyDescent="0.25">
      <c r="A10" s="14" t="s">
        <v>0</v>
      </c>
      <c r="B10" s="62" t="s">
        <v>7</v>
      </c>
      <c r="C10" s="62" t="s">
        <v>1</v>
      </c>
      <c r="D10" s="14" t="s">
        <v>285</v>
      </c>
      <c r="E10" s="14" t="s">
        <v>286</v>
      </c>
      <c r="F10" s="14" t="s">
        <v>287</v>
      </c>
      <c r="G10" s="14"/>
      <c r="H10" s="14" t="s">
        <v>285</v>
      </c>
      <c r="I10" s="14" t="s">
        <v>286</v>
      </c>
      <c r="J10" s="14" t="s">
        <v>287</v>
      </c>
      <c r="K10" s="14"/>
      <c r="L10" s="14" t="s">
        <v>285</v>
      </c>
      <c r="M10" s="14" t="s">
        <v>286</v>
      </c>
      <c r="N10" s="14" t="s">
        <v>287</v>
      </c>
      <c r="O10" s="14"/>
      <c r="P10" s="14" t="s">
        <v>285</v>
      </c>
      <c r="Q10" s="14" t="s">
        <v>286</v>
      </c>
      <c r="R10" s="14" t="s">
        <v>287</v>
      </c>
      <c r="S10" s="205"/>
    </row>
    <row r="11" spans="1:19" x14ac:dyDescent="0.25">
      <c r="A11">
        <v>1</v>
      </c>
      <c r="B11" s="64" t="s">
        <v>233</v>
      </c>
      <c r="C11" s="64" t="s">
        <v>232</v>
      </c>
      <c r="D11" s="7">
        <v>8.5900000000000004E-2</v>
      </c>
      <c r="E11" s="7">
        <v>9.7900000000000001E-2</v>
      </c>
      <c r="F11" s="7">
        <v>0.1227</v>
      </c>
      <c r="H11" s="206">
        <v>8.6400000000000005E-2</v>
      </c>
      <c r="I11" s="7">
        <v>9.8299999999999998E-2</v>
      </c>
      <c r="J11" s="7">
        <v>0.1232</v>
      </c>
      <c r="L11" s="7">
        <v>8.6800000000000002E-2</v>
      </c>
      <c r="M11" s="7">
        <v>9.8799999999999999E-2</v>
      </c>
      <c r="N11" s="7">
        <v>0.1237</v>
      </c>
      <c r="P11" s="7">
        <f>(D11+H11+L11)/3</f>
        <v>8.6366666666666661E-2</v>
      </c>
      <c r="Q11" s="7">
        <f t="shared" ref="Q11:R11" si="0">(E11+I11+M11)/3</f>
        <v>9.8333333333333328E-2</v>
      </c>
      <c r="R11" s="7">
        <f t="shared" si="0"/>
        <v>0.12320000000000002</v>
      </c>
    </row>
    <row r="12" spans="1:19" x14ac:dyDescent="0.25">
      <c r="A12">
        <f>A11+1</f>
        <v>2</v>
      </c>
      <c r="B12" s="56" t="s">
        <v>234</v>
      </c>
      <c r="C12" s="64" t="s">
        <v>235</v>
      </c>
      <c r="D12" s="7">
        <v>7.8100000000000003E-2</v>
      </c>
      <c r="E12" s="7">
        <v>9.7299999999999998E-2</v>
      </c>
      <c r="F12" s="7"/>
      <c r="H12" s="7">
        <v>7.8399999999999997E-2</v>
      </c>
      <c r="I12" s="7">
        <v>9.7699999999999995E-2</v>
      </c>
      <c r="J12" s="7"/>
      <c r="L12" s="7">
        <v>7.9100000000000004E-2</v>
      </c>
      <c r="M12" s="7">
        <v>9.8299999999999998E-2</v>
      </c>
      <c r="N12" s="7"/>
      <c r="P12" s="7">
        <f>(D12+H12+L12)/3</f>
        <v>7.853333333333333E-2</v>
      </c>
      <c r="Q12" s="7">
        <f t="shared" ref="Q12:Q13" si="1">(E12+I12+M12)/3</f>
        <v>9.7766666666666668E-2</v>
      </c>
      <c r="R12" s="7"/>
    </row>
    <row r="13" spans="1:19" x14ac:dyDescent="0.25">
      <c r="A13">
        <f t="shared" ref="A13:A22" si="2">A12+1</f>
        <v>3</v>
      </c>
      <c r="B13" s="64" t="s">
        <v>236</v>
      </c>
      <c r="C13" s="64" t="s">
        <v>237</v>
      </c>
      <c r="D13" s="7"/>
      <c r="E13" s="7">
        <v>7.6799999999999993E-2</v>
      </c>
      <c r="F13" s="7">
        <v>9.4500000000000001E-2</v>
      </c>
      <c r="H13" s="7"/>
      <c r="I13" s="7">
        <v>7.7299999999999994E-2</v>
      </c>
      <c r="J13" s="7">
        <v>9.5000000000000001E-2</v>
      </c>
      <c r="L13" s="7"/>
      <c r="M13" s="7">
        <v>7.7700000000000005E-2</v>
      </c>
      <c r="N13" s="7">
        <v>9.5399999999999999E-2</v>
      </c>
      <c r="P13" s="7"/>
      <c r="Q13" s="7">
        <f t="shared" si="1"/>
        <v>7.7266666666666664E-2</v>
      </c>
      <c r="R13" s="7">
        <f t="shared" ref="R13" si="3">(F13+J13+N13)/3</f>
        <v>9.4966666666666658E-2</v>
      </c>
    </row>
    <row r="14" spans="1:19" x14ac:dyDescent="0.25">
      <c r="A14">
        <f t="shared" si="2"/>
        <v>4</v>
      </c>
      <c r="B14" s="56" t="s">
        <v>238</v>
      </c>
      <c r="C14" s="64" t="s">
        <v>239</v>
      </c>
      <c r="D14" s="7"/>
      <c r="E14" s="7"/>
      <c r="F14" s="7"/>
      <c r="H14" s="7"/>
      <c r="I14" s="7"/>
      <c r="J14" s="7"/>
      <c r="L14" s="7"/>
      <c r="M14" s="7"/>
      <c r="N14" s="7"/>
      <c r="P14" s="7"/>
      <c r="Q14" s="7"/>
      <c r="R14" s="7"/>
    </row>
    <row r="15" spans="1:19" x14ac:dyDescent="0.25">
      <c r="A15">
        <f t="shared" si="2"/>
        <v>5</v>
      </c>
      <c r="B15" s="56" t="s">
        <v>240</v>
      </c>
      <c r="C15" s="64" t="s">
        <v>241</v>
      </c>
      <c r="D15" s="7"/>
      <c r="E15" s="7">
        <v>8.6499999999999994E-2</v>
      </c>
      <c r="F15" s="7">
        <v>0.1139</v>
      </c>
      <c r="H15" s="7"/>
      <c r="I15" s="7">
        <v>8.6999999999999994E-2</v>
      </c>
      <c r="J15" s="7">
        <v>0.1144</v>
      </c>
      <c r="L15" s="7"/>
      <c r="M15" s="7">
        <v>8.7599999999999997E-2</v>
      </c>
      <c r="N15" s="7">
        <v>0.115</v>
      </c>
      <c r="P15" s="7"/>
      <c r="Q15" s="7">
        <f t="shared" ref="Q15:Q16" si="4">(E15+I15+M15)/3</f>
        <v>8.7033333333333338E-2</v>
      </c>
      <c r="R15" s="7">
        <f t="shared" ref="R15" si="5">(F15+J15+N15)/3</f>
        <v>0.11443333333333333</v>
      </c>
    </row>
    <row r="16" spans="1:19" x14ac:dyDescent="0.25">
      <c r="A16">
        <f t="shared" si="2"/>
        <v>6</v>
      </c>
      <c r="B16" s="64" t="s">
        <v>242</v>
      </c>
      <c r="C16" s="64" t="s">
        <v>243</v>
      </c>
      <c r="D16" s="7">
        <v>9.6000000000000002E-2</v>
      </c>
      <c r="E16" s="7">
        <v>0.1114</v>
      </c>
      <c r="F16" s="7"/>
      <c r="H16" s="7">
        <v>9.7100000000000006E-2</v>
      </c>
      <c r="I16" s="7">
        <v>0.1125</v>
      </c>
      <c r="J16" s="7"/>
      <c r="L16" s="7">
        <v>9.6500000000000002E-2</v>
      </c>
      <c r="M16" s="7">
        <v>0.1119</v>
      </c>
      <c r="N16" s="7"/>
      <c r="P16" s="7">
        <f>(D16+H16+L16)/3</f>
        <v>9.6533333333333318E-2</v>
      </c>
      <c r="Q16" s="7">
        <f t="shared" si="4"/>
        <v>0.11193333333333333</v>
      </c>
      <c r="R16" s="7"/>
    </row>
    <row r="17" spans="1:19" x14ac:dyDescent="0.25">
      <c r="A17">
        <f t="shared" si="2"/>
        <v>7</v>
      </c>
      <c r="B17" s="64" t="s">
        <v>244</v>
      </c>
      <c r="C17" s="64" t="s">
        <v>245</v>
      </c>
      <c r="D17" s="7"/>
      <c r="E17" s="7"/>
      <c r="F17" s="7">
        <v>8.7800000000000003E-2</v>
      </c>
      <c r="H17" s="7"/>
      <c r="I17" s="7">
        <v>7.51E-2</v>
      </c>
      <c r="J17" s="7">
        <v>8.8900000000000007E-2</v>
      </c>
      <c r="L17" s="7"/>
      <c r="M17" s="7">
        <v>7.6100000000000001E-2</v>
      </c>
      <c r="N17" s="7">
        <v>8.9899999999999994E-2</v>
      </c>
      <c r="P17" s="7"/>
      <c r="Q17" s="7">
        <f>(I17+M17)/2</f>
        <v>7.5600000000000001E-2</v>
      </c>
      <c r="R17" s="7">
        <f t="shared" ref="R17" si="6">(F17+J17+N17)/3</f>
        <v>8.8866666666666663E-2</v>
      </c>
    </row>
    <row r="18" spans="1:19" x14ac:dyDescent="0.25">
      <c r="A18">
        <f t="shared" si="2"/>
        <v>8</v>
      </c>
      <c r="B18" s="64" t="s">
        <v>246</v>
      </c>
      <c r="C18" s="64" t="s">
        <v>247</v>
      </c>
      <c r="D18" s="7">
        <v>8.9099999999999999E-2</v>
      </c>
      <c r="E18" s="7">
        <v>9.7699999999999995E-2</v>
      </c>
      <c r="F18" s="7">
        <v>0.1124</v>
      </c>
      <c r="H18" s="7">
        <v>8.9599999999999999E-2</v>
      </c>
      <c r="I18" s="7">
        <v>9.8199999999999996E-2</v>
      </c>
      <c r="J18" s="7">
        <v>0.113</v>
      </c>
      <c r="L18" s="7">
        <v>8.9899999999999994E-2</v>
      </c>
      <c r="M18" s="7">
        <v>9.8500000000000004E-2</v>
      </c>
      <c r="N18" s="7">
        <v>0.1132</v>
      </c>
      <c r="P18" s="7">
        <f>(D18+H18+L18)/3</f>
        <v>8.953333333333334E-2</v>
      </c>
      <c r="Q18" s="7">
        <f t="shared" ref="Q18" si="7">(E18+I18+M18)/3</f>
        <v>9.8133333333333336E-2</v>
      </c>
      <c r="R18" s="7">
        <f t="shared" ref="R18" si="8">(F18+J18+N18)/3</f>
        <v>0.11286666666666667</v>
      </c>
    </row>
    <row r="19" spans="1:19" x14ac:dyDescent="0.25">
      <c r="A19">
        <f t="shared" si="2"/>
        <v>9</v>
      </c>
      <c r="B19" s="56" t="s">
        <v>132</v>
      </c>
      <c r="C19" s="56"/>
      <c r="D19" s="7">
        <f>AVERAGE(D11:D18)</f>
        <v>8.7275000000000005E-2</v>
      </c>
      <c r="E19" s="7">
        <f t="shared" ref="E19:F19" si="9">AVERAGE(E11:E18)</f>
        <v>9.4599999999999976E-2</v>
      </c>
      <c r="F19" s="7">
        <f t="shared" si="9"/>
        <v>0.10625999999999999</v>
      </c>
      <c r="H19" s="7">
        <f>AVERAGE(H11:H18)</f>
        <v>8.7875000000000009E-2</v>
      </c>
      <c r="I19" s="7">
        <f t="shared" ref="I19" si="10">AVERAGE(I11:I18)</f>
        <v>9.2299999999999979E-2</v>
      </c>
      <c r="J19" s="7">
        <f t="shared" ref="J19" si="11">AVERAGE(J11:J18)</f>
        <v>0.1069</v>
      </c>
      <c r="L19" s="7">
        <f>AVERAGE(L11:L18)</f>
        <v>8.8074999999999987E-2</v>
      </c>
      <c r="M19" s="7">
        <f t="shared" ref="M19" si="12">AVERAGE(M11:M18)</f>
        <v>9.2700000000000005E-2</v>
      </c>
      <c r="N19" s="7">
        <f t="shared" ref="N19" si="13">AVERAGE(N11:N18)</f>
        <v>0.10744000000000001</v>
      </c>
      <c r="P19" s="7">
        <f>AVERAGE(P11:P18)</f>
        <v>8.7741666666666662E-2</v>
      </c>
      <c r="Q19" s="7">
        <f t="shared" ref="Q19" si="14">AVERAGE(Q11:Q18)</f>
        <v>9.2295238095238097E-2</v>
      </c>
      <c r="R19" s="7">
        <f t="shared" ref="R19" si="15">AVERAGE(R11:R18)</f>
        <v>0.10686666666666667</v>
      </c>
      <c r="S19" s="10"/>
    </row>
    <row r="20" spans="1:19" x14ac:dyDescent="0.25">
      <c r="A20">
        <f t="shared" si="2"/>
        <v>10</v>
      </c>
      <c r="B20" s="56" t="s">
        <v>91</v>
      </c>
      <c r="C20" s="56"/>
      <c r="D20" s="7">
        <f>MEDIAN(D11:D18)</f>
        <v>8.7499999999999994E-2</v>
      </c>
      <c r="E20" s="7">
        <f t="shared" ref="E20:F20" si="16">MEDIAN(E11:E18)</f>
        <v>9.7500000000000003E-2</v>
      </c>
      <c r="F20" s="7">
        <f t="shared" si="16"/>
        <v>0.1124</v>
      </c>
      <c r="H20" s="7">
        <f>MEDIAN(H11:H18)</f>
        <v>8.7999999999999995E-2</v>
      </c>
      <c r="I20" s="7">
        <f t="shared" ref="I20:J20" si="17">MEDIAN(I11:I18)</f>
        <v>9.7699999999999995E-2</v>
      </c>
      <c r="J20" s="7">
        <f t="shared" si="17"/>
        <v>0.113</v>
      </c>
      <c r="L20" s="7">
        <f>MEDIAN(L11:L18)</f>
        <v>8.8349999999999998E-2</v>
      </c>
      <c r="M20" s="7">
        <f t="shared" ref="M20:N20" si="18">MEDIAN(M11:M18)</f>
        <v>9.8299999999999998E-2</v>
      </c>
      <c r="N20" s="7">
        <f t="shared" si="18"/>
        <v>0.1132</v>
      </c>
      <c r="P20" s="7">
        <f>MEDIAN(P11:P18)</f>
        <v>8.795E-2</v>
      </c>
      <c r="Q20" s="7">
        <f t="shared" ref="Q20:R20" si="19">MEDIAN(Q11:Q18)</f>
        <v>9.7766666666666668E-2</v>
      </c>
      <c r="R20" s="7">
        <f t="shared" si="19"/>
        <v>0.11286666666666667</v>
      </c>
      <c r="S20" s="10"/>
    </row>
    <row r="21" spans="1:19" x14ac:dyDescent="0.25">
      <c r="A21">
        <f t="shared" si="2"/>
        <v>11</v>
      </c>
      <c r="P21" s="7"/>
      <c r="Q21" s="7"/>
      <c r="R21" s="7"/>
    </row>
    <row r="22" spans="1:19" x14ac:dyDescent="0.25">
      <c r="A22">
        <f t="shared" si="2"/>
        <v>12</v>
      </c>
      <c r="Q22">
        <v>8.8000000000000007</v>
      </c>
      <c r="R22">
        <v>10.69</v>
      </c>
    </row>
    <row r="23" spans="1:19" x14ac:dyDescent="0.25">
      <c r="Q23" t="s">
        <v>305</v>
      </c>
      <c r="R23" s="209">
        <f>(Q19+Q20)/2</f>
        <v>9.5030952380952383E-2</v>
      </c>
    </row>
    <row r="24" spans="1:19" x14ac:dyDescent="0.25">
      <c r="Q24" t="s">
        <v>306</v>
      </c>
      <c r="R24" s="7">
        <f>M39</f>
        <v>8.7999999999999995E-2</v>
      </c>
    </row>
    <row r="25" spans="1:19" ht="31.5" x14ac:dyDescent="0.25">
      <c r="B25" t="s">
        <v>304</v>
      </c>
      <c r="C25" s="207" t="s">
        <v>88</v>
      </c>
      <c r="D25" s="207" t="s">
        <v>294</v>
      </c>
      <c r="E25" s="207" t="s">
        <v>297</v>
      </c>
      <c r="F25" s="207" t="s">
        <v>298</v>
      </c>
      <c r="G25" s="207" t="s">
        <v>295</v>
      </c>
      <c r="H25" s="207" t="s">
        <v>296</v>
      </c>
      <c r="I25" s="207" t="s">
        <v>299</v>
      </c>
      <c r="J25" s="207" t="s">
        <v>300</v>
      </c>
      <c r="K25" s="207" t="s">
        <v>301</v>
      </c>
      <c r="L25" s="207" t="s">
        <v>302</v>
      </c>
      <c r="Q25" t="s">
        <v>307</v>
      </c>
      <c r="R25" s="7">
        <v>9.1399999999999995E-2</v>
      </c>
    </row>
    <row r="26" spans="1:19" ht="23.25" x14ac:dyDescent="0.35">
      <c r="B26" t="s">
        <v>292</v>
      </c>
      <c r="C26" s="7">
        <v>2.2800000000000001E-2</v>
      </c>
      <c r="D26" s="208">
        <v>0.57299999999999995</v>
      </c>
      <c r="E26" s="7">
        <v>0.13420000000000001</v>
      </c>
      <c r="F26" s="7">
        <v>0.14929999999999999</v>
      </c>
      <c r="G26" s="7">
        <f>E26-C26</f>
        <v>0.11140000000000001</v>
      </c>
      <c r="H26" s="7">
        <f>F26-C26</f>
        <v>0.1265</v>
      </c>
      <c r="I26" s="7">
        <f>C26+(D26*G26)</f>
        <v>8.6632200000000006E-2</v>
      </c>
      <c r="J26" s="7">
        <f>C26+(D26*F26)</f>
        <v>0.10834889999999998</v>
      </c>
      <c r="K26" s="7">
        <f>C26+(D26*0.75*G26)+(0.25*G26)</f>
        <v>9.8524150000000005E-2</v>
      </c>
      <c r="L26" s="7">
        <f>C26+(D26*0.75*H26)+(0.25*H26)</f>
        <v>0.10878837500000001</v>
      </c>
      <c r="R26" s="211">
        <f>AVERAGE(R23:R25)</f>
        <v>9.1476984126984129E-2</v>
      </c>
    </row>
    <row r="27" spans="1:19" x14ac:dyDescent="0.25">
      <c r="B27" t="s">
        <v>293</v>
      </c>
      <c r="C27" s="7">
        <v>0.02</v>
      </c>
      <c r="D27" s="208">
        <v>0.57299999999999995</v>
      </c>
      <c r="E27" s="7">
        <f>E26</f>
        <v>0.13420000000000001</v>
      </c>
      <c r="F27" s="7">
        <f>F26</f>
        <v>0.14929999999999999</v>
      </c>
      <c r="G27" s="7">
        <f>E27-C27</f>
        <v>0.11420000000000001</v>
      </c>
      <c r="H27" s="7">
        <f>F27-C27</f>
        <v>0.1293</v>
      </c>
      <c r="I27" s="7">
        <f>C27+(D27*G27)</f>
        <v>8.5436600000000001E-2</v>
      </c>
      <c r="J27" s="7">
        <f>C27+(D27*F27)</f>
        <v>0.10554889999999999</v>
      </c>
      <c r="K27" s="7">
        <f>C27+(D27*0.75*G27)+(0.25*G27)</f>
        <v>9.7627450000000005E-2</v>
      </c>
      <c r="L27" s="7">
        <f>C27+(D27*0.75*H27)+(0.25*H27)</f>
        <v>0.10789167499999999</v>
      </c>
    </row>
    <row r="29" spans="1:19" ht="31.5" x14ac:dyDescent="0.25">
      <c r="B29" t="s">
        <v>303</v>
      </c>
      <c r="C29" s="207" t="s">
        <v>88</v>
      </c>
      <c r="D29" s="207" t="s">
        <v>294</v>
      </c>
      <c r="E29" s="207" t="s">
        <v>297</v>
      </c>
      <c r="F29" s="207" t="s">
        <v>298</v>
      </c>
      <c r="G29" s="207" t="s">
        <v>295</v>
      </c>
      <c r="H29" s="207" t="s">
        <v>296</v>
      </c>
      <c r="I29" s="207" t="s">
        <v>299</v>
      </c>
      <c r="J29" s="207" t="s">
        <v>300</v>
      </c>
      <c r="K29" s="207" t="s">
        <v>301</v>
      </c>
      <c r="L29" s="207" t="s">
        <v>302</v>
      </c>
      <c r="R29">
        <f>(0.095+0.088+0.0914)/3</f>
        <v>9.1466666666666654E-2</v>
      </c>
    </row>
    <row r="30" spans="1:19" x14ac:dyDescent="0.25">
      <c r="B30" t="s">
        <v>292</v>
      </c>
      <c r="C30" s="7">
        <v>2.2800000000000001E-2</v>
      </c>
      <c r="D30" s="208">
        <v>0.68799999999999994</v>
      </c>
      <c r="E30" s="7">
        <v>0.13420000000000001</v>
      </c>
      <c r="F30" s="7">
        <v>0.14929999999999999</v>
      </c>
      <c r="G30" s="7">
        <f>E30-C30</f>
        <v>0.11140000000000001</v>
      </c>
      <c r="H30" s="7">
        <f>F30-C30</f>
        <v>0.1265</v>
      </c>
      <c r="I30" s="7">
        <f>C30+(D30*G30)</f>
        <v>9.9443200000000009E-2</v>
      </c>
      <c r="J30" s="7"/>
      <c r="K30" s="7">
        <f>C30+(D30*0.75*G30)+(0.25*G30)</f>
        <v>0.1081324</v>
      </c>
      <c r="L30" s="7">
        <f>C30+(D30*0.75*H30)+(0.25*H30)</f>
        <v>0.119699</v>
      </c>
    </row>
    <row r="31" spans="1:19" x14ac:dyDescent="0.25">
      <c r="B31" t="s">
        <v>293</v>
      </c>
      <c r="C31" s="7">
        <v>0.02</v>
      </c>
      <c r="D31" s="208">
        <v>0.68799999999999994</v>
      </c>
      <c r="E31" s="7">
        <f>E30</f>
        <v>0.13420000000000001</v>
      </c>
      <c r="F31" s="7">
        <f>F30</f>
        <v>0.14929999999999999</v>
      </c>
      <c r="G31" s="7">
        <f>E31-C31</f>
        <v>0.11420000000000001</v>
      </c>
      <c r="H31" s="7">
        <f>F31-C31</f>
        <v>0.1293</v>
      </c>
      <c r="I31" s="7">
        <f>C31+(D31*G31)</f>
        <v>9.8569600000000007E-2</v>
      </c>
      <c r="J31" s="7">
        <f>C31+(D31*F31)</f>
        <v>0.12271839999999999</v>
      </c>
      <c r="K31" s="7">
        <f>C31+(D31*0.75*G31)+(0.25*G31)</f>
        <v>0.10747720000000001</v>
      </c>
      <c r="L31" s="7">
        <f>C31+(D31*0.75*H31)+(0.25*H31)</f>
        <v>0.11904380000000001</v>
      </c>
    </row>
    <row r="34" spans="2:13" ht="31.5" x14ac:dyDescent="0.25">
      <c r="B34" s="1" t="s">
        <v>304</v>
      </c>
      <c r="C34" s="14" t="s">
        <v>88</v>
      </c>
      <c r="D34" s="14" t="s">
        <v>294</v>
      </c>
      <c r="E34" s="14" t="s">
        <v>297</v>
      </c>
      <c r="F34" s="14" t="s">
        <v>298</v>
      </c>
      <c r="G34" s="14" t="s">
        <v>295</v>
      </c>
      <c r="H34" s="14" t="s">
        <v>296</v>
      </c>
      <c r="I34" s="14" t="s">
        <v>299</v>
      </c>
      <c r="J34" s="14" t="s">
        <v>300</v>
      </c>
      <c r="K34" s="14" t="s">
        <v>301</v>
      </c>
      <c r="L34" s="14" t="s">
        <v>302</v>
      </c>
    </row>
    <row r="35" spans="2:13" x14ac:dyDescent="0.25">
      <c r="B35" s="1" t="s">
        <v>292</v>
      </c>
      <c r="C35" s="209">
        <v>2.2800000000000001E-2</v>
      </c>
      <c r="D35" s="210">
        <v>0.57299999999999995</v>
      </c>
      <c r="E35" s="209">
        <v>0.1041</v>
      </c>
      <c r="F35" s="209">
        <v>0.10730000000000001</v>
      </c>
      <c r="G35" s="209">
        <f>E35-C35</f>
        <v>8.1299999999999997E-2</v>
      </c>
      <c r="H35" s="209">
        <f>F35-C35</f>
        <v>8.4500000000000006E-2</v>
      </c>
      <c r="I35" s="209">
        <f>C35+(D35*G35)</f>
        <v>6.9384899999999999E-2</v>
      </c>
      <c r="J35" s="209">
        <f>C35+(D35*F35)</f>
        <v>8.4282899999999994E-2</v>
      </c>
      <c r="K35" s="209">
        <f>C35+(D35*0.75*G35)+(0.25*G35)</f>
        <v>7.8063674999999999E-2</v>
      </c>
      <c r="L35" s="209">
        <f>C35+(D35*0.75*H35)+(0.25*H35)</f>
        <v>8.0238875000000001E-2</v>
      </c>
    </row>
    <row r="36" spans="2:13" x14ac:dyDescent="0.25">
      <c r="B36" s="1" t="s">
        <v>293</v>
      </c>
      <c r="C36" s="209">
        <v>0.02</v>
      </c>
      <c r="D36" s="210">
        <v>0.57299999999999995</v>
      </c>
      <c r="E36" s="209">
        <f>E35</f>
        <v>0.1041</v>
      </c>
      <c r="F36" s="209">
        <f>F35</f>
        <v>0.10730000000000001</v>
      </c>
      <c r="G36" s="209">
        <f>E36-C36</f>
        <v>8.4099999999999994E-2</v>
      </c>
      <c r="H36" s="209">
        <f>F36-C36</f>
        <v>8.7300000000000003E-2</v>
      </c>
      <c r="I36" s="209">
        <f>C36+(D36*G36)</f>
        <v>6.8189299999999994E-2</v>
      </c>
      <c r="J36" s="209">
        <f>C36+(D36*F36)</f>
        <v>8.1482899999999997E-2</v>
      </c>
      <c r="K36" s="209">
        <f>C36+(D36*0.75*G36)+(0.25*G36)</f>
        <v>7.7166974999999999E-2</v>
      </c>
      <c r="L36" s="209">
        <f>C36+(D36*0.75*H36)+(0.25*H36)</f>
        <v>7.9342175000000001E-2</v>
      </c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3" ht="31.5" x14ac:dyDescent="0.25">
      <c r="B38" s="1" t="s">
        <v>303</v>
      </c>
      <c r="C38" s="14" t="s">
        <v>88</v>
      </c>
      <c r="D38" s="14" t="s">
        <v>294</v>
      </c>
      <c r="E38" s="14" t="s">
        <v>297</v>
      </c>
      <c r="F38" s="14" t="s">
        <v>298</v>
      </c>
      <c r="G38" s="14" t="s">
        <v>295</v>
      </c>
      <c r="H38" s="14" t="s">
        <v>296</v>
      </c>
      <c r="I38" s="14" t="s">
        <v>299</v>
      </c>
      <c r="J38" s="14" t="s">
        <v>300</v>
      </c>
      <c r="K38" s="14" t="s">
        <v>301</v>
      </c>
      <c r="L38" s="14" t="s">
        <v>302</v>
      </c>
    </row>
    <row r="39" spans="2:13" x14ac:dyDescent="0.25">
      <c r="B39" s="1" t="s">
        <v>292</v>
      </c>
      <c r="C39" s="209">
        <v>2.2800000000000001E-2</v>
      </c>
      <c r="D39" s="210">
        <v>0.68799999999999994</v>
      </c>
      <c r="E39" s="209">
        <v>0.1041</v>
      </c>
      <c r="F39" s="209">
        <v>0.10730000000000001</v>
      </c>
      <c r="G39" s="209">
        <f>E39-C39</f>
        <v>8.1299999999999997E-2</v>
      </c>
      <c r="H39" s="209">
        <f>F39-C39</f>
        <v>8.4500000000000006E-2</v>
      </c>
      <c r="I39" s="209">
        <f>C39+(D39*G39)</f>
        <v>7.8734399999999996E-2</v>
      </c>
      <c r="J39" s="209"/>
      <c r="K39" s="209">
        <f>C39+(D39*0.75*G39)+(0.25*G39)</f>
        <v>8.5075799999999993E-2</v>
      </c>
      <c r="L39" s="209">
        <f>C39+(D39*0.75*H39)+(0.25*H39)</f>
        <v>8.7527000000000008E-2</v>
      </c>
      <c r="M39" s="1">
        <v>8.7999999999999995E-2</v>
      </c>
    </row>
    <row r="40" spans="2:13" x14ac:dyDescent="0.25">
      <c r="B40" s="1" t="s">
        <v>293</v>
      </c>
      <c r="C40" s="209">
        <v>0.02</v>
      </c>
      <c r="D40" s="210">
        <v>0.68799999999999994</v>
      </c>
      <c r="E40" s="209">
        <f>E39</f>
        <v>0.1041</v>
      </c>
      <c r="F40" s="209">
        <f>F39</f>
        <v>0.10730000000000001</v>
      </c>
      <c r="G40" s="209">
        <f>E40-C40</f>
        <v>8.4099999999999994E-2</v>
      </c>
      <c r="H40" s="209">
        <f>F40-C40</f>
        <v>8.7300000000000003E-2</v>
      </c>
      <c r="I40" s="209">
        <f>C40+(D40*G40)</f>
        <v>7.7860799999999994E-2</v>
      </c>
      <c r="J40" s="209">
        <f>C40+(D40*F40)</f>
        <v>9.38224E-2</v>
      </c>
      <c r="K40" s="209">
        <f>C40+(D40*0.75*G40)+(0.25*G40)</f>
        <v>8.4420599999999998E-2</v>
      </c>
      <c r="L40" s="209">
        <f>C40+(D40*0.75*H40)+(0.25*H40)</f>
        <v>8.6871799999999999E-2</v>
      </c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4">
    <mergeCell ref="D9:F9"/>
    <mergeCell ref="H9:J9"/>
    <mergeCell ref="L9:N9"/>
    <mergeCell ref="P9:R9"/>
  </mergeCells>
  <pageMargins left="0.7" right="0.7" top="0.75" bottom="0.75" header="0.3" footer="0.3"/>
  <pageSetup scale="5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29"/>
  <sheetViews>
    <sheetView view="pageLayout" workbookViewId="0">
      <selection activeCell="B23" sqref="B23"/>
    </sheetView>
  </sheetViews>
  <sheetFormatPr defaultColWidth="11" defaultRowHeight="15.75" x14ac:dyDescent="0.25"/>
  <cols>
    <col min="1" max="1" width="5" customWidth="1"/>
    <col min="2" max="2" width="30.875" customWidth="1"/>
    <col min="4" max="4" width="9" customWidth="1"/>
    <col min="5" max="5" width="9.5" customWidth="1"/>
    <col min="6" max="6" width="8.875" customWidth="1"/>
    <col min="18" max="18" width="13" customWidth="1"/>
  </cols>
  <sheetData>
    <row r="1" spans="1:14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.75" x14ac:dyDescent="0.3">
      <c r="A3" s="3"/>
      <c r="B3" s="218" t="s">
        <v>229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8.75" x14ac:dyDescent="0.3">
      <c r="A4" s="3"/>
      <c r="B4" s="218" t="s">
        <v>249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8.75" x14ac:dyDescent="0.3">
      <c r="A5" s="3"/>
      <c r="B5" s="218" t="s">
        <v>231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8.75" x14ac:dyDescent="0.3">
      <c r="A6" s="3"/>
      <c r="B6" s="219" t="s">
        <v>131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x14ac:dyDescent="0.25">
      <c r="A9" s="3"/>
      <c r="B9" s="3"/>
      <c r="C9" s="3"/>
      <c r="D9" s="170" t="s">
        <v>2</v>
      </c>
      <c r="E9" s="170" t="s">
        <v>52</v>
      </c>
      <c r="F9" s="170" t="s">
        <v>53</v>
      </c>
      <c r="G9" s="170" t="s">
        <v>54</v>
      </c>
      <c r="H9" s="170" t="s">
        <v>55</v>
      </c>
      <c r="I9" s="170" t="s">
        <v>56</v>
      </c>
      <c r="J9" s="170" t="s">
        <v>68</v>
      </c>
      <c r="K9" s="170" t="s">
        <v>69</v>
      </c>
      <c r="L9" s="170" t="s">
        <v>70</v>
      </c>
      <c r="M9" s="170" t="s">
        <v>109</v>
      </c>
      <c r="N9" s="170" t="s">
        <v>110</v>
      </c>
      <c r="O9" s="170" t="s">
        <v>111</v>
      </c>
      <c r="P9" s="170" t="s">
        <v>112</v>
      </c>
      <c r="Q9" s="170" t="s">
        <v>124</v>
      </c>
      <c r="R9" s="170" t="s">
        <v>125</v>
      </c>
      <c r="S9" s="170" t="s">
        <v>126</v>
      </c>
      <c r="T9" s="170" t="s">
        <v>127</v>
      </c>
      <c r="U9" s="170" t="s">
        <v>128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26.25" x14ac:dyDescent="0.25">
      <c r="A10" s="4" t="s">
        <v>6</v>
      </c>
      <c r="B10" s="4" t="s">
        <v>7</v>
      </c>
      <c r="C10" s="4" t="s">
        <v>1</v>
      </c>
      <c r="D10" s="4" t="s">
        <v>5</v>
      </c>
      <c r="E10" s="4" t="s">
        <v>133</v>
      </c>
      <c r="F10" s="4" t="s">
        <v>149</v>
      </c>
      <c r="G10" s="4" t="s">
        <v>155</v>
      </c>
      <c r="H10" s="4" t="s">
        <v>156</v>
      </c>
      <c r="I10" s="4" t="s">
        <v>134</v>
      </c>
      <c r="J10" s="4" t="s">
        <v>150</v>
      </c>
      <c r="K10" s="4" t="s">
        <v>157</v>
      </c>
      <c r="L10" s="4" t="s">
        <v>158</v>
      </c>
      <c r="M10" s="4" t="s">
        <v>135</v>
      </c>
      <c r="N10" s="4" t="s">
        <v>151</v>
      </c>
      <c r="O10" s="4" t="s">
        <v>159</v>
      </c>
      <c r="P10" s="4" t="s">
        <v>160</v>
      </c>
      <c r="Q10" s="3" t="s">
        <v>161</v>
      </c>
      <c r="R10" s="3" t="s">
        <v>162</v>
      </c>
      <c r="S10" s="4" t="s">
        <v>163</v>
      </c>
      <c r="T10" s="4" t="s">
        <v>164</v>
      </c>
      <c r="U10" s="4" t="s">
        <v>165</v>
      </c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x14ac:dyDescent="0.25">
      <c r="A11" s="32">
        <v>1</v>
      </c>
      <c r="B11" s="64" t="s">
        <v>233</v>
      </c>
      <c r="C11" s="64" t="s">
        <v>232</v>
      </c>
      <c r="D11" s="8">
        <f>'COMPARABLE GROUP WP1'!D11</f>
        <v>0.6</v>
      </c>
      <c r="E11" s="9">
        <v>1.94</v>
      </c>
      <c r="F11" s="9">
        <v>2.1</v>
      </c>
      <c r="G11" s="9">
        <v>2.2999999999999998</v>
      </c>
      <c r="H11" s="9">
        <v>2.8</v>
      </c>
      <c r="I11" s="9">
        <v>4</v>
      </c>
      <c r="J11" s="9">
        <v>4.3499999999999996</v>
      </c>
      <c r="K11" s="9">
        <v>4.5999999999999996</v>
      </c>
      <c r="L11" s="9">
        <v>5.6</v>
      </c>
      <c r="M11" s="9">
        <v>42.87</v>
      </c>
      <c r="N11" s="9">
        <v>47.95</v>
      </c>
      <c r="O11" s="9">
        <v>48.9</v>
      </c>
      <c r="P11" s="9">
        <v>56.05</v>
      </c>
      <c r="Q11" s="8">
        <v>111.27</v>
      </c>
      <c r="R11" s="8">
        <v>145</v>
      </c>
      <c r="S11" s="9">
        <v>140</v>
      </c>
      <c r="T11" s="9">
        <v>115</v>
      </c>
      <c r="U11" s="9">
        <f>(S11+T11)/2</f>
        <v>127.5</v>
      </c>
    </row>
    <row r="12" spans="1:148" x14ac:dyDescent="0.25">
      <c r="A12" s="32">
        <f>A11+1</f>
        <v>2</v>
      </c>
      <c r="B12" s="56" t="s">
        <v>234</v>
      </c>
      <c r="C12" s="64" t="s">
        <v>235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9"/>
      <c r="T12" s="9"/>
      <c r="U12" s="9"/>
    </row>
    <row r="13" spans="1:148" x14ac:dyDescent="0.25">
      <c r="A13" s="32">
        <f t="shared" ref="A13:A20" si="0">A12+1</f>
        <v>3</v>
      </c>
      <c r="B13" s="64" t="s">
        <v>236</v>
      </c>
      <c r="C13" s="64" t="s">
        <v>237</v>
      </c>
      <c r="D13" s="8">
        <f>'COMPARABLE GROUP WP1'!D13</f>
        <v>0.7</v>
      </c>
      <c r="E13" s="9">
        <v>1.1100000000000001</v>
      </c>
      <c r="F13" s="9">
        <v>1.19</v>
      </c>
      <c r="G13" s="9">
        <v>1.27</v>
      </c>
      <c r="H13" s="9">
        <v>1.49</v>
      </c>
      <c r="I13" s="9">
        <v>2.74</v>
      </c>
      <c r="J13" s="9">
        <v>1.96</v>
      </c>
      <c r="K13" s="9">
        <v>2.15</v>
      </c>
      <c r="L13" s="9">
        <v>2.35</v>
      </c>
      <c r="M13" s="9">
        <v>16.18</v>
      </c>
      <c r="N13" s="9">
        <v>17.5</v>
      </c>
      <c r="O13" s="9">
        <v>18.5</v>
      </c>
      <c r="P13" s="9">
        <v>21.3</v>
      </c>
      <c r="Q13" s="8">
        <v>87.69</v>
      </c>
      <c r="R13" s="8">
        <v>90</v>
      </c>
      <c r="S13" s="9">
        <v>45</v>
      </c>
      <c r="T13" s="9">
        <v>35</v>
      </c>
      <c r="U13" s="9">
        <f t="shared" ref="U13:U18" si="1">(S13+T13)/2</f>
        <v>40</v>
      </c>
    </row>
    <row r="14" spans="1:148" x14ac:dyDescent="0.25">
      <c r="A14" s="32">
        <f t="shared" si="0"/>
        <v>4</v>
      </c>
      <c r="B14" s="56" t="s">
        <v>238</v>
      </c>
      <c r="C14" s="64" t="s">
        <v>239</v>
      </c>
      <c r="D14" s="8">
        <f>'COMPARABLE GROUP WP1'!D14</f>
        <v>0.6</v>
      </c>
      <c r="E14" s="9">
        <v>1.89</v>
      </c>
      <c r="F14" s="9">
        <v>1.9</v>
      </c>
      <c r="G14" s="9">
        <v>1.91</v>
      </c>
      <c r="H14" s="9">
        <v>1.97</v>
      </c>
      <c r="I14" s="9">
        <v>2.33</v>
      </c>
      <c r="J14" s="9">
        <v>2.1</v>
      </c>
      <c r="K14" s="9">
        <v>2.4</v>
      </c>
      <c r="L14" s="9">
        <v>3.5</v>
      </c>
      <c r="M14" s="9">
        <v>26.41</v>
      </c>
      <c r="N14" s="9">
        <v>25.9</v>
      </c>
      <c r="O14" s="9">
        <v>26.85</v>
      </c>
      <c r="P14" s="9">
        <v>29.4</v>
      </c>
      <c r="Q14" s="8">
        <v>28.88</v>
      </c>
      <c r="R14" s="8">
        <v>32</v>
      </c>
      <c r="S14" s="9">
        <v>85</v>
      </c>
      <c r="T14" s="9">
        <v>70</v>
      </c>
      <c r="U14" s="9">
        <f t="shared" si="1"/>
        <v>77.5</v>
      </c>
    </row>
    <row r="15" spans="1:148" x14ac:dyDescent="0.25">
      <c r="A15" s="32">
        <f t="shared" si="0"/>
        <v>5</v>
      </c>
      <c r="B15" s="56" t="s">
        <v>240</v>
      </c>
      <c r="C15" s="64" t="s">
        <v>241</v>
      </c>
      <c r="D15" s="8">
        <f>'COMPARABLE GROUP WP1'!D15</f>
        <v>0.65</v>
      </c>
      <c r="E15" s="9">
        <v>1.84</v>
      </c>
      <c r="F15" s="9">
        <v>2</v>
      </c>
      <c r="G15" s="9">
        <v>2.16</v>
      </c>
      <c r="H15" s="9">
        <v>2.65</v>
      </c>
      <c r="I15" s="9">
        <v>3.25</v>
      </c>
      <c r="J15" s="9">
        <v>3.43</v>
      </c>
      <c r="K15" s="9">
        <v>3.65</v>
      </c>
      <c r="L15" s="9">
        <v>4.75</v>
      </c>
      <c r="M15" s="9">
        <v>38.86</v>
      </c>
      <c r="N15" s="9">
        <v>39.9</v>
      </c>
      <c r="O15" s="9">
        <v>41.6</v>
      </c>
      <c r="P15" s="9">
        <v>47.9</v>
      </c>
      <c r="Q15" s="8">
        <v>52.57</v>
      </c>
      <c r="R15" s="8">
        <v>55</v>
      </c>
      <c r="S15" s="9">
        <v>135</v>
      </c>
      <c r="T15" s="9">
        <v>100</v>
      </c>
      <c r="U15" s="9">
        <f t="shared" si="1"/>
        <v>117.5</v>
      </c>
    </row>
    <row r="16" spans="1:148" x14ac:dyDescent="0.25">
      <c r="A16" s="32">
        <f t="shared" si="0"/>
        <v>6</v>
      </c>
      <c r="B16" s="64" t="s">
        <v>242</v>
      </c>
      <c r="C16" s="64" t="s">
        <v>243</v>
      </c>
      <c r="D16" s="8">
        <f>'COMPARABLE GROUP WP1'!D16</f>
        <v>0.8</v>
      </c>
      <c r="E16" s="9">
        <v>1.1299999999999999</v>
      </c>
      <c r="F16" s="9">
        <v>1.2</v>
      </c>
      <c r="G16" s="9">
        <v>1.25</v>
      </c>
      <c r="H16" s="9">
        <v>1.4</v>
      </c>
      <c r="I16" s="9">
        <v>1.38</v>
      </c>
      <c r="J16" s="9">
        <v>1.1000000000000001</v>
      </c>
      <c r="K16" s="9">
        <v>1.6</v>
      </c>
      <c r="L16" s="9">
        <v>2.4</v>
      </c>
      <c r="M16" s="9">
        <v>14.82</v>
      </c>
      <c r="N16" s="9">
        <v>15.7</v>
      </c>
      <c r="O16" s="9">
        <v>16.399999999999999</v>
      </c>
      <c r="P16" s="9">
        <v>19</v>
      </c>
      <c r="Q16" s="8">
        <v>85.51</v>
      </c>
      <c r="R16" s="8">
        <v>100</v>
      </c>
      <c r="S16" s="9">
        <v>45</v>
      </c>
      <c r="T16" s="9">
        <v>35</v>
      </c>
      <c r="U16" s="9">
        <f t="shared" si="1"/>
        <v>40</v>
      </c>
    </row>
    <row r="17" spans="1:24" x14ac:dyDescent="0.25">
      <c r="A17" s="32">
        <f t="shared" si="0"/>
        <v>7</v>
      </c>
      <c r="B17" s="64" t="s">
        <v>244</v>
      </c>
      <c r="C17" s="64" t="s">
        <v>245</v>
      </c>
      <c r="D17" s="8">
        <f>'COMPARABLE GROUP WP1'!D17</f>
        <v>0.65</v>
      </c>
      <c r="E17" s="28">
        <v>2.25</v>
      </c>
      <c r="F17" s="28">
        <v>2.37</v>
      </c>
      <c r="G17" s="28">
        <v>2.46</v>
      </c>
      <c r="H17" s="28">
        <v>2.67</v>
      </c>
      <c r="I17" s="28">
        <v>4.33</v>
      </c>
      <c r="J17" s="28">
        <v>3.7</v>
      </c>
      <c r="K17" s="28">
        <v>3.9</v>
      </c>
      <c r="L17" s="28">
        <v>5</v>
      </c>
      <c r="M17" s="28">
        <v>44.51</v>
      </c>
      <c r="N17" s="28">
        <v>49.2</v>
      </c>
      <c r="O17" s="28">
        <v>52.3</v>
      </c>
      <c r="P17" s="28">
        <v>54.2</v>
      </c>
      <c r="Q17" s="5">
        <v>50.67</v>
      </c>
      <c r="R17" s="5">
        <v>55</v>
      </c>
      <c r="S17" s="28">
        <v>105</v>
      </c>
      <c r="T17" s="28">
        <v>75</v>
      </c>
      <c r="U17" s="9">
        <f t="shared" si="1"/>
        <v>90</v>
      </c>
    </row>
    <row r="18" spans="1:24" x14ac:dyDescent="0.25">
      <c r="A18" s="32">
        <f t="shared" si="0"/>
        <v>8</v>
      </c>
      <c r="B18" s="64" t="s">
        <v>246</v>
      </c>
      <c r="C18" s="64" t="s">
        <v>247</v>
      </c>
      <c r="D18" s="8">
        <f>'COMPARABLE GROUP WP1'!D18</f>
        <v>0.7</v>
      </c>
      <c r="E18" s="28">
        <v>2.08</v>
      </c>
      <c r="F18" s="28">
        <v>2.1800000000000002</v>
      </c>
      <c r="G18" s="28">
        <v>2.2999999999999998</v>
      </c>
      <c r="H18" s="28">
        <v>2.6</v>
      </c>
      <c r="I18" s="28">
        <v>3.68</v>
      </c>
      <c r="J18" s="28">
        <v>3.8</v>
      </c>
      <c r="K18" s="28">
        <v>4.25</v>
      </c>
      <c r="L18" s="28">
        <v>5.8</v>
      </c>
      <c r="M18" s="28">
        <v>42.47</v>
      </c>
      <c r="N18" s="28">
        <v>44.65</v>
      </c>
      <c r="O18" s="28">
        <v>47.4</v>
      </c>
      <c r="P18" s="28">
        <v>57.25</v>
      </c>
      <c r="Q18" s="5">
        <v>53.03</v>
      </c>
      <c r="R18" s="5">
        <v>62</v>
      </c>
      <c r="S18" s="28">
        <v>110</v>
      </c>
      <c r="T18" s="28">
        <v>75</v>
      </c>
      <c r="U18" s="9">
        <f t="shared" si="1"/>
        <v>92.5</v>
      </c>
    </row>
    <row r="19" spans="1:24" x14ac:dyDescent="0.25">
      <c r="A19" s="32">
        <f t="shared" si="0"/>
        <v>9</v>
      </c>
      <c r="B19" s="56" t="s">
        <v>132</v>
      </c>
      <c r="C19" s="56"/>
      <c r="D19" s="80">
        <f t="shared" ref="D19:U19" si="2">AVERAGE(D11:D18)</f>
        <v>0.67142857142857137</v>
      </c>
      <c r="E19" s="82">
        <f t="shared" si="2"/>
        <v>1.7485714285714287</v>
      </c>
      <c r="F19" s="82">
        <f t="shared" si="2"/>
        <v>1.8485714285714283</v>
      </c>
      <c r="G19" s="82">
        <f t="shared" si="2"/>
        <v>1.9500000000000004</v>
      </c>
      <c r="H19" s="82">
        <f t="shared" si="2"/>
        <v>2.2257142857142855</v>
      </c>
      <c r="I19" s="82">
        <f t="shared" si="2"/>
        <v>3.1014285714285714</v>
      </c>
      <c r="J19" s="82">
        <f t="shared" si="2"/>
        <v>2.9200000000000004</v>
      </c>
      <c r="K19" s="82">
        <f t="shared" si="2"/>
        <v>3.2214285714285715</v>
      </c>
      <c r="L19" s="82">
        <f t="shared" si="2"/>
        <v>4.2</v>
      </c>
      <c r="M19" s="82">
        <f t="shared" si="2"/>
        <v>32.302857142857142</v>
      </c>
      <c r="N19" s="82">
        <f t="shared" si="2"/>
        <v>34.4</v>
      </c>
      <c r="O19" s="82">
        <f t="shared" si="2"/>
        <v>35.992857142857147</v>
      </c>
      <c r="P19" s="82">
        <f t="shared" si="2"/>
        <v>40.728571428571435</v>
      </c>
      <c r="Q19" s="80">
        <f t="shared" si="2"/>
        <v>67.088571428571427</v>
      </c>
      <c r="R19" s="80">
        <f t="shared" si="2"/>
        <v>77</v>
      </c>
      <c r="S19" s="82">
        <f t="shared" si="2"/>
        <v>95</v>
      </c>
      <c r="T19" s="82">
        <f t="shared" si="2"/>
        <v>72.142857142857139</v>
      </c>
      <c r="U19" s="82">
        <f t="shared" si="2"/>
        <v>83.571428571428569</v>
      </c>
      <c r="V19" s="81"/>
      <c r="W19" s="81"/>
      <c r="X19" s="81"/>
    </row>
    <row r="20" spans="1:24" x14ac:dyDescent="0.25">
      <c r="A20" s="32">
        <f t="shared" si="0"/>
        <v>10</v>
      </c>
      <c r="B20" s="56" t="s">
        <v>91</v>
      </c>
      <c r="C20" s="56"/>
      <c r="D20" s="80">
        <f t="shared" ref="D20:T20" si="3">MEDIAN(D11:D18)</f>
        <v>0.65</v>
      </c>
      <c r="E20" s="82">
        <f t="shared" si="3"/>
        <v>1.89</v>
      </c>
      <c r="F20" s="82">
        <f t="shared" si="3"/>
        <v>2</v>
      </c>
      <c r="G20" s="82">
        <f t="shared" si="3"/>
        <v>2.16</v>
      </c>
      <c r="H20" s="82">
        <f t="shared" si="3"/>
        <v>2.6</v>
      </c>
      <c r="I20" s="82">
        <f t="shared" si="3"/>
        <v>3.25</v>
      </c>
      <c r="J20" s="82">
        <f t="shared" si="3"/>
        <v>3.43</v>
      </c>
      <c r="K20" s="82">
        <f t="shared" si="3"/>
        <v>3.65</v>
      </c>
      <c r="L20" s="82">
        <f t="shared" si="3"/>
        <v>4.75</v>
      </c>
      <c r="M20" s="82">
        <f t="shared" si="3"/>
        <v>38.86</v>
      </c>
      <c r="N20" s="82">
        <f t="shared" si="3"/>
        <v>39.9</v>
      </c>
      <c r="O20" s="82">
        <f t="shared" si="3"/>
        <v>41.6</v>
      </c>
      <c r="P20" s="82">
        <f t="shared" si="3"/>
        <v>47.9</v>
      </c>
      <c r="Q20" s="80">
        <f t="shared" si="3"/>
        <v>53.03</v>
      </c>
      <c r="R20" s="80">
        <f t="shared" si="3"/>
        <v>62</v>
      </c>
      <c r="S20" s="82">
        <f t="shared" si="3"/>
        <v>105</v>
      </c>
      <c r="T20" s="82">
        <f t="shared" si="3"/>
        <v>75</v>
      </c>
      <c r="U20" s="82">
        <f t="shared" ref="U20" si="4">MEDIAN(U11:U18)</f>
        <v>90</v>
      </c>
      <c r="V20" s="80"/>
      <c r="W20" s="80"/>
      <c r="X20" s="80"/>
    </row>
    <row r="21" spans="1:24" x14ac:dyDescent="0.25">
      <c r="B21" s="34" t="s">
        <v>71</v>
      </c>
      <c r="D21" s="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5"/>
      <c r="R21" s="5"/>
      <c r="S21" s="28"/>
      <c r="T21" s="28"/>
      <c r="U21" s="28"/>
    </row>
    <row r="22" spans="1:24" x14ac:dyDescent="0.25">
      <c r="B22" s="34" t="s">
        <v>325</v>
      </c>
      <c r="D22" s="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5"/>
      <c r="R22" s="5"/>
      <c r="S22" s="28"/>
      <c r="T22" s="28"/>
      <c r="U22" s="28"/>
    </row>
    <row r="23" spans="1:24" x14ac:dyDescent="0.25">
      <c r="P23" s="8"/>
      <c r="Q23" s="8"/>
      <c r="T23" s="9"/>
    </row>
    <row r="24" spans="1:24" x14ac:dyDescent="0.25">
      <c r="P24" s="8"/>
      <c r="Q24" s="8"/>
      <c r="T24" s="9"/>
    </row>
    <row r="25" spans="1:24" x14ac:dyDescent="0.25">
      <c r="Q25" s="8"/>
      <c r="R25" s="8"/>
      <c r="U25" s="9"/>
    </row>
    <row r="26" spans="1:24" x14ac:dyDescent="0.25">
      <c r="Q26" s="8"/>
      <c r="R26" s="8"/>
      <c r="U26" s="9"/>
    </row>
    <row r="27" spans="1:24" x14ac:dyDescent="0.25">
      <c r="Q27" s="8"/>
      <c r="R27" s="8"/>
    </row>
    <row r="28" spans="1:24" x14ac:dyDescent="0.25">
      <c r="Q28" s="8"/>
      <c r="R28" s="8"/>
    </row>
    <row r="29" spans="1:24" x14ac:dyDescent="0.25">
      <c r="Q29" s="8"/>
      <c r="R29" s="8"/>
    </row>
  </sheetData>
  <mergeCells count="4">
    <mergeCell ref="B3:U3"/>
    <mergeCell ref="B4:U4"/>
    <mergeCell ref="B5:U5"/>
    <mergeCell ref="B6:U6"/>
  </mergeCells>
  <phoneticPr fontId="17" type="noConversion"/>
  <pageMargins left="0.75" right="0.75" top="1" bottom="1" header="0.5" footer="0.5"/>
  <pageSetup scale="47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26"/>
  <sheetViews>
    <sheetView tabSelected="1" topLeftCell="C1" workbookViewId="0">
      <selection activeCell="D21" sqref="D21"/>
    </sheetView>
  </sheetViews>
  <sheetFormatPr defaultColWidth="11" defaultRowHeight="15.75" x14ac:dyDescent="0.25"/>
  <cols>
    <col min="2" max="2" width="33" customWidth="1"/>
  </cols>
  <sheetData>
    <row r="3" spans="1:22" ht="18.75" x14ac:dyDescent="0.3">
      <c r="B3" s="218" t="s">
        <v>229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8.75" x14ac:dyDescent="0.3">
      <c r="B4" s="218" t="s">
        <v>250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8.75" x14ac:dyDescent="0.3">
      <c r="B5" s="218" t="s">
        <v>231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ht="18.75" x14ac:dyDescent="0.3">
      <c r="B6" s="219" t="s">
        <v>131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10" spans="1:22" x14ac:dyDescent="0.25">
      <c r="A10" s="3"/>
      <c r="B10" s="3"/>
      <c r="C10" s="3"/>
      <c r="D10" s="3" t="s">
        <v>2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68</v>
      </c>
      <c r="K10" s="3" t="s">
        <v>69</v>
      </c>
      <c r="L10" s="3" t="s">
        <v>70</v>
      </c>
      <c r="M10" s="3" t="s">
        <v>109</v>
      </c>
      <c r="N10" s="3" t="s">
        <v>110</v>
      </c>
      <c r="O10" s="3" t="s">
        <v>111</v>
      </c>
      <c r="P10" s="3" t="s">
        <v>112</v>
      </c>
      <c r="Q10" s="3" t="s">
        <v>124</v>
      </c>
      <c r="R10" s="3" t="s">
        <v>125</v>
      </c>
      <c r="S10" s="3" t="s">
        <v>126</v>
      </c>
      <c r="T10" s="3" t="s">
        <v>127</v>
      </c>
      <c r="U10" s="3" t="s">
        <v>128</v>
      </c>
      <c r="V10" s="3" t="s">
        <v>129</v>
      </c>
    </row>
    <row r="11" spans="1:22" ht="39" x14ac:dyDescent="0.25">
      <c r="A11" s="4" t="s">
        <v>6</v>
      </c>
      <c r="B11" s="4" t="s">
        <v>7</v>
      </c>
      <c r="C11" s="4" t="s">
        <v>1</v>
      </c>
      <c r="D11" s="4" t="s">
        <v>169</v>
      </c>
      <c r="E11" s="4" t="s">
        <v>166</v>
      </c>
      <c r="F11" s="4" t="s">
        <v>167</v>
      </c>
      <c r="G11" s="4" t="s">
        <v>168</v>
      </c>
      <c r="H11" s="4" t="s">
        <v>137</v>
      </c>
      <c r="I11" s="4" t="s">
        <v>9</v>
      </c>
      <c r="J11" s="4" t="s">
        <v>10</v>
      </c>
      <c r="K11" s="4" t="s">
        <v>138</v>
      </c>
      <c r="L11" s="4" t="s">
        <v>139</v>
      </c>
      <c r="M11" s="4" t="s">
        <v>140</v>
      </c>
      <c r="N11" s="4" t="s">
        <v>141</v>
      </c>
      <c r="O11" s="4" t="s">
        <v>142</v>
      </c>
      <c r="P11" s="4" t="s">
        <v>143</v>
      </c>
      <c r="Q11" s="4" t="s">
        <v>23</v>
      </c>
      <c r="R11" s="4" t="s">
        <v>17</v>
      </c>
      <c r="S11" s="4" t="s">
        <v>18</v>
      </c>
      <c r="T11" s="4" t="s">
        <v>19</v>
      </c>
      <c r="U11" s="4" t="s">
        <v>20</v>
      </c>
      <c r="V11" s="4" t="s">
        <v>21</v>
      </c>
    </row>
    <row r="12" spans="1:22" x14ac:dyDescent="0.25">
      <c r="A12" s="32">
        <v>1</v>
      </c>
      <c r="B12" s="64" t="s">
        <v>233</v>
      </c>
      <c r="C12" s="64" t="s">
        <v>232</v>
      </c>
      <c r="D12" s="29">
        <v>7263.6</v>
      </c>
      <c r="E12" s="29">
        <v>12500</v>
      </c>
      <c r="F12" s="10">
        <f>'COMPARABLE GROUP WP1'!E11</f>
        <v>0.65700000000000003</v>
      </c>
      <c r="G12" s="10">
        <f>'COMPARABLE GROUP WP1'!H11</f>
        <v>0.65</v>
      </c>
      <c r="H12" s="11">
        <v>0.57499999999999996</v>
      </c>
      <c r="I12" s="9">
        <f t="shared" ref="I12:I18" si="0">4*H12</f>
        <v>2.2999999999999998</v>
      </c>
      <c r="J12" s="9">
        <v>108.64</v>
      </c>
      <c r="K12" s="7">
        <v>6.5000000000000002E-2</v>
      </c>
      <c r="L12" s="7">
        <v>3.5000000000000003E-2</v>
      </c>
      <c r="M12" s="7">
        <v>5.5E-2</v>
      </c>
      <c r="N12" s="7">
        <v>0.1</v>
      </c>
      <c r="O12" s="7">
        <v>5.5E-2</v>
      </c>
      <c r="P12" s="7">
        <v>7.0000000000000007E-2</v>
      </c>
      <c r="Q12" s="7">
        <f t="shared" ref="Q12:Q18" si="1">AVERAGE(K12:P12)</f>
        <v>6.3333333333333339E-2</v>
      </c>
      <c r="R12" s="7">
        <v>7.4999999999999997E-2</v>
      </c>
      <c r="S12" s="7">
        <v>7.4999999999999997E-2</v>
      </c>
      <c r="T12" s="7">
        <v>7.0000000000000007E-2</v>
      </c>
      <c r="U12" s="7">
        <v>7.0000000000000007E-2</v>
      </c>
      <c r="V12" s="7">
        <v>7.0000000000000007E-2</v>
      </c>
    </row>
    <row r="13" spans="1:22" x14ac:dyDescent="0.25">
      <c r="A13" s="32">
        <f>A12+1</f>
        <v>2</v>
      </c>
      <c r="B13" s="56" t="s">
        <v>234</v>
      </c>
      <c r="C13" s="64" t="s">
        <v>235</v>
      </c>
      <c r="D13" s="29"/>
      <c r="E13" s="29"/>
      <c r="F13" s="10"/>
      <c r="G13" s="10"/>
      <c r="H13" s="11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32">
        <f t="shared" ref="A14:A21" si="2">A13+1</f>
        <v>3</v>
      </c>
      <c r="B14" s="64" t="s">
        <v>236</v>
      </c>
      <c r="C14" s="64" t="s">
        <v>237</v>
      </c>
      <c r="D14" s="29">
        <v>2599.6</v>
      </c>
      <c r="E14" s="29">
        <v>3220</v>
      </c>
      <c r="F14" s="10">
        <f>'COMPARABLE GROUP WP1'!E13</f>
        <v>0.54600000000000004</v>
      </c>
      <c r="G14" s="10">
        <f>'COMPARABLE GROUP WP1'!H13</f>
        <v>0.59499999999999997</v>
      </c>
      <c r="H14" s="11">
        <v>0.3125</v>
      </c>
      <c r="I14" s="9">
        <f t="shared" si="0"/>
        <v>1.25</v>
      </c>
      <c r="J14" s="9">
        <v>42.98</v>
      </c>
      <c r="K14" s="7">
        <v>7.0000000000000007E-2</v>
      </c>
      <c r="L14" s="7">
        <v>7.4999999999999997E-2</v>
      </c>
      <c r="M14" s="7">
        <v>7.0000000000000007E-2</v>
      </c>
      <c r="N14" s="7">
        <v>5.5E-2</v>
      </c>
      <c r="O14" s="7">
        <v>6.5000000000000002E-2</v>
      </c>
      <c r="P14" s="7">
        <v>0.08</v>
      </c>
      <c r="Q14" s="7">
        <f t="shared" si="1"/>
        <v>6.9166666666666668E-2</v>
      </c>
      <c r="R14" s="7">
        <v>2.5000000000000001E-2</v>
      </c>
      <c r="S14" s="7">
        <v>0.06</v>
      </c>
      <c r="T14" s="7">
        <v>6.5000000000000002E-2</v>
      </c>
      <c r="U14" s="7">
        <v>0.06</v>
      </c>
      <c r="V14" s="7">
        <v>0.08</v>
      </c>
    </row>
    <row r="15" spans="1:22" x14ac:dyDescent="0.25">
      <c r="A15" s="32">
        <f t="shared" si="2"/>
        <v>4</v>
      </c>
      <c r="B15" s="56" t="s">
        <v>238</v>
      </c>
      <c r="C15" s="64" t="s">
        <v>239</v>
      </c>
      <c r="D15" s="29">
        <v>1468.9</v>
      </c>
      <c r="E15" s="29">
        <v>1700</v>
      </c>
      <c r="F15" s="10">
        <f>'COMPARABLE GROUP WP1'!E14</f>
        <v>0.51900000000000002</v>
      </c>
      <c r="G15" s="10">
        <f>'COMPARABLE GROUP WP1'!H14</f>
        <v>0.52500000000000002</v>
      </c>
      <c r="H15" s="11">
        <v>0.47749999999999998</v>
      </c>
      <c r="I15" s="9">
        <f t="shared" si="0"/>
        <v>1.91</v>
      </c>
      <c r="J15" s="9">
        <v>65.16</v>
      </c>
      <c r="K15" s="7"/>
      <c r="L15" s="7">
        <v>2.5000000000000001E-2</v>
      </c>
      <c r="M15" s="7">
        <v>0.02</v>
      </c>
      <c r="N15" s="7"/>
      <c r="O15" s="7">
        <v>0.01</v>
      </c>
      <c r="P15" s="7"/>
      <c r="Q15" s="7">
        <f t="shared" si="1"/>
        <v>1.8333333333333333E-2</v>
      </c>
      <c r="R15" s="7">
        <v>0.27</v>
      </c>
      <c r="S15" s="7">
        <v>2.5000000000000001E-2</v>
      </c>
      <c r="T15" s="7">
        <v>0.01</v>
      </c>
      <c r="U15" s="7">
        <v>3.7499999999999999E-2</v>
      </c>
      <c r="V15" s="7">
        <v>0.05</v>
      </c>
    </row>
    <row r="16" spans="1:22" x14ac:dyDescent="0.25">
      <c r="A16" s="32">
        <f t="shared" si="2"/>
        <v>5</v>
      </c>
      <c r="B16" s="56" t="s">
        <v>240</v>
      </c>
      <c r="C16" s="64" t="s">
        <v>241</v>
      </c>
      <c r="D16" s="29">
        <v>3328.1</v>
      </c>
      <c r="E16" s="29">
        <v>4250</v>
      </c>
      <c r="F16" s="10">
        <f>'COMPARABLE GROUP WP1'!E15</f>
        <v>0.61399999999999999</v>
      </c>
      <c r="G16" s="10">
        <f>'COMPARABLE GROUP WP1'!H15</f>
        <v>0.62</v>
      </c>
      <c r="H16" s="11">
        <v>0.5</v>
      </c>
      <c r="I16" s="9">
        <f t="shared" si="0"/>
        <v>2</v>
      </c>
      <c r="J16" s="9">
        <v>87.92</v>
      </c>
      <c r="K16" s="7"/>
      <c r="L16" s="7"/>
      <c r="M16" s="7"/>
      <c r="N16" s="7"/>
      <c r="O16" s="7"/>
      <c r="P16" s="7"/>
      <c r="Q16" s="7"/>
      <c r="R16" s="7">
        <v>0.08</v>
      </c>
      <c r="S16" s="7">
        <v>8.5000000000000006E-2</v>
      </c>
      <c r="T16" s="7">
        <v>4.4999999999999998E-2</v>
      </c>
      <c r="U16" s="7">
        <v>0.05</v>
      </c>
      <c r="V16" s="7">
        <v>6.13E-2</v>
      </c>
    </row>
    <row r="17" spans="1:22" x14ac:dyDescent="0.25">
      <c r="A17" s="32">
        <f t="shared" si="2"/>
        <v>6</v>
      </c>
      <c r="B17" s="64" t="s">
        <v>242</v>
      </c>
      <c r="C17" s="64" t="s">
        <v>243</v>
      </c>
      <c r="D17" s="29">
        <v>3373.9</v>
      </c>
      <c r="E17" s="29">
        <v>4500</v>
      </c>
      <c r="F17" s="10">
        <f>'COMPARABLE GROUP WP1'!E16</f>
        <v>0.376</v>
      </c>
      <c r="G17" s="10">
        <f>'COMPARABLE GROUP WP1'!H16</f>
        <v>0.42</v>
      </c>
      <c r="H17" s="11">
        <v>0.28799999999999998</v>
      </c>
      <c r="I17" s="9">
        <f t="shared" si="0"/>
        <v>1.1519999999999999</v>
      </c>
      <c r="J17" s="9">
        <v>30.3</v>
      </c>
      <c r="K17" s="7">
        <v>1.4999999999999999E-2</v>
      </c>
      <c r="L17" s="7">
        <v>0.08</v>
      </c>
      <c r="M17" s="7">
        <v>6.5000000000000002E-2</v>
      </c>
      <c r="N17" s="7"/>
      <c r="O17" s="7">
        <v>0.06</v>
      </c>
      <c r="P17" s="7">
        <v>0.06</v>
      </c>
      <c r="Q17" s="7">
        <f t="shared" si="1"/>
        <v>5.6000000000000008E-2</v>
      </c>
      <c r="R17" s="7">
        <v>0.105</v>
      </c>
      <c r="S17" s="7">
        <v>0.04</v>
      </c>
      <c r="T17" s="7">
        <v>3.5000000000000003E-2</v>
      </c>
      <c r="U17" s="7">
        <v>4.5999999999999999E-2</v>
      </c>
      <c r="V17" s="7">
        <v>8.5000000000000006E-2</v>
      </c>
    </row>
    <row r="18" spans="1:22" x14ac:dyDescent="0.25">
      <c r="A18" s="32">
        <f t="shared" si="2"/>
        <v>7</v>
      </c>
      <c r="B18" s="64" t="s">
        <v>244</v>
      </c>
      <c r="C18" s="64" t="s">
        <v>245</v>
      </c>
      <c r="D18" s="29">
        <v>4155.5</v>
      </c>
      <c r="E18" s="29">
        <v>4950</v>
      </c>
      <c r="F18" s="10">
        <f>'COMPARABLE GROUP WP1'!E17</f>
        <v>0.54300000000000004</v>
      </c>
      <c r="G18" s="10">
        <f>'COMPARABLE GROUP WP1'!H17</f>
        <v>0.6</v>
      </c>
      <c r="H18" s="11">
        <v>0.59250000000000003</v>
      </c>
      <c r="I18" s="9">
        <f t="shared" si="0"/>
        <v>2.37</v>
      </c>
      <c r="J18" s="9">
        <v>75</v>
      </c>
      <c r="K18" s="7">
        <v>0.04</v>
      </c>
      <c r="L18" s="7">
        <v>0.04</v>
      </c>
      <c r="M18" s="7">
        <v>7.4999999999999997E-2</v>
      </c>
      <c r="N18" s="7">
        <v>7.4999999999999997E-2</v>
      </c>
      <c r="O18" s="7">
        <v>0.05</v>
      </c>
      <c r="P18" s="7">
        <v>0.08</v>
      </c>
      <c r="Q18" s="7">
        <f t="shared" si="1"/>
        <v>0.06</v>
      </c>
      <c r="R18" s="7">
        <v>5.5E-2</v>
      </c>
      <c r="S18" s="7">
        <v>0.04</v>
      </c>
      <c r="T18" s="7">
        <v>4.4999999999999998E-2</v>
      </c>
      <c r="U18" s="7">
        <v>3.2300000000000002E-2</v>
      </c>
      <c r="V18" s="7">
        <v>5.5E-2</v>
      </c>
    </row>
    <row r="19" spans="1:22" x14ac:dyDescent="0.25">
      <c r="A19" s="32"/>
      <c r="B19" s="64" t="s">
        <v>246</v>
      </c>
      <c r="C19" s="64" t="s">
        <v>247</v>
      </c>
      <c r="D19" s="29">
        <v>4359.3</v>
      </c>
      <c r="E19" s="29">
        <v>6550</v>
      </c>
      <c r="F19" s="10">
        <f>'COMPARABLE GROUP WP1'!E18</f>
        <v>0.51700000000000002</v>
      </c>
      <c r="G19" s="10">
        <f>'COMPARABLE GROUP WP1'!H18</f>
        <v>0.54</v>
      </c>
      <c r="H19" s="11">
        <v>0.54500000000000004</v>
      </c>
      <c r="I19" s="9">
        <f t="shared" ref="I19" si="3">4*H19</f>
        <v>2.1800000000000002</v>
      </c>
      <c r="J19" s="9">
        <v>76.790000000000006</v>
      </c>
      <c r="K19" s="7">
        <v>7.0000000000000007E-2</v>
      </c>
      <c r="L19" s="7">
        <v>8.5000000000000006E-2</v>
      </c>
      <c r="M19" s="7">
        <v>5.5E-2</v>
      </c>
      <c r="N19" s="7">
        <v>4.4999999999999998E-2</v>
      </c>
      <c r="O19" s="7">
        <v>0.105</v>
      </c>
      <c r="P19" s="7">
        <v>0.06</v>
      </c>
      <c r="Q19" s="7">
        <f t="shared" ref="Q19" si="4">AVERAGE(K19:P19)</f>
        <v>6.9999999999999993E-2</v>
      </c>
      <c r="R19" s="7">
        <v>0.09</v>
      </c>
      <c r="S19" s="7">
        <v>0.05</v>
      </c>
      <c r="T19" s="7">
        <v>7.0000000000000007E-2</v>
      </c>
      <c r="U19" s="7">
        <v>8.2000000000000003E-2</v>
      </c>
      <c r="V19" s="7">
        <v>8.5000000000000006E-2</v>
      </c>
    </row>
    <row r="20" spans="1:22" x14ac:dyDescent="0.25">
      <c r="A20" s="32">
        <f>A18+1</f>
        <v>8</v>
      </c>
      <c r="B20" s="66" t="s">
        <v>132</v>
      </c>
      <c r="C20" s="66"/>
      <c r="D20" s="82">
        <f>AVERAGE(D12:D19)</f>
        <v>3792.7000000000003</v>
      </c>
      <c r="E20" s="82">
        <f t="shared" ref="E20:V20" si="5">AVERAGE(E12:E19)</f>
        <v>5381.4285714285716</v>
      </c>
      <c r="F20" s="81">
        <f t="shared" si="5"/>
        <v>0.53885714285714281</v>
      </c>
      <c r="G20" s="81">
        <f t="shared" si="5"/>
        <v>0.56428571428571428</v>
      </c>
      <c r="H20" s="171">
        <f t="shared" si="5"/>
        <v>0.47007142857142853</v>
      </c>
      <c r="I20" s="82">
        <f t="shared" si="5"/>
        <v>1.8802857142857141</v>
      </c>
      <c r="J20" s="82">
        <f t="shared" si="5"/>
        <v>69.541428571428568</v>
      </c>
      <c r="K20" s="81">
        <f>AVERAGE(K12:K19)</f>
        <v>5.2000000000000005E-2</v>
      </c>
      <c r="L20" s="81">
        <f t="shared" si="5"/>
        <v>5.6666666666666671E-2</v>
      </c>
      <c r="M20" s="81">
        <f t="shared" si="5"/>
        <v>5.6666666666666664E-2</v>
      </c>
      <c r="N20" s="81">
        <f t="shared" si="5"/>
        <v>6.8749999999999992E-2</v>
      </c>
      <c r="O20" s="81">
        <f t="shared" si="5"/>
        <v>5.7499999999999996E-2</v>
      </c>
      <c r="P20" s="81">
        <f t="shared" si="5"/>
        <v>7.0000000000000007E-2</v>
      </c>
      <c r="Q20" s="81">
        <f t="shared" si="5"/>
        <v>5.6138888888888898E-2</v>
      </c>
      <c r="R20" s="81">
        <f t="shared" si="5"/>
        <v>0.1</v>
      </c>
      <c r="S20" s="81">
        <f t="shared" si="5"/>
        <v>5.3571428571428562E-2</v>
      </c>
      <c r="T20" s="81">
        <f t="shared" si="5"/>
        <v>4.8571428571428578E-2</v>
      </c>
      <c r="U20" s="81">
        <f t="shared" si="5"/>
        <v>5.3971428571428573E-2</v>
      </c>
      <c r="V20" s="81">
        <f t="shared" si="5"/>
        <v>6.9471428571428587E-2</v>
      </c>
    </row>
    <row r="21" spans="1:22" x14ac:dyDescent="0.25">
      <c r="A21" s="32">
        <f t="shared" si="2"/>
        <v>9</v>
      </c>
      <c r="B21" s="66" t="s">
        <v>91</v>
      </c>
      <c r="C21" s="66"/>
      <c r="D21" s="82">
        <f>MEDIAN(D12:D19)</f>
        <v>3373.9</v>
      </c>
      <c r="E21" s="82">
        <f t="shared" ref="E21:V21" si="6">MEDIAN(E12:E19)</f>
        <v>4500</v>
      </c>
      <c r="F21" s="81">
        <f t="shared" si="6"/>
        <v>0.54300000000000004</v>
      </c>
      <c r="G21" s="81">
        <f t="shared" si="6"/>
        <v>0.59499999999999997</v>
      </c>
      <c r="H21" s="171">
        <f t="shared" si="6"/>
        <v>0.5</v>
      </c>
      <c r="I21" s="82">
        <f t="shared" si="6"/>
        <v>2</v>
      </c>
      <c r="J21" s="82">
        <f t="shared" si="6"/>
        <v>75</v>
      </c>
      <c r="K21" s="81">
        <f t="shared" si="6"/>
        <v>6.5000000000000002E-2</v>
      </c>
      <c r="L21" s="81">
        <f t="shared" si="6"/>
        <v>5.7499999999999996E-2</v>
      </c>
      <c r="M21" s="81">
        <f t="shared" si="6"/>
        <v>0.06</v>
      </c>
      <c r="N21" s="81">
        <f t="shared" si="6"/>
        <v>6.5000000000000002E-2</v>
      </c>
      <c r="O21" s="81">
        <f t="shared" si="6"/>
        <v>5.7499999999999996E-2</v>
      </c>
      <c r="P21" s="81">
        <f t="shared" si="6"/>
        <v>7.0000000000000007E-2</v>
      </c>
      <c r="Q21" s="81">
        <f t="shared" si="6"/>
        <v>6.1666666666666668E-2</v>
      </c>
      <c r="R21" s="81">
        <f t="shared" si="6"/>
        <v>0.08</v>
      </c>
      <c r="S21" s="81">
        <f t="shared" si="6"/>
        <v>0.05</v>
      </c>
      <c r="T21" s="81">
        <f t="shared" si="6"/>
        <v>4.4999999999999998E-2</v>
      </c>
      <c r="U21" s="81">
        <f t="shared" si="6"/>
        <v>0.05</v>
      </c>
      <c r="V21" s="81">
        <f t="shared" si="6"/>
        <v>7.0000000000000007E-2</v>
      </c>
    </row>
    <row r="22" spans="1:22" x14ac:dyDescent="0.25">
      <c r="B22" s="34" t="s">
        <v>71</v>
      </c>
      <c r="D22" s="28"/>
      <c r="E22" s="28"/>
      <c r="F22" s="10"/>
      <c r="G22" s="10"/>
      <c r="H22" s="30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B23" s="34" t="s">
        <v>326</v>
      </c>
      <c r="D23" s="28"/>
      <c r="E23" s="28"/>
      <c r="F23" s="10"/>
      <c r="G23" s="10"/>
      <c r="H23" s="30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B24" s="34" t="s">
        <v>327</v>
      </c>
    </row>
    <row r="25" spans="1:22" x14ac:dyDescent="0.25">
      <c r="B25" s="34" t="s">
        <v>328</v>
      </c>
    </row>
    <row r="26" spans="1:22" x14ac:dyDescent="0.25">
      <c r="B26" s="34"/>
    </row>
  </sheetData>
  <mergeCells count="4">
    <mergeCell ref="B6:V6"/>
    <mergeCell ref="B3:V3"/>
    <mergeCell ref="B4:V4"/>
    <mergeCell ref="B5:V5"/>
  </mergeCells>
  <phoneticPr fontId="17" type="noConversion"/>
  <pageMargins left="0.75" right="0.75" top="1" bottom="1" header="0.5" footer="0.5"/>
  <pageSetup scale="4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14"/>
  <sheetViews>
    <sheetView view="pageLayout" zoomScaleNormal="100" workbookViewId="0">
      <selection sqref="A1:J47"/>
    </sheetView>
  </sheetViews>
  <sheetFormatPr defaultColWidth="11" defaultRowHeight="15.75" x14ac:dyDescent="0.25"/>
  <cols>
    <col min="1" max="9" width="9.5" customWidth="1"/>
  </cols>
  <sheetData>
    <row r="7" spans="1:12" ht="23.25" x14ac:dyDescent="0.35">
      <c r="B7" s="220" t="s">
        <v>229</v>
      </c>
      <c r="C7" s="220"/>
      <c r="D7" s="220"/>
      <c r="E7" s="220"/>
      <c r="F7" s="220"/>
      <c r="G7" s="220"/>
      <c r="H7" s="220"/>
      <c r="I7" s="220"/>
    </row>
    <row r="8" spans="1:12" ht="23.25" x14ac:dyDescent="0.35">
      <c r="A8" s="13"/>
      <c r="B8" s="220" t="s">
        <v>250</v>
      </c>
      <c r="C8" s="220"/>
      <c r="D8" s="220"/>
      <c r="E8" s="220"/>
      <c r="F8" s="220"/>
      <c r="G8" s="220"/>
      <c r="H8" s="220"/>
      <c r="I8" s="220"/>
      <c r="J8" s="13"/>
      <c r="K8" s="13"/>
      <c r="L8" s="13"/>
    </row>
    <row r="9" spans="1:12" ht="23.25" x14ac:dyDescent="0.35">
      <c r="B9" s="220" t="s">
        <v>231</v>
      </c>
      <c r="C9" s="220"/>
      <c r="D9" s="220"/>
      <c r="E9" s="220"/>
      <c r="F9" s="220"/>
      <c r="G9" s="220"/>
      <c r="H9" s="220"/>
      <c r="I9" s="220"/>
      <c r="J9" s="220"/>
    </row>
    <row r="10" spans="1:12" ht="23.25" x14ac:dyDescent="0.35">
      <c r="A10" s="13"/>
      <c r="B10" s="163" t="s">
        <v>324</v>
      </c>
      <c r="C10" s="163"/>
      <c r="D10" s="163"/>
      <c r="E10" s="163"/>
      <c r="F10" s="163"/>
      <c r="G10" s="163"/>
      <c r="H10" s="162"/>
      <c r="I10" s="162"/>
      <c r="J10" s="13"/>
      <c r="K10" s="13"/>
      <c r="L10" s="13"/>
    </row>
    <row r="11" spans="1:12" ht="23.25" x14ac:dyDescent="0.35">
      <c r="A11" s="13"/>
      <c r="B11" s="163" t="s">
        <v>284</v>
      </c>
      <c r="C11" s="162"/>
      <c r="D11" s="162"/>
      <c r="E11" s="162"/>
      <c r="F11" s="162"/>
      <c r="G11" s="162"/>
      <c r="H11" s="162"/>
      <c r="I11" s="162"/>
      <c r="J11" s="13"/>
      <c r="K11" s="13"/>
      <c r="L11" s="13"/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8.75" x14ac:dyDescent="0.3">
      <c r="B13" s="164"/>
      <c r="C13" s="164"/>
      <c r="D13" s="164"/>
      <c r="E13" s="164"/>
      <c r="F13" s="164"/>
      <c r="G13" s="164"/>
      <c r="H13" s="164"/>
      <c r="I13" s="164"/>
    </row>
    <row r="14" spans="1:12" ht="18.75" x14ac:dyDescent="0.3">
      <c r="B14" s="165" t="s">
        <v>222</v>
      </c>
      <c r="C14" s="165"/>
      <c r="D14" s="165"/>
      <c r="E14" s="165"/>
      <c r="F14" s="165"/>
      <c r="G14" s="165"/>
      <c r="H14" s="165"/>
      <c r="I14" s="165"/>
    </row>
  </sheetData>
  <mergeCells count="3">
    <mergeCell ref="B7:I7"/>
    <mergeCell ref="B8:I8"/>
    <mergeCell ref="B9:J9"/>
  </mergeCells>
  <phoneticPr fontId="17" type="noConversion"/>
  <pageMargins left="0.75" right="0.75" top="1" bottom="1" header="0.5" footer="0.5"/>
  <pageSetup scale="85" orientation="portrait" horizontalDpi="4294967292" verticalDpi="4294967292" r:id="rId1"/>
  <headerFooter>
    <oddHeader xml:space="preserve">&amp;R&amp;"Calibri,Regular"&amp;K000000EXHIBIT OCS 3.2
4 PAGES (inc. cover)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9"/>
  <sheetViews>
    <sheetView view="pageLayout" topLeftCell="A72" zoomScaleNormal="100" workbookViewId="0">
      <selection activeCell="A8" sqref="A8"/>
    </sheetView>
  </sheetViews>
  <sheetFormatPr defaultColWidth="11" defaultRowHeight="15.75" x14ac:dyDescent="0.25"/>
  <cols>
    <col min="1" max="1" width="15.625" customWidth="1"/>
    <col min="2" max="2" width="15.875" customWidth="1"/>
    <col min="3" max="3" width="17" customWidth="1"/>
    <col min="4" max="4" width="16.5" customWidth="1"/>
  </cols>
  <sheetData>
    <row r="3" spans="1:8" ht="18.75" x14ac:dyDescent="0.3">
      <c r="A3" s="222" t="s">
        <v>229</v>
      </c>
      <c r="B3" s="222"/>
      <c r="C3" s="222"/>
      <c r="D3" s="222"/>
      <c r="E3" s="27"/>
      <c r="F3" s="27"/>
      <c r="G3" s="27"/>
    </row>
    <row r="4" spans="1:8" ht="18.75" x14ac:dyDescent="0.3">
      <c r="A4" s="222" t="s">
        <v>250</v>
      </c>
      <c r="B4" s="222"/>
      <c r="C4" s="222"/>
      <c r="D4" s="222"/>
      <c r="E4" s="27"/>
      <c r="F4" s="27"/>
      <c r="G4" s="27"/>
      <c r="H4" s="27"/>
    </row>
    <row r="5" spans="1:8" ht="18.75" x14ac:dyDescent="0.3">
      <c r="A5" s="222" t="s">
        <v>231</v>
      </c>
      <c r="B5" s="222"/>
      <c r="C5" s="222"/>
      <c r="D5" s="222"/>
      <c r="E5" s="27"/>
      <c r="F5" s="27"/>
      <c r="G5" s="27"/>
      <c r="H5" s="27"/>
    </row>
    <row r="6" spans="1:8" x14ac:dyDescent="0.25">
      <c r="A6" s="222" t="s">
        <v>281</v>
      </c>
      <c r="B6" s="222"/>
      <c r="C6" s="222"/>
      <c r="D6" s="222"/>
    </row>
    <row r="7" spans="1:8" x14ac:dyDescent="0.25">
      <c r="A7" s="222" t="s">
        <v>343</v>
      </c>
      <c r="B7" s="222"/>
      <c r="C7" s="222"/>
      <c r="D7" s="222"/>
    </row>
    <row r="8" spans="1:8" x14ac:dyDescent="0.25">
      <c r="A8" s="150"/>
      <c r="B8" s="150"/>
      <c r="C8" s="150"/>
      <c r="D8" s="150"/>
    </row>
    <row r="9" spans="1:8" x14ac:dyDescent="0.25">
      <c r="A9" s="150"/>
      <c r="B9" s="116" t="s">
        <v>2</v>
      </c>
      <c r="C9" s="116" t="s">
        <v>52</v>
      </c>
      <c r="D9" s="116" t="s">
        <v>53</v>
      </c>
    </row>
    <row r="10" spans="1:8" ht="26.25" x14ac:dyDescent="0.25">
      <c r="A10" s="150" t="s">
        <v>57</v>
      </c>
      <c r="B10" s="62" t="s">
        <v>58</v>
      </c>
      <c r="C10" s="62" t="s">
        <v>59</v>
      </c>
      <c r="D10" s="62" t="s">
        <v>60</v>
      </c>
    </row>
    <row r="11" spans="1:8" x14ac:dyDescent="0.25">
      <c r="A11" s="156">
        <v>41275</v>
      </c>
      <c r="B11" s="122">
        <v>3.0800000000000001E-2</v>
      </c>
      <c r="C11" s="122">
        <v>2.6800000000000001E-2</v>
      </c>
      <c r="D11" s="122">
        <v>1.9099999999999999E-2</v>
      </c>
    </row>
    <row r="12" spans="1:8" x14ac:dyDescent="0.25">
      <c r="A12" s="156">
        <v>41306</v>
      </c>
      <c r="B12" s="122">
        <v>3.1699999999999999E-2</v>
      </c>
      <c r="C12" s="122">
        <v>2.7799999999999998E-2</v>
      </c>
      <c r="D12" s="122">
        <v>1.9800000000000002E-2</v>
      </c>
    </row>
    <row r="13" spans="1:8" x14ac:dyDescent="0.25">
      <c r="A13" s="156">
        <v>41334</v>
      </c>
      <c r="B13" s="122">
        <v>3.1600000000000003E-2</v>
      </c>
      <c r="C13" s="122">
        <v>2.7799999999999998E-2</v>
      </c>
      <c r="D13" s="122">
        <v>1.9599999999999999E-2</v>
      </c>
    </row>
    <row r="14" spans="1:8" x14ac:dyDescent="0.25">
      <c r="A14" s="156">
        <v>41365</v>
      </c>
      <c r="B14" s="122">
        <v>2.93E-2</v>
      </c>
      <c r="C14" s="122">
        <v>2.5499999999999998E-2</v>
      </c>
      <c r="D14" s="122">
        <v>1.7600000000000001E-2</v>
      </c>
    </row>
    <row r="15" spans="1:8" x14ac:dyDescent="0.25">
      <c r="A15" s="156">
        <v>41395</v>
      </c>
      <c r="B15" s="122">
        <v>3.1099999999999999E-2</v>
      </c>
      <c r="C15" s="122">
        <v>2.7300000000000001E-2</v>
      </c>
      <c r="D15" s="122">
        <v>1.9300000000000001E-2</v>
      </c>
    </row>
    <row r="16" spans="1:8" x14ac:dyDescent="0.25">
      <c r="A16" s="156">
        <v>41426</v>
      </c>
      <c r="B16" s="122">
        <v>3.4000000000000002E-2</v>
      </c>
      <c r="C16" s="122">
        <v>3.0700000000000002E-2</v>
      </c>
      <c r="D16" s="122">
        <v>2.3E-2</v>
      </c>
    </row>
    <row r="17" spans="1:6" x14ac:dyDescent="0.25">
      <c r="A17" s="156">
        <v>41456</v>
      </c>
      <c r="B17" s="122">
        <v>3.61E-2</v>
      </c>
      <c r="C17" s="122">
        <v>3.3099999999999997E-2</v>
      </c>
      <c r="D17" s="122">
        <v>2.58E-2</v>
      </c>
    </row>
    <row r="18" spans="1:6" x14ac:dyDescent="0.25">
      <c r="A18" s="156">
        <v>41487</v>
      </c>
      <c r="B18" s="122">
        <v>3.7600000000000001E-2</v>
      </c>
      <c r="C18" s="122">
        <v>3.49E-2</v>
      </c>
      <c r="D18" s="122">
        <v>2.7400000000000001E-2</v>
      </c>
    </row>
    <row r="19" spans="1:6" x14ac:dyDescent="0.25">
      <c r="A19" s="156">
        <v>41518</v>
      </c>
      <c r="B19" s="122">
        <v>3.7900000000000003E-2</v>
      </c>
      <c r="C19" s="122">
        <v>3.5299999999999998E-2</v>
      </c>
      <c r="D19" s="122">
        <v>2.81E-2</v>
      </c>
    </row>
    <row r="20" spans="1:6" x14ac:dyDescent="0.25">
      <c r="A20" s="156">
        <v>41548</v>
      </c>
      <c r="B20" s="122">
        <v>3.6799999999999999E-2</v>
      </c>
      <c r="C20" s="122">
        <v>3.3799999999999997E-2</v>
      </c>
      <c r="D20" s="122">
        <v>2.6200000000000001E-2</v>
      </c>
    </row>
    <row r="21" spans="1:6" x14ac:dyDescent="0.25">
      <c r="A21" s="156">
        <v>41579</v>
      </c>
      <c r="B21" s="122">
        <v>3.7999999999999999E-2</v>
      </c>
      <c r="C21" s="122">
        <v>3.5000000000000003E-2</v>
      </c>
      <c r="D21" s="122">
        <v>2.7199999999999998E-2</v>
      </c>
    </row>
    <row r="22" spans="1:6" x14ac:dyDescent="0.25">
      <c r="A22" s="156">
        <v>41609</v>
      </c>
      <c r="B22" s="122">
        <v>3.8899999999999997E-2</v>
      </c>
      <c r="C22" s="122">
        <v>3.6299999999999999E-2</v>
      </c>
      <c r="D22" s="122">
        <v>2.9000000000000001E-2</v>
      </c>
      <c r="F22" s="10"/>
    </row>
    <row r="23" spans="1:6" x14ac:dyDescent="0.25">
      <c r="A23" s="156">
        <v>41640</v>
      </c>
      <c r="B23" s="122">
        <v>3.7699999999999997E-2</v>
      </c>
      <c r="C23" s="122">
        <v>3.5200000000000002E-2</v>
      </c>
      <c r="D23" s="122">
        <v>2.86E-2</v>
      </c>
    </row>
    <row r="24" spans="1:6" x14ac:dyDescent="0.25">
      <c r="A24" s="156">
        <v>41671</v>
      </c>
      <c r="B24" s="122">
        <v>3.6600000000000001E-2</v>
      </c>
      <c r="C24" s="122">
        <v>3.3799999999999997E-2</v>
      </c>
      <c r="D24" s="122">
        <v>2.7099999999999999E-2</v>
      </c>
    </row>
    <row r="25" spans="1:6" x14ac:dyDescent="0.25">
      <c r="A25" s="157">
        <v>41699</v>
      </c>
      <c r="B25" s="158">
        <v>3.6200000000000003E-2</v>
      </c>
      <c r="C25" s="158">
        <v>3.3500000000000002E-2</v>
      </c>
      <c r="D25" s="158">
        <v>2.7199999999999998E-2</v>
      </c>
    </row>
    <row r="26" spans="1:6" x14ac:dyDescent="0.25">
      <c r="A26" s="157">
        <v>41730</v>
      </c>
      <c r="B26" s="158">
        <v>3.5200000000000002E-2</v>
      </c>
      <c r="C26" s="158">
        <v>3.27E-2</v>
      </c>
      <c r="D26" s="158">
        <v>2.7099999999999999E-2</v>
      </c>
    </row>
    <row r="27" spans="1:6" x14ac:dyDescent="0.25">
      <c r="A27" s="157">
        <v>41760</v>
      </c>
      <c r="B27" s="158">
        <v>3.39E-2</v>
      </c>
      <c r="C27" s="158">
        <v>3.1199999999999999E-2</v>
      </c>
      <c r="D27" s="158">
        <v>2.5600000000000001E-2</v>
      </c>
    </row>
    <row r="28" spans="1:6" x14ac:dyDescent="0.25">
      <c r="A28" s="157">
        <v>41791</v>
      </c>
      <c r="B28" s="158">
        <v>3.4200000000000001E-2</v>
      </c>
      <c r="C28" s="158">
        <v>3.15E-2</v>
      </c>
      <c r="D28" s="158">
        <v>2.5999999999999999E-2</v>
      </c>
    </row>
    <row r="29" spans="1:6" x14ac:dyDescent="0.25">
      <c r="A29" s="157">
        <v>41821</v>
      </c>
      <c r="B29" s="158">
        <v>3.3300000000000003E-2</v>
      </c>
      <c r="C29" s="158">
        <v>3.0700000000000002E-2</v>
      </c>
      <c r="D29" s="158">
        <v>2.5399999999999999E-2</v>
      </c>
    </row>
    <row r="30" spans="1:6" x14ac:dyDescent="0.25">
      <c r="A30" s="157">
        <v>41852</v>
      </c>
      <c r="B30" s="158">
        <v>3.2000000000000001E-2</v>
      </c>
      <c r="C30" s="158">
        <v>2.9399999999999999E-2</v>
      </c>
      <c r="D30" s="158">
        <v>2.4199999999999999E-2</v>
      </c>
    </row>
    <row r="31" spans="1:6" x14ac:dyDescent="0.25">
      <c r="A31" s="157">
        <v>41883</v>
      </c>
      <c r="B31" s="158">
        <v>3.2599999999999997E-2</v>
      </c>
      <c r="C31" s="158">
        <v>3.0099999999999998E-2</v>
      </c>
      <c r="D31" s="158">
        <v>2.53E-2</v>
      </c>
    </row>
    <row r="32" spans="1:6" x14ac:dyDescent="0.25">
      <c r="A32" s="157">
        <v>41913</v>
      </c>
      <c r="B32" s="158">
        <v>3.04E-2</v>
      </c>
      <c r="C32" s="158">
        <v>2.7699999999999999E-2</v>
      </c>
      <c r="D32" s="158">
        <v>2.3E-2</v>
      </c>
    </row>
    <row r="33" spans="1:6" x14ac:dyDescent="0.25">
      <c r="A33" s="157">
        <v>41944</v>
      </c>
      <c r="B33" s="158">
        <v>3.04E-2</v>
      </c>
      <c r="C33" s="158">
        <v>2.76E-2</v>
      </c>
      <c r="D33" s="158">
        <v>2.3300000000000001E-2</v>
      </c>
    </row>
    <row r="34" spans="1:6" x14ac:dyDescent="0.25">
      <c r="A34" s="157">
        <v>41974</v>
      </c>
      <c r="B34" s="158">
        <v>2.8299999999999999E-2</v>
      </c>
      <c r="C34" s="158">
        <v>2.5499999999999998E-2</v>
      </c>
      <c r="D34" s="158">
        <v>2.2100000000000002E-2</v>
      </c>
      <c r="F34" s="10">
        <f>AVERAGE(B23:B34)</f>
        <v>3.3399999999999999E-2</v>
      </c>
    </row>
    <row r="35" spans="1:6" x14ac:dyDescent="0.25">
      <c r="A35" s="157">
        <v>42005</v>
      </c>
      <c r="B35" s="158">
        <v>2.46E-2</v>
      </c>
      <c r="C35" s="158">
        <v>2.1999999999999999E-2</v>
      </c>
      <c r="D35" s="158">
        <v>1.8800000000000001E-2</v>
      </c>
    </row>
    <row r="36" spans="1:6" x14ac:dyDescent="0.25">
      <c r="A36" s="157">
        <v>42036</v>
      </c>
      <c r="B36" s="158">
        <v>2.5700000000000001E-2</v>
      </c>
      <c r="C36" s="158">
        <v>2.3400000000000001E-2</v>
      </c>
      <c r="D36" s="158">
        <v>1.9800000000000002E-2</v>
      </c>
    </row>
    <row r="37" spans="1:6" x14ac:dyDescent="0.25">
      <c r="A37" s="157">
        <v>42064</v>
      </c>
      <c r="B37" s="158">
        <v>2.63E-2</v>
      </c>
      <c r="C37" s="158">
        <v>2.41E-2</v>
      </c>
      <c r="D37" s="158">
        <v>2.0400000000000001E-2</v>
      </c>
    </row>
    <row r="38" spans="1:6" x14ac:dyDescent="0.25">
      <c r="A38" s="157">
        <v>42095</v>
      </c>
      <c r="B38" s="158">
        <v>2.5899999999999999E-2</v>
      </c>
      <c r="C38" s="158">
        <v>2.3300000000000001E-2</v>
      </c>
      <c r="D38" s="158">
        <v>1.9400000000000001E-2</v>
      </c>
    </row>
    <row r="39" spans="1:6" x14ac:dyDescent="0.25">
      <c r="A39" s="157">
        <v>42125</v>
      </c>
      <c r="B39" s="158">
        <v>2.9600000000000001E-2</v>
      </c>
      <c r="C39" s="158">
        <v>2.69E-2</v>
      </c>
      <c r="D39" s="158">
        <v>2.1999999999999999E-2</v>
      </c>
    </row>
    <row r="40" spans="1:6" x14ac:dyDescent="0.25">
      <c r="A40" s="157">
        <v>42156</v>
      </c>
      <c r="B40" s="158">
        <v>3.1099999999999999E-2</v>
      </c>
      <c r="C40" s="158">
        <v>2.8500000000000001E-2</v>
      </c>
      <c r="D40" s="158">
        <v>2.3599999999999999E-2</v>
      </c>
    </row>
    <row r="41" spans="1:6" x14ac:dyDescent="0.25">
      <c r="A41" s="157">
        <v>42186</v>
      </c>
      <c r="B41" s="158">
        <v>3.0700000000000002E-2</v>
      </c>
      <c r="C41" s="158">
        <v>2.7699999999999999E-2</v>
      </c>
      <c r="D41" s="158">
        <v>2.3199999999999998E-2</v>
      </c>
    </row>
    <row r="42" spans="1:6" x14ac:dyDescent="0.25">
      <c r="A42" s="157">
        <v>42217</v>
      </c>
      <c r="B42" s="158">
        <v>2.86E-2</v>
      </c>
      <c r="C42" s="158">
        <v>2.5499999999999998E-2</v>
      </c>
      <c r="D42" s="158">
        <v>2.1700000000000001E-2</v>
      </c>
    </row>
    <row r="43" spans="1:6" x14ac:dyDescent="0.25">
      <c r="A43" s="157">
        <v>42248</v>
      </c>
      <c r="B43" s="158">
        <v>2.9499999999999998E-2</v>
      </c>
      <c r="C43" s="158">
        <v>2.6200000000000001E-2</v>
      </c>
      <c r="D43" s="158">
        <v>2.1700000000000001E-2</v>
      </c>
    </row>
    <row r="44" spans="1:6" x14ac:dyDescent="0.25">
      <c r="A44" s="157">
        <v>42278</v>
      </c>
      <c r="B44" s="158">
        <v>2.8899999999999999E-2</v>
      </c>
      <c r="C44" s="158">
        <v>2.5000000000000001E-2</v>
      </c>
      <c r="D44" s="158">
        <v>2.07E-2</v>
      </c>
    </row>
    <row r="45" spans="1:6" x14ac:dyDescent="0.25">
      <c r="A45" s="157">
        <v>42309</v>
      </c>
      <c r="B45" s="158">
        <v>3.0300000000000001E-2</v>
      </c>
      <c r="C45" s="158">
        <v>2.69E-2</v>
      </c>
      <c r="D45" s="158">
        <v>2.2599999999999999E-2</v>
      </c>
    </row>
    <row r="46" spans="1:6" x14ac:dyDescent="0.25">
      <c r="A46" s="157">
        <v>42339</v>
      </c>
      <c r="B46" s="158">
        <v>2.9700000000000001E-2</v>
      </c>
      <c r="C46" s="158">
        <v>2.6100000000000002E-2</v>
      </c>
      <c r="D46" s="158">
        <v>2.24E-2</v>
      </c>
      <c r="F46" s="10"/>
    </row>
    <row r="47" spans="1:6" x14ac:dyDescent="0.25">
      <c r="A47" s="157">
        <v>42370</v>
      </c>
      <c r="B47" s="158">
        <v>2.86E-2</v>
      </c>
      <c r="C47" s="158">
        <v>2.4899999999999999E-2</v>
      </c>
      <c r="D47" s="158">
        <v>2.0899999999999998E-2</v>
      </c>
    </row>
    <row r="48" spans="1:6" x14ac:dyDescent="0.25">
      <c r="A48" s="157">
        <v>42401</v>
      </c>
      <c r="B48" s="158">
        <v>2.6200000000000001E-2</v>
      </c>
      <c r="C48" s="158">
        <v>2.1999999999999999E-2</v>
      </c>
      <c r="D48" s="158">
        <v>1.78E-2</v>
      </c>
    </row>
    <row r="49" spans="1:6" x14ac:dyDescent="0.25">
      <c r="A49" s="157">
        <v>42430</v>
      </c>
      <c r="B49" s="158">
        <v>2.6800000000000001E-2</v>
      </c>
      <c r="C49" s="158">
        <v>2.2800000000000001E-2</v>
      </c>
      <c r="D49" s="158">
        <v>1.89E-2</v>
      </c>
    </row>
    <row r="50" spans="1:6" x14ac:dyDescent="0.25">
      <c r="A50" s="157">
        <v>42461</v>
      </c>
      <c r="B50" s="158">
        <v>2.6200000000000001E-2</v>
      </c>
      <c r="C50" s="158">
        <v>2.2100000000000002E-2</v>
      </c>
      <c r="D50" s="158">
        <v>1.8100000000000002E-2</v>
      </c>
    </row>
    <row r="51" spans="1:6" x14ac:dyDescent="0.25">
      <c r="A51" s="157">
        <v>42491</v>
      </c>
      <c r="B51" s="158">
        <v>2.63E-2</v>
      </c>
      <c r="C51" s="158">
        <v>2.2200000000000001E-2</v>
      </c>
      <c r="D51" s="158">
        <v>1.8100000000000002E-2</v>
      </c>
    </row>
    <row r="52" spans="1:6" x14ac:dyDescent="0.25">
      <c r="A52" s="157">
        <v>42522</v>
      </c>
      <c r="B52" s="158">
        <v>2.4500000000000001E-2</v>
      </c>
      <c r="C52" s="158">
        <v>2.0199999999999999E-2</v>
      </c>
      <c r="D52" s="158">
        <v>1.6400000000000001E-2</v>
      </c>
    </row>
    <row r="53" spans="1:6" x14ac:dyDescent="0.25">
      <c r="A53" s="157">
        <v>42552</v>
      </c>
      <c r="B53" s="158">
        <v>2.23E-2</v>
      </c>
      <c r="C53" s="158">
        <v>1.8200000000000001E-2</v>
      </c>
      <c r="D53" s="158">
        <v>1.4999999999999999E-2</v>
      </c>
    </row>
    <row r="54" spans="1:6" x14ac:dyDescent="0.25">
      <c r="A54" s="157">
        <v>42583</v>
      </c>
      <c r="B54" s="158">
        <v>2.2599999999999999E-2</v>
      </c>
      <c r="C54" s="158">
        <v>1.89E-2</v>
      </c>
      <c r="D54" s="158">
        <v>1.5599999999999999E-2</v>
      </c>
    </row>
    <row r="55" spans="1:6" x14ac:dyDescent="0.25">
      <c r="A55" s="157">
        <v>42614</v>
      </c>
      <c r="B55" s="158">
        <v>2.35E-2</v>
      </c>
      <c r="C55" s="158">
        <v>2.0199999999999999E-2</v>
      </c>
      <c r="D55" s="158">
        <v>1.6299999999999999E-2</v>
      </c>
    </row>
    <row r="56" spans="1:6" x14ac:dyDescent="0.25">
      <c r="A56" s="157">
        <v>42644</v>
      </c>
      <c r="B56" s="158">
        <v>2.5000000000000001E-2</v>
      </c>
      <c r="C56" s="158">
        <v>2.1700000000000001E-2</v>
      </c>
      <c r="D56" s="158">
        <v>1.7600000000000001E-2</v>
      </c>
    </row>
    <row r="57" spans="1:6" x14ac:dyDescent="0.25">
      <c r="A57" s="157">
        <v>42675</v>
      </c>
      <c r="B57" s="158">
        <v>2.86E-2</v>
      </c>
      <c r="C57" s="158">
        <v>2.5399999999999999E-2</v>
      </c>
      <c r="D57" s="158">
        <v>2.1399999999999999E-2</v>
      </c>
    </row>
    <row r="58" spans="1:6" x14ac:dyDescent="0.25">
      <c r="A58" s="157">
        <v>42705</v>
      </c>
      <c r="B58" s="158">
        <v>3.1099999999999999E-2</v>
      </c>
      <c r="C58" s="158">
        <v>2.8400000000000002E-2</v>
      </c>
      <c r="D58" s="158">
        <v>2.4899999999999999E-2</v>
      </c>
      <c r="F58" s="10"/>
    </row>
    <row r="59" spans="1:6" x14ac:dyDescent="0.25">
      <c r="A59" s="157">
        <v>42736</v>
      </c>
      <c r="B59" s="158">
        <v>3.0200000000000001E-2</v>
      </c>
      <c r="C59" s="158">
        <v>2.75E-2</v>
      </c>
      <c r="D59" s="158">
        <v>2.4299999999999999E-2</v>
      </c>
      <c r="E59" s="10"/>
    </row>
    <row r="60" spans="1:6" x14ac:dyDescent="0.25">
      <c r="A60" s="157">
        <v>42767</v>
      </c>
      <c r="B60" s="158">
        <v>3.0300000000000001E-2</v>
      </c>
      <c r="C60" s="158">
        <v>2.76E-2</v>
      </c>
      <c r="D60" s="158">
        <v>2.4199999999999999E-2</v>
      </c>
    </row>
    <row r="61" spans="1:6" x14ac:dyDescent="0.25">
      <c r="A61" s="157">
        <v>42795</v>
      </c>
      <c r="B61" s="158">
        <v>3.0800000000000001E-2</v>
      </c>
      <c r="C61" s="158">
        <v>2.8299999999999999E-2</v>
      </c>
      <c r="D61" s="158">
        <v>2.4799999999999999E-2</v>
      </c>
      <c r="F61" s="10"/>
    </row>
    <row r="62" spans="1:6" x14ac:dyDescent="0.25">
      <c r="A62" s="157">
        <v>42826</v>
      </c>
      <c r="B62" s="158">
        <v>2.9399999999999999E-2</v>
      </c>
      <c r="C62" s="158">
        <v>2.6700000000000002E-2</v>
      </c>
      <c r="D62" s="158">
        <v>2.3E-2</v>
      </c>
    </row>
    <row r="63" spans="1:6" x14ac:dyDescent="0.25">
      <c r="A63" s="157">
        <v>42856</v>
      </c>
      <c r="B63" s="158">
        <v>2.9600000000000001E-2</v>
      </c>
      <c r="C63" s="158">
        <v>2.7E-2</v>
      </c>
      <c r="D63" s="158">
        <v>2.3E-2</v>
      </c>
      <c r="F63" s="10"/>
    </row>
    <row r="64" spans="1:6" x14ac:dyDescent="0.25">
      <c r="A64" s="157">
        <v>42887</v>
      </c>
      <c r="B64" s="158">
        <v>2.8000000000000001E-2</v>
      </c>
      <c r="C64" s="158">
        <v>2.5399999999999999E-2</v>
      </c>
      <c r="D64" s="158">
        <v>2.1899999999999999E-2</v>
      </c>
    </row>
    <row r="65" spans="1:6" x14ac:dyDescent="0.25">
      <c r="A65" s="157">
        <v>42917</v>
      </c>
      <c r="B65" s="158">
        <v>2.8799999999999999E-2</v>
      </c>
      <c r="C65" s="158">
        <v>2.6499999999999999E-2</v>
      </c>
      <c r="D65" s="158">
        <v>2.3199999999999998E-2</v>
      </c>
    </row>
    <row r="66" spans="1:6" x14ac:dyDescent="0.25">
      <c r="A66" s="157">
        <v>42948</v>
      </c>
      <c r="B66" s="158">
        <v>2.8000000000000001E-2</v>
      </c>
      <c r="C66" s="158">
        <v>2.5499999999999998E-2</v>
      </c>
      <c r="D66" s="158">
        <v>2.2100000000000002E-2</v>
      </c>
    </row>
    <row r="67" spans="1:6" x14ac:dyDescent="0.25">
      <c r="A67" s="157">
        <v>42979</v>
      </c>
      <c r="B67" s="158">
        <v>2.7799999999999998E-2</v>
      </c>
      <c r="C67" s="158">
        <v>2.53E-2</v>
      </c>
      <c r="D67" s="158">
        <v>2.1999999999999999E-2</v>
      </c>
    </row>
    <row r="68" spans="1:6" x14ac:dyDescent="0.25">
      <c r="A68" s="157">
        <v>43009</v>
      </c>
      <c r="B68" s="158">
        <v>2.8799999999999999E-2</v>
      </c>
      <c r="C68" s="158">
        <v>2.6499999999999999E-2</v>
      </c>
      <c r="D68" s="158">
        <v>2.3599999999999999E-2</v>
      </c>
    </row>
    <row r="69" spans="1:6" x14ac:dyDescent="0.25">
      <c r="A69" s="157">
        <v>43040</v>
      </c>
      <c r="B69" s="158">
        <v>2.8000000000000001E-2</v>
      </c>
      <c r="C69" s="158">
        <v>2.5999999999999999E-2</v>
      </c>
      <c r="D69" s="158">
        <v>2.35E-2</v>
      </c>
    </row>
    <row r="70" spans="1:6" x14ac:dyDescent="0.25">
      <c r="A70" s="157">
        <v>43070</v>
      </c>
      <c r="B70" s="158">
        <v>2.7699999999999999E-2</v>
      </c>
      <c r="C70" s="158">
        <v>2.5999999999999999E-2</v>
      </c>
      <c r="D70" s="158">
        <v>2.4E-2</v>
      </c>
      <c r="F70" s="10"/>
    </row>
    <row r="71" spans="1:6" x14ac:dyDescent="0.25">
      <c r="A71" s="157">
        <v>43101</v>
      </c>
      <c r="B71" s="158">
        <v>2.8799999999999999E-2</v>
      </c>
      <c r="C71" s="158">
        <v>2.7300000000000001E-2</v>
      </c>
      <c r="D71" s="158">
        <v>2.58E-2</v>
      </c>
    </row>
    <row r="72" spans="1:6" x14ac:dyDescent="0.25">
      <c r="A72" s="157">
        <v>43132</v>
      </c>
      <c r="B72" s="158">
        <v>3.1300000000000001E-2</v>
      </c>
      <c r="C72" s="158">
        <v>3.0200000000000001E-2</v>
      </c>
      <c r="D72" s="158">
        <v>2.86E-2</v>
      </c>
    </row>
    <row r="73" spans="1:6" x14ac:dyDescent="0.25">
      <c r="A73" s="157">
        <v>43160</v>
      </c>
      <c r="B73" s="158">
        <v>3.09E-2</v>
      </c>
      <c r="C73" s="158">
        <v>2.9700000000000001E-2</v>
      </c>
      <c r="D73" s="158">
        <v>2.8400000000000002E-2</v>
      </c>
    </row>
    <row r="74" spans="1:6" x14ac:dyDescent="0.25">
      <c r="A74" s="157">
        <v>43191</v>
      </c>
      <c r="B74" s="158">
        <v>3.0700000000000002E-2</v>
      </c>
      <c r="C74" s="158">
        <v>2.9600000000000001E-2</v>
      </c>
      <c r="D74" s="158">
        <v>2.87E-2</v>
      </c>
    </row>
    <row r="75" spans="1:6" x14ac:dyDescent="0.25">
      <c r="A75" s="157">
        <v>43221</v>
      </c>
      <c r="B75" s="158">
        <v>3.1300000000000001E-2</v>
      </c>
      <c r="C75" s="158">
        <v>3.0499999999999999E-2</v>
      </c>
      <c r="D75" s="158">
        <v>2.98E-2</v>
      </c>
    </row>
    <row r="76" spans="1:6" x14ac:dyDescent="0.25">
      <c r="A76" s="157">
        <v>43252</v>
      </c>
      <c r="B76" s="158">
        <v>3.0499999999999999E-2</v>
      </c>
      <c r="C76" s="158">
        <v>2.98E-2</v>
      </c>
      <c r="D76" s="158">
        <v>2.9100000000000001E-2</v>
      </c>
    </row>
    <row r="77" spans="1:6" x14ac:dyDescent="0.25">
      <c r="A77" s="157">
        <v>43282</v>
      </c>
      <c r="B77" s="158">
        <v>3.0099999999999998E-2</v>
      </c>
      <c r="C77" s="158">
        <v>2.9399999999999999E-2</v>
      </c>
      <c r="D77" s="158">
        <v>2.8899999999999999E-2</v>
      </c>
    </row>
    <row r="78" spans="1:6" x14ac:dyDescent="0.25">
      <c r="A78" s="157">
        <v>43313</v>
      </c>
      <c r="B78" s="158">
        <v>3.04E-2</v>
      </c>
      <c r="C78" s="158">
        <v>2.9700000000000001E-2</v>
      </c>
      <c r="D78" s="158">
        <v>2.8899999999999999E-2</v>
      </c>
    </row>
    <row r="79" spans="1:6" x14ac:dyDescent="0.25">
      <c r="A79" s="157">
        <v>43344</v>
      </c>
      <c r="B79" s="158">
        <v>3.15E-2</v>
      </c>
      <c r="C79" s="158">
        <v>3.0800000000000001E-2</v>
      </c>
      <c r="D79" s="158">
        <v>0.03</v>
      </c>
    </row>
    <row r="80" spans="1:6" x14ac:dyDescent="0.25">
      <c r="A80" s="157">
        <v>43374</v>
      </c>
      <c r="B80" s="158">
        <v>3.3399999999999999E-2</v>
      </c>
      <c r="C80" s="158">
        <v>3.27E-2</v>
      </c>
      <c r="D80" s="158">
        <v>3.15E-2</v>
      </c>
    </row>
    <row r="81" spans="1:6" x14ac:dyDescent="0.25">
      <c r="A81" s="157">
        <v>43405</v>
      </c>
      <c r="B81" s="158">
        <v>3.3599999999999998E-2</v>
      </c>
      <c r="C81" s="158">
        <v>3.27E-2</v>
      </c>
      <c r="D81" s="158">
        <v>3.1199999999999999E-2</v>
      </c>
    </row>
    <row r="82" spans="1:6" x14ac:dyDescent="0.25">
      <c r="A82" s="157">
        <v>43435</v>
      </c>
      <c r="B82" s="158">
        <v>3.1E-2</v>
      </c>
      <c r="C82" s="158">
        <v>2.98E-2</v>
      </c>
      <c r="D82" s="158">
        <v>2.8299999999999999E-2</v>
      </c>
      <c r="F82" s="10"/>
    </row>
    <row r="83" spans="1:6" x14ac:dyDescent="0.25">
      <c r="A83" s="157">
        <v>43466</v>
      </c>
      <c r="B83" s="158">
        <v>3.04E-2</v>
      </c>
      <c r="C83" s="158">
        <v>2.8899999999999999E-2</v>
      </c>
      <c r="D83" s="158">
        <v>2.7099999999999999E-2</v>
      </c>
    </row>
    <row r="84" spans="1:6" x14ac:dyDescent="0.25">
      <c r="A84" s="157">
        <v>43497</v>
      </c>
      <c r="B84" s="158">
        <v>3.0200000000000001E-2</v>
      </c>
      <c r="C84" s="158">
        <v>2.87E-2</v>
      </c>
      <c r="D84" s="158">
        <v>2.6800000000000001E-2</v>
      </c>
    </row>
    <row r="85" spans="1:6" x14ac:dyDescent="0.25">
      <c r="A85" s="157">
        <v>43525</v>
      </c>
      <c r="B85" s="158">
        <v>2.98E-2</v>
      </c>
      <c r="C85" s="158">
        <v>2.8000000000000001E-2</v>
      </c>
      <c r="D85" s="158">
        <v>2.5700000000000001E-2</v>
      </c>
    </row>
    <row r="86" spans="1:6" x14ac:dyDescent="0.25">
      <c r="A86" s="157">
        <v>43556</v>
      </c>
      <c r="B86" s="158">
        <v>2.9399999999999999E-2</v>
      </c>
      <c r="C86" s="158">
        <v>2.76E-2</v>
      </c>
      <c r="D86" s="158">
        <v>2.53E-2</v>
      </c>
    </row>
    <row r="87" spans="1:6" x14ac:dyDescent="0.25">
      <c r="A87" s="157">
        <v>43586</v>
      </c>
      <c r="B87" s="158">
        <v>2.8199999999999999E-2</v>
      </c>
      <c r="C87" s="158">
        <v>2.63E-2</v>
      </c>
      <c r="D87" s="158">
        <v>2.4E-2</v>
      </c>
    </row>
    <row r="88" spans="1:6" x14ac:dyDescent="0.25">
      <c r="A88" s="157">
        <v>43617</v>
      </c>
      <c r="B88" s="158">
        <v>2.5700000000000001E-2</v>
      </c>
      <c r="C88" s="158">
        <v>2.3599999999999999E-2</v>
      </c>
      <c r="D88" s="158">
        <v>2.07E-2</v>
      </c>
    </row>
    <row r="89" spans="1:6" x14ac:dyDescent="0.25">
      <c r="A89" s="157">
        <v>43647</v>
      </c>
      <c r="B89" s="158">
        <v>2.5700000000000001E-2</v>
      </c>
      <c r="C89" s="158">
        <v>2.3599999999999999E-2</v>
      </c>
      <c r="D89" s="158">
        <v>2.06E-2</v>
      </c>
    </row>
    <row r="90" spans="1:6" x14ac:dyDescent="0.25">
      <c r="A90" s="157">
        <v>43678</v>
      </c>
      <c r="B90" s="158">
        <v>2.12E-2</v>
      </c>
      <c r="C90" s="158">
        <v>1.9099999999999999E-2</v>
      </c>
      <c r="D90" s="158">
        <v>1.6299999999999999E-2</v>
      </c>
    </row>
    <row r="91" spans="1:6" x14ac:dyDescent="0.25">
      <c r="A91" s="157">
        <v>43709</v>
      </c>
      <c r="B91" s="158">
        <v>2.1600000000000001E-2</v>
      </c>
      <c r="C91" s="158">
        <v>1.9699999999999999E-2</v>
      </c>
      <c r="D91" s="158">
        <v>1.7000000000000001E-2</v>
      </c>
    </row>
    <row r="92" spans="1:6" x14ac:dyDescent="0.25">
      <c r="A92" s="157">
        <v>43739</v>
      </c>
      <c r="B92" s="158">
        <v>2.1899999999999999E-2</v>
      </c>
      <c r="C92" s="158">
        <v>0.02</v>
      </c>
      <c r="D92" s="158">
        <v>1.7100000000000001E-2</v>
      </c>
    </row>
    <row r="93" spans="1:6" x14ac:dyDescent="0.25">
      <c r="A93" s="154" t="s">
        <v>61</v>
      </c>
      <c r="B93" s="155">
        <f>AVERAGE(B11:B92)</f>
        <v>2.9904878048780476E-2</v>
      </c>
      <c r="C93" s="155">
        <f t="shared" ref="C93:D93" si="0">AVERAGE(C11:C92)</f>
        <v>2.7339024390243907E-2</v>
      </c>
      <c r="D93" s="155">
        <f t="shared" si="0"/>
        <v>2.3337804878048776E-2</v>
      </c>
    </row>
    <row r="94" spans="1:6" x14ac:dyDescent="0.25">
      <c r="A94" s="154" t="s">
        <v>62</v>
      </c>
      <c r="B94" s="155">
        <f>AVERAGE(B90:B92)</f>
        <v>2.1566666666666668E-2</v>
      </c>
      <c r="C94" s="155">
        <f t="shared" ref="C94:D94" si="1">AVERAGE(C90:C92)</f>
        <v>1.9600000000000003E-2</v>
      </c>
      <c r="D94" s="155">
        <f t="shared" si="1"/>
        <v>1.6799999999999999E-2</v>
      </c>
    </row>
    <row r="95" spans="1:6" x14ac:dyDescent="0.25">
      <c r="A95" s="154" t="s">
        <v>63</v>
      </c>
      <c r="B95" s="155">
        <f>MIN(B11:B92)</f>
        <v>2.12E-2</v>
      </c>
      <c r="C95" s="155">
        <f t="shared" ref="C95:D95" si="2">MIN(C11:C92)</f>
        <v>1.8200000000000001E-2</v>
      </c>
      <c r="D95" s="155">
        <f t="shared" si="2"/>
        <v>1.4999999999999999E-2</v>
      </c>
    </row>
    <row r="96" spans="1:6" x14ac:dyDescent="0.25">
      <c r="A96" s="154" t="s">
        <v>64</v>
      </c>
      <c r="B96" s="155">
        <f>MAX(B11:B92)</f>
        <v>3.8899999999999997E-2</v>
      </c>
      <c r="C96" s="155">
        <f t="shared" ref="C96:D96" si="3">MAX(C11:C92)</f>
        <v>3.6299999999999999E-2</v>
      </c>
      <c r="D96" s="155">
        <f t="shared" si="3"/>
        <v>3.15E-2</v>
      </c>
    </row>
    <row r="97" spans="1:4" x14ac:dyDescent="0.25">
      <c r="A97" s="221" t="s">
        <v>71</v>
      </c>
      <c r="B97" s="221"/>
      <c r="C97" s="221"/>
      <c r="D97" s="221"/>
    </row>
    <row r="98" spans="1:4" x14ac:dyDescent="0.25">
      <c r="A98" s="34" t="s">
        <v>202</v>
      </c>
      <c r="B98" s="34"/>
      <c r="C98" s="34"/>
      <c r="D98" s="34"/>
    </row>
    <row r="99" spans="1:4" x14ac:dyDescent="0.25">
      <c r="A99" s="169" t="s">
        <v>225</v>
      </c>
      <c r="B99" s="34"/>
      <c r="C99" s="34"/>
      <c r="D99" s="34"/>
    </row>
  </sheetData>
  <mergeCells count="6">
    <mergeCell ref="A97:D97"/>
    <mergeCell ref="A3:D3"/>
    <mergeCell ref="A4:D4"/>
    <mergeCell ref="A5:D5"/>
    <mergeCell ref="A6:D6"/>
    <mergeCell ref="A7:D7"/>
  </mergeCells>
  <phoneticPr fontId="17" type="noConversion"/>
  <hyperlinks>
    <hyperlink ref="A99" r:id="rId1"/>
  </hyperlinks>
  <pageMargins left="0.75" right="0.75" top="1" bottom="0.75" header="0.5" footer="0.5"/>
  <pageSetup scale="42" orientation="portrait" horizontalDpi="4294967292" verticalDpi="4294967292" r:id="rId2"/>
  <headerFooter>
    <oddHeader xml:space="preserve">&amp;R&amp;"Calibri,Regular"&amp;K000000EXHIBIT OCS 3.1S
PAGE  1 OF 1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5.5" customWidth="1"/>
    <col min="2" max="2" width="39.375" customWidth="1"/>
    <col min="3" max="3" width="8.37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18.75" x14ac:dyDescent="0.3">
      <c r="A3" s="3"/>
      <c r="B3" s="223" t="s">
        <v>229</v>
      </c>
      <c r="C3" s="223"/>
      <c r="D3" s="223"/>
      <c r="E3" s="223"/>
      <c r="F3" s="223"/>
      <c r="G3" s="223"/>
      <c r="H3" s="223"/>
    </row>
    <row r="4" spans="1:8" ht="18.75" x14ac:dyDescent="0.3">
      <c r="A4" s="3"/>
      <c r="B4" s="223" t="s">
        <v>250</v>
      </c>
      <c r="C4" s="223"/>
      <c r="D4" s="223"/>
      <c r="E4" s="223"/>
      <c r="F4" s="223"/>
      <c r="G4" s="223"/>
      <c r="H4" s="223"/>
    </row>
    <row r="5" spans="1:8" ht="18.75" x14ac:dyDescent="0.3">
      <c r="A5" s="3"/>
      <c r="B5" s="223" t="s">
        <v>231</v>
      </c>
      <c r="C5" s="223"/>
      <c r="D5" s="223"/>
      <c r="E5" s="223"/>
      <c r="F5" s="223"/>
      <c r="G5" s="223"/>
      <c r="H5" s="223"/>
    </row>
    <row r="6" spans="1:8" ht="18.75" x14ac:dyDescent="0.3">
      <c r="A6" s="3"/>
      <c r="B6" s="223" t="s">
        <v>342</v>
      </c>
      <c r="C6" s="223"/>
      <c r="D6" s="223"/>
      <c r="E6" s="223"/>
      <c r="F6" s="223"/>
      <c r="G6" s="223"/>
      <c r="H6" s="223"/>
    </row>
    <row r="7" spans="1:8" x14ac:dyDescent="0.25">
      <c r="A7" s="3"/>
      <c r="B7" s="115"/>
      <c r="C7" s="115"/>
      <c r="D7" s="115"/>
      <c r="E7" s="115"/>
      <c r="F7" s="115"/>
      <c r="G7" s="115"/>
      <c r="H7" s="115"/>
    </row>
    <row r="8" spans="1:8" x14ac:dyDescent="0.25">
      <c r="A8" s="3"/>
      <c r="B8" s="115"/>
      <c r="C8" s="115"/>
      <c r="D8" s="115" t="s">
        <v>2</v>
      </c>
      <c r="E8" s="115" t="s">
        <v>52</v>
      </c>
      <c r="F8" s="115" t="s">
        <v>53</v>
      </c>
      <c r="G8" s="115" t="s">
        <v>54</v>
      </c>
      <c r="H8" s="115" t="s">
        <v>55</v>
      </c>
    </row>
    <row r="9" spans="1:8" ht="26.25" x14ac:dyDescent="0.25">
      <c r="A9" s="152" t="s">
        <v>0</v>
      </c>
      <c r="B9" s="62" t="s">
        <v>3</v>
      </c>
      <c r="C9" s="62" t="s">
        <v>1</v>
      </c>
      <c r="D9" s="115" t="s">
        <v>5</v>
      </c>
      <c r="E9" s="62" t="s">
        <v>136</v>
      </c>
      <c r="F9" s="62" t="s">
        <v>148</v>
      </c>
      <c r="G9" s="62" t="s">
        <v>153</v>
      </c>
      <c r="H9" s="62" t="s">
        <v>154</v>
      </c>
    </row>
    <row r="10" spans="1:8" x14ac:dyDescent="0.25">
      <c r="A10" s="166">
        <v>1</v>
      </c>
      <c r="B10" s="64" t="s">
        <v>233</v>
      </c>
      <c r="C10" s="64" t="s">
        <v>232</v>
      </c>
      <c r="D10" s="63">
        <f>'COMPARABLE GROUP WP1'!D11</f>
        <v>0.6</v>
      </c>
      <c r="E10" s="60">
        <f>'COMPARABLE GROUP WP1'!E11</f>
        <v>0.65700000000000003</v>
      </c>
      <c r="F10" s="60">
        <f>'COMPARABLE GROUP WP1'!F11</f>
        <v>0.62</v>
      </c>
      <c r="G10" s="60">
        <f>'COMPARABLE GROUP WP1'!G11</f>
        <v>0.63</v>
      </c>
      <c r="H10" s="60">
        <f>'COMPARABLE GROUP WP1'!H11</f>
        <v>0.65</v>
      </c>
    </row>
    <row r="11" spans="1:8" x14ac:dyDescent="0.25">
      <c r="A11" s="166">
        <f>A10+1</f>
        <v>2</v>
      </c>
      <c r="B11" s="56" t="s">
        <v>234</v>
      </c>
      <c r="C11" s="64" t="s">
        <v>235</v>
      </c>
      <c r="D11" s="63"/>
      <c r="E11" s="60"/>
      <c r="F11" s="60"/>
      <c r="G11" s="60"/>
      <c r="H11" s="60"/>
    </row>
    <row r="12" spans="1:8" x14ac:dyDescent="0.25">
      <c r="A12" s="166">
        <f t="shared" ref="A12:A21" si="0">A11+1</f>
        <v>3</v>
      </c>
      <c r="B12" s="64" t="s">
        <v>236</v>
      </c>
      <c r="C12" s="64" t="s">
        <v>237</v>
      </c>
      <c r="D12" s="63">
        <f>'COMPARABLE GROUP WP1'!D13</f>
        <v>0.7</v>
      </c>
      <c r="E12" s="60">
        <f>'COMPARABLE GROUP WP1'!E13</f>
        <v>0.54600000000000004</v>
      </c>
      <c r="F12" s="60">
        <f>'COMPARABLE GROUP WP1'!F13</f>
        <v>0.56499999999999995</v>
      </c>
      <c r="G12" s="60">
        <f>'COMPARABLE GROUP WP1'!G13</f>
        <v>0.57499999999999996</v>
      </c>
      <c r="H12" s="60">
        <f>'COMPARABLE GROUP WP1'!H13</f>
        <v>0.59499999999999997</v>
      </c>
    </row>
    <row r="13" spans="1:8" x14ac:dyDescent="0.25">
      <c r="A13" s="166">
        <f t="shared" si="0"/>
        <v>4</v>
      </c>
      <c r="B13" s="56" t="s">
        <v>238</v>
      </c>
      <c r="C13" s="64" t="s">
        <v>239</v>
      </c>
      <c r="D13" s="63">
        <f>'COMPARABLE GROUP WP1'!D14</f>
        <v>0.6</v>
      </c>
      <c r="E13" s="60">
        <f>'COMPARABLE GROUP WP1'!E14</f>
        <v>0.51900000000000002</v>
      </c>
      <c r="F13" s="60">
        <f>'COMPARABLE GROUP WP1'!F14</f>
        <v>0.52</v>
      </c>
      <c r="G13" s="60">
        <f>'COMPARABLE GROUP WP1'!G14</f>
        <v>0.52</v>
      </c>
      <c r="H13" s="60">
        <f>'COMPARABLE GROUP WP1'!H14</f>
        <v>0.52500000000000002</v>
      </c>
    </row>
    <row r="14" spans="1:8" x14ac:dyDescent="0.25">
      <c r="A14" s="166">
        <f t="shared" si="0"/>
        <v>5</v>
      </c>
      <c r="B14" s="56" t="s">
        <v>240</v>
      </c>
      <c r="C14" s="64" t="s">
        <v>241</v>
      </c>
      <c r="D14" s="63">
        <f>'COMPARABLE GROUP WP1'!D15</f>
        <v>0.65</v>
      </c>
      <c r="E14" s="60">
        <f>'COMPARABLE GROUP WP1'!E15</f>
        <v>0.61399999999999999</v>
      </c>
      <c r="F14" s="60">
        <f>'COMPARABLE GROUP WP1'!F15</f>
        <v>0.62</v>
      </c>
      <c r="G14" s="60">
        <f>'COMPARABLE GROUP WP1'!G15</f>
        <v>0.62</v>
      </c>
      <c r="H14" s="60">
        <f>'COMPARABLE GROUP WP1'!H15</f>
        <v>0.62</v>
      </c>
    </row>
    <row r="15" spans="1:8" x14ac:dyDescent="0.25">
      <c r="A15" s="166">
        <f t="shared" si="0"/>
        <v>6</v>
      </c>
      <c r="B15" s="64" t="s">
        <v>242</v>
      </c>
      <c r="C15" s="64" t="s">
        <v>243</v>
      </c>
      <c r="D15" s="63">
        <f>'COMPARABLE GROUP WP1'!D16</f>
        <v>0.8</v>
      </c>
      <c r="E15" s="60">
        <f>'COMPARABLE GROUP WP1'!E16</f>
        <v>0.376</v>
      </c>
      <c r="F15" s="60">
        <f>'COMPARABLE GROUP WP1'!F16</f>
        <v>0.42</v>
      </c>
      <c r="G15" s="60">
        <f>'COMPARABLE GROUP WP1'!G16</f>
        <v>0.41499999999999998</v>
      </c>
      <c r="H15" s="60">
        <f>'COMPARABLE GROUP WP1'!H16</f>
        <v>0.42</v>
      </c>
    </row>
    <row r="16" spans="1:8" x14ac:dyDescent="0.25">
      <c r="A16" s="166">
        <f t="shared" si="0"/>
        <v>7</v>
      </c>
      <c r="B16" s="64" t="s">
        <v>244</v>
      </c>
      <c r="C16" s="64" t="s">
        <v>245</v>
      </c>
      <c r="D16" s="63">
        <f>'COMPARABLE GROUP WP1'!D17</f>
        <v>0.65</v>
      </c>
      <c r="E16" s="60">
        <f>'COMPARABLE GROUP WP1'!E17</f>
        <v>0.54300000000000004</v>
      </c>
      <c r="F16" s="60">
        <f>'COMPARABLE GROUP WP1'!F17</f>
        <v>0.56000000000000005</v>
      </c>
      <c r="G16" s="60">
        <f>'COMPARABLE GROUP WP1'!G17</f>
        <v>0.57999999999999996</v>
      </c>
      <c r="H16" s="60">
        <f>'COMPARABLE GROUP WP1'!H17</f>
        <v>0.6</v>
      </c>
    </row>
    <row r="17" spans="1:8" x14ac:dyDescent="0.25">
      <c r="A17" s="166">
        <f t="shared" si="0"/>
        <v>8</v>
      </c>
      <c r="B17" s="64" t="s">
        <v>246</v>
      </c>
      <c r="C17" s="64" t="s">
        <v>247</v>
      </c>
      <c r="D17" s="63">
        <f>'COMPARABLE GROUP WP1'!D18</f>
        <v>0.7</v>
      </c>
      <c r="E17" s="60">
        <f>'COMPARABLE GROUP WP1'!E18</f>
        <v>0.51700000000000002</v>
      </c>
      <c r="F17" s="60">
        <f>'COMPARABLE GROUP WP1'!F18</f>
        <v>0.5</v>
      </c>
      <c r="G17" s="60">
        <f>'COMPARABLE GROUP WP1'!G18</f>
        <v>0.51500000000000001</v>
      </c>
      <c r="H17" s="60">
        <f>'COMPARABLE GROUP WP1'!H18</f>
        <v>0.54</v>
      </c>
    </row>
    <row r="18" spans="1:8" x14ac:dyDescent="0.25">
      <c r="A18" s="166">
        <f t="shared" si="0"/>
        <v>9</v>
      </c>
      <c r="B18" s="56" t="s">
        <v>132</v>
      </c>
      <c r="C18" s="56"/>
      <c r="D18" s="65">
        <f>AVERAGE(D10:D17)</f>
        <v>0.67142857142857137</v>
      </c>
      <c r="E18" s="60">
        <f>AVERAGE(E10:E17)</f>
        <v>0.53885714285714281</v>
      </c>
      <c r="F18" s="60">
        <f t="shared" ref="F18:H18" si="1">AVERAGE(F10:F17)</f>
        <v>0.54357142857142859</v>
      </c>
      <c r="G18" s="60">
        <f t="shared" si="1"/>
        <v>0.55071428571428582</v>
      </c>
      <c r="H18" s="60">
        <f t="shared" si="1"/>
        <v>0.56428571428571428</v>
      </c>
    </row>
    <row r="19" spans="1:8" x14ac:dyDescent="0.25">
      <c r="A19" s="166">
        <f t="shared" si="0"/>
        <v>10</v>
      </c>
      <c r="B19" s="56" t="s">
        <v>91</v>
      </c>
      <c r="C19" s="56"/>
      <c r="D19" s="65">
        <f>MEDIAN(D10:D17)</f>
        <v>0.65</v>
      </c>
      <c r="E19" s="60">
        <f>MEDIAN(E10:E17)</f>
        <v>0.54300000000000004</v>
      </c>
      <c r="F19" s="60">
        <f t="shared" ref="F19:H19" si="2">MEDIAN(F10:F17)</f>
        <v>0.56000000000000005</v>
      </c>
      <c r="G19" s="60">
        <f t="shared" si="2"/>
        <v>0.57499999999999996</v>
      </c>
      <c r="H19" s="60">
        <f t="shared" si="2"/>
        <v>0.59499999999999997</v>
      </c>
    </row>
    <row r="20" spans="1:8" x14ac:dyDescent="0.25">
      <c r="A20" s="166">
        <f t="shared" si="0"/>
        <v>11</v>
      </c>
      <c r="B20" s="56"/>
      <c r="C20" s="56"/>
      <c r="D20" s="63"/>
      <c r="E20" s="60"/>
      <c r="F20" s="60"/>
      <c r="G20" s="60"/>
      <c r="H20" s="60"/>
    </row>
    <row r="21" spans="1:8" ht="18.75" x14ac:dyDescent="0.3">
      <c r="A21" s="166">
        <f t="shared" si="0"/>
        <v>12</v>
      </c>
      <c r="B21" s="203" t="s">
        <v>229</v>
      </c>
      <c r="C21" s="77"/>
      <c r="D21" s="63"/>
      <c r="E21" s="60"/>
      <c r="F21" s="60"/>
      <c r="G21" s="74">
        <v>0.55000000000000004</v>
      </c>
      <c r="H21" s="60"/>
    </row>
    <row r="22" spans="1:8" x14ac:dyDescent="0.25">
      <c r="B22" s="34" t="s">
        <v>71</v>
      </c>
      <c r="D22" s="8"/>
      <c r="E22" s="7"/>
      <c r="F22" s="7"/>
      <c r="G22" s="7"/>
      <c r="H22" s="7"/>
    </row>
    <row r="23" spans="1:8" x14ac:dyDescent="0.25">
      <c r="B23" s="34" t="s">
        <v>325</v>
      </c>
      <c r="D23" s="8"/>
      <c r="E23" s="7"/>
      <c r="F23" s="7"/>
      <c r="G23" s="7"/>
      <c r="H23" s="7"/>
    </row>
    <row r="24" spans="1:8" x14ac:dyDescent="0.25">
      <c r="B24" s="34"/>
    </row>
    <row r="25" spans="1:8" x14ac:dyDescent="0.25">
      <c r="B25" s="34"/>
    </row>
  </sheetData>
  <mergeCells count="4">
    <mergeCell ref="B3:H3"/>
    <mergeCell ref="B4:H4"/>
    <mergeCell ref="B5:H5"/>
    <mergeCell ref="B6:H6"/>
  </mergeCells>
  <phoneticPr fontId="17" type="noConversion"/>
  <pageMargins left="0.75" right="0.75" top="1" bottom="1" header="0.5" footer="0.5"/>
  <pageSetup orientation="landscape" horizontalDpi="4294967292" verticalDpi="4294967292" r:id="rId1"/>
  <headerFooter>
    <oddHeader>&amp;R&amp;"Calibri,Regular"&amp;K000000EXHIBIT OCS 3.2S
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31"/>
  <sheetViews>
    <sheetView view="pageLayout" topLeftCell="A4" zoomScaleNormal="100" workbookViewId="0">
      <selection activeCell="A8" sqref="A8"/>
    </sheetView>
  </sheetViews>
  <sheetFormatPr defaultColWidth="11" defaultRowHeight="15.75" x14ac:dyDescent="0.25"/>
  <cols>
    <col min="1" max="1" width="4.875" customWidth="1"/>
    <col min="2" max="2" width="30.625" customWidth="1"/>
    <col min="9" max="9" width="12.375" customWidth="1"/>
    <col min="10" max="10" width="9.625" customWidth="1"/>
  </cols>
  <sheetData>
    <row r="6" spans="1:22" ht="21" x14ac:dyDescent="0.35">
      <c r="A6" s="115"/>
      <c r="B6" s="225" t="s">
        <v>229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7"/>
      <c r="S6" s="27"/>
      <c r="T6" s="27"/>
      <c r="U6" s="27"/>
      <c r="V6" s="27"/>
    </row>
    <row r="7" spans="1:22" ht="21" x14ac:dyDescent="0.35">
      <c r="A7" s="115"/>
      <c r="B7" s="225" t="s">
        <v>254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7"/>
      <c r="S7" s="27"/>
      <c r="T7" s="27"/>
      <c r="U7" s="27"/>
      <c r="V7" s="27"/>
    </row>
    <row r="8" spans="1:22" ht="21" x14ac:dyDescent="0.35">
      <c r="A8" s="115"/>
      <c r="B8" s="225" t="s">
        <v>231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7"/>
      <c r="S8" s="27"/>
      <c r="T8" s="27"/>
      <c r="U8" s="27"/>
      <c r="V8" s="27"/>
    </row>
    <row r="9" spans="1:22" ht="20.100000000000001" customHeight="1" x14ac:dyDescent="0.35">
      <c r="A9" s="115"/>
      <c r="B9" s="224" t="s">
        <v>341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3"/>
      <c r="S9" s="3"/>
      <c r="T9" s="3"/>
      <c r="U9" s="3"/>
      <c r="V9" s="3"/>
    </row>
    <row r="10" spans="1:22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212"/>
      <c r="K10" s="115"/>
      <c r="L10" s="115"/>
      <c r="M10" s="115"/>
      <c r="N10" s="115"/>
      <c r="O10" s="115"/>
      <c r="P10" s="115"/>
      <c r="Q10" s="115"/>
      <c r="R10" s="3"/>
      <c r="S10" s="3"/>
      <c r="T10" s="3"/>
      <c r="U10" s="3"/>
      <c r="V10" s="3"/>
    </row>
    <row r="11" spans="1:22" x14ac:dyDescent="0.25">
      <c r="A11" s="115"/>
      <c r="B11" s="115"/>
      <c r="C11" s="115"/>
      <c r="D11" s="115" t="s">
        <v>2</v>
      </c>
      <c r="E11" s="115" t="s">
        <v>52</v>
      </c>
      <c r="F11" s="115" t="s">
        <v>53</v>
      </c>
      <c r="G11" s="115" t="s">
        <v>54</v>
      </c>
      <c r="H11" s="115" t="s">
        <v>55</v>
      </c>
      <c r="I11" s="115" t="s">
        <v>56</v>
      </c>
      <c r="J11" s="212" t="s">
        <v>356</v>
      </c>
      <c r="K11" s="115" t="s">
        <v>68</v>
      </c>
      <c r="L11" s="115" t="s">
        <v>69</v>
      </c>
      <c r="M11" s="115" t="s">
        <v>70</v>
      </c>
      <c r="N11" s="115" t="s">
        <v>109</v>
      </c>
      <c r="O11" s="115" t="s">
        <v>110</v>
      </c>
      <c r="P11" s="115" t="s">
        <v>111</v>
      </c>
      <c r="Q11" s="115" t="s">
        <v>112</v>
      </c>
      <c r="R11" s="3"/>
      <c r="S11" s="3"/>
      <c r="T11" s="3"/>
      <c r="U11" s="3"/>
      <c r="V11" s="3"/>
    </row>
    <row r="12" spans="1:22" ht="26.25" x14ac:dyDescent="0.25">
      <c r="A12" s="62" t="s">
        <v>0</v>
      </c>
      <c r="B12" s="62" t="s">
        <v>7</v>
      </c>
      <c r="C12" s="62" t="s">
        <v>1</v>
      </c>
      <c r="D12" s="117" t="s">
        <v>170</v>
      </c>
      <c r="E12" s="117" t="s">
        <v>251</v>
      </c>
      <c r="F12" s="117" t="s">
        <v>171</v>
      </c>
      <c r="G12" s="117">
        <v>43647</v>
      </c>
      <c r="H12" s="117" t="s">
        <v>252</v>
      </c>
      <c r="I12" s="117" t="s">
        <v>253</v>
      </c>
      <c r="J12" s="117" t="s">
        <v>332</v>
      </c>
      <c r="K12" s="47" t="s">
        <v>333</v>
      </c>
      <c r="L12" s="47" t="s">
        <v>119</v>
      </c>
      <c r="M12" s="47" t="s">
        <v>121</v>
      </c>
      <c r="N12" s="118" t="s">
        <v>122</v>
      </c>
      <c r="O12" s="47" t="s">
        <v>123</v>
      </c>
      <c r="P12" s="119" t="s">
        <v>38</v>
      </c>
      <c r="Q12" s="119" t="s">
        <v>8</v>
      </c>
      <c r="R12" s="3"/>
      <c r="S12" s="3" t="s">
        <v>282</v>
      </c>
      <c r="T12" s="3" t="s">
        <v>283</v>
      </c>
      <c r="U12" s="3"/>
      <c r="V12" s="3"/>
    </row>
    <row r="13" spans="1:22" x14ac:dyDescent="0.25">
      <c r="A13" s="64">
        <v>1</v>
      </c>
      <c r="B13" s="64" t="s">
        <v>233</v>
      </c>
      <c r="C13" s="64" t="s">
        <v>232</v>
      </c>
      <c r="D13" s="120">
        <v>101.34</v>
      </c>
      <c r="E13" s="120">
        <v>100.8</v>
      </c>
      <c r="F13" s="120">
        <v>105.06</v>
      </c>
      <c r="G13" s="120">
        <v>108.53</v>
      </c>
      <c r="H13" s="120">
        <v>109.71</v>
      </c>
      <c r="I13" s="120">
        <v>114.05</v>
      </c>
      <c r="J13" s="120">
        <v>106.75</v>
      </c>
      <c r="K13" s="120">
        <f>AVERAGE(D13:J13)</f>
        <v>106.60571428571428</v>
      </c>
      <c r="L13" s="120">
        <f>AVERAGE(H13:J13)</f>
        <v>110.17</v>
      </c>
      <c r="M13" s="120">
        <v>111.58</v>
      </c>
      <c r="N13" s="120">
        <v>87.88</v>
      </c>
      <c r="O13" s="120">
        <f>(M13+N13)/2</f>
        <v>99.72999999999999</v>
      </c>
      <c r="P13" s="120">
        <f>'GROUP DATA WP 3'!I12</f>
        <v>2.2999999999999998</v>
      </c>
      <c r="Q13" s="60">
        <f>P13/L13</f>
        <v>2.0876826722338204E-2</v>
      </c>
      <c r="S13">
        <v>0.52500000000000002</v>
      </c>
      <c r="T13" s="8">
        <f>4*S13</f>
        <v>2.1</v>
      </c>
    </row>
    <row r="14" spans="1:22" x14ac:dyDescent="0.25">
      <c r="A14" s="64">
        <f>A13+1</f>
        <v>2</v>
      </c>
      <c r="B14" s="56" t="s">
        <v>234</v>
      </c>
      <c r="C14" s="64" t="s">
        <v>235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60"/>
      <c r="S14">
        <v>0.40500000000000003</v>
      </c>
      <c r="T14" s="8">
        <f t="shared" ref="T14:T22" si="0">4*S14</f>
        <v>1.62</v>
      </c>
    </row>
    <row r="15" spans="1:22" x14ac:dyDescent="0.25">
      <c r="A15" s="64">
        <f t="shared" ref="A15:A22" si="1">A14+1</f>
        <v>3</v>
      </c>
      <c r="B15" s="64" t="s">
        <v>236</v>
      </c>
      <c r="C15" s="64" t="s">
        <v>237</v>
      </c>
      <c r="D15" s="120">
        <v>46.84</v>
      </c>
      <c r="E15" s="120">
        <v>49.13</v>
      </c>
      <c r="F15" s="120">
        <v>49.52</v>
      </c>
      <c r="G15" s="120">
        <v>45.42</v>
      </c>
      <c r="H15" s="120">
        <v>44.7</v>
      </c>
      <c r="I15" s="120">
        <v>45.01</v>
      </c>
      <c r="J15" s="120">
        <v>42.78</v>
      </c>
      <c r="K15" s="120">
        <f t="shared" ref="K15:K20" si="2">AVERAGE(D15:J15)</f>
        <v>46.199999999999996</v>
      </c>
      <c r="L15" s="120">
        <f t="shared" ref="L15:L20" si="3">AVERAGE(H15:J15)</f>
        <v>44.163333333333334</v>
      </c>
      <c r="M15" s="120">
        <v>51.83</v>
      </c>
      <c r="N15" s="120">
        <v>43.51</v>
      </c>
      <c r="O15" s="120">
        <f t="shared" ref="O15:O20" si="4">(M15+N15)/2</f>
        <v>47.67</v>
      </c>
      <c r="P15" s="120">
        <f>T15</f>
        <v>1.252</v>
      </c>
      <c r="Q15" s="60">
        <f t="shared" ref="Q15:Q19" si="5">P15/L15</f>
        <v>2.8349309381840139E-2</v>
      </c>
      <c r="S15">
        <v>0.313</v>
      </c>
      <c r="T15" s="8">
        <f t="shared" si="0"/>
        <v>1.252</v>
      </c>
    </row>
    <row r="16" spans="1:22" x14ac:dyDescent="0.25">
      <c r="A16" s="64">
        <f t="shared" si="1"/>
        <v>4</v>
      </c>
      <c r="B16" s="56" t="s">
        <v>238</v>
      </c>
      <c r="C16" s="64" t="s">
        <v>239</v>
      </c>
      <c r="D16" s="120">
        <v>68.37</v>
      </c>
      <c r="E16" s="120">
        <v>69.040000000000006</v>
      </c>
      <c r="F16" s="120">
        <v>70.95</v>
      </c>
      <c r="G16" s="120">
        <v>71.36</v>
      </c>
      <c r="H16" s="120">
        <v>71.33</v>
      </c>
      <c r="I16" s="120">
        <v>71.33</v>
      </c>
      <c r="J16" s="120">
        <v>67.040000000000006</v>
      </c>
      <c r="K16" s="120">
        <f t="shared" si="2"/>
        <v>69.917142857142863</v>
      </c>
      <c r="L16" s="120">
        <f t="shared" si="3"/>
        <v>69.899999999999991</v>
      </c>
      <c r="M16" s="120">
        <v>73.5</v>
      </c>
      <c r="N16" s="120">
        <v>57.2</v>
      </c>
      <c r="O16" s="120">
        <f t="shared" si="4"/>
        <v>65.349999999999994</v>
      </c>
      <c r="P16" s="120">
        <f>'GROUP DATA WP 3'!I15</f>
        <v>1.91</v>
      </c>
      <c r="Q16" s="60">
        <f t="shared" si="5"/>
        <v>2.732474964234621E-2</v>
      </c>
      <c r="S16">
        <v>0.47499999999999998</v>
      </c>
      <c r="T16" s="8">
        <f t="shared" si="0"/>
        <v>1.9</v>
      </c>
    </row>
    <row r="17" spans="1:20" x14ac:dyDescent="0.25">
      <c r="A17" s="64">
        <f t="shared" si="1"/>
        <v>5</v>
      </c>
      <c r="B17" s="56" t="s">
        <v>240</v>
      </c>
      <c r="C17" s="64" t="s">
        <v>241</v>
      </c>
      <c r="D17" s="120">
        <v>86.58</v>
      </c>
      <c r="E17" s="120">
        <v>89.8</v>
      </c>
      <c r="F17" s="120">
        <v>90.68</v>
      </c>
      <c r="G17" s="120">
        <v>91.1</v>
      </c>
      <c r="H17" s="120">
        <v>95.25</v>
      </c>
      <c r="I17" s="120">
        <v>95.25</v>
      </c>
      <c r="J17" s="120">
        <v>87.3</v>
      </c>
      <c r="K17" s="120">
        <f t="shared" si="2"/>
        <v>90.851428571428556</v>
      </c>
      <c r="L17" s="120">
        <f t="shared" si="3"/>
        <v>92.600000000000009</v>
      </c>
      <c r="M17" s="120">
        <v>93.04</v>
      </c>
      <c r="N17" s="120">
        <v>75.510000000000005</v>
      </c>
      <c r="O17" s="120">
        <f t="shared" si="4"/>
        <v>84.275000000000006</v>
      </c>
      <c r="P17" s="120">
        <f>'GROUP DATA WP 3'!I16</f>
        <v>2</v>
      </c>
      <c r="Q17" s="60">
        <f t="shared" si="5"/>
        <v>2.159827213822894E-2</v>
      </c>
      <c r="S17">
        <v>0.5</v>
      </c>
      <c r="T17" s="8">
        <f t="shared" si="0"/>
        <v>2</v>
      </c>
    </row>
    <row r="18" spans="1:20" x14ac:dyDescent="0.25">
      <c r="A18" s="64">
        <f t="shared" si="1"/>
        <v>6</v>
      </c>
      <c r="B18" s="64" t="s">
        <v>242</v>
      </c>
      <c r="C18" s="64" t="s">
        <v>243</v>
      </c>
      <c r="D18" s="120">
        <v>30.99</v>
      </c>
      <c r="E18" s="120">
        <v>33.14</v>
      </c>
      <c r="F18" s="120">
        <v>33.75</v>
      </c>
      <c r="G18" s="120">
        <v>32.06</v>
      </c>
      <c r="H18" s="120">
        <v>32.21</v>
      </c>
      <c r="I18" s="120">
        <v>32.5</v>
      </c>
      <c r="J18" s="120">
        <v>30.55</v>
      </c>
      <c r="K18" s="120">
        <f t="shared" si="2"/>
        <v>32.171428571428571</v>
      </c>
      <c r="L18" s="120">
        <f t="shared" si="3"/>
        <v>31.753333333333334</v>
      </c>
      <c r="M18" s="120">
        <v>36.72</v>
      </c>
      <c r="N18" s="120">
        <v>26.06</v>
      </c>
      <c r="O18" s="120">
        <f t="shared" si="4"/>
        <v>31.39</v>
      </c>
      <c r="P18" s="120">
        <f>'GROUP DATA WP 3'!I17</f>
        <v>1.1519999999999999</v>
      </c>
      <c r="Q18" s="60">
        <f t="shared" si="5"/>
        <v>3.6279655679193785E-2</v>
      </c>
      <c r="S18">
        <v>0.28799999999999998</v>
      </c>
      <c r="T18" s="8">
        <f t="shared" si="0"/>
        <v>1.1519999999999999</v>
      </c>
    </row>
    <row r="19" spans="1:20" x14ac:dyDescent="0.25">
      <c r="A19" s="64">
        <f t="shared" si="1"/>
        <v>7</v>
      </c>
      <c r="B19" s="64" t="s">
        <v>244</v>
      </c>
      <c r="C19" s="64" t="s">
        <v>245</v>
      </c>
      <c r="D19" s="120">
        <v>82.16</v>
      </c>
      <c r="E19" s="120">
        <v>82.75</v>
      </c>
      <c r="F19" s="120">
        <v>81.83</v>
      </c>
      <c r="G19" s="120">
        <v>84.3</v>
      </c>
      <c r="H19" s="120">
        <v>85.97</v>
      </c>
      <c r="I19" s="120">
        <v>86.58</v>
      </c>
      <c r="J19" s="120">
        <v>77.09</v>
      </c>
      <c r="K19" s="120">
        <f t="shared" si="2"/>
        <v>82.954285714285703</v>
      </c>
      <c r="L19" s="120">
        <f t="shared" si="3"/>
        <v>83.213333333333338</v>
      </c>
      <c r="M19" s="120">
        <v>87.13</v>
      </c>
      <c r="N19" s="120">
        <v>70.53</v>
      </c>
      <c r="O19" s="120">
        <f t="shared" si="4"/>
        <v>78.83</v>
      </c>
      <c r="P19" s="120">
        <f>'GROUP DATA WP 3'!I18</f>
        <v>2.37</v>
      </c>
      <c r="Q19" s="60">
        <f t="shared" si="5"/>
        <v>2.8481012658227847E-2</v>
      </c>
      <c r="S19">
        <v>0.59299999999999997</v>
      </c>
      <c r="T19" s="8">
        <f t="shared" si="0"/>
        <v>2.3719999999999999</v>
      </c>
    </row>
    <row r="20" spans="1:20" x14ac:dyDescent="0.25">
      <c r="A20" s="64">
        <f t="shared" si="1"/>
        <v>8</v>
      </c>
      <c r="B20" s="64" t="s">
        <v>246</v>
      </c>
      <c r="C20" s="64" t="s">
        <v>247</v>
      </c>
      <c r="D20" s="120">
        <v>84.07</v>
      </c>
      <c r="E20" s="120">
        <v>89.07</v>
      </c>
      <c r="F20" s="120">
        <v>88.37</v>
      </c>
      <c r="G20" s="120">
        <v>90.67</v>
      </c>
      <c r="H20" s="120">
        <v>90</v>
      </c>
      <c r="I20" s="120">
        <v>90</v>
      </c>
      <c r="J20" s="120">
        <v>75.36</v>
      </c>
      <c r="K20" s="120">
        <f t="shared" si="2"/>
        <v>86.791428571428582</v>
      </c>
      <c r="L20" s="120">
        <f t="shared" si="3"/>
        <v>85.12</v>
      </c>
      <c r="M20" s="120">
        <v>92.31</v>
      </c>
      <c r="N20" s="120">
        <v>72.680000000000007</v>
      </c>
      <c r="O20" s="120">
        <f t="shared" si="4"/>
        <v>82.495000000000005</v>
      </c>
      <c r="P20" s="120">
        <f>'GROUP DATA WP 3'!I19</f>
        <v>2.1800000000000002</v>
      </c>
      <c r="Q20" s="60">
        <f t="shared" ref="Q20" si="6">P20/L20</f>
        <v>2.5610902255639098E-2</v>
      </c>
      <c r="S20">
        <v>0.54500000000000004</v>
      </c>
      <c r="T20" s="8">
        <f t="shared" si="0"/>
        <v>2.1800000000000002</v>
      </c>
    </row>
    <row r="21" spans="1:20" x14ac:dyDescent="0.25">
      <c r="A21" s="64">
        <f t="shared" si="1"/>
        <v>9</v>
      </c>
      <c r="B21" s="56" t="s">
        <v>132</v>
      </c>
      <c r="C21" s="56"/>
      <c r="D21" s="120">
        <f>AVERAGE(D13:D20)</f>
        <v>71.478571428571428</v>
      </c>
      <c r="E21" s="120">
        <f t="shared" ref="E21:Q21" si="7">AVERAGE(E13:E20)</f>
        <v>73.39</v>
      </c>
      <c r="F21" s="120">
        <f t="shared" si="7"/>
        <v>74.30857142857144</v>
      </c>
      <c r="G21" s="120">
        <f t="shared" si="7"/>
        <v>74.777142857142849</v>
      </c>
      <c r="H21" s="120">
        <f t="shared" si="7"/>
        <v>75.59571428571428</v>
      </c>
      <c r="I21" s="120">
        <f t="shared" si="7"/>
        <v>76.388571428571439</v>
      </c>
      <c r="J21" s="120">
        <f t="shared" ref="J21" si="8">AVERAGE(J13:J20)</f>
        <v>69.55285714285715</v>
      </c>
      <c r="K21" s="120">
        <f>AVERAGE(K13:K20)</f>
        <v>73.641632653061222</v>
      </c>
      <c r="L21" s="120">
        <f t="shared" si="7"/>
        <v>73.845714285714294</v>
      </c>
      <c r="M21" s="120">
        <f t="shared" si="7"/>
        <v>78.015714285714267</v>
      </c>
      <c r="N21" s="120">
        <f t="shared" si="7"/>
        <v>61.909999999999989</v>
      </c>
      <c r="O21" s="120">
        <f t="shared" si="7"/>
        <v>69.962857142857132</v>
      </c>
      <c r="P21" s="120">
        <f t="shared" si="7"/>
        <v>1.8805714285714283</v>
      </c>
      <c r="Q21" s="60">
        <f t="shared" si="7"/>
        <v>2.6931532639687752E-2</v>
      </c>
      <c r="S21" s="204">
        <f>AVERAGE(S13:S20)</f>
        <v>0.45549999999999996</v>
      </c>
      <c r="T21" s="8">
        <f t="shared" si="0"/>
        <v>1.8219999999999998</v>
      </c>
    </row>
    <row r="22" spans="1:20" x14ac:dyDescent="0.25">
      <c r="A22" s="64">
        <f t="shared" si="1"/>
        <v>10</v>
      </c>
      <c r="B22" s="56" t="s">
        <v>91</v>
      </c>
      <c r="C22" s="56"/>
      <c r="D22" s="121">
        <f>MEDIAN(D13:D20)</f>
        <v>82.16</v>
      </c>
      <c r="E22" s="121">
        <f t="shared" ref="E22:Q22" si="9">MEDIAN(E13:E20)</f>
        <v>82.75</v>
      </c>
      <c r="F22" s="121">
        <f t="shared" si="9"/>
        <v>81.83</v>
      </c>
      <c r="G22" s="121">
        <f t="shared" si="9"/>
        <v>84.3</v>
      </c>
      <c r="H22" s="121">
        <f t="shared" si="9"/>
        <v>85.97</v>
      </c>
      <c r="I22" s="121">
        <f t="shared" si="9"/>
        <v>86.58</v>
      </c>
      <c r="J22" s="121">
        <f t="shared" ref="J22" si="10">MEDIAN(J13:J20)</f>
        <v>75.36</v>
      </c>
      <c r="K22" s="121">
        <f t="shared" si="9"/>
        <v>82.954285714285703</v>
      </c>
      <c r="L22" s="121">
        <f t="shared" si="9"/>
        <v>83.213333333333338</v>
      </c>
      <c r="M22" s="121">
        <f t="shared" si="9"/>
        <v>87.13</v>
      </c>
      <c r="N22" s="121">
        <f t="shared" si="9"/>
        <v>70.53</v>
      </c>
      <c r="O22" s="121">
        <f t="shared" si="9"/>
        <v>78.83</v>
      </c>
      <c r="P22" s="121">
        <f t="shared" si="9"/>
        <v>2</v>
      </c>
      <c r="Q22" s="74">
        <f t="shared" si="9"/>
        <v>2.732474964234621E-2</v>
      </c>
      <c r="T22" s="8">
        <f t="shared" si="0"/>
        <v>0</v>
      </c>
    </row>
    <row r="23" spans="1:20" x14ac:dyDescent="0.25">
      <c r="B23" s="34" t="s">
        <v>71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20" x14ac:dyDescent="0.25">
      <c r="B24" s="34" t="s">
        <v>357</v>
      </c>
    </row>
    <row r="25" spans="1:20" x14ac:dyDescent="0.25">
      <c r="B25" s="151" t="s">
        <v>182</v>
      </c>
    </row>
    <row r="26" spans="1:20" x14ac:dyDescent="0.25">
      <c r="B26" s="34" t="s">
        <v>256</v>
      </c>
    </row>
    <row r="27" spans="1:20" x14ac:dyDescent="0.25">
      <c r="B27" s="34" t="s">
        <v>183</v>
      </c>
    </row>
    <row r="28" spans="1:20" x14ac:dyDescent="0.25">
      <c r="B28" s="34"/>
    </row>
    <row r="29" spans="1:20" x14ac:dyDescent="0.25">
      <c r="B29" s="114"/>
    </row>
    <row r="30" spans="1:20" x14ac:dyDescent="0.25">
      <c r="B30" s="114"/>
    </row>
    <row r="31" spans="1:20" x14ac:dyDescent="0.25">
      <c r="B31" s="114"/>
    </row>
  </sheetData>
  <mergeCells count="4">
    <mergeCell ref="B9:Q9"/>
    <mergeCell ref="B6:Q6"/>
    <mergeCell ref="B7:Q7"/>
    <mergeCell ref="B8:Q8"/>
  </mergeCells>
  <phoneticPr fontId="17" type="noConversion"/>
  <pageMargins left="0.75" right="0.75" top="1" bottom="1" header="0.5" footer="0.5"/>
  <pageSetup scale="55" orientation="landscape" horizontalDpi="4294967292" verticalDpi="4294967292" r:id="rId1"/>
  <headerFooter>
    <oddHeader>&amp;R&amp;"Calibri,Regular"&amp;K000000EXHIBIT OCS 3.3S
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Layout" zoomScaleNormal="100" workbookViewId="0">
      <selection activeCell="A8" sqref="A8"/>
    </sheetView>
  </sheetViews>
  <sheetFormatPr defaultColWidth="11" defaultRowHeight="15.75" x14ac:dyDescent="0.25"/>
  <cols>
    <col min="1" max="1" width="4.875" customWidth="1"/>
    <col min="2" max="2" width="31.875" customWidth="1"/>
    <col min="11" max="11" width="1.6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20.100000000000001" customHeight="1" x14ac:dyDescent="0.35">
      <c r="A3" s="115"/>
      <c r="B3" s="224" t="s">
        <v>229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ht="20.100000000000001" customHeight="1" x14ac:dyDescent="0.35">
      <c r="A4" s="115"/>
      <c r="B4" s="224" t="s">
        <v>250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17" ht="20.100000000000001" customHeight="1" x14ac:dyDescent="0.35">
      <c r="A5" s="115"/>
      <c r="B5" s="224" t="s">
        <v>231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ht="21" x14ac:dyDescent="0.35">
      <c r="A6" s="115"/>
      <c r="B6" s="224" t="s">
        <v>340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56"/>
      <c r="Q7" s="56"/>
    </row>
    <row r="8" spans="1:17" ht="21" x14ac:dyDescent="0.35">
      <c r="A8" s="115"/>
      <c r="B8" s="115"/>
      <c r="C8" s="115"/>
      <c r="D8" s="129" t="s">
        <v>2</v>
      </c>
      <c r="E8" s="129" t="s">
        <v>52</v>
      </c>
      <c r="F8" s="129" t="s">
        <v>53</v>
      </c>
      <c r="G8" s="129" t="s">
        <v>54</v>
      </c>
      <c r="H8" s="129" t="s">
        <v>55</v>
      </c>
      <c r="I8" s="129" t="s">
        <v>56</v>
      </c>
      <c r="J8" s="129" t="s">
        <v>68</v>
      </c>
      <c r="K8" s="129"/>
      <c r="L8" s="129" t="s">
        <v>69</v>
      </c>
      <c r="M8" s="129" t="s">
        <v>70</v>
      </c>
      <c r="N8" s="129" t="s">
        <v>109</v>
      </c>
      <c r="O8" s="129" t="s">
        <v>110</v>
      </c>
      <c r="P8" s="129" t="s">
        <v>111</v>
      </c>
      <c r="Q8" s="129" t="s">
        <v>112</v>
      </c>
    </row>
    <row r="9" spans="1:17" x14ac:dyDescent="0.25">
      <c r="A9" s="113"/>
      <c r="B9" s="113"/>
      <c r="C9" s="113"/>
      <c r="D9" s="226" t="s">
        <v>22</v>
      </c>
      <c r="E9" s="226"/>
      <c r="F9" s="226"/>
      <c r="G9" s="226"/>
      <c r="H9" s="226"/>
      <c r="I9" s="226"/>
      <c r="J9" s="226"/>
      <c r="K9" s="113"/>
      <c r="L9" s="226" t="s">
        <v>36</v>
      </c>
      <c r="M9" s="226"/>
      <c r="N9" s="226"/>
      <c r="O9" s="226"/>
      <c r="P9" s="226"/>
      <c r="Q9" s="56"/>
    </row>
    <row r="10" spans="1:17" ht="47.25" x14ac:dyDescent="0.25">
      <c r="A10" s="62" t="s">
        <v>0</v>
      </c>
      <c r="B10" s="62" t="s">
        <v>7</v>
      </c>
      <c r="C10" s="62" t="s">
        <v>1</v>
      </c>
      <c r="D10" s="62" t="s">
        <v>11</v>
      </c>
      <c r="E10" s="62" t="s">
        <v>13</v>
      </c>
      <c r="F10" s="62" t="s">
        <v>12</v>
      </c>
      <c r="G10" s="62" t="s">
        <v>14</v>
      </c>
      <c r="H10" s="62" t="s">
        <v>15</v>
      </c>
      <c r="I10" s="62" t="s">
        <v>16</v>
      </c>
      <c r="J10" s="62" t="s">
        <v>23</v>
      </c>
      <c r="K10" s="67"/>
      <c r="L10" s="62" t="str">
        <f>'GROUP DATA WP 3'!R11</f>
        <v>EPS VL FORECAST</v>
      </c>
      <c r="M10" s="62" t="str">
        <f>'GROUP DATA WP 3'!U11</f>
        <v>YAHOO EPS</v>
      </c>
      <c r="N10" s="62" t="str">
        <f>'GROUP DATA WP 3'!V11</f>
        <v>ZACKS EPS</v>
      </c>
      <c r="O10" s="62" t="s">
        <v>24</v>
      </c>
      <c r="P10" s="68" t="s">
        <v>35</v>
      </c>
      <c r="Q10" s="68" t="s">
        <v>42</v>
      </c>
    </row>
    <row r="11" spans="1:17" x14ac:dyDescent="0.25">
      <c r="A11" s="64">
        <v>1</v>
      </c>
      <c r="B11" s="64" t="s">
        <v>233</v>
      </c>
      <c r="C11" s="64" t="s">
        <v>232</v>
      </c>
      <c r="D11" s="122">
        <f>'GROUP DATA WP 3'!K12</f>
        <v>6.5000000000000002E-2</v>
      </c>
      <c r="E11" s="122">
        <f>'GROUP DATA WP 3'!L12</f>
        <v>3.5000000000000003E-2</v>
      </c>
      <c r="F11" s="122">
        <f>'GROUP DATA WP 3'!M12</f>
        <v>5.5E-2</v>
      </c>
      <c r="G11" s="122">
        <f>'GROUP DATA WP 3'!N12</f>
        <v>0.1</v>
      </c>
      <c r="H11" s="122">
        <f>'GROUP DATA WP 3'!O12</f>
        <v>5.5E-2</v>
      </c>
      <c r="I11" s="122">
        <f>'GROUP DATA WP 3'!P12</f>
        <v>7.0000000000000007E-2</v>
      </c>
      <c r="J11" s="122">
        <f t="shared" ref="J11" si="0">AVERAGE(D11:I11)</f>
        <v>6.3333333333333339E-2</v>
      </c>
      <c r="K11" s="56"/>
      <c r="L11" s="122">
        <f>'GROUP DATA WP 3'!R12</f>
        <v>7.4999999999999997E-2</v>
      </c>
      <c r="M11" s="122">
        <f>'GROUP DATA WP 3'!U12</f>
        <v>7.0000000000000007E-2</v>
      </c>
      <c r="N11" s="122">
        <f>'GROUP DATA WP 3'!V12</f>
        <v>7.0000000000000007E-2</v>
      </c>
      <c r="O11" s="122">
        <f>'OCS SR 3.4 P.2'!M11</f>
        <v>0.12193493217383335</v>
      </c>
      <c r="P11" s="122">
        <f>AVERAGE(L11:N11)</f>
        <v>7.166666666666667E-2</v>
      </c>
      <c r="Q11" s="122">
        <f t="shared" ref="Q11:Q18" si="1">AVERAGE(O11:P11)</f>
        <v>9.6800799420250008E-2</v>
      </c>
    </row>
    <row r="12" spans="1:17" x14ac:dyDescent="0.25">
      <c r="A12" s="64">
        <f>A11+1</f>
        <v>2</v>
      </c>
      <c r="B12" s="56" t="s">
        <v>234</v>
      </c>
      <c r="C12" s="64" t="s">
        <v>235</v>
      </c>
      <c r="D12" s="122"/>
      <c r="E12" s="122"/>
      <c r="F12" s="122"/>
      <c r="G12" s="122"/>
      <c r="H12" s="122"/>
      <c r="I12" s="122"/>
      <c r="J12" s="122"/>
      <c r="K12" s="56"/>
      <c r="L12" s="122"/>
      <c r="M12" s="122"/>
      <c r="N12" s="122"/>
      <c r="O12" s="122"/>
      <c r="P12" s="122"/>
      <c r="Q12" s="122"/>
    </row>
    <row r="13" spans="1:17" x14ac:dyDescent="0.25">
      <c r="A13" s="64">
        <f t="shared" ref="A13:A20" si="2">A12+1</f>
        <v>3</v>
      </c>
      <c r="B13" s="64" t="s">
        <v>236</v>
      </c>
      <c r="C13" s="64" t="s">
        <v>237</v>
      </c>
      <c r="D13" s="122">
        <f>'GROUP DATA WP 3'!K14</f>
        <v>7.0000000000000007E-2</v>
      </c>
      <c r="E13" s="122">
        <f>'GROUP DATA WP 3'!L14</f>
        <v>7.4999999999999997E-2</v>
      </c>
      <c r="F13" s="122">
        <f>'GROUP DATA WP 3'!M14</f>
        <v>7.0000000000000007E-2</v>
      </c>
      <c r="G13" s="122">
        <f>'GROUP DATA WP 3'!N14</f>
        <v>5.5E-2</v>
      </c>
      <c r="H13" s="122">
        <f>'GROUP DATA WP 3'!O14</f>
        <v>6.5000000000000002E-2</v>
      </c>
      <c r="I13" s="122">
        <f>'GROUP DATA WP 3'!P14</f>
        <v>0.08</v>
      </c>
      <c r="J13" s="122">
        <f t="shared" ref="J13" si="3">AVERAGE(D13:I13)</f>
        <v>6.9166666666666668E-2</v>
      </c>
      <c r="K13" s="56"/>
      <c r="L13" s="122">
        <f>'GROUP DATA WP 3'!R14</f>
        <v>2.5000000000000001E-2</v>
      </c>
      <c r="M13" s="122">
        <f>'GROUP DATA WP 3'!U14</f>
        <v>0.06</v>
      </c>
      <c r="N13" s="122">
        <f>'GROUP DATA WP 3'!V14</f>
        <v>0.08</v>
      </c>
      <c r="O13" s="122">
        <f>'OCS SR 3.4 P.2'!M13</f>
        <v>4.6163821513690972E-2</v>
      </c>
      <c r="P13" s="122">
        <f t="shared" ref="P13:P18" si="4">AVERAGE(L13:N13)</f>
        <v>5.4999999999999993E-2</v>
      </c>
      <c r="Q13" s="122">
        <f t="shared" si="1"/>
        <v>5.0581910756845483E-2</v>
      </c>
    </row>
    <row r="14" spans="1:17" x14ac:dyDescent="0.25">
      <c r="A14" s="64">
        <f t="shared" si="2"/>
        <v>4</v>
      </c>
      <c r="B14" s="56" t="s">
        <v>238</v>
      </c>
      <c r="C14" s="64" t="s">
        <v>239</v>
      </c>
      <c r="D14" s="122"/>
      <c r="E14" s="122">
        <f>'GROUP DATA WP 3'!L15</f>
        <v>2.5000000000000001E-2</v>
      </c>
      <c r="F14" s="122">
        <f>'GROUP DATA WP 3'!M15</f>
        <v>0.02</v>
      </c>
      <c r="G14" s="122"/>
      <c r="H14" s="122">
        <f>'GROUP DATA WP 3'!O15</f>
        <v>0.01</v>
      </c>
      <c r="I14" s="122"/>
      <c r="J14" s="122">
        <f t="shared" ref="J14:J18" si="5">AVERAGE(D14:I14)</f>
        <v>1.8333333333333333E-2</v>
      </c>
      <c r="K14" s="56"/>
      <c r="L14" s="122">
        <f>'GROUP DATA WP 3'!R15</f>
        <v>0.27</v>
      </c>
      <c r="M14" s="122">
        <f>'GROUP DATA WP 3'!U15</f>
        <v>3.7499999999999999E-2</v>
      </c>
      <c r="N14" s="122">
        <f>'GROUP DATA WP 3'!V15</f>
        <v>0.05</v>
      </c>
      <c r="O14" s="122">
        <f>'OCS SR 3.4 P.2'!M14</f>
        <v>8.6775130189884891E-2</v>
      </c>
      <c r="P14" s="122">
        <f t="shared" si="4"/>
        <v>0.11916666666666666</v>
      </c>
      <c r="Q14" s="122">
        <f t="shared" si="1"/>
        <v>0.10297089842827578</v>
      </c>
    </row>
    <row r="15" spans="1:17" x14ac:dyDescent="0.25">
      <c r="A15" s="64">
        <f t="shared" si="2"/>
        <v>5</v>
      </c>
      <c r="B15" s="56" t="s">
        <v>240</v>
      </c>
      <c r="C15" s="64" t="s">
        <v>241</v>
      </c>
      <c r="D15" s="122"/>
      <c r="E15" s="122"/>
      <c r="F15" s="122"/>
      <c r="G15" s="122"/>
      <c r="H15" s="122"/>
      <c r="I15" s="122"/>
      <c r="J15" s="122"/>
      <c r="K15" s="56"/>
      <c r="L15" s="122">
        <f>'GROUP DATA WP 3'!R16</f>
        <v>0.08</v>
      </c>
      <c r="M15" s="122">
        <f>'GROUP DATA WP 3'!U16</f>
        <v>0.05</v>
      </c>
      <c r="N15" s="122">
        <f>'GROUP DATA WP 3'!V16</f>
        <v>6.13E-2</v>
      </c>
      <c r="O15" s="122">
        <f>'OCS SR 3.4 P.2'!M15</f>
        <v>5.8146998351392074E-2</v>
      </c>
      <c r="P15" s="122">
        <f t="shared" si="4"/>
        <v>6.3766666666666666E-2</v>
      </c>
      <c r="Q15" s="122">
        <f t="shared" si="1"/>
        <v>6.095683250902937E-2</v>
      </c>
    </row>
    <row r="16" spans="1:17" x14ac:dyDescent="0.25">
      <c r="A16" s="64">
        <f t="shared" si="2"/>
        <v>6</v>
      </c>
      <c r="B16" s="64" t="s">
        <v>242</v>
      </c>
      <c r="C16" s="64" t="s">
        <v>243</v>
      </c>
      <c r="D16" s="122">
        <f>'GROUP DATA WP 3'!K17</f>
        <v>1.4999999999999999E-2</v>
      </c>
      <c r="E16" s="122">
        <f>'GROUP DATA WP 3'!L17</f>
        <v>0.08</v>
      </c>
      <c r="F16" s="122">
        <f>'GROUP DATA WP 3'!M17</f>
        <v>6.5000000000000002E-2</v>
      </c>
      <c r="G16" s="122"/>
      <c r="H16" s="122">
        <f>'GROUP DATA WP 3'!O17</f>
        <v>0.06</v>
      </c>
      <c r="I16" s="122">
        <f>'GROUP DATA WP 3'!P17</f>
        <v>0.06</v>
      </c>
      <c r="J16" s="122">
        <f t="shared" si="5"/>
        <v>5.6000000000000008E-2</v>
      </c>
      <c r="K16" s="56"/>
      <c r="L16" s="122">
        <f>'GROUP DATA WP 3'!R17</f>
        <v>0.105</v>
      </c>
      <c r="M16" s="122">
        <f>'GROUP DATA WP 3'!U17</f>
        <v>4.5999999999999999E-2</v>
      </c>
      <c r="N16" s="122">
        <f>'GROUP DATA WP 3'!V17</f>
        <v>8.5000000000000006E-2</v>
      </c>
      <c r="O16" s="122">
        <f>'OCS SR 3.4 P.2'!M16</f>
        <v>8.9878994425039965E-2</v>
      </c>
      <c r="P16" s="122">
        <f t="shared" si="4"/>
        <v>7.8666666666666663E-2</v>
      </c>
      <c r="Q16" s="122">
        <f t="shared" si="1"/>
        <v>8.4272830545853314E-2</v>
      </c>
    </row>
    <row r="17" spans="1:17" x14ac:dyDescent="0.25">
      <c r="A17" s="64">
        <f t="shared" si="2"/>
        <v>7</v>
      </c>
      <c r="B17" s="64" t="s">
        <v>244</v>
      </c>
      <c r="C17" s="64" t="s">
        <v>245</v>
      </c>
      <c r="D17" s="122">
        <f>'GROUP DATA WP 3'!K18</f>
        <v>0.04</v>
      </c>
      <c r="E17" s="122">
        <f>'GROUP DATA WP 3'!L18</f>
        <v>0.04</v>
      </c>
      <c r="F17" s="122">
        <f>'GROUP DATA WP 3'!M18</f>
        <v>7.4999999999999997E-2</v>
      </c>
      <c r="G17" s="122">
        <f>'GROUP DATA WP 3'!N18</f>
        <v>7.4999999999999997E-2</v>
      </c>
      <c r="H17" s="122">
        <f>'GROUP DATA WP 3'!O18</f>
        <v>0.05</v>
      </c>
      <c r="I17" s="122">
        <f>'GROUP DATA WP 3'!P18</f>
        <v>0.08</v>
      </c>
      <c r="J17" s="122">
        <f t="shared" si="5"/>
        <v>0.06</v>
      </c>
      <c r="K17" s="56"/>
      <c r="L17" s="122">
        <f>'GROUP DATA WP 3'!R18</f>
        <v>5.5E-2</v>
      </c>
      <c r="M17" s="122">
        <f>'GROUP DATA WP 3'!U18</f>
        <v>3.2300000000000002E-2</v>
      </c>
      <c r="N17" s="122">
        <f>'GROUP DATA WP 3'!V18</f>
        <v>5.5E-2</v>
      </c>
      <c r="O17" s="122">
        <f>'OCS SR 3.4 P.2'!M17</f>
        <v>5.6293411359123094E-2</v>
      </c>
      <c r="P17" s="122">
        <f t="shared" si="4"/>
        <v>4.7433333333333334E-2</v>
      </c>
      <c r="Q17" s="122">
        <f t="shared" si="1"/>
        <v>5.1863372346228218E-2</v>
      </c>
    </row>
    <row r="18" spans="1:17" x14ac:dyDescent="0.25">
      <c r="A18" s="64">
        <f t="shared" si="2"/>
        <v>8</v>
      </c>
      <c r="B18" s="64" t="s">
        <v>246</v>
      </c>
      <c r="C18" s="64" t="s">
        <v>247</v>
      </c>
      <c r="D18" s="122">
        <f>'GROUP DATA WP 3'!K19</f>
        <v>7.0000000000000007E-2</v>
      </c>
      <c r="E18" s="122">
        <f>'GROUP DATA WP 3'!L19</f>
        <v>8.5000000000000006E-2</v>
      </c>
      <c r="F18" s="122">
        <f>'GROUP DATA WP 3'!M19</f>
        <v>5.5E-2</v>
      </c>
      <c r="G18" s="122">
        <f>'GROUP DATA WP 3'!N19</f>
        <v>4.4999999999999998E-2</v>
      </c>
      <c r="H18" s="122">
        <f>'GROUP DATA WP 3'!O19</f>
        <v>0.105</v>
      </c>
      <c r="I18" s="122">
        <f>'GROUP DATA WP 3'!P19</f>
        <v>0.06</v>
      </c>
      <c r="J18" s="122">
        <f t="shared" si="5"/>
        <v>6.9999999999999993E-2</v>
      </c>
      <c r="K18" s="60" t="e">
        <f t="shared" ref="K18" si="6">AVERAGE(K11:K17)</f>
        <v>#DIV/0!</v>
      </c>
      <c r="L18" s="122">
        <f>'GROUP DATA WP 3'!R19</f>
        <v>0.09</v>
      </c>
      <c r="M18" s="122">
        <f>'GROUP DATA WP 3'!U19</f>
        <v>8.2000000000000003E-2</v>
      </c>
      <c r="N18" s="122">
        <f>'GROUP DATA WP 3'!V19</f>
        <v>8.5000000000000006E-2</v>
      </c>
      <c r="O18" s="122">
        <f>'OCS SR 3.4 P.2'!M18</f>
        <v>7.6864017631957521E-2</v>
      </c>
      <c r="P18" s="122">
        <f t="shared" si="4"/>
        <v>8.5666666666666669E-2</v>
      </c>
      <c r="Q18" s="122">
        <f t="shared" si="1"/>
        <v>8.1265342149312095E-2</v>
      </c>
    </row>
    <row r="19" spans="1:17" x14ac:dyDescent="0.25">
      <c r="A19" s="64">
        <f t="shared" si="2"/>
        <v>9</v>
      </c>
      <c r="B19" s="56" t="s">
        <v>132</v>
      </c>
      <c r="C19" s="56"/>
      <c r="D19" s="60">
        <f>AVERAGE(D11:D18)</f>
        <v>5.2000000000000005E-2</v>
      </c>
      <c r="E19" s="60">
        <f t="shared" ref="E19:J19" si="7">AVERAGE(E11:E18)</f>
        <v>5.6666666666666671E-2</v>
      </c>
      <c r="F19" s="60">
        <f t="shared" si="7"/>
        <v>5.6666666666666664E-2</v>
      </c>
      <c r="G19" s="60">
        <f t="shared" si="7"/>
        <v>6.8749999999999992E-2</v>
      </c>
      <c r="H19" s="60">
        <f t="shared" si="7"/>
        <v>5.7499999999999996E-2</v>
      </c>
      <c r="I19" s="60">
        <f t="shared" si="7"/>
        <v>7.0000000000000007E-2</v>
      </c>
      <c r="J19" s="60">
        <f t="shared" si="7"/>
        <v>5.6138888888888898E-2</v>
      </c>
      <c r="K19" s="60" t="e">
        <f t="shared" ref="K19" si="8">MEDIAN(K11:K17)</f>
        <v>#NUM!</v>
      </c>
      <c r="L19" s="60">
        <f t="shared" ref="L19:Q19" si="9">AVERAGE(L11:L18)</f>
        <v>0.1</v>
      </c>
      <c r="M19" s="60">
        <f t="shared" si="9"/>
        <v>5.3971428571428573E-2</v>
      </c>
      <c r="N19" s="60">
        <f t="shared" si="9"/>
        <v>6.9471428571428587E-2</v>
      </c>
      <c r="O19" s="60">
        <f t="shared" si="9"/>
        <v>7.6579615092131695E-2</v>
      </c>
      <c r="P19" s="60">
        <f t="shared" si="9"/>
        <v>7.4480952380952384E-2</v>
      </c>
      <c r="Q19" s="60">
        <f t="shared" si="9"/>
        <v>7.5530283736542039E-2</v>
      </c>
    </row>
    <row r="20" spans="1:17" x14ac:dyDescent="0.25">
      <c r="A20" s="32">
        <f t="shared" si="2"/>
        <v>10</v>
      </c>
      <c r="B20" s="56" t="s">
        <v>91</v>
      </c>
      <c r="C20" s="56"/>
      <c r="D20" s="60">
        <f>MEDIAN(D11:D18)</f>
        <v>6.5000000000000002E-2</v>
      </c>
      <c r="E20" s="60">
        <f t="shared" ref="E20:J20" si="10">MEDIAN(E11:E18)</f>
        <v>5.7499999999999996E-2</v>
      </c>
      <c r="F20" s="60">
        <f t="shared" si="10"/>
        <v>0.06</v>
      </c>
      <c r="G20" s="60">
        <f t="shared" si="10"/>
        <v>6.5000000000000002E-2</v>
      </c>
      <c r="H20" s="60">
        <f t="shared" si="10"/>
        <v>5.7499999999999996E-2</v>
      </c>
      <c r="I20" s="60">
        <f t="shared" si="10"/>
        <v>7.0000000000000007E-2</v>
      </c>
      <c r="J20" s="60">
        <f t="shared" si="10"/>
        <v>6.1666666666666668E-2</v>
      </c>
      <c r="K20" s="56"/>
      <c r="L20" s="60">
        <f t="shared" ref="L20:Q20" si="11">MEDIAN(L11:L18)</f>
        <v>0.08</v>
      </c>
      <c r="M20" s="60">
        <f t="shared" si="11"/>
        <v>0.05</v>
      </c>
      <c r="N20" s="60">
        <f t="shared" si="11"/>
        <v>7.0000000000000007E-2</v>
      </c>
      <c r="O20" s="60">
        <f t="shared" si="11"/>
        <v>7.6864017631957521E-2</v>
      </c>
      <c r="P20" s="60">
        <f t="shared" si="11"/>
        <v>7.166666666666667E-2</v>
      </c>
      <c r="Q20" s="60">
        <f t="shared" si="11"/>
        <v>8.1265342149312095E-2</v>
      </c>
    </row>
    <row r="21" spans="1:17" x14ac:dyDescent="0.25">
      <c r="B21" s="73" t="s">
        <v>329</v>
      </c>
    </row>
    <row r="22" spans="1:17" x14ac:dyDescent="0.25">
      <c r="B22" s="34" t="s">
        <v>330</v>
      </c>
    </row>
    <row r="23" spans="1:17" x14ac:dyDescent="0.25">
      <c r="B23" s="34" t="s">
        <v>331</v>
      </c>
    </row>
    <row r="24" spans="1:17" x14ac:dyDescent="0.25">
      <c r="B24" s="34" t="s">
        <v>257</v>
      </c>
    </row>
    <row r="25" spans="1:17" x14ac:dyDescent="0.25">
      <c r="B25" s="34" t="s">
        <v>184</v>
      </c>
    </row>
    <row r="26" spans="1:17" x14ac:dyDescent="0.25">
      <c r="B26" s="34" t="s">
        <v>185</v>
      </c>
    </row>
    <row r="27" spans="1:17" x14ac:dyDescent="0.25">
      <c r="B27" s="34" t="s">
        <v>203</v>
      </c>
    </row>
  </sheetData>
  <mergeCells count="6">
    <mergeCell ref="D9:J9"/>
    <mergeCell ref="L9:P9"/>
    <mergeCell ref="B6:Q6"/>
    <mergeCell ref="B3:Q3"/>
    <mergeCell ref="B4:Q4"/>
    <mergeCell ref="B5:Q5"/>
  </mergeCells>
  <phoneticPr fontId="17" type="noConversion"/>
  <pageMargins left="0.75" right="0.75" top="1" bottom="1" header="0.5" footer="0.5"/>
  <pageSetup scale="59" orientation="landscape" horizontalDpi="4294967292" verticalDpi="4294967292" r:id="rId1"/>
  <headerFooter>
    <oddHeader xml:space="preserve">&amp;R&amp;"Calibri,Regular"&amp;K000000EXHIBIT OCS 3.4S
PAGE 1 OF 3
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 A</vt:lpstr>
      <vt:lpstr>COMPARABLE GROUP WP1</vt:lpstr>
      <vt:lpstr>GROUP DATA WP2</vt:lpstr>
      <vt:lpstr>GROUP DATA WP 3</vt:lpstr>
      <vt:lpstr>(DJL-2)</vt:lpstr>
      <vt:lpstr>OCS SR 3.1)</vt:lpstr>
      <vt:lpstr>OCS SR 3.2</vt:lpstr>
      <vt:lpstr>OCS SR 3.3</vt:lpstr>
      <vt:lpstr>OCS SR 3.4 P.1</vt:lpstr>
      <vt:lpstr>OCS SR 3.4 P.2</vt:lpstr>
      <vt:lpstr>OCS SR  3.4 P.3</vt:lpstr>
      <vt:lpstr>OCS SR 3.5</vt:lpstr>
      <vt:lpstr>OCS SR 3.6</vt:lpstr>
      <vt:lpstr>OCS SR 3.7</vt:lpstr>
      <vt:lpstr>OCS SR 3.8</vt:lpstr>
      <vt:lpstr>OCS SR 3.9</vt:lpstr>
      <vt:lpstr>OCS SR 3.10</vt:lpstr>
      <vt:lpstr>OCS SR 3.11</vt:lpstr>
      <vt:lpstr>XX</vt:lpstr>
      <vt:lpstr>DEUDCF</vt:lpstr>
      <vt:lpstr>HEVERTDCF</vt:lpstr>
      <vt:lpstr>' A'!Print_Area</vt:lpstr>
      <vt:lpstr>'COMPARABLE GROUP WP1'!Print_Area</vt:lpstr>
      <vt:lpstr>DEUDCF!Print_Area</vt:lpstr>
      <vt:lpstr>'GROUP DATA WP 3'!Print_Area</vt:lpstr>
      <vt:lpstr>'GROUP DATA WP2'!Print_Area</vt:lpstr>
      <vt:lpstr>HEVERTDCF!Print_Area</vt:lpstr>
      <vt:lpstr>'OCS SR  3.4 P.3'!Print_Area</vt:lpstr>
      <vt:lpstr>'OCS SR 3.1)'!Print_Area</vt:lpstr>
      <vt:lpstr>'OCS SR 3.2'!Print_Area</vt:lpstr>
      <vt:lpstr>'OCS SR 3.3'!Print_Area</vt:lpstr>
      <vt:lpstr>'OCS SR 3.4 P.1'!Print_Area</vt:lpstr>
      <vt:lpstr>'OCS SR 3.4 P.2'!Print_Area</vt:lpstr>
      <vt:lpstr>'OCS SR 3.5'!Print_Area</vt:lpstr>
      <vt:lpstr>'OCS SR 3.6'!Print_Area</vt:lpstr>
      <vt:lpstr>'OCS SR 3.7'!Print_Area</vt:lpstr>
      <vt:lpstr>'OCS SR 3.8'!Print_Area</vt:lpstr>
      <vt:lpstr>'OCS SR 3.9'!Print_Area</vt:lpstr>
      <vt:lpstr>XX!Print_Area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Fred Nass</cp:lastModifiedBy>
  <cp:lastPrinted>2019-12-04T22:46:18Z</cp:lastPrinted>
  <dcterms:created xsi:type="dcterms:W3CDTF">2015-09-11T18:37:27Z</dcterms:created>
  <dcterms:modified xsi:type="dcterms:W3CDTF">2019-12-06T14:59:47Z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{489650DD-AD32-459B-8AC2-222D0240F3A7}</vt:lpwstr>
  </property>
</Properties>
</file>