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gas\19docs\1905702\"/>
    </mc:Choice>
  </mc:AlternateContent>
  <bookViews>
    <workbookView xWindow="0" yWindow="0" windowWidth="21555" windowHeight="11520"/>
  </bookViews>
  <sheets>
    <sheet name="ANGC Exh 2.01R p1" sheetId="6" r:id="rId1"/>
    <sheet name="ANGC Exh 2.01R p2" sheetId="13" r:id="rId2"/>
    <sheet name="ANGC Exh 2.02R p1" sheetId="12" r:id="rId3"/>
    <sheet name="ANGC Exh 2.02R p2" sheetId="3" r:id="rId4"/>
    <sheet name="ANGC Exh 2.03R" sheetId="8" r:id="rId5"/>
    <sheet name="DRAFT ANGC Exh 2.04R" sheetId="9" r:id="rId6"/>
    <sheet name="ANGC Exh 2.05R p1" sheetId="10" r:id="rId7"/>
    <sheet name="ANGC Exh 2.05R p2" sheetId="11" r:id="rId8"/>
  </sheets>
  <externalReferences>
    <externalReference r:id="rId9"/>
    <externalReference r:id="rId10"/>
    <externalReference r:id="rId11"/>
  </externalReferences>
  <definedNames>
    <definedName name="_2011" localSheetId="2">#REF!</definedName>
    <definedName name="_2011">#REF!</definedName>
    <definedName name="_xlnm.Print_Area" localSheetId="0">'ANGC Exh 2.01R p1'!$A$1:$P$77</definedName>
    <definedName name="_xlnm.Print_Area" localSheetId="1">'ANGC Exh 2.01R p2'!$A$1:$P$77</definedName>
    <definedName name="_xlnm.Print_Area" localSheetId="2">'ANGC Exh 2.02R p1'!$A$1:$G$39</definedName>
    <definedName name="_xlnm.Print_Area" localSheetId="3">'ANGC Exh 2.02R p2'!$A$1:$Y$63</definedName>
    <definedName name="_xlnm.Print_Area" localSheetId="4">'ANGC Exh 2.03R'!$A$1:$P$77</definedName>
    <definedName name="_xlnm.Print_Area" localSheetId="6">'ANGC Exh 2.05R p1'!$A$1:$W$28</definedName>
    <definedName name="_xlnm.Print_Area" localSheetId="7">'ANGC Exh 2.05R p2'!$A$1:$W$28</definedName>
    <definedName name="_xlnm.Print_Area" localSheetId="5">'DRAFT ANGC Exh 2.04R'!$A$1:$K$24</definedName>
    <definedName name="TS_History" localSheetId="2">#REF!</definedName>
    <definedName name="TS_History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58" i="3" l="1"/>
  <c r="S53" i="3"/>
  <c r="Q53" i="3"/>
  <c r="I53" i="3"/>
  <c r="Y58" i="3"/>
  <c r="O58" i="3"/>
  <c r="K58" i="3"/>
  <c r="I55" i="3"/>
  <c r="Y56" i="3" s="1"/>
  <c r="I52" i="3"/>
  <c r="I56" i="3" l="1"/>
  <c r="W56" i="3"/>
  <c r="I58" i="3"/>
  <c r="K59" i="3" l="1"/>
  <c r="I59" i="3"/>
  <c r="O59" i="3"/>
  <c r="Y59" i="3"/>
  <c r="U59" i="3"/>
  <c r="AA59" i="3" l="1"/>
  <c r="A74" i="13"/>
  <c r="A14" i="13"/>
  <c r="A15" i="13" s="1"/>
  <c r="A16" i="13" s="1"/>
  <c r="A17" i="13" s="1"/>
  <c r="A18" i="13" s="1"/>
  <c r="A19" i="13" s="1"/>
  <c r="A20" i="13" s="1"/>
  <c r="A22" i="13" s="1"/>
  <c r="A23" i="13" s="1"/>
  <c r="A24" i="13" s="1"/>
  <c r="A25" i="13" s="1"/>
  <c r="A27" i="13" s="1"/>
  <c r="A28" i="13" s="1"/>
  <c r="A29" i="13" s="1"/>
  <c r="A30" i="13" s="1"/>
  <c r="A31" i="13" s="1"/>
  <c r="A32" i="13" s="1"/>
  <c r="A33" i="13" s="1"/>
  <c r="A35" i="13" s="1"/>
  <c r="A36" i="13" s="1"/>
  <c r="A37" i="13" s="1"/>
  <c r="A38" i="13" s="1"/>
  <c r="A39" i="13" s="1"/>
  <c r="A41" i="13" s="1"/>
  <c r="A43" i="13" s="1"/>
  <c r="A46" i="13" s="1"/>
  <c r="A48" i="13" s="1"/>
  <c r="A49" i="13" s="1"/>
  <c r="A50" i="13" s="1"/>
  <c r="A51" i="13" s="1"/>
  <c r="A52" i="13" s="1"/>
  <c r="A53" i="13" s="1"/>
  <c r="A54" i="13" s="1"/>
  <c r="A55" i="13" s="1"/>
  <c r="A57" i="13" s="1"/>
  <c r="A58" i="13" s="1"/>
  <c r="A59" i="13" s="1"/>
  <c r="A60" i="13" s="1"/>
  <c r="A61" i="13" s="1"/>
  <c r="A62" i="13" s="1"/>
  <c r="A63" i="13" s="1"/>
  <c r="A64" i="13" s="1"/>
  <c r="A65" i="13" s="1"/>
  <c r="A66" i="13" s="1"/>
  <c r="A67" i="13" s="1"/>
  <c r="A68" i="13" s="1"/>
  <c r="A69" i="13" s="1"/>
  <c r="A71" i="13" s="1"/>
  <c r="P10" i="13"/>
  <c r="O10" i="13"/>
  <c r="L10" i="13"/>
  <c r="K10" i="13"/>
  <c r="J10" i="13"/>
  <c r="I10" i="13"/>
  <c r="H10" i="13"/>
  <c r="F10" i="13"/>
  <c r="F9" i="13"/>
  <c r="F8" i="13"/>
  <c r="A5" i="13"/>
  <c r="A4" i="13"/>
  <c r="A3" i="13"/>
  <c r="G15" i="12"/>
  <c r="G16" i="12"/>
  <c r="C17" i="12"/>
  <c r="E17" i="12"/>
  <c r="G17" i="12" s="1"/>
  <c r="G21" i="12"/>
  <c r="G22" i="12"/>
  <c r="C23" i="12"/>
  <c r="G23" i="12" s="1"/>
  <c r="E23" i="12"/>
  <c r="G27" i="12"/>
  <c r="G28" i="12"/>
  <c r="C29" i="12"/>
  <c r="G29" i="12" s="1"/>
  <c r="E29" i="12"/>
  <c r="C34" i="12"/>
  <c r="E34" i="12"/>
  <c r="C35" i="12"/>
  <c r="E35" i="12"/>
  <c r="G35" i="12" s="1"/>
  <c r="C36" i="12"/>
  <c r="G36" i="12" s="1"/>
  <c r="E36" i="12"/>
  <c r="C37" i="12"/>
  <c r="E37" i="12"/>
  <c r="E38" i="12" l="1"/>
  <c r="E42" i="12" s="1"/>
  <c r="G37" i="12"/>
  <c r="C38" i="12"/>
  <c r="G38" i="12" s="1"/>
  <c r="G34" i="12"/>
  <c r="E45" i="12"/>
  <c r="C42" i="12"/>
  <c r="AC64" i="11"/>
  <c r="K23" i="11"/>
  <c r="U23" i="11" s="1"/>
  <c r="E24" i="11"/>
  <c r="C24" i="11"/>
  <c r="C57" i="10"/>
  <c r="G15" i="10" s="1"/>
  <c r="O22" i="10"/>
  <c r="M18" i="10"/>
  <c r="O18" i="10" s="1"/>
  <c r="E72" i="10"/>
  <c r="E71" i="10"/>
  <c r="K23" i="10"/>
  <c r="M23" i="10" s="1"/>
  <c r="Y23" i="10" s="1"/>
  <c r="AA23" i="10" s="1"/>
  <c r="Q23" i="10"/>
  <c r="U23" i="10"/>
  <c r="E24" i="10"/>
  <c r="E17" i="10" s="1"/>
  <c r="C24" i="10"/>
  <c r="M18" i="11"/>
  <c r="G22" i="10"/>
  <c r="G24" i="10" s="1"/>
  <c r="G17" i="10" s="1"/>
  <c r="C57" i="11"/>
  <c r="G19" i="11" s="1"/>
  <c r="C17" i="11"/>
  <c r="C20" i="11" s="1"/>
  <c r="E17" i="11"/>
  <c r="C20" i="10"/>
  <c r="K13" i="9"/>
  <c r="K14" i="9"/>
  <c r="K15" i="9"/>
  <c r="G16" i="9"/>
  <c r="G23" i="9" s="1"/>
  <c r="I16" i="9"/>
  <c r="I23" i="9" s="1"/>
  <c r="K23" i="9" s="1"/>
  <c r="K16" i="9"/>
  <c r="K17" i="9"/>
  <c r="K18" i="9"/>
  <c r="K20" i="9"/>
  <c r="K21" i="9"/>
  <c r="Q23" i="11" l="1"/>
  <c r="O18" i="11"/>
  <c r="M23" i="11"/>
  <c r="AC23" i="11" s="1"/>
  <c r="AD23" i="11" s="1"/>
  <c r="AE23" i="11" s="1"/>
  <c r="G42" i="12"/>
  <c r="C45" i="12"/>
  <c r="G45" i="12" s="1"/>
  <c r="Y23" i="11"/>
  <c r="AA23" i="11" s="1"/>
  <c r="G22" i="11"/>
  <c r="G24" i="11" s="1"/>
  <c r="G17" i="11" s="1"/>
  <c r="M24" i="10"/>
  <c r="G14" i="10"/>
  <c r="O23" i="10"/>
  <c r="G14" i="11"/>
  <c r="G15" i="11"/>
  <c r="G16" i="11"/>
  <c r="Q18" i="10"/>
  <c r="G16" i="10"/>
  <c r="G19" i="10"/>
  <c r="S23" i="11"/>
  <c r="E20" i="11"/>
  <c r="Q18" i="11"/>
  <c r="S18" i="11" s="1"/>
  <c r="E20" i="10"/>
  <c r="S23" i="10"/>
  <c r="AC23" i="10"/>
  <c r="W23" i="10"/>
  <c r="U18" i="10" l="1"/>
  <c r="W18" i="10" s="1"/>
  <c r="Y18" i="10"/>
  <c r="AA18" i="10" s="1"/>
  <c r="AC18" i="10"/>
  <c r="AD18" i="10" s="1"/>
  <c r="W23" i="11"/>
  <c r="O23" i="11"/>
  <c r="U18" i="11"/>
  <c r="AC18" i="11" s="1"/>
  <c r="AD18" i="11" s="1"/>
  <c r="G20" i="10"/>
  <c r="O24" i="10"/>
  <c r="M17" i="10"/>
  <c r="O17" i="10" s="1"/>
  <c r="AD23" i="10"/>
  <c r="AE23" i="10" s="1"/>
  <c r="G57" i="11"/>
  <c r="S18" i="10"/>
  <c r="I14" i="10" l="1"/>
  <c r="K14" i="10" s="1"/>
  <c r="M14" i="10"/>
  <c r="I22" i="10"/>
  <c r="I19" i="10"/>
  <c r="K19" i="10" s="1"/>
  <c r="M19" i="10" s="1"/>
  <c r="I15" i="10"/>
  <c r="K15" i="10" s="1"/>
  <c r="M15" i="10" s="1"/>
  <c r="I18" i="10"/>
  <c r="K18" i="10" s="1"/>
  <c r="I16" i="10"/>
  <c r="K16" i="10" s="1"/>
  <c r="M16" i="10" s="1"/>
  <c r="AE18" i="10" l="1"/>
  <c r="Y15" i="10"/>
  <c r="AA15" i="10" s="1"/>
  <c r="S15" i="10"/>
  <c r="W15" i="10"/>
  <c r="O15" i="10"/>
  <c r="AC15" i="10"/>
  <c r="AD15" i="10" s="1"/>
  <c r="AE15" i="10" s="1"/>
  <c r="I24" i="10"/>
  <c r="I17" i="10" s="1"/>
  <c r="K22" i="10"/>
  <c r="Y16" i="10"/>
  <c r="AA16" i="10" s="1"/>
  <c r="O16" i="10"/>
  <c r="S16" i="10"/>
  <c r="W16" i="10"/>
  <c r="AC16" i="10"/>
  <c r="AD16" i="10" s="1"/>
  <c r="AE16" i="10" s="1"/>
  <c r="Y19" i="10"/>
  <c r="AA19" i="10" s="1"/>
  <c r="O19" i="10"/>
  <c r="S19" i="10"/>
  <c r="W19" i="10"/>
  <c r="AC19" i="10"/>
  <c r="AD19" i="10" s="1"/>
  <c r="AE19" i="10" s="1"/>
  <c r="I20" i="10"/>
  <c r="U22" i="10" l="1"/>
  <c r="Q22" i="10"/>
  <c r="K24" i="10"/>
  <c r="K17" i="10" s="1"/>
  <c r="K20" i="10" s="1"/>
  <c r="Y22" i="10" l="1"/>
  <c r="AA22" i="10" s="1"/>
  <c r="S22" i="10"/>
  <c r="AC22" i="10"/>
  <c r="Q24" i="10"/>
  <c r="W22" i="10"/>
  <c r="U24" i="10"/>
  <c r="AD22" i="10" l="1"/>
  <c r="AC24" i="10"/>
  <c r="U17" i="10"/>
  <c r="W24" i="10"/>
  <c r="Y24" i="10"/>
  <c r="S24" i="10"/>
  <c r="Q17" i="10"/>
  <c r="AE22" i="10" l="1"/>
  <c r="AD24" i="10"/>
  <c r="AE24" i="10" s="1"/>
  <c r="U14" i="10"/>
  <c r="U20" i="10" s="1"/>
  <c r="W17" i="10"/>
  <c r="AA24" i="10"/>
  <c r="Y17" i="10"/>
  <c r="AA17" i="10" s="1"/>
  <c r="S17" i="10"/>
  <c r="AC17" i="10"/>
  <c r="AD17" i="10" s="1"/>
  <c r="AE17" i="10" s="1"/>
  <c r="Q14" i="10"/>
  <c r="W14" i="10" l="1"/>
  <c r="S14" i="10"/>
  <c r="Y14" i="10"/>
  <c r="AC14" i="10"/>
  <c r="Q20" i="10"/>
  <c r="AA14" i="10" l="1"/>
  <c r="Y20" i="10"/>
  <c r="AA20" i="10" s="1"/>
  <c r="A14" i="8" l="1"/>
  <c r="P10" i="8"/>
  <c r="O10" i="8"/>
  <c r="L10" i="8"/>
  <c r="K10" i="8"/>
  <c r="J10" i="8"/>
  <c r="I10" i="8"/>
  <c r="H10" i="8"/>
  <c r="F10" i="8"/>
  <c r="F9" i="8"/>
  <c r="F8" i="8"/>
  <c r="A5" i="8"/>
  <c r="A4" i="8"/>
  <c r="A3" i="8"/>
  <c r="A14" i="6" l="1"/>
  <c r="A15" i="6" s="1"/>
  <c r="A16" i="6" s="1"/>
  <c r="A17" i="6" s="1"/>
  <c r="A18" i="6" s="1"/>
  <c r="A19" i="6" s="1"/>
  <c r="A20" i="6" s="1"/>
  <c r="A22" i="6" s="1"/>
  <c r="A23" i="6" s="1"/>
  <c r="A24" i="6" s="1"/>
  <c r="A25" i="6" s="1"/>
  <c r="A27" i="6" s="1"/>
  <c r="A28" i="6" s="1"/>
  <c r="A29" i="6" s="1"/>
  <c r="A30" i="6" s="1"/>
  <c r="A31" i="6" s="1"/>
  <c r="A32" i="6" s="1"/>
  <c r="A33" i="6" s="1"/>
  <c r="A35" i="6" s="1"/>
  <c r="A36" i="6" s="1"/>
  <c r="A37" i="6" s="1"/>
  <c r="A38" i="6" s="1"/>
  <c r="A39" i="6" s="1"/>
  <c r="A41" i="6" s="1"/>
  <c r="A43" i="6" s="1"/>
  <c r="A46" i="6" s="1"/>
  <c r="A48" i="6" s="1"/>
  <c r="A49" i="6" s="1"/>
  <c r="A50" i="6" s="1"/>
  <c r="A51" i="6" s="1"/>
  <c r="A52" i="6" s="1"/>
  <c r="A53" i="6" s="1"/>
  <c r="A54" i="6" s="1"/>
  <c r="A55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1" i="6" s="1"/>
  <c r="A74" i="6" s="1"/>
  <c r="P10" i="6"/>
  <c r="O10" i="6"/>
  <c r="L10" i="6"/>
  <c r="K10" i="6"/>
  <c r="J10" i="6"/>
  <c r="I10" i="6"/>
  <c r="H10" i="6"/>
  <c r="F10" i="6"/>
  <c r="F9" i="6"/>
  <c r="F8" i="6"/>
  <c r="A5" i="6"/>
  <c r="A4" i="6"/>
  <c r="A3" i="6"/>
  <c r="K70" i="3"/>
  <c r="I49" i="3"/>
  <c r="K42" i="3"/>
  <c r="I33" i="3"/>
  <c r="O26" i="3"/>
  <c r="O61" i="3" s="1"/>
  <c r="U26" i="3"/>
  <c r="U61" i="3" s="1"/>
  <c r="K26" i="3"/>
  <c r="K61" i="3" s="1"/>
  <c r="I17" i="3"/>
  <c r="Y42" i="3"/>
  <c r="Y70" i="3" s="1"/>
  <c r="I39" i="3"/>
  <c r="I40" i="3" s="1"/>
  <c r="S36" i="3"/>
  <c r="O42" i="3" s="1"/>
  <c r="O70" i="3" s="1"/>
  <c r="Q36" i="3"/>
  <c r="U42" i="3" s="1"/>
  <c r="Y26" i="3"/>
  <c r="Y61" i="3" s="1"/>
  <c r="I23" i="3"/>
  <c r="I24" i="3" s="1"/>
  <c r="I20" i="3"/>
  <c r="S21" i="3" s="1"/>
  <c r="U70" i="3" l="1"/>
  <c r="I50" i="3"/>
  <c r="W24" i="3"/>
  <c r="Y24" i="3"/>
  <c r="K18" i="3"/>
  <c r="M18" i="3"/>
  <c r="I18" i="3"/>
  <c r="I26" i="3"/>
  <c r="I42" i="3"/>
  <c r="K43" i="3" s="1"/>
  <c r="I36" i="3"/>
  <c r="I37" i="3" s="1"/>
  <c r="W40" i="3"/>
  <c r="Y40" i="3"/>
  <c r="I21" i="3"/>
  <c r="Q21" i="3"/>
  <c r="K27" i="3" l="1"/>
  <c r="I61" i="3"/>
  <c r="O27" i="3"/>
  <c r="Y43" i="3"/>
  <c r="I43" i="3"/>
  <c r="O43" i="3"/>
  <c r="S37" i="3"/>
  <c r="U27" i="3"/>
  <c r="Q37" i="3"/>
  <c r="U43" i="3"/>
  <c r="AA43" i="3" l="1"/>
  <c r="I27" i="3"/>
  <c r="Y27" i="3"/>
  <c r="AA27" i="3" s="1"/>
  <c r="AD14" i="10" l="1"/>
  <c r="AE14" i="10" s="1"/>
  <c r="O14" i="10"/>
  <c r="M20" i="10"/>
  <c r="M59" i="10" l="1"/>
  <c r="AC20" i="10"/>
  <c r="AD20" i="10" s="1"/>
  <c r="AE20" i="10" s="1"/>
  <c r="O20" i="10"/>
  <c r="S20" i="10"/>
  <c r="W20" i="10"/>
  <c r="W18" i="11"/>
  <c r="Y18" i="11"/>
  <c r="AA18" i="11"/>
  <c r="I19" i="11"/>
  <c r="K19" i="11" s="1"/>
  <c r="M19" i="11" s="1"/>
  <c r="AC19" i="11" s="1"/>
  <c r="AD19" i="11" s="1"/>
  <c r="AE19" i="11" s="1"/>
  <c r="I15" i="11"/>
  <c r="K15" i="11" s="1"/>
  <c r="M15" i="11" s="1"/>
  <c r="AC15" i="11" s="1"/>
  <c r="AD15" i="11" s="1"/>
  <c r="AE15" i="11" s="1"/>
  <c r="I14" i="11"/>
  <c r="K14" i="11" s="1"/>
  <c r="M14" i="11" s="1"/>
  <c r="I22" i="11"/>
  <c r="I17" i="11" s="1"/>
  <c r="I18" i="11"/>
  <c r="I16" i="11"/>
  <c r="K16" i="11" s="1"/>
  <c r="M16" i="11" s="1"/>
  <c r="AC16" i="11" s="1"/>
  <c r="AD16" i="11" s="1"/>
  <c r="AE16" i="11" s="1"/>
  <c r="K18" i="11" l="1"/>
  <c r="AE18" i="11"/>
  <c r="Y19" i="11"/>
  <c r="AA19" i="11" s="1"/>
  <c r="S19" i="11"/>
  <c r="W19" i="11"/>
  <c r="O19" i="11"/>
  <c r="K22" i="11"/>
  <c r="Q22" i="11" s="1"/>
  <c r="S16" i="11"/>
  <c r="O16" i="11"/>
  <c r="Y16" i="11"/>
  <c r="AA16" i="11" s="1"/>
  <c r="W16" i="11"/>
  <c r="O15" i="11"/>
  <c r="Y15" i="11"/>
  <c r="AA15" i="11" s="1"/>
  <c r="W15" i="11"/>
  <c r="S15" i="11"/>
  <c r="I24" i="11"/>
  <c r="I20" i="11"/>
  <c r="M22" i="11" l="1"/>
  <c r="U22" i="11"/>
  <c r="K24" i="11"/>
  <c r="K17" i="11" s="1"/>
  <c r="K20" i="11" s="1"/>
  <c r="Q24" i="11"/>
  <c r="Q17" i="11"/>
  <c r="M24" i="11"/>
  <c r="O22" i="11"/>
  <c r="O24" i="11" s="1"/>
  <c r="O14" i="11"/>
  <c r="AC22" i="11" l="1"/>
  <c r="Y22" i="11"/>
  <c r="AA22" i="11" s="1"/>
  <c r="M17" i="11"/>
  <c r="O17" i="11" s="1"/>
  <c r="S22" i="11"/>
  <c r="S24" i="11"/>
  <c r="U24" i="11"/>
  <c r="W24" i="11" s="1"/>
  <c r="U17" i="11"/>
  <c r="U14" i="11" s="1"/>
  <c r="W22" i="11"/>
  <c r="Q14" i="11"/>
  <c r="Y24" i="11"/>
  <c r="U20" i="11"/>
  <c r="AC24" i="11" l="1"/>
  <c r="AD22" i="11"/>
  <c r="W17" i="11"/>
  <c r="M20" i="11"/>
  <c r="W20" i="11" s="1"/>
  <c r="AC17" i="11"/>
  <c r="AD17" i="11" s="1"/>
  <c r="AE17" i="11" s="1"/>
  <c r="AC14" i="11"/>
  <c r="AD14" i="11" s="1"/>
  <c r="S17" i="11"/>
  <c r="Q20" i="11"/>
  <c r="S14" i="11"/>
  <c r="Y14" i="11"/>
  <c r="W14" i="11"/>
  <c r="AA24" i="11"/>
  <c r="Y17" i="11"/>
  <c r="AA17" i="11" s="1"/>
  <c r="AD24" i="11" l="1"/>
  <c r="AE24" i="11" s="1"/>
  <c r="AE22" i="11"/>
  <c r="AD20" i="11"/>
  <c r="AE20" i="11" s="1"/>
  <c r="AE14" i="11"/>
  <c r="AC20" i="11"/>
  <c r="O20" i="11"/>
  <c r="M58" i="11"/>
  <c r="Y20" i="11"/>
  <c r="AA20" i="11" s="1"/>
  <c r="AA14" i="11"/>
  <c r="S20" i="11"/>
</calcChain>
</file>

<file path=xl/sharedStrings.xml><?xml version="1.0" encoding="utf-8"?>
<sst xmlns="http://schemas.openxmlformats.org/spreadsheetml/2006/main" count="542" uniqueCount="171">
  <si>
    <t>Dominion Energy Utah</t>
  </si>
  <si>
    <t>Docket No. 19-057-02</t>
  </si>
  <si>
    <t>Total TS</t>
  </si>
  <si>
    <t>Class</t>
  </si>
  <si>
    <t>DEU Exhibit 4.18</t>
  </si>
  <si>
    <t xml:space="preserve">Threshold </t>
  </si>
  <si>
    <t>for TSL</t>
  </si>
  <si>
    <t>Annual Dth</t>
  </si>
  <si>
    <t>na</t>
  </si>
  <si>
    <t>Indicates "not applicable"</t>
  </si>
  <si>
    <t>&lt; 120,000 Dth</t>
  </si>
  <si>
    <t>TS</t>
  </si>
  <si>
    <t>&gt; 800,000 Dth</t>
  </si>
  <si>
    <t>&gt; 120,000 Dth</t>
  </si>
  <si>
    <t>&lt; 800,000 Dth</t>
  </si>
  <si>
    <t>DEU Response to DPU Data Request 11.01, Att 5</t>
  </si>
  <si>
    <t>Annual Revenue at Present Rates for TS Class Segmented by Annual Use Categories</t>
  </si>
  <si>
    <t>Annual Dth Use for TS Class Segmented by Annual Use Categories</t>
  </si>
  <si>
    <t>Revenue Deficiencies for TS Class Segmented by Annual Use Categories</t>
  </si>
  <si>
    <t>Percent of Total TS Class Annual Dth</t>
  </si>
  <si>
    <t>Revenue Deficiency by Segment</t>
  </si>
  <si>
    <t>Percent of Total TS Class Deficiency</t>
  </si>
  <si>
    <t>Percent of TS Class Revenue at Present Rates</t>
  </si>
  <si>
    <t>Revenue Deficiency as a Percent of Present Revenue</t>
  </si>
  <si>
    <t>Annual Dth by TS Class Segment</t>
  </si>
  <si>
    <t>DEU Response to USM Data Request 2.01, Att 5</t>
  </si>
  <si>
    <t xml:space="preserve">Class Segments Based on Annual Dth </t>
  </si>
  <si>
    <t>Total</t>
  </si>
  <si>
    <t>DEU Exhibit 4.06</t>
  </si>
  <si>
    <t>Page 1 of 2</t>
  </si>
  <si>
    <t>COST OF SERVICE SUMMARY AND ALLOCATIONS TO RATE CLASSES</t>
  </si>
  <si>
    <t>Allocations to Rate Classes</t>
  </si>
  <si>
    <t>Description</t>
  </si>
  <si>
    <t>GS</t>
  </si>
  <si>
    <t>TSS</t>
  </si>
  <si>
    <t>TSL</t>
  </si>
  <si>
    <t>NET INCOME SUMMARY</t>
  </si>
  <si>
    <t>Utility Operating Revenue</t>
  </si>
  <si>
    <t>System Distribution Non-Gas Revenue</t>
  </si>
  <si>
    <t>System Supplier Non-Gas Revenue</t>
  </si>
  <si>
    <t>System Commodity Revenue</t>
  </si>
  <si>
    <t>Pass-Through Related Other Revenue</t>
  </si>
  <si>
    <t>General Related Other Revenue</t>
  </si>
  <si>
    <t>Total Utility Operating Revenue</t>
  </si>
  <si>
    <t>Utility Operating Expenses</t>
  </si>
  <si>
    <t>Gas Purchase Expenses</t>
  </si>
  <si>
    <t>Utah</t>
  </si>
  <si>
    <t>Value of Peaking Supply</t>
  </si>
  <si>
    <t>Total Gas Purchase Expenses</t>
  </si>
  <si>
    <t>O&amp;M Expenses</t>
  </si>
  <si>
    <t>Production</t>
  </si>
  <si>
    <t>Distribution</t>
  </si>
  <si>
    <t>Customer Accounts</t>
  </si>
  <si>
    <t>Customer Service &amp; Information</t>
  </si>
  <si>
    <t>Administrative &amp; General</t>
  </si>
  <si>
    <t>Total O&amp;M Expense</t>
  </si>
  <si>
    <t>Other Operating Expenses</t>
  </si>
  <si>
    <t>Depreciation, Depletion, Amortization</t>
  </si>
  <si>
    <t>Taxes Other Than Income Taxes</t>
  </si>
  <si>
    <t>Income Taxes</t>
  </si>
  <si>
    <t>Total Other Operating Expenses</t>
  </si>
  <si>
    <t>Total Utility Operating Expenses</t>
  </si>
  <si>
    <t>NET OPERATING INCOME</t>
  </si>
  <si>
    <t>RATE BASE SUMMARY</t>
  </si>
  <si>
    <t>Net Utility Plant</t>
  </si>
  <si>
    <t>Gas Plant In Service</t>
  </si>
  <si>
    <t>Gas Plant Held For Future Use</t>
  </si>
  <si>
    <t>Completed Construction Not Classified</t>
  </si>
  <si>
    <t>Accumulated Depreciation</t>
  </si>
  <si>
    <t>Accumulated Amort &amp; Depletion</t>
  </si>
  <si>
    <t>Other Regulatory Liabilities</t>
  </si>
  <si>
    <t>Total Net Utility Plant</t>
  </si>
  <si>
    <t>Other Rate Base Accounts</t>
  </si>
  <si>
    <t>Materials &amp; Supplies</t>
  </si>
  <si>
    <t>164-1</t>
  </si>
  <si>
    <t>Gas Stored Underground</t>
  </si>
  <si>
    <t>Prepayments</t>
  </si>
  <si>
    <t>190008</t>
  </si>
  <si>
    <t>Accum Deferred Income Tax Federal</t>
  </si>
  <si>
    <t>Accum Deferred Income Tax State</t>
  </si>
  <si>
    <t>235-1</t>
  </si>
  <si>
    <t>Customer Deposits</t>
  </si>
  <si>
    <t>Misc Customer Credits</t>
  </si>
  <si>
    <t>253-1</t>
  </si>
  <si>
    <t>Unclaimed Customer Deposits</t>
  </si>
  <si>
    <t>Deferred Investment Tax Credits</t>
  </si>
  <si>
    <t>Accum Deferred Income Taxes</t>
  </si>
  <si>
    <t>Working Capital - Cash</t>
  </si>
  <si>
    <t>Total Other Rate Base Accounts</t>
  </si>
  <si>
    <t>TOTAL RATE BASE</t>
  </si>
  <si>
    <t>Return On Rate Base- Actual</t>
  </si>
  <si>
    <t>Return On Equity - Actual</t>
  </si>
  <si>
    <t>Cost of Service (Line 25 + Line 26)</t>
  </si>
  <si>
    <t>Deficiency (((Line 48 * Line 57) - Line 26) * Tax Factor)</t>
  </si>
  <si>
    <t>&lt; 35,000 Dth</t>
  </si>
  <si>
    <t>&gt; 35,000 Dth</t>
  </si>
  <si>
    <t>DEU Response to UAE Data Request 2.01, Att 5</t>
  </si>
  <si>
    <t>Revenue Deficiency per Dth of Subclass Use</t>
  </si>
  <si>
    <t>From DEU Response to UAE Data Request 2.01, Attachment 5, COS Summary</t>
  </si>
  <si>
    <t>Return On Rate Base - Actual</t>
  </si>
  <si>
    <t xml:space="preserve">Deficiency </t>
  </si>
  <si>
    <t>DEU Response to UAE Data Request 2.01, Attachment 5, COS Summary Revised for 68/32 Factor 230 Weighting</t>
  </si>
  <si>
    <t>System Average</t>
  </si>
  <si>
    <t>NGV</t>
  </si>
  <si>
    <t>TBF</t>
  </si>
  <si>
    <t>IS</t>
  </si>
  <si>
    <t>FS</t>
  </si>
  <si>
    <t>Deficiency</t>
  </si>
  <si>
    <t>68/32</t>
  </si>
  <si>
    <t>60/40</t>
  </si>
  <si>
    <t>Rate Class</t>
  </si>
  <si>
    <t>Revenue</t>
  </si>
  <si>
    <t>Factor 230</t>
  </si>
  <si>
    <t>UAE DR 2.01</t>
  </si>
  <si>
    <t>Change in</t>
  </si>
  <si>
    <t>With Revised</t>
  </si>
  <si>
    <t>DEU COSS</t>
  </si>
  <si>
    <t>Class Revenue Deficiency (Surplus)</t>
  </si>
  <si>
    <t>Class Rates of Return</t>
  </si>
  <si>
    <t>UPSC Docket No. 19-057-02</t>
  </si>
  <si>
    <t xml:space="preserve">Rates of Return and Revenue Deficiencies by Rate Class </t>
  </si>
  <si>
    <t>Current DNG</t>
  </si>
  <si>
    <t>$</t>
  </si>
  <si>
    <t>%</t>
  </si>
  <si>
    <t>Current</t>
  </si>
  <si>
    <t>With 68/32 Weighting of Allocation Factor 230</t>
  </si>
  <si>
    <t>ANGC Proposed Three-Step Phase-In of Revenue Increase at DEU Proposed Revenue Increase</t>
  </si>
  <si>
    <t>Step 1</t>
  </si>
  <si>
    <t>Step 2</t>
  </si>
  <si>
    <t>Step 3</t>
  </si>
  <si>
    <t>DNG</t>
  </si>
  <si>
    <r>
      <t xml:space="preserve">ANGC Proposed Three-Step Phase-In of Revenue Adjustments by Class at a </t>
    </r>
    <r>
      <rPr>
        <b/>
        <sz val="14"/>
        <color rgb="FFFF0000"/>
        <rFont val="Arial"/>
        <family val="2"/>
      </rPr>
      <t>Zero</t>
    </r>
    <r>
      <rPr>
        <b/>
        <sz val="14"/>
        <color theme="1"/>
        <rFont val="Arial"/>
        <family val="2"/>
      </rPr>
      <t xml:space="preserve"> Overall Revenue Increase</t>
    </r>
  </si>
  <si>
    <t>Redistribute</t>
  </si>
  <si>
    <t>TBF Subsidy</t>
  </si>
  <si>
    <t>(with No Increase)</t>
  </si>
  <si>
    <t>Rate</t>
  </si>
  <si>
    <t>On-Going</t>
  </si>
  <si>
    <t>Revenue Increase</t>
  </si>
  <si>
    <t>Subsidy</t>
  </si>
  <si>
    <t>Final Class</t>
  </si>
  <si>
    <t>Increase</t>
  </si>
  <si>
    <t>On-Going TBF</t>
  </si>
  <si>
    <t>Subsidy 2/</t>
  </si>
  <si>
    <t>Plus Subsidy</t>
  </si>
  <si>
    <t>TBF % of COS</t>
  </si>
  <si>
    <r>
      <t xml:space="preserve">2/  </t>
    </r>
    <r>
      <rPr>
        <b/>
        <sz val="10"/>
        <color theme="1"/>
        <rFont val="Arial"/>
        <family val="2"/>
      </rPr>
      <t>On-Going TBF Subsidy</t>
    </r>
    <r>
      <rPr>
        <sz val="10"/>
        <color theme="1"/>
        <rFont val="Arial"/>
        <family val="2"/>
      </rPr>
      <t xml:space="preserve"> = Current TBF Revenue Deficiency less the total of the maximum 20% increases applied in each Step shown above.  </t>
    </r>
  </si>
  <si>
    <t>Allocation 1/</t>
  </si>
  <si>
    <t xml:space="preserve">1/  On-Going TBF Subsidy allocated on Current DNG Revenue for all classes except severely under-earning classes (i.e., TSL and TBF). </t>
  </si>
  <si>
    <t>Adj Results for &gt; 800,000 Dth</t>
  </si>
  <si>
    <t>Difference</t>
  </si>
  <si>
    <t>&gt;120,000 Dth &gt; 800,000 Dth</t>
  </si>
  <si>
    <t>&gt; 35,000 Dth &lt; 120,000 Dth</t>
  </si>
  <si>
    <t>Fully Distributed Results</t>
  </si>
  <si>
    <r>
      <t xml:space="preserve">Scenario 3 </t>
    </r>
    <r>
      <rPr>
        <b/>
        <i/>
        <sz val="10"/>
        <color theme="1"/>
        <rFont val="Arial"/>
        <family val="2"/>
      </rPr>
      <t>(DEU Response to USM Data Request 2.01, Attachment 5)</t>
    </r>
  </si>
  <si>
    <r>
      <t xml:space="preserve">Scenario 2 </t>
    </r>
    <r>
      <rPr>
        <b/>
        <i/>
        <sz val="10"/>
        <color theme="1"/>
        <rFont val="Arial"/>
        <family val="2"/>
      </rPr>
      <t>(DEU Response to DPU Data Request 11.01, Attachment 5)</t>
    </r>
  </si>
  <si>
    <r>
      <t xml:space="preserve">Scenario 1 </t>
    </r>
    <r>
      <rPr>
        <b/>
        <i/>
        <sz val="10"/>
        <color theme="1"/>
        <rFont val="Arial"/>
        <family val="2"/>
      </rPr>
      <t>(DEU Response to UAE Data Request 2.01, Attachment 5)</t>
    </r>
  </si>
  <si>
    <t>Rate Base</t>
  </si>
  <si>
    <t>Income</t>
  </si>
  <si>
    <t>Customer Segment</t>
  </si>
  <si>
    <t>Return on</t>
  </si>
  <si>
    <t>Allocated</t>
  </si>
  <si>
    <t>Operating</t>
  </si>
  <si>
    <t>TS Class</t>
  </si>
  <si>
    <t>Rate of</t>
  </si>
  <si>
    <t>Net</t>
  </si>
  <si>
    <t>TS Subclass Rates of Return</t>
  </si>
  <si>
    <t>TS Subclass Revenue Deficiencies</t>
  </si>
  <si>
    <t>TS Class RORs and Revenue Deficiency by Usage Category</t>
  </si>
  <si>
    <t>TS Class RORs and Revenue Deficiencies by Usage Category</t>
  </si>
  <si>
    <r>
      <t xml:space="preserve">From DEU Response to </t>
    </r>
    <r>
      <rPr>
        <b/>
        <i/>
        <sz val="10"/>
        <rFont val="Arial"/>
        <family val="2"/>
      </rPr>
      <t>USM</t>
    </r>
    <r>
      <rPr>
        <i/>
        <sz val="10"/>
        <rFont val="Arial"/>
        <family val="2"/>
      </rPr>
      <t xml:space="preserve"> Data Request 2.01, Attachment 5, COS Summary</t>
    </r>
  </si>
  <si>
    <t>With and Without Revision to Allocation Factor 230 Weighting of Design Day and Annual Throughput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</si>
</sst>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  <numFmt numFmtId="167" formatCode="mmmm\ d\,\ yyyy\ \ \ h:mm\ AM/PM"/>
    <numFmt numFmtId="168" formatCode="0_);\(0\)"/>
    <numFmt numFmtId="169" formatCode="_(&quot;$&quot;* #,##0.000_);_(&quot;$&quot;* \(#,##0.000\);_(&quot;$&quot;* &quot;-&quot;??_);_(@_)"/>
    <numFmt numFmtId="170" formatCode="0.0000"/>
    <numFmt numFmtId="171" formatCode="[$-409]mmmm\-yy;@"/>
    <numFmt numFmtId="172" formatCode="0.000"/>
    <numFmt numFmtId="173" formatCode="0.000%"/>
  </numFmts>
  <fonts count="29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i/>
      <sz val="12"/>
      <color theme="1"/>
      <name val="Arial"/>
      <family val="2"/>
    </font>
    <font>
      <b/>
      <i/>
      <sz val="14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i/>
      <sz val="11"/>
      <color theme="1"/>
      <name val="Arial"/>
      <family val="2"/>
    </font>
    <font>
      <i/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8"/>
      <name val="LinePrinter"/>
    </font>
    <font>
      <sz val="12"/>
      <name val="Times New Roman"/>
      <family val="1"/>
    </font>
    <font>
      <b/>
      <sz val="14"/>
      <color theme="1"/>
      <name val="Arial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name val="Arial Narrow"/>
      <family val="2"/>
    </font>
    <font>
      <i/>
      <sz val="11"/>
      <color rgb="FF7F7F7F"/>
      <name val="Calibri"/>
      <family val="2"/>
      <scheme val="minor"/>
    </font>
    <font>
      <b/>
      <sz val="14"/>
      <color rgb="FFFF0000"/>
      <name val="Arial"/>
      <family val="2"/>
    </font>
    <font>
      <sz val="11"/>
      <color indexed="8"/>
      <name val="Calibri"/>
      <family val="2"/>
      <scheme val="minor"/>
    </font>
    <font>
      <b/>
      <i/>
      <sz val="12"/>
      <color theme="1"/>
      <name val="Arial"/>
      <family val="2"/>
    </font>
    <font>
      <b/>
      <i/>
      <u/>
      <sz val="12"/>
      <color theme="1"/>
      <name val="Arial"/>
      <family val="2"/>
    </font>
    <font>
      <u/>
      <sz val="10"/>
      <color theme="1"/>
      <name val="Arial"/>
      <family val="2"/>
    </font>
    <font>
      <b/>
      <i/>
      <sz val="10"/>
      <name val="Arial"/>
      <family val="2"/>
    </font>
    <font>
      <b/>
      <i/>
      <u/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mediumGray">
        <fgColor indexed="22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1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4" fillId="0" borderId="0"/>
    <xf numFmtId="0" fontId="6" fillId="0" borderId="0"/>
    <xf numFmtId="43" fontId="6" fillId="0" borderId="0" applyFont="0" applyFill="0" applyBorder="0" applyProtection="0"/>
    <xf numFmtId="43" fontId="6" fillId="0" borderId="0" applyFont="0" applyFill="0" applyBorder="0" applyAlignment="0" applyProtection="0"/>
    <xf numFmtId="43" fontId="6" fillId="0" borderId="0" applyFont="0" applyFill="0" applyBorder="0" applyProtection="0"/>
    <xf numFmtId="44" fontId="6" fillId="0" borderId="0" applyFont="0" applyFill="0" applyBorder="0" applyAlignment="0" applyProtection="0"/>
    <xf numFmtId="0" fontId="18" fillId="0" borderId="0"/>
    <xf numFmtId="0" fontId="6" fillId="0" borderId="0"/>
    <xf numFmtId="0" fontId="6" fillId="0" borderId="0"/>
    <xf numFmtId="0" fontId="6" fillId="0" borderId="0"/>
    <xf numFmtId="0" fontId="18" fillId="0" borderId="0"/>
    <xf numFmtId="0" fontId="18" fillId="0" borderId="0"/>
    <xf numFmtId="0" fontId="18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8" fillId="0" borderId="0" applyNumberFormat="0" applyFont="0" applyFill="0" applyBorder="0" applyAlignment="0" applyProtection="0">
      <alignment horizontal="left"/>
    </xf>
    <xf numFmtId="0" fontId="18" fillId="0" borderId="0" applyNumberFormat="0" applyFont="0" applyFill="0" applyBorder="0" applyAlignment="0" applyProtection="0">
      <alignment horizontal="left"/>
    </xf>
    <xf numFmtId="0" fontId="18" fillId="0" borderId="0" applyNumberFormat="0" applyFont="0" applyFill="0" applyBorder="0" applyAlignment="0" applyProtection="0">
      <alignment horizontal="left"/>
    </xf>
    <xf numFmtId="0" fontId="18" fillId="0" borderId="0" applyNumberFormat="0" applyFont="0" applyFill="0" applyBorder="0" applyAlignment="0" applyProtection="0">
      <alignment horizontal="left"/>
    </xf>
    <xf numFmtId="0" fontId="18" fillId="0" borderId="0" applyNumberFormat="0" applyFont="0" applyFill="0" applyBorder="0" applyAlignment="0" applyProtection="0">
      <alignment horizontal="left"/>
    </xf>
    <xf numFmtId="0" fontId="18" fillId="0" borderId="0" applyNumberFormat="0" applyFont="0" applyFill="0" applyBorder="0" applyAlignment="0" applyProtection="0">
      <alignment horizontal="left"/>
    </xf>
    <xf numFmtId="0" fontId="18" fillId="0" borderId="0" applyNumberFormat="0" applyFont="0" applyFill="0" applyBorder="0" applyAlignment="0" applyProtection="0">
      <alignment horizontal="left"/>
    </xf>
    <xf numFmtId="15" fontId="18" fillId="0" borderId="0" applyFont="0" applyFill="0" applyBorder="0" applyAlignment="0" applyProtection="0"/>
    <xf numFmtId="15" fontId="18" fillId="0" borderId="0" applyFont="0" applyFill="0" applyBorder="0" applyAlignment="0" applyProtection="0"/>
    <xf numFmtId="15" fontId="18" fillId="0" borderId="0" applyFont="0" applyFill="0" applyBorder="0" applyAlignment="0" applyProtection="0"/>
    <xf numFmtId="15" fontId="18" fillId="0" borderId="0" applyFont="0" applyFill="0" applyBorder="0" applyAlignment="0" applyProtection="0"/>
    <xf numFmtId="15" fontId="18" fillId="0" borderId="0" applyFont="0" applyFill="0" applyBorder="0" applyAlignment="0" applyProtection="0"/>
    <xf numFmtId="15" fontId="18" fillId="0" borderId="0" applyFont="0" applyFill="0" applyBorder="0" applyAlignment="0" applyProtection="0"/>
    <xf numFmtId="15" fontId="18" fillId="0" borderId="0" applyFont="0" applyFill="0" applyBorder="0" applyAlignment="0" applyProtection="0"/>
    <xf numFmtId="4" fontId="18" fillId="0" borderId="0" applyFont="0" applyFill="0" applyBorder="0" applyAlignment="0" applyProtection="0"/>
    <xf numFmtId="4" fontId="18" fillId="0" borderId="0" applyFont="0" applyFill="0" applyBorder="0" applyAlignment="0" applyProtection="0"/>
    <xf numFmtId="4" fontId="18" fillId="0" borderId="0" applyFont="0" applyFill="0" applyBorder="0" applyAlignment="0" applyProtection="0"/>
    <xf numFmtId="4" fontId="18" fillId="0" borderId="0" applyFont="0" applyFill="0" applyBorder="0" applyAlignment="0" applyProtection="0"/>
    <xf numFmtId="4" fontId="18" fillId="0" borderId="0" applyFont="0" applyFill="0" applyBorder="0" applyAlignment="0" applyProtection="0"/>
    <xf numFmtId="4" fontId="18" fillId="0" borderId="0" applyFont="0" applyFill="0" applyBorder="0" applyAlignment="0" applyProtection="0"/>
    <xf numFmtId="4" fontId="18" fillId="0" borderId="0" applyFont="0" applyFill="0" applyBorder="0" applyAlignment="0" applyProtection="0"/>
    <xf numFmtId="0" fontId="19" fillId="0" borderId="1">
      <alignment horizontal="center"/>
    </xf>
    <xf numFmtId="0" fontId="19" fillId="0" borderId="1">
      <alignment horizontal="center"/>
    </xf>
    <xf numFmtId="0" fontId="19" fillId="0" borderId="1">
      <alignment horizontal="center"/>
    </xf>
    <xf numFmtId="0" fontId="19" fillId="0" borderId="1">
      <alignment horizontal="center"/>
    </xf>
    <xf numFmtId="0" fontId="19" fillId="0" borderId="1">
      <alignment horizontal="center"/>
    </xf>
    <xf numFmtId="0" fontId="19" fillId="0" borderId="1">
      <alignment horizontal="center"/>
    </xf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0" fontId="18" fillId="6" borderId="0" applyNumberFormat="0" applyFont="0" applyBorder="0" applyAlignment="0" applyProtection="0"/>
    <xf numFmtId="0" fontId="18" fillId="6" borderId="0" applyNumberFormat="0" applyFont="0" applyBorder="0" applyAlignment="0" applyProtection="0"/>
    <xf numFmtId="0" fontId="18" fillId="6" borderId="0" applyNumberFormat="0" applyFont="0" applyBorder="0" applyAlignment="0" applyProtection="0"/>
    <xf numFmtId="0" fontId="18" fillId="6" borderId="0" applyNumberFormat="0" applyFont="0" applyBorder="0" applyAlignment="0" applyProtection="0"/>
    <xf numFmtId="0" fontId="18" fillId="6" borderId="0" applyNumberFormat="0" applyFont="0" applyBorder="0" applyAlignment="0" applyProtection="0"/>
    <xf numFmtId="0" fontId="18" fillId="6" borderId="0" applyNumberFormat="0" applyFont="0" applyBorder="0" applyAlignment="0" applyProtection="0"/>
    <xf numFmtId="0" fontId="18" fillId="0" borderId="0"/>
    <xf numFmtId="0" fontId="18" fillId="0" borderId="0" applyNumberFormat="0" applyFont="0" applyFill="0" applyBorder="0" applyAlignment="0" applyProtection="0">
      <alignment horizontal="left"/>
    </xf>
    <xf numFmtId="15" fontId="18" fillId="0" borderId="0" applyFont="0" applyFill="0" applyBorder="0" applyAlignment="0" applyProtection="0"/>
    <xf numFmtId="4" fontId="18" fillId="0" borderId="0" applyFont="0" applyFill="0" applyBorder="0" applyAlignment="0" applyProtection="0"/>
    <xf numFmtId="0" fontId="19" fillId="0" borderId="1">
      <alignment horizontal="center"/>
    </xf>
    <xf numFmtId="3" fontId="18" fillId="0" borderId="0" applyFont="0" applyFill="0" applyBorder="0" applyAlignment="0" applyProtection="0"/>
    <xf numFmtId="0" fontId="18" fillId="6" borderId="0" applyNumberFormat="0" applyFont="0" applyBorder="0" applyAlignment="0" applyProtection="0"/>
    <xf numFmtId="40" fontId="18" fillId="0" borderId="0" applyFont="0" applyFill="0" applyBorder="0" applyAlignment="0" applyProtection="0"/>
    <xf numFmtId="0" fontId="18" fillId="0" borderId="0"/>
    <xf numFmtId="0" fontId="18" fillId="0" borderId="0" applyNumberFormat="0" applyFont="0" applyFill="0" applyBorder="0" applyAlignment="0" applyProtection="0">
      <alignment horizontal="left"/>
    </xf>
    <xf numFmtId="15" fontId="18" fillId="0" borderId="0" applyFont="0" applyFill="0" applyBorder="0" applyAlignment="0" applyProtection="0"/>
    <xf numFmtId="4" fontId="18" fillId="0" borderId="0" applyFont="0" applyFill="0" applyBorder="0" applyAlignment="0" applyProtection="0"/>
    <xf numFmtId="0" fontId="19" fillId="0" borderId="1">
      <alignment horizontal="center"/>
    </xf>
    <xf numFmtId="3" fontId="18" fillId="0" borderId="0" applyFont="0" applyFill="0" applyBorder="0" applyAlignment="0" applyProtection="0"/>
    <xf numFmtId="0" fontId="18" fillId="6" borderId="0" applyNumberFormat="0" applyFont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9" fillId="0" borderId="5">
      <alignment horizontal="center"/>
    </xf>
    <xf numFmtId="9" fontId="18" fillId="0" borderId="0" applyFont="0" applyFill="0" applyBorder="0" applyAlignment="0" applyProtection="0"/>
    <xf numFmtId="0" fontId="6" fillId="0" borderId="0"/>
    <xf numFmtId="43" fontId="6" fillId="0" borderId="0" applyFont="0" applyFill="0" applyBorder="0" applyProtection="0"/>
    <xf numFmtId="43" fontId="12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8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8" fillId="0" borderId="0" applyNumberFormat="0" applyFont="0" applyFill="0" applyBorder="0" applyAlignment="0" applyProtection="0">
      <alignment horizontal="left"/>
    </xf>
    <xf numFmtId="0" fontId="18" fillId="0" borderId="0" applyNumberFormat="0" applyFont="0" applyFill="0" applyBorder="0" applyAlignment="0" applyProtection="0">
      <alignment horizontal="left"/>
    </xf>
    <xf numFmtId="15" fontId="18" fillId="0" borderId="0" applyFont="0" applyFill="0" applyBorder="0" applyAlignment="0" applyProtection="0"/>
    <xf numFmtId="15" fontId="18" fillId="0" borderId="0" applyFont="0" applyFill="0" applyBorder="0" applyAlignment="0" applyProtection="0"/>
    <xf numFmtId="4" fontId="18" fillId="0" borderId="0" applyFont="0" applyFill="0" applyBorder="0" applyAlignment="0" applyProtection="0"/>
    <xf numFmtId="4" fontId="18" fillId="0" borderId="0" applyFont="0" applyFill="0" applyBorder="0" applyAlignment="0" applyProtection="0"/>
    <xf numFmtId="0" fontId="19" fillId="0" borderId="5">
      <alignment horizontal="center"/>
    </xf>
    <xf numFmtId="0" fontId="19" fillId="0" borderId="5">
      <alignment horizontal="center"/>
    </xf>
    <xf numFmtId="0" fontId="19" fillId="0" borderId="5">
      <alignment horizontal="center"/>
    </xf>
    <xf numFmtId="0" fontId="19" fillId="0" borderId="5">
      <alignment horizontal="center"/>
    </xf>
    <xf numFmtId="0" fontId="19" fillId="0" borderId="5">
      <alignment horizontal="center"/>
    </xf>
    <xf numFmtId="0" fontId="19" fillId="0" borderId="5">
      <alignment horizontal="center"/>
    </xf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0" fontId="18" fillId="6" borderId="0" applyNumberFormat="0" applyFont="0" applyBorder="0" applyAlignment="0" applyProtection="0"/>
    <xf numFmtId="0" fontId="18" fillId="6" borderId="0" applyNumberFormat="0" applyFont="0" applyBorder="0" applyAlignment="0" applyProtection="0"/>
    <xf numFmtId="0" fontId="18" fillId="0" borderId="0"/>
    <xf numFmtId="0" fontId="18" fillId="0" borderId="0" applyNumberFormat="0" applyFont="0" applyFill="0" applyBorder="0" applyAlignment="0" applyProtection="0">
      <alignment horizontal="left"/>
    </xf>
    <xf numFmtId="15" fontId="18" fillId="0" borderId="0" applyFont="0" applyFill="0" applyBorder="0" applyAlignment="0" applyProtection="0"/>
    <xf numFmtId="4" fontId="18" fillId="0" borderId="0" applyFont="0" applyFill="0" applyBorder="0" applyAlignment="0" applyProtection="0"/>
    <xf numFmtId="0" fontId="19" fillId="0" borderId="5">
      <alignment horizontal="center"/>
    </xf>
    <xf numFmtId="3" fontId="18" fillId="0" borderId="0" applyFont="0" applyFill="0" applyBorder="0" applyAlignment="0" applyProtection="0"/>
    <xf numFmtId="0" fontId="18" fillId="6" borderId="0" applyNumberFormat="0" applyFont="0" applyBorder="0" applyAlignment="0" applyProtection="0"/>
    <xf numFmtId="0" fontId="18" fillId="0" borderId="0"/>
    <xf numFmtId="0" fontId="18" fillId="0" borderId="0" applyNumberFormat="0" applyFont="0" applyFill="0" applyBorder="0" applyAlignment="0" applyProtection="0">
      <alignment horizontal="left"/>
    </xf>
    <xf numFmtId="15" fontId="18" fillId="0" borderId="0" applyFont="0" applyFill="0" applyBorder="0" applyAlignment="0" applyProtection="0"/>
    <xf numFmtId="4" fontId="18" fillId="0" borderId="0" applyFont="0" applyFill="0" applyBorder="0" applyAlignment="0" applyProtection="0"/>
    <xf numFmtId="0" fontId="19" fillId="0" borderId="5">
      <alignment horizontal="center"/>
    </xf>
    <xf numFmtId="3" fontId="18" fillId="0" borderId="0" applyFont="0" applyFill="0" applyBorder="0" applyAlignment="0" applyProtection="0"/>
    <xf numFmtId="0" fontId="18" fillId="6" borderId="0" applyNumberFormat="0" applyFont="0" applyBorder="0" applyAlignment="0" applyProtection="0"/>
    <xf numFmtId="43" fontId="6" fillId="0" borderId="0" applyFont="0" applyFill="0" applyBorder="0" applyProtection="0"/>
    <xf numFmtId="0" fontId="6" fillId="3" borderId="3" applyNumberFormat="0" applyFont="0" applyAlignment="0" applyProtection="0"/>
    <xf numFmtId="0" fontId="12" fillId="0" borderId="0"/>
    <xf numFmtId="171" fontId="18" fillId="0" borderId="0"/>
    <xf numFmtId="0" fontId="6" fillId="0" borderId="0"/>
    <xf numFmtId="0" fontId="12" fillId="0" borderId="0"/>
    <xf numFmtId="44" fontId="12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/>
    <xf numFmtId="0" fontId="12" fillId="4" borderId="0" applyNumberFormat="0" applyBorder="0" applyAlignment="0" applyProtection="0"/>
    <xf numFmtId="43" fontId="12" fillId="0" borderId="0" applyFont="0" applyFill="0" applyBorder="0" applyAlignment="0" applyProtection="0"/>
    <xf numFmtId="0" fontId="19" fillId="0" borderId="5">
      <alignment horizontal="center"/>
    </xf>
    <xf numFmtId="0" fontId="19" fillId="0" borderId="5">
      <alignment horizontal="center"/>
    </xf>
    <xf numFmtId="0" fontId="19" fillId="0" borderId="5">
      <alignment horizontal="center"/>
    </xf>
    <xf numFmtId="0" fontId="19" fillId="0" borderId="7">
      <alignment horizontal="center"/>
    </xf>
    <xf numFmtId="0" fontId="19" fillId="0" borderId="7">
      <alignment horizontal="center"/>
    </xf>
    <xf numFmtId="0" fontId="19" fillId="0" borderId="7">
      <alignment horizontal="center"/>
    </xf>
    <xf numFmtId="0" fontId="19" fillId="0" borderId="7">
      <alignment horizontal="center"/>
    </xf>
    <xf numFmtId="0" fontId="19" fillId="0" borderId="7">
      <alignment horizontal="center"/>
    </xf>
    <xf numFmtId="0" fontId="19" fillId="0" borderId="7">
      <alignment horizontal="center"/>
    </xf>
    <xf numFmtId="0" fontId="19" fillId="0" borderId="5">
      <alignment horizontal="center"/>
    </xf>
    <xf numFmtId="0" fontId="19" fillId="0" borderId="7">
      <alignment horizontal="center"/>
    </xf>
    <xf numFmtId="0" fontId="19" fillId="0" borderId="7">
      <alignment horizontal="center"/>
    </xf>
    <xf numFmtId="0" fontId="19" fillId="0" borderId="5">
      <alignment horizontal="center"/>
    </xf>
    <xf numFmtId="0" fontId="19" fillId="0" borderId="5">
      <alignment horizontal="center"/>
    </xf>
    <xf numFmtId="0" fontId="19" fillId="0" borderId="5">
      <alignment horizontal="center"/>
    </xf>
    <xf numFmtId="43" fontId="12" fillId="0" borderId="0" applyFont="0" applyFill="0" applyBorder="0" applyAlignment="0" applyProtection="0"/>
    <xf numFmtId="0" fontId="19" fillId="0" borderId="5">
      <alignment horizontal="center"/>
    </xf>
    <xf numFmtId="0" fontId="19" fillId="0" borderId="5">
      <alignment horizontal="center"/>
    </xf>
    <xf numFmtId="0" fontId="19" fillId="0" borderId="5">
      <alignment horizontal="center"/>
    </xf>
    <xf numFmtId="0" fontId="19" fillId="0" borderId="5">
      <alignment horizontal="center"/>
    </xf>
    <xf numFmtId="0" fontId="19" fillId="0" borderId="5">
      <alignment horizontal="center"/>
    </xf>
    <xf numFmtId="0" fontId="19" fillId="0" borderId="5">
      <alignment horizontal="center"/>
    </xf>
    <xf numFmtId="0" fontId="19" fillId="0" borderId="5">
      <alignment horizontal="center"/>
    </xf>
    <xf numFmtId="0" fontId="19" fillId="0" borderId="5">
      <alignment horizontal="center"/>
    </xf>
    <xf numFmtId="0" fontId="19" fillId="0" borderId="5">
      <alignment horizontal="center"/>
    </xf>
    <xf numFmtId="0" fontId="6" fillId="3" borderId="3" applyNumberFormat="0" applyFont="0" applyAlignment="0" applyProtection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0" fontId="12" fillId="4" borderId="0" applyNumberFormat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0" fontId="19" fillId="0" borderId="5">
      <alignment horizontal="center"/>
    </xf>
    <xf numFmtId="0" fontId="19" fillId="0" borderId="5">
      <alignment horizontal="center"/>
    </xf>
    <xf numFmtId="0" fontId="23" fillId="0" borderId="0"/>
    <xf numFmtId="0" fontId="19" fillId="0" borderId="5">
      <alignment horizontal="center"/>
    </xf>
    <xf numFmtId="0" fontId="19" fillId="0" borderId="5">
      <alignment horizontal="center"/>
    </xf>
    <xf numFmtId="0" fontId="19" fillId="0" borderId="5">
      <alignment horizontal="center"/>
    </xf>
    <xf numFmtId="0" fontId="19" fillId="0" borderId="5">
      <alignment horizontal="center"/>
    </xf>
    <xf numFmtId="0" fontId="19" fillId="0" borderId="5">
      <alignment horizontal="center"/>
    </xf>
    <xf numFmtId="0" fontId="19" fillId="0" borderId="5">
      <alignment horizontal="center"/>
    </xf>
    <xf numFmtId="0" fontId="19" fillId="0" borderId="5">
      <alignment horizontal="center"/>
    </xf>
    <xf numFmtId="0" fontId="19" fillId="0" borderId="5">
      <alignment horizontal="center"/>
    </xf>
    <xf numFmtId="0" fontId="19" fillId="0" borderId="7">
      <alignment horizontal="center"/>
    </xf>
    <xf numFmtId="0" fontId="19" fillId="0" borderId="7">
      <alignment horizontal="center"/>
    </xf>
    <xf numFmtId="0" fontId="19" fillId="0" borderId="7">
      <alignment horizontal="center"/>
    </xf>
    <xf numFmtId="0" fontId="19" fillId="0" borderId="7">
      <alignment horizontal="center"/>
    </xf>
    <xf numFmtId="0" fontId="19" fillId="0" borderId="7">
      <alignment horizontal="center"/>
    </xf>
    <xf numFmtId="0" fontId="19" fillId="0" borderId="7">
      <alignment horizontal="center"/>
    </xf>
    <xf numFmtId="0" fontId="19" fillId="0" borderId="7">
      <alignment horizontal="center"/>
    </xf>
    <xf numFmtId="0" fontId="19" fillId="0" borderId="7">
      <alignment horizontal="center"/>
    </xf>
    <xf numFmtId="0" fontId="19" fillId="0" borderId="7">
      <alignment horizontal="center"/>
    </xf>
    <xf numFmtId="0" fontId="19" fillId="0" borderId="7">
      <alignment horizontal="center"/>
    </xf>
    <xf numFmtId="0" fontId="19" fillId="0" borderId="7">
      <alignment horizontal="center"/>
    </xf>
    <xf numFmtId="0" fontId="19" fillId="0" borderId="7">
      <alignment horizontal="center"/>
    </xf>
    <xf numFmtId="0" fontId="19" fillId="0" borderId="7">
      <alignment horizontal="center"/>
    </xf>
    <xf numFmtId="0" fontId="19" fillId="0" borderId="7">
      <alignment horizontal="center"/>
    </xf>
    <xf numFmtId="0" fontId="19" fillId="0" borderId="7">
      <alignment horizontal="center"/>
    </xf>
    <xf numFmtId="0" fontId="19" fillId="0" borderId="7">
      <alignment horizontal="center"/>
    </xf>
    <xf numFmtId="0" fontId="19" fillId="0" borderId="7">
      <alignment horizontal="center"/>
    </xf>
    <xf numFmtId="0" fontId="19" fillId="0" borderId="7">
      <alignment horizontal="center"/>
    </xf>
    <xf numFmtId="0" fontId="19" fillId="0" borderId="7">
      <alignment horizontal="center"/>
    </xf>
    <xf numFmtId="0" fontId="19" fillId="0" borderId="7">
      <alignment horizontal="center"/>
    </xf>
    <xf numFmtId="0" fontId="19" fillId="0" borderId="7">
      <alignment horizontal="center"/>
    </xf>
    <xf numFmtId="0" fontId="19" fillId="0" borderId="7">
      <alignment horizontal="center"/>
    </xf>
    <xf numFmtId="0" fontId="19" fillId="0" borderId="7">
      <alignment horizontal="center"/>
    </xf>
    <xf numFmtId="0" fontId="19" fillId="0" borderId="7">
      <alignment horizontal="center"/>
    </xf>
    <xf numFmtId="0" fontId="19" fillId="0" borderId="7">
      <alignment horizontal="center"/>
    </xf>
    <xf numFmtId="0" fontId="19" fillId="0" borderId="7">
      <alignment horizontal="center"/>
    </xf>
    <xf numFmtId="0" fontId="19" fillId="0" borderId="7">
      <alignment horizontal="center"/>
    </xf>
    <xf numFmtId="0" fontId="19" fillId="0" borderId="7">
      <alignment horizontal="center"/>
    </xf>
    <xf numFmtId="0" fontId="19" fillId="0" borderId="7">
      <alignment horizontal="center"/>
    </xf>
    <xf numFmtId="0" fontId="19" fillId="0" borderId="7">
      <alignment horizontal="center"/>
    </xf>
    <xf numFmtId="0" fontId="19" fillId="0" borderId="7">
      <alignment horizontal="center"/>
    </xf>
    <xf numFmtId="0" fontId="19" fillId="0" borderId="7">
      <alignment horizontal="center"/>
    </xf>
    <xf numFmtId="0" fontId="19" fillId="0" borderId="7">
      <alignment horizontal="center"/>
    </xf>
    <xf numFmtId="0" fontId="19" fillId="0" borderId="7">
      <alignment horizontal="center"/>
    </xf>
    <xf numFmtId="0" fontId="19" fillId="0" borderId="7">
      <alignment horizontal="center"/>
    </xf>
  </cellStyleXfs>
  <cellXfs count="20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Alignment="1">
      <alignment horizontal="center"/>
    </xf>
    <xf numFmtId="37" fontId="6" fillId="0" borderId="0" xfId="0" applyNumberFormat="1" applyFont="1" applyFill="1" applyBorder="1"/>
    <xf numFmtId="37" fontId="0" fillId="0" borderId="0" xfId="0" applyNumberFormat="1"/>
    <xf numFmtId="164" fontId="0" fillId="0" borderId="0" xfId="1" applyNumberFormat="1" applyFont="1"/>
    <xf numFmtId="37" fontId="7" fillId="0" borderId="0" xfId="0" applyNumberFormat="1" applyFont="1" applyFill="1" applyBorder="1"/>
    <xf numFmtId="0" fontId="0" fillId="0" borderId="0" xfId="0" applyFill="1"/>
    <xf numFmtId="0" fontId="8" fillId="0" borderId="0" xfId="0" applyFont="1"/>
    <xf numFmtId="165" fontId="8" fillId="0" borderId="0" xfId="3" applyNumberFormat="1" applyFont="1"/>
    <xf numFmtId="0" fontId="0" fillId="0" borderId="1" xfId="0" applyBorder="1"/>
    <xf numFmtId="166" fontId="6" fillId="0" borderId="0" xfId="2" applyNumberFormat="1" applyFont="1" applyFill="1" applyBorder="1"/>
    <xf numFmtId="166" fontId="0" fillId="0" borderId="0" xfId="2" applyNumberFormat="1" applyFont="1"/>
    <xf numFmtId="0" fontId="10" fillId="0" borderId="0" xfId="0" applyFont="1"/>
    <xf numFmtId="164" fontId="6" fillId="0" borderId="0" xfId="1" applyNumberFormat="1" applyFont="1" applyFill="1" applyBorder="1"/>
    <xf numFmtId="165" fontId="9" fillId="0" borderId="0" xfId="3" applyNumberFormat="1" applyFont="1"/>
    <xf numFmtId="3" fontId="6" fillId="0" borderId="0" xfId="0" applyNumberFormat="1" applyFont="1" applyFill="1" applyBorder="1" applyAlignment="1"/>
    <xf numFmtId="166" fontId="6" fillId="0" borderId="0" xfId="2" applyNumberFormat="1" applyFont="1" applyFill="1" applyBorder="1" applyAlignment="1"/>
    <xf numFmtId="0" fontId="11" fillId="0" borderId="0" xfId="0" applyFont="1"/>
    <xf numFmtId="37" fontId="6" fillId="0" borderId="0" xfId="3" applyNumberFormat="1" applyFont="1" applyFill="1" applyBorder="1"/>
    <xf numFmtId="165" fontId="0" fillId="0" borderId="0" xfId="3" applyNumberFormat="1" applyFont="1"/>
    <xf numFmtId="10" fontId="0" fillId="0" borderId="0" xfId="3" applyNumberFormat="1" applyFont="1"/>
    <xf numFmtId="164" fontId="0" fillId="0" borderId="0" xfId="0" applyNumberFormat="1"/>
    <xf numFmtId="10" fontId="0" fillId="0" borderId="0" xfId="0" applyNumberFormat="1"/>
    <xf numFmtId="0" fontId="2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37" fontId="6" fillId="0" borderId="0" xfId="1" applyNumberFormat="1" applyFont="1" applyFill="1"/>
    <xf numFmtId="0" fontId="6" fillId="0" borderId="0" xfId="0" applyFont="1" applyFill="1"/>
    <xf numFmtId="0" fontId="15" fillId="0" borderId="0" xfId="0" applyFont="1" applyFill="1" applyAlignment="1" applyProtection="1">
      <alignment horizontal="right"/>
    </xf>
    <xf numFmtId="0" fontId="15" fillId="0" borderId="0" xfId="0" applyFont="1" applyFill="1" applyAlignment="1">
      <alignment horizontal="right"/>
    </xf>
    <xf numFmtId="164" fontId="7" fillId="0" borderId="0" xfId="1" applyNumberFormat="1" applyFont="1" applyFill="1" applyAlignment="1">
      <alignment horizontal="left"/>
    </xf>
    <xf numFmtId="37" fontId="7" fillId="0" borderId="0" xfId="1" applyNumberFormat="1" applyFont="1" applyFill="1" applyAlignment="1">
      <alignment horizontal="center"/>
    </xf>
    <xf numFmtId="10" fontId="7" fillId="0" borderId="0" xfId="0" quotePrefix="1" applyNumberFormat="1" applyFont="1" applyFill="1" applyAlignment="1">
      <alignment horizontal="left"/>
    </xf>
    <xf numFmtId="37" fontId="7" fillId="0" borderId="0" xfId="1" applyNumberFormat="1" applyFont="1" applyFill="1"/>
    <xf numFmtId="37" fontId="6" fillId="0" borderId="0" xfId="1" applyNumberFormat="1" applyFont="1" applyFill="1" applyAlignment="1">
      <alignment horizontal="left"/>
    </xf>
    <xf numFmtId="37" fontId="6" fillId="0" borderId="0" xfId="0" applyNumberFormat="1" applyFont="1" applyFill="1"/>
    <xf numFmtId="167" fontId="7" fillId="0" borderId="0" xfId="0" applyNumberFormat="1" applyFont="1" applyFill="1" applyAlignment="1">
      <alignment horizontal="left"/>
    </xf>
    <xf numFmtId="37" fontId="7" fillId="0" borderId="0" xfId="1" applyNumberFormat="1" applyFont="1" applyFill="1" applyBorder="1" applyAlignment="1">
      <alignment horizontal="center"/>
    </xf>
    <xf numFmtId="37" fontId="7" fillId="0" borderId="0" xfId="1" quotePrefix="1" applyNumberFormat="1" applyFont="1" applyFill="1" applyAlignment="1">
      <alignment horizontal="center"/>
    </xf>
    <xf numFmtId="168" fontId="6" fillId="0" borderId="0" xfId="1" applyNumberFormat="1" applyFont="1" applyFill="1" applyAlignment="1">
      <alignment horizontal="center"/>
    </xf>
    <xf numFmtId="37" fontId="7" fillId="0" borderId="0" xfId="1" applyNumberFormat="1" applyFont="1" applyFill="1" applyAlignment="1"/>
    <xf numFmtId="0" fontId="6" fillId="0" borderId="0" xfId="0" applyFont="1" applyFill="1" applyBorder="1"/>
    <xf numFmtId="37" fontId="7" fillId="0" borderId="1" xfId="1" applyNumberFormat="1" applyFont="1" applyFill="1" applyBorder="1" applyAlignment="1">
      <alignment horizontal="center"/>
    </xf>
    <xf numFmtId="37" fontId="7" fillId="2" borderId="1" xfId="1" applyNumberFormat="1" applyFont="1" applyFill="1" applyBorder="1" applyAlignment="1">
      <alignment horizontal="center"/>
    </xf>
    <xf numFmtId="0" fontId="6" fillId="0" borderId="0" xfId="1" applyNumberFormat="1" applyFont="1" applyFill="1" applyAlignment="1">
      <alignment horizontal="center"/>
    </xf>
    <xf numFmtId="37" fontId="7" fillId="0" borderId="0" xfId="1" applyNumberFormat="1" applyFont="1" applyFill="1" applyAlignment="1">
      <alignment horizontal="left"/>
    </xf>
    <xf numFmtId="37" fontId="6" fillId="0" borderId="0" xfId="1" applyNumberFormat="1" applyFont="1" applyFill="1" applyBorder="1"/>
    <xf numFmtId="37" fontId="6" fillId="0" borderId="1" xfId="1" applyNumberFormat="1" applyFont="1" applyFill="1" applyBorder="1"/>
    <xf numFmtId="37" fontId="7" fillId="0" borderId="0" xfId="1" quotePrefix="1" applyNumberFormat="1" applyFont="1" applyFill="1" applyAlignment="1">
      <alignment horizontal="left"/>
    </xf>
    <xf numFmtId="49" fontId="6" fillId="0" borderId="0" xfId="1" quotePrefix="1" applyNumberFormat="1" applyFont="1" applyFill="1" applyAlignment="1">
      <alignment horizontal="left"/>
    </xf>
    <xf numFmtId="164" fontId="6" fillId="0" borderId="0" xfId="1" quotePrefix="1" applyNumberFormat="1" applyFont="1" applyFill="1" applyAlignment="1">
      <alignment horizontal="left"/>
    </xf>
    <xf numFmtId="0" fontId="6" fillId="0" borderId="0" xfId="0" applyNumberFormat="1" applyFont="1" applyFill="1" applyAlignment="1">
      <alignment horizontal="center"/>
    </xf>
    <xf numFmtId="10" fontId="6" fillId="0" borderId="0" xfId="0" applyNumberFormat="1" applyFont="1" applyFill="1" applyBorder="1"/>
    <xf numFmtId="37" fontId="6" fillId="0" borderId="0" xfId="1" quotePrefix="1" applyNumberFormat="1" applyFont="1" applyFill="1" applyBorder="1" applyAlignment="1">
      <alignment horizontal="left"/>
    </xf>
    <xf numFmtId="0" fontId="6" fillId="0" borderId="0" xfId="0" quotePrefix="1" applyFont="1" applyFill="1" applyAlignment="1">
      <alignment horizontal="left"/>
    </xf>
    <xf numFmtId="37" fontId="7" fillId="0" borderId="0" xfId="1" quotePrefix="1" applyNumberFormat="1" applyFont="1" applyFill="1" applyAlignment="1">
      <alignment horizontal="center"/>
    </xf>
    <xf numFmtId="37" fontId="7" fillId="0" borderId="1" xfId="1" applyNumberFormat="1" applyFont="1" applyFill="1" applyBorder="1" applyAlignment="1">
      <alignment horizontal="center"/>
    </xf>
    <xf numFmtId="37" fontId="7" fillId="0" borderId="0" xfId="1" applyNumberFormat="1" applyFont="1" applyFill="1" applyAlignment="1">
      <alignment horizontal="left"/>
    </xf>
    <xf numFmtId="37" fontId="7" fillId="0" borderId="0" xfId="1" quotePrefix="1" applyNumberFormat="1" applyFont="1" applyFill="1" applyAlignment="1">
      <alignment horizontal="left"/>
    </xf>
    <xf numFmtId="166" fontId="0" fillId="0" borderId="0" xfId="2" applyNumberFormat="1" applyFont="1" applyFill="1"/>
    <xf numFmtId="166" fontId="0" fillId="0" borderId="0" xfId="0" applyNumberFormat="1"/>
    <xf numFmtId="165" fontId="0" fillId="0" borderId="0" xfId="0" applyNumberFormat="1"/>
    <xf numFmtId="37" fontId="0" fillId="0" borderId="0" xfId="0" applyNumberFormat="1" applyFill="1"/>
    <xf numFmtId="44" fontId="0" fillId="0" borderId="0" xfId="2" applyFont="1"/>
    <xf numFmtId="0" fontId="0" fillId="5" borderId="0" xfId="0" applyFill="1"/>
    <xf numFmtId="169" fontId="0" fillId="5" borderId="0" xfId="2" applyNumberFormat="1" applyFont="1" applyFill="1"/>
    <xf numFmtId="37" fontId="17" fillId="0" borderId="0" xfId="1" applyNumberFormat="1" applyFont="1" applyFill="1" applyBorder="1" applyAlignment="1">
      <alignment horizontal="center"/>
    </xf>
    <xf numFmtId="37" fontId="17" fillId="0" borderId="0" xfId="1" applyNumberFormat="1" applyFont="1" applyFill="1" applyBorder="1" applyAlignment="1">
      <alignment horizontal="center"/>
    </xf>
    <xf numFmtId="165" fontId="0" fillId="0" borderId="0" xfId="0" applyNumberFormat="1" applyBorder="1"/>
    <xf numFmtId="0" fontId="0" fillId="0" borderId="0" xfId="0" applyFill="1" applyBorder="1"/>
    <xf numFmtId="10" fontId="2" fillId="2" borderId="0" xfId="3" applyNumberFormat="1" applyFont="1" applyFill="1"/>
    <xf numFmtId="166" fontId="0" fillId="0" borderId="2" xfId="0" applyNumberFormat="1" applyBorder="1"/>
    <xf numFmtId="170" fontId="0" fillId="0" borderId="0" xfId="0" applyNumberFormat="1"/>
    <xf numFmtId="172" fontId="0" fillId="0" borderId="0" xfId="0" applyNumberFormat="1"/>
    <xf numFmtId="0" fontId="8" fillId="0" borderId="0" xfId="0" applyFont="1" applyFill="1" applyBorder="1" applyAlignment="1">
      <alignment horizontal="center"/>
    </xf>
    <xf numFmtId="166" fontId="0" fillId="0" borderId="2" xfId="2" applyNumberFormat="1" applyFont="1" applyFill="1" applyBorder="1"/>
    <xf numFmtId="0" fontId="13" fillId="0" borderId="0" xfId="0" applyFont="1" applyBorder="1"/>
    <xf numFmtId="0" fontId="2" fillId="0" borderId="0" xfId="0" applyFont="1" applyAlignment="1">
      <alignment horizontal="center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10" fontId="0" fillId="0" borderId="0" xfId="3" applyNumberFormat="1" applyFont="1" applyFill="1"/>
    <xf numFmtId="164" fontId="0" fillId="0" borderId="0" xfId="1" applyNumberFormat="1" applyFont="1" applyFill="1"/>
    <xf numFmtId="0" fontId="6" fillId="0" borderId="0" xfId="0" applyFont="1" applyFill="1" applyAlignment="1">
      <alignment horizontal="center"/>
    </xf>
    <xf numFmtId="10" fontId="7" fillId="2" borderId="0" xfId="13" applyNumberFormat="1" applyFont="1" applyFill="1" applyBorder="1"/>
    <xf numFmtId="10" fontId="0" fillId="0" borderId="2" xfId="3" applyNumberFormat="1" applyFont="1" applyBorder="1"/>
    <xf numFmtId="166" fontId="0" fillId="0" borderId="0" xfId="2" applyNumberFormat="1" applyFont="1" applyBorder="1"/>
    <xf numFmtId="0" fontId="13" fillId="0" borderId="2" xfId="0" applyFont="1" applyBorder="1"/>
    <xf numFmtId="6" fontId="0" fillId="0" borderId="0" xfId="0" applyNumberFormat="1"/>
    <xf numFmtId="10" fontId="7" fillId="2" borderId="0" xfId="0" applyNumberFormat="1" applyFont="1" applyFill="1" applyBorder="1"/>
    <xf numFmtId="37" fontId="6" fillId="0" borderId="7" xfId="1" applyNumberFormat="1" applyFont="1" applyFill="1" applyBorder="1"/>
    <xf numFmtId="0" fontId="16" fillId="0" borderId="0" xfId="0" applyFont="1"/>
    <xf numFmtId="166" fontId="0" fillId="0" borderId="0" xfId="0" applyNumberFormat="1" applyFill="1"/>
    <xf numFmtId="0" fontId="13" fillId="0" borderId="2" xfId="0" applyFont="1" applyBorder="1" applyAlignment="1">
      <alignment horizontal="center"/>
    </xf>
    <xf numFmtId="0" fontId="13" fillId="0" borderId="0" xfId="0" applyFont="1"/>
    <xf numFmtId="166" fontId="0" fillId="0" borderId="2" xfId="2" applyNumberFormat="1" applyFont="1" applyBorder="1"/>
    <xf numFmtId="37" fontId="7" fillId="2" borderId="7" xfId="124" applyNumberFormat="1" applyFont="1" applyFill="1" applyBorder="1" applyAlignment="1">
      <alignment horizontal="center"/>
    </xf>
    <xf numFmtId="37" fontId="7" fillId="2" borderId="0" xfId="0" applyNumberFormat="1" applyFont="1" applyFill="1" applyBorder="1"/>
    <xf numFmtId="10" fontId="6" fillId="0" borderId="0" xfId="124" applyNumberFormat="1" applyFont="1" applyFill="1" applyBorder="1" applyAlignment="1">
      <alignment horizontal="right"/>
    </xf>
    <xf numFmtId="37" fontId="7" fillId="2" borderId="0" xfId="13" applyNumberFormat="1" applyFont="1" applyFill="1" applyBorder="1"/>
    <xf numFmtId="0" fontId="0" fillId="0" borderId="7" xfId="0" applyBorder="1"/>
    <xf numFmtId="166" fontId="0" fillId="2" borderId="0" xfId="0" applyNumberFormat="1" applyFill="1"/>
    <xf numFmtId="37" fontId="6" fillId="0" borderId="8" xfId="124" applyNumberFormat="1" applyFont="1" applyFill="1" applyBorder="1"/>
    <xf numFmtId="37" fontId="17" fillId="0" borderId="0" xfId="124" applyNumberFormat="1" applyFont="1" applyFill="1" applyBorder="1" applyAlignment="1">
      <alignment horizontal="center"/>
    </xf>
    <xf numFmtId="164" fontId="6" fillId="0" borderId="7" xfId="1" applyNumberFormat="1" applyFont="1" applyFill="1" applyBorder="1"/>
    <xf numFmtId="0" fontId="13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37" fontId="7" fillId="0" borderId="0" xfId="124" applyNumberFormat="1" applyFont="1" applyFill="1"/>
    <xf numFmtId="164" fontId="6" fillId="0" borderId="0" xfId="124" applyNumberFormat="1" applyFont="1" applyFill="1"/>
    <xf numFmtId="10" fontId="6" fillId="0" borderId="0" xfId="13" applyNumberFormat="1" applyFont="1" applyFill="1" applyBorder="1"/>
    <xf numFmtId="37" fontId="6" fillId="0" borderId="0" xfId="124" applyNumberFormat="1" applyFont="1" applyFill="1" applyAlignment="1">
      <alignment horizontal="left"/>
    </xf>
    <xf numFmtId="37" fontId="6" fillId="0" borderId="0" xfId="124" applyNumberFormat="1" applyFont="1" applyFill="1"/>
    <xf numFmtId="37" fontId="7" fillId="0" borderId="0" xfId="124" applyNumberFormat="1" applyFont="1" applyFill="1" applyAlignment="1"/>
    <xf numFmtId="37" fontId="6" fillId="0" borderId="0" xfId="124" applyNumberFormat="1" applyFont="1" applyFill="1" applyBorder="1"/>
    <xf numFmtId="164" fontId="6" fillId="0" borderId="0" xfId="124" quotePrefix="1" applyNumberFormat="1" applyFont="1" applyFill="1" applyAlignment="1">
      <alignment horizontal="left"/>
    </xf>
    <xf numFmtId="37" fontId="6" fillId="0" borderId="0" xfId="124" applyNumberFormat="1" applyFont="1" applyFill="1" applyBorder="1" applyAlignment="1">
      <alignment horizontal="right"/>
    </xf>
    <xf numFmtId="37" fontId="6" fillId="0" borderId="0" xfId="13" applyNumberFormat="1" applyFont="1" applyFill="1" applyBorder="1"/>
    <xf numFmtId="37" fontId="6" fillId="0" borderId="4" xfId="124" applyNumberFormat="1" applyFont="1" applyFill="1" applyBorder="1"/>
    <xf numFmtId="37" fontId="6" fillId="0" borderId="7" xfId="124" applyNumberFormat="1" applyFont="1" applyFill="1" applyBorder="1"/>
    <xf numFmtId="168" fontId="6" fillId="0" borderId="0" xfId="124" applyNumberFormat="1" applyFont="1" applyFill="1" applyAlignment="1">
      <alignment horizontal="center"/>
    </xf>
    <xf numFmtId="49" fontId="6" fillId="0" borderId="0" xfId="124" quotePrefix="1" applyNumberFormat="1" applyFont="1" applyFill="1" applyAlignment="1">
      <alignment horizontal="left"/>
    </xf>
    <xf numFmtId="37" fontId="6" fillId="0" borderId="4" xfId="124" applyNumberFormat="1" applyFont="1" applyFill="1" applyBorder="1" applyAlignment="1">
      <alignment horizontal="right"/>
    </xf>
    <xf numFmtId="0" fontId="6" fillId="0" borderId="0" xfId="124" applyNumberFormat="1" applyFont="1" applyFill="1" applyAlignment="1">
      <alignment horizontal="center"/>
    </xf>
    <xf numFmtId="37" fontId="6" fillId="0" borderId="7" xfId="124" applyNumberFormat="1" applyFont="1" applyFill="1" applyBorder="1" applyAlignment="1">
      <alignment horizontal="right"/>
    </xf>
    <xf numFmtId="37" fontId="6" fillId="0" borderId="0" xfId="124" quotePrefix="1" applyNumberFormat="1" applyFont="1" applyFill="1" applyAlignment="1">
      <alignment horizontal="left"/>
    </xf>
    <xf numFmtId="37" fontId="7" fillId="0" borderId="7" xfId="124" applyNumberFormat="1" applyFont="1" applyFill="1" applyBorder="1" applyAlignment="1">
      <alignment horizontal="center"/>
    </xf>
    <xf numFmtId="164" fontId="7" fillId="0" borderId="0" xfId="124" applyNumberFormat="1" applyFont="1" applyFill="1" applyAlignment="1">
      <alignment horizontal="left"/>
    </xf>
    <xf numFmtId="37" fontId="7" fillId="0" borderId="0" xfId="124" applyNumberFormat="1" applyFont="1" applyFill="1" applyAlignment="1">
      <alignment horizontal="left"/>
    </xf>
    <xf numFmtId="37" fontId="7" fillId="0" borderId="0" xfId="124" quotePrefix="1" applyNumberFormat="1" applyFont="1" applyFill="1" applyAlignment="1">
      <alignment horizontal="left"/>
    </xf>
    <xf numFmtId="37" fontId="7" fillId="0" borderId="0" xfId="124" quotePrefix="1" applyNumberFormat="1" applyFont="1" applyFill="1" applyAlignment="1">
      <alignment horizontal="center"/>
    </xf>
    <xf numFmtId="37" fontId="7" fillId="0" borderId="0" xfId="124" applyNumberFormat="1" applyFont="1" applyFill="1" applyBorder="1" applyAlignment="1">
      <alignment horizontal="center"/>
    </xf>
    <xf numFmtId="37" fontId="7" fillId="0" borderId="0" xfId="124" applyNumberFormat="1" applyFont="1" applyFill="1" applyAlignment="1">
      <alignment horizontal="center"/>
    </xf>
    <xf numFmtId="0" fontId="0" fillId="7" borderId="0" xfId="0" applyFill="1"/>
    <xf numFmtId="10" fontId="2" fillId="7" borderId="0" xfId="3" applyNumberFormat="1" applyFont="1" applyFill="1" applyAlignment="1">
      <alignment horizontal="center"/>
    </xf>
    <xf numFmtId="37" fontId="0" fillId="7" borderId="0" xfId="0" applyNumberFormat="1" applyFill="1"/>
    <xf numFmtId="0" fontId="0" fillId="7" borderId="0" xfId="0" applyFill="1" applyAlignment="1">
      <alignment horizontal="center"/>
    </xf>
    <xf numFmtId="10" fontId="0" fillId="7" borderId="0" xfId="3" applyNumberFormat="1" applyFont="1" applyFill="1" applyAlignment="1">
      <alignment horizontal="center"/>
    </xf>
    <xf numFmtId="173" fontId="0" fillId="0" borderId="0" xfId="3" applyNumberFormat="1" applyFont="1" applyAlignment="1">
      <alignment horizontal="center"/>
    </xf>
    <xf numFmtId="10" fontId="13" fillId="0" borderId="0" xfId="3" applyNumberFormat="1" applyFont="1" applyAlignment="1">
      <alignment horizontal="center"/>
    </xf>
    <xf numFmtId="37" fontId="0" fillId="0" borderId="2" xfId="0" applyNumberFormat="1" applyBorder="1"/>
    <xf numFmtId="10" fontId="0" fillId="0" borderId="0" xfId="3" applyNumberFormat="1" applyFont="1" applyAlignment="1">
      <alignment horizontal="center"/>
    </xf>
    <xf numFmtId="10" fontId="2" fillId="0" borderId="0" xfId="3" applyNumberFormat="1" applyFont="1" applyAlignment="1">
      <alignment horizontal="center"/>
    </xf>
    <xf numFmtId="37" fontId="6" fillId="0" borderId="2" xfId="124" applyNumberFormat="1" applyFont="1" applyFill="1" applyBorder="1"/>
    <xf numFmtId="0" fontId="24" fillId="0" borderId="0" xfId="0" applyFont="1"/>
    <xf numFmtId="0" fontId="25" fillId="0" borderId="0" xfId="0" applyFont="1"/>
    <xf numFmtId="0" fontId="26" fillId="0" borderId="0" xfId="0" applyFont="1"/>
    <xf numFmtId="166" fontId="0" fillId="7" borderId="2" xfId="0" applyNumberFormat="1" applyFill="1" applyBorder="1"/>
    <xf numFmtId="166" fontId="0" fillId="7" borderId="0" xfId="2" applyNumberFormat="1" applyFont="1" applyFill="1"/>
    <xf numFmtId="0" fontId="28" fillId="0" borderId="0" xfId="0" applyFont="1"/>
    <xf numFmtId="166" fontId="0" fillId="7" borderId="0" xfId="0" applyNumberFormat="1" applyFill="1"/>
    <xf numFmtId="0" fontId="8" fillId="0" borderId="0" xfId="0" applyFont="1"/>
    <xf numFmtId="165" fontId="8" fillId="0" borderId="0" xfId="3" applyNumberFormat="1" applyFont="1"/>
    <xf numFmtId="9" fontId="8" fillId="0" borderId="0" xfId="3" applyFont="1"/>
    <xf numFmtId="37" fontId="2" fillId="2" borderId="0" xfId="0" applyNumberFormat="1" applyFont="1" applyFill="1"/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37" fontId="0" fillId="0" borderId="0" xfId="0" applyNumberFormat="1"/>
    <xf numFmtId="164" fontId="0" fillId="0" borderId="0" xfId="1" applyNumberFormat="1" applyFont="1"/>
    <xf numFmtId="37" fontId="7" fillId="0" borderId="0" xfId="0" applyNumberFormat="1" applyFont="1" applyFill="1" applyBorder="1"/>
    <xf numFmtId="0" fontId="0" fillId="0" borderId="0" xfId="0" applyFill="1"/>
    <xf numFmtId="0" fontId="8" fillId="0" borderId="0" xfId="0" applyFont="1"/>
    <xf numFmtId="165" fontId="8" fillId="0" borderId="0" xfId="3" applyNumberFormat="1" applyFont="1"/>
    <xf numFmtId="166" fontId="6" fillId="0" borderId="0" xfId="2" applyNumberFormat="1" applyFont="1" applyFill="1" applyBorder="1"/>
    <xf numFmtId="166" fontId="0" fillId="0" borderId="0" xfId="2" applyNumberFormat="1" applyFont="1"/>
    <xf numFmtId="165" fontId="9" fillId="0" borderId="0" xfId="3" applyNumberFormat="1" applyFont="1"/>
    <xf numFmtId="0" fontId="11" fillId="0" borderId="0" xfId="0" applyFont="1"/>
    <xf numFmtId="10" fontId="0" fillId="0" borderId="0" xfId="0" applyNumberFormat="1"/>
    <xf numFmtId="166" fontId="0" fillId="0" borderId="0" xfId="0" applyNumberFormat="1"/>
    <xf numFmtId="165" fontId="0" fillId="0" borderId="0" xfId="0" applyNumberFormat="1"/>
    <xf numFmtId="10" fontId="7" fillId="2" borderId="0" xfId="13" applyNumberFormat="1" applyFont="1" applyFill="1" applyBorder="1"/>
    <xf numFmtId="165" fontId="10" fillId="2" borderId="0" xfId="3" applyNumberFormat="1" applyFont="1" applyFill="1"/>
    <xf numFmtId="0" fontId="16" fillId="0" borderId="0" xfId="0" applyFont="1"/>
    <xf numFmtId="37" fontId="6" fillId="0" borderId="8" xfId="124" applyNumberFormat="1" applyFont="1" applyFill="1" applyBorder="1"/>
    <xf numFmtId="10" fontId="6" fillId="0" borderId="0" xfId="13" applyNumberFormat="1" applyFont="1" applyFill="1" applyBorder="1"/>
    <xf numFmtId="37" fontId="6" fillId="0" borderId="0" xfId="124" applyNumberFormat="1" applyFont="1" applyFill="1" applyBorder="1"/>
    <xf numFmtId="37" fontId="6" fillId="0" borderId="0" xfId="124" applyNumberFormat="1" applyFont="1" applyFill="1" applyBorder="1" applyAlignment="1">
      <alignment horizontal="right"/>
    </xf>
    <xf numFmtId="37" fontId="6" fillId="0" borderId="0" xfId="13" applyNumberFormat="1" applyFont="1" applyFill="1" applyBorder="1"/>
    <xf numFmtId="37" fontId="6" fillId="0" borderId="4" xfId="124" applyNumberFormat="1" applyFont="1" applyFill="1" applyBorder="1"/>
    <xf numFmtId="37" fontId="6" fillId="0" borderId="7" xfId="124" applyNumberFormat="1" applyFont="1" applyFill="1" applyBorder="1"/>
    <xf numFmtId="37" fontId="6" fillId="0" borderId="7" xfId="124" applyNumberFormat="1" applyFont="1" applyFill="1" applyBorder="1" applyAlignment="1">
      <alignment horizontal="right"/>
    </xf>
    <xf numFmtId="37" fontId="7" fillId="0" borderId="0" xfId="1" quotePrefix="1" applyNumberFormat="1" applyFont="1" applyFill="1" applyAlignment="1">
      <alignment horizontal="center"/>
    </xf>
    <xf numFmtId="37" fontId="7" fillId="0" borderId="1" xfId="1" applyNumberFormat="1" applyFont="1" applyFill="1" applyBorder="1" applyAlignment="1">
      <alignment horizontal="center"/>
    </xf>
    <xf numFmtId="37" fontId="7" fillId="0" borderId="0" xfId="1" applyNumberFormat="1" applyFont="1" applyFill="1" applyAlignment="1">
      <alignment horizontal="left"/>
    </xf>
    <xf numFmtId="37" fontId="7" fillId="0" borderId="0" xfId="1" quotePrefix="1" applyNumberFormat="1" applyFont="1" applyFill="1" applyAlignment="1">
      <alignment horizontal="left"/>
    </xf>
    <xf numFmtId="37" fontId="17" fillId="0" borderId="0" xfId="1" applyNumberFormat="1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37" fontId="7" fillId="0" borderId="0" xfId="124" quotePrefix="1" applyNumberFormat="1" applyFont="1" applyFill="1" applyAlignment="1">
      <alignment horizontal="left"/>
    </xf>
    <xf numFmtId="37" fontId="7" fillId="0" borderId="0" xfId="124" quotePrefix="1" applyNumberFormat="1" applyFont="1" applyFill="1" applyAlignment="1">
      <alignment horizontal="center"/>
    </xf>
    <xf numFmtId="37" fontId="17" fillId="0" borderId="0" xfId="124" applyNumberFormat="1" applyFont="1" applyFill="1" applyBorder="1" applyAlignment="1">
      <alignment horizontal="center"/>
    </xf>
    <xf numFmtId="37" fontId="7" fillId="0" borderId="0" xfId="124" applyNumberFormat="1" applyFont="1" applyFill="1" applyBorder="1" applyAlignment="1">
      <alignment horizontal="center"/>
    </xf>
    <xf numFmtId="37" fontId="7" fillId="0" borderId="7" xfId="124" applyNumberFormat="1" applyFont="1" applyFill="1" applyBorder="1" applyAlignment="1">
      <alignment horizontal="center"/>
    </xf>
    <xf numFmtId="37" fontId="7" fillId="0" borderId="0" xfId="124" applyNumberFormat="1" applyFont="1" applyFill="1" applyAlignment="1">
      <alignment horizontal="left"/>
    </xf>
    <xf numFmtId="0" fontId="2" fillId="0" borderId="2" xfId="0" applyFont="1" applyBorder="1" applyAlignment="1">
      <alignment horizontal="center"/>
    </xf>
    <xf numFmtId="0" fontId="13" fillId="0" borderId="2" xfId="0" applyFont="1" applyBorder="1" applyAlignment="1">
      <alignment horizontal="center"/>
    </xf>
  </cellXfs>
  <cellStyles count="213">
    <cellStyle name="20% - Accent2 2" xfId="164"/>
    <cellStyle name="20% - Accent2 3" xfId="133"/>
    <cellStyle name="Comma" xfId="1" builtinId="3"/>
    <cellStyle name="Comma 10" xfId="124"/>
    <cellStyle name="Comma 2" xfId="5"/>
    <cellStyle name="Comma 2 2" xfId="89"/>
    <cellStyle name="Comma 2 2 2" xfId="150"/>
    <cellStyle name="Comma 2 3" xfId="134"/>
    <cellStyle name="Comma 3" xfId="9"/>
    <cellStyle name="Comma 3 2" xfId="82"/>
    <cellStyle name="Comma 4" xfId="71"/>
    <cellStyle name="Comma 5" xfId="84"/>
    <cellStyle name="Comma 6" xfId="81"/>
    <cellStyle name="Comma 7" xfId="88"/>
    <cellStyle name="Comma 8" xfId="10"/>
    <cellStyle name="Comma 9" xfId="8"/>
    <cellStyle name="Currency" xfId="2" builtinId="4"/>
    <cellStyle name="Currency 2" xfId="90"/>
    <cellStyle name="Currency 3" xfId="130"/>
    <cellStyle name="Currency 3 2" xfId="163"/>
    <cellStyle name="Currency 4" xfId="166"/>
    <cellStyle name="Currency 5" xfId="11"/>
    <cellStyle name="Explanatory Text 2" xfId="131"/>
    <cellStyle name="Normal" xfId="0" builtinId="0"/>
    <cellStyle name="Normal 10" xfId="83"/>
    <cellStyle name="Normal 10 2" xfId="169"/>
    <cellStyle name="Normal 11" xfId="12"/>
    <cellStyle name="Normal 12" xfId="13"/>
    <cellStyle name="Normal 13" xfId="14"/>
    <cellStyle name="Normal 14" xfId="15"/>
    <cellStyle name="Normal 15" xfId="87"/>
    <cellStyle name="Normal 16" xfId="127"/>
    <cellStyle name="Normal 17" xfId="129"/>
    <cellStyle name="Normal 17 2" xfId="162"/>
    <cellStyle name="Normal 18" xfId="6"/>
    <cellStyle name="Normal 18 2" xfId="165"/>
    <cellStyle name="Normal 19" xfId="16"/>
    <cellStyle name="Normal 19 2" xfId="91"/>
    <cellStyle name="Normal 2" xfId="4"/>
    <cellStyle name="Normal 2 2" xfId="126"/>
    <cellStyle name="Normal 2 2 2" xfId="161"/>
    <cellStyle name="Normal 2 3" xfId="17"/>
    <cellStyle name="Normal 20" xfId="7"/>
    <cellStyle name="Normal 3" xfId="18"/>
    <cellStyle name="Normal 3 2" xfId="128"/>
    <cellStyle name="Normal 4" xfId="64"/>
    <cellStyle name="Normal 4 2" xfId="110"/>
    <cellStyle name="Normal 5" xfId="19"/>
    <cellStyle name="Normal 6" xfId="72"/>
    <cellStyle name="Normal 6 2" xfId="117"/>
    <cellStyle name="Normal 7" xfId="20"/>
    <cellStyle name="Normal 8" xfId="21"/>
    <cellStyle name="Normal 9" xfId="79"/>
    <cellStyle name="Normal 9 2" xfId="132"/>
    <cellStyle name="Note 2" xfId="160"/>
    <cellStyle name="Note 3" xfId="125"/>
    <cellStyle name="Percent" xfId="3" builtinId="5"/>
    <cellStyle name="Percent 2" xfId="23"/>
    <cellStyle name="Percent 3" xfId="24"/>
    <cellStyle name="Percent 3 2" xfId="93"/>
    <cellStyle name="Percent 4" xfId="92"/>
    <cellStyle name="Percent 5" xfId="80"/>
    <cellStyle name="Percent 6" xfId="86"/>
    <cellStyle name="Percent 7" xfId="22"/>
    <cellStyle name="PSChar" xfId="25"/>
    <cellStyle name="PSChar 10" xfId="94"/>
    <cellStyle name="PSChar 2" xfId="26"/>
    <cellStyle name="PSChar 3" xfId="27"/>
    <cellStyle name="PSChar 4" xfId="28"/>
    <cellStyle name="PSChar 5" xfId="29"/>
    <cellStyle name="PSChar 6" xfId="30"/>
    <cellStyle name="PSChar 7" xfId="31"/>
    <cellStyle name="PSChar 7 2" xfId="95"/>
    <cellStyle name="PSChar 8" xfId="65"/>
    <cellStyle name="PSChar 8 2" xfId="111"/>
    <cellStyle name="PSChar 9" xfId="73"/>
    <cellStyle name="PSChar 9 2" xfId="118"/>
    <cellStyle name="PSDate" xfId="32"/>
    <cellStyle name="PSDate 10" xfId="96"/>
    <cellStyle name="PSDate 2" xfId="33"/>
    <cellStyle name="PSDate 3" xfId="34"/>
    <cellStyle name="PSDate 4" xfId="35"/>
    <cellStyle name="PSDate 5" xfId="36"/>
    <cellStyle name="PSDate 6" xfId="37"/>
    <cellStyle name="PSDate 7" xfId="38"/>
    <cellStyle name="PSDate 7 2" xfId="97"/>
    <cellStyle name="PSDate 8" xfId="66"/>
    <cellStyle name="PSDate 8 2" xfId="112"/>
    <cellStyle name="PSDate 9" xfId="74"/>
    <cellStyle name="PSDate 9 2" xfId="119"/>
    <cellStyle name="PSDec" xfId="39"/>
    <cellStyle name="PSDec 10" xfId="98"/>
    <cellStyle name="PSDec 2" xfId="40"/>
    <cellStyle name="PSDec 3" xfId="41"/>
    <cellStyle name="PSDec 4" xfId="42"/>
    <cellStyle name="PSDec 5" xfId="43"/>
    <cellStyle name="PSDec 6" xfId="44"/>
    <cellStyle name="PSDec 7" xfId="45"/>
    <cellStyle name="PSDec 7 2" xfId="99"/>
    <cellStyle name="PSDec 8" xfId="67"/>
    <cellStyle name="PSDec 8 2" xfId="113"/>
    <cellStyle name="PSDec 9" xfId="75"/>
    <cellStyle name="PSDec 9 2" xfId="120"/>
    <cellStyle name="PSHeading" xfId="46"/>
    <cellStyle name="PSHeading 10" xfId="100"/>
    <cellStyle name="PSHeading 10 2" xfId="152"/>
    <cellStyle name="PSHeading 10 2 2" xfId="195"/>
    <cellStyle name="PSHeading 10 3" xfId="168"/>
    <cellStyle name="PSHeading 10 3 2" xfId="204"/>
    <cellStyle name="PSHeading 10 4" xfId="179"/>
    <cellStyle name="PSHeading 11" xfId="138"/>
    <cellStyle name="PSHeading 11 2" xfId="170"/>
    <cellStyle name="PSHeading 11 2 2" xfId="205"/>
    <cellStyle name="PSHeading 12" xfId="167"/>
    <cellStyle name="PSHeading 12 2" xfId="203"/>
    <cellStyle name="PSHeading 2" xfId="47"/>
    <cellStyle name="PSHeading 2 2" xfId="101"/>
    <cellStyle name="PSHeading 2 2 2" xfId="153"/>
    <cellStyle name="PSHeading 2 2 2 2" xfId="196"/>
    <cellStyle name="PSHeading 2 2 3" xfId="180"/>
    <cellStyle name="PSHeading 2 3" xfId="139"/>
    <cellStyle name="PSHeading 2 3 2" xfId="171"/>
    <cellStyle name="PSHeading 2 3 2 2" xfId="206"/>
    <cellStyle name="PSHeading 2 4" xfId="136"/>
    <cellStyle name="PSHeading 2 4 2" xfId="188"/>
    <cellStyle name="PSHeading 3" xfId="48"/>
    <cellStyle name="PSHeading 3 2" xfId="102"/>
    <cellStyle name="PSHeading 3 2 2" xfId="154"/>
    <cellStyle name="PSHeading 3 2 2 2" xfId="197"/>
    <cellStyle name="PSHeading 3 2 3" xfId="181"/>
    <cellStyle name="PSHeading 3 3" xfId="140"/>
    <cellStyle name="PSHeading 3 3 2" xfId="172"/>
    <cellStyle name="PSHeading 3 3 2 2" xfId="207"/>
    <cellStyle name="PSHeading 3 4" xfId="144"/>
    <cellStyle name="PSHeading 3 4 2" xfId="190"/>
    <cellStyle name="PSHeading 4" xfId="49"/>
    <cellStyle name="PSHeading 4 2" xfId="103"/>
    <cellStyle name="PSHeading 4 2 2" xfId="155"/>
    <cellStyle name="PSHeading 4 2 2 2" xfId="198"/>
    <cellStyle name="PSHeading 4 2 3" xfId="182"/>
    <cellStyle name="PSHeading 4 3" xfId="141"/>
    <cellStyle name="PSHeading 4 3 2" xfId="173"/>
    <cellStyle name="PSHeading 4 3 2 2" xfId="208"/>
    <cellStyle name="PSHeading 4 4" xfId="137"/>
    <cellStyle name="PSHeading 4 4 2" xfId="189"/>
    <cellStyle name="PSHeading 5" xfId="50"/>
    <cellStyle name="PSHeading 5 2" xfId="104"/>
    <cellStyle name="PSHeading 5 2 2" xfId="156"/>
    <cellStyle name="PSHeading 5 2 2 2" xfId="199"/>
    <cellStyle name="PSHeading 5 2 3" xfId="183"/>
    <cellStyle name="PSHeading 5 3" xfId="142"/>
    <cellStyle name="PSHeading 5 3 2" xfId="174"/>
    <cellStyle name="PSHeading 5 3 2 2" xfId="209"/>
    <cellStyle name="PSHeading 5 4" xfId="135"/>
    <cellStyle name="PSHeading 5 4 2" xfId="187"/>
    <cellStyle name="PSHeading 6" xfId="51"/>
    <cellStyle name="PSHeading 6 2" xfId="105"/>
    <cellStyle name="PSHeading 6 2 2" xfId="157"/>
    <cellStyle name="PSHeading 6 2 2 2" xfId="200"/>
    <cellStyle name="PSHeading 6 2 3" xfId="184"/>
    <cellStyle name="PSHeading 6 3" xfId="143"/>
    <cellStyle name="PSHeading 6 3 2" xfId="175"/>
    <cellStyle name="PSHeading 6 3 2 2" xfId="210"/>
    <cellStyle name="PSHeading 6 4" xfId="151"/>
    <cellStyle name="PSHeading 6 4 2" xfId="194"/>
    <cellStyle name="PSHeading 7" xfId="68"/>
    <cellStyle name="PSHeading 7 2" xfId="114"/>
    <cellStyle name="PSHeading 7 2 2" xfId="158"/>
    <cellStyle name="PSHeading 7 2 2 2" xfId="201"/>
    <cellStyle name="PSHeading 7 2 3" xfId="185"/>
    <cellStyle name="PSHeading 7 3" xfId="145"/>
    <cellStyle name="PSHeading 7 3 2" xfId="176"/>
    <cellStyle name="PSHeading 7 3 2 2" xfId="211"/>
    <cellStyle name="PSHeading 7 4" xfId="148"/>
    <cellStyle name="PSHeading 7 4 2" xfId="192"/>
    <cellStyle name="PSHeading 8" xfId="76"/>
    <cellStyle name="PSHeading 8 2" xfId="121"/>
    <cellStyle name="PSHeading 8 2 2" xfId="159"/>
    <cellStyle name="PSHeading 8 2 2 2" xfId="202"/>
    <cellStyle name="PSHeading 8 2 3" xfId="186"/>
    <cellStyle name="PSHeading 8 3" xfId="146"/>
    <cellStyle name="PSHeading 8 3 2" xfId="177"/>
    <cellStyle name="PSHeading 8 3 2 2" xfId="212"/>
    <cellStyle name="PSHeading 8 4" xfId="147"/>
    <cellStyle name="PSHeading 8 4 2" xfId="191"/>
    <cellStyle name="PSHeading 9" xfId="85"/>
    <cellStyle name="PSHeading 9 2" xfId="149"/>
    <cellStyle name="PSHeading 9 2 2" xfId="193"/>
    <cellStyle name="PSHeading 9 3" xfId="178"/>
    <cellStyle name="PSInt" xfId="52"/>
    <cellStyle name="PSInt 2" xfId="53"/>
    <cellStyle name="PSInt 3" xfId="54"/>
    <cellStyle name="PSInt 4" xfId="55"/>
    <cellStyle name="PSInt 5" xfId="56"/>
    <cellStyle name="PSInt 6" xfId="57"/>
    <cellStyle name="PSInt 6 2" xfId="107"/>
    <cellStyle name="PSInt 7" xfId="69"/>
    <cellStyle name="PSInt 7 2" xfId="115"/>
    <cellStyle name="PSInt 8" xfId="77"/>
    <cellStyle name="PSInt 8 2" xfId="122"/>
    <cellStyle name="PSInt 9" xfId="106"/>
    <cellStyle name="PSSpacer" xfId="58"/>
    <cellStyle name="PSSpacer 2" xfId="59"/>
    <cellStyle name="PSSpacer 3" xfId="60"/>
    <cellStyle name="PSSpacer 4" xfId="61"/>
    <cellStyle name="PSSpacer 5" xfId="62"/>
    <cellStyle name="PSSpacer 6" xfId="63"/>
    <cellStyle name="PSSpacer 6 2" xfId="109"/>
    <cellStyle name="PSSpacer 7" xfId="70"/>
    <cellStyle name="PSSpacer 7 2" xfId="116"/>
    <cellStyle name="PSSpacer 8" xfId="78"/>
    <cellStyle name="PSSpacer 8 2" xfId="123"/>
    <cellStyle name="PSSpacer 9" xfId="108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mech\AppData\Local\Packages\Microsoft.MicrosoftEdge_8wekyb3d8bbwe\TempState\Downloads\ANGC%20Exh%202.02%20-%20%20DPU%2011.01%20Att%205%20-%202019%20Utah%20Rate%20Case%20Model%20-%20TS%20SPLIT%20120000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wner\Dropbox\RHA%20Current%20Documents\Dominion%20Energy%20Utah\DEU%20Discovery%20Responses\DPU%2011.01%20Attachment%203%20-%20Design-Day_Factortssplit19%2012000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wner\Dropbox\RHA%20Current%20Documents\Dominion%20Energy%20Utah\DEU%20Discovery%20Responses\UAE%202.01%20Attachment%205%20-%202019%20Utah%20Rate%20Case%20Model%20-%20TS%20SPLIT%203500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Panel"/>
      <sheetName val="Report"/>
      <sheetName val="Adjustments"/>
      <sheetName val="ROR-Model"/>
      <sheetName val="Summaries"/>
      <sheetName val="PROJECTED EXPENSES"/>
      <sheetName val="EXPENSES"/>
      <sheetName val="Rate Base"/>
      <sheetName val="RB FORECAST"/>
      <sheetName val="101_106 PROJECTION"/>
      <sheetName val="108_111 Projection"/>
      <sheetName val="PROJECTED ACC 252 (CONTR)"/>
      <sheetName val="190_255_282 FORECAST"/>
      <sheetName val="EDIT Amort Adj"/>
      <sheetName val="Labor Forecast"/>
      <sheetName val="ENERGY EFFICIENCY SERVICES ADJ"/>
      <sheetName val="PIPELINE INTEGRITY"/>
      <sheetName val="Other Taxes"/>
      <sheetName val="Taxes"/>
      <sheetName val="Und Stor"/>
      <sheetName val="Wexpro"/>
      <sheetName val="Tax Surcredit 2"/>
      <sheetName val="Transition Costs"/>
      <sheetName val="RESERVE ACCRUAL"/>
      <sheetName val="Donations"/>
      <sheetName val="Advertising"/>
      <sheetName val="Incentive"/>
      <sheetName val="Sporting Events"/>
      <sheetName val="Revenue"/>
      <sheetName val="Booked DEC 2018 Rev"/>
      <sheetName val="YE Projected Rev 2019"/>
      <sheetName val="YE Proj Rev 2019 with CET "/>
      <sheetName val="AVG Projected Rev 2019 adj HDD"/>
      <sheetName val="AVG Proj Rev 2019 "/>
      <sheetName val="AVG Proj Rev 2019 with CET"/>
      <sheetName val="YE Projected Rev 2020"/>
      <sheetName val="YE Proj Rev 2020 with CET"/>
      <sheetName val="AVG Projected Rev 2020 adj HDD"/>
      <sheetName val="AVG Proj Rev 2020 "/>
      <sheetName val="AVG Proj Rev 2020 with CET"/>
      <sheetName val="Other Rev"/>
      <sheetName val="Utah Bad Debt"/>
      <sheetName val="Capital Str"/>
      <sheetName val="Utah Allocation"/>
      <sheetName val="ALLOCATIONS&amp;PRETAX"/>
      <sheetName val="OYF Savings"/>
      <sheetName val="RNGT -NGV Volume"/>
      <sheetName val="Pension"/>
      <sheetName val="Optional Adjustment 1"/>
      <sheetName val="Optional Adjustment 2"/>
      <sheetName val="Optional Adjustment 3"/>
      <sheetName val="Optional Adjustment 4"/>
      <sheetName val="Optional Adjustment 5"/>
      <sheetName val="Optional Adjustment 6"/>
      <sheetName val="Optional Adjustment 7"/>
      <sheetName val="Optional Adjustment 8"/>
      <sheetName val="Optional Adjustment 9"/>
      <sheetName val="Optional Adjustment 10"/>
      <sheetName val="Optional Adjustment 11"/>
      <sheetName val="Optional Adjustment 12"/>
      <sheetName val="Optional Adjustment 13"/>
      <sheetName val="Optional Adjustment 14"/>
      <sheetName val="Optional Adjustment 15"/>
      <sheetName val="Optional Adjustment 16"/>
      <sheetName val="Optional Adjustment 17"/>
      <sheetName val="Optional Adjustment 18"/>
      <sheetName val="Optional Adjustment 19"/>
      <sheetName val="Optional Adjustment 20"/>
      <sheetName val="Optional Adjustment 21"/>
      <sheetName val="Optional Adjustment 22"/>
      <sheetName val="Optional Adjustment 23"/>
      <sheetName val="Labor Adjustment ROO"/>
      <sheetName val="COS Input"/>
      <sheetName val="Dist Plant"/>
      <sheetName val="COS REVRUN"/>
      <sheetName val="COS Alloc Factors"/>
      <sheetName val="COS Detail"/>
      <sheetName val="Taxes by Class"/>
      <sheetName val="COS Sum"/>
      <sheetName val="Rev Neutral"/>
      <sheetName val="Classification"/>
      <sheetName val="Rules"/>
      <sheetName val="Rate Design 2020 GS 20Yr 30 Dth"/>
      <sheetName val="Rate Design 2020 GS 20Yr 45 Dth"/>
      <sheetName val="Rate Design 2020 GS 30Yr 30 Dth"/>
      <sheetName val="Rate Design 2020 GS 30Yr 45Dth"/>
      <sheetName val="GS Rates 20Yr 30 Dth"/>
      <sheetName val="GS Rates 20Yr 45 Dth"/>
      <sheetName val="FS Rates"/>
      <sheetName val="IS Rates"/>
      <sheetName val="TBF Rates"/>
      <sheetName val="TSF_TSI Rates"/>
      <sheetName val="Sum-Win &amp; Demand Charge"/>
      <sheetName val="rates_curr_prop"/>
      <sheetName val="Proposed Block Out 20Yr 30 Dth"/>
      <sheetName val="Proposed Block Out 20Yr 45 Dth"/>
      <sheetName val="Proposed Block Out 30Yr 30 Dth"/>
      <sheetName val="Proposed Block Out 30Yr 45 Dth"/>
      <sheetName val="Current Block Out"/>
      <sheetName val="rates_2020_criteria"/>
      <sheetName val="Typical GS 2020 20 Yr 30 Dth"/>
      <sheetName val="Typical GS 2020 30 Yr 45 Dth"/>
      <sheetName val="Typical GS 2020 20 Yr 45 Dth"/>
      <sheetName val="Typical GS 2020 30 Yr Dth 30"/>
      <sheetName val="CET Calculation"/>
    </sheetNames>
    <sheetDataSet>
      <sheetData sheetId="0">
        <row r="1">
          <cell r="B1" t="str">
            <v>Dominion Energy</v>
          </cell>
        </row>
        <row r="2">
          <cell r="B2" t="str">
            <v>Utah - DEC 2020 Adjusted Avg  Results CET</v>
          </cell>
        </row>
        <row r="3">
          <cell r="B3" t="str">
            <v>12 Months Ended : Dec-2020</v>
          </cell>
        </row>
      </sheetData>
      <sheetData sheetId="1">
        <row r="6">
          <cell r="J6" t="str">
            <v>Utah</v>
          </cell>
        </row>
        <row r="7">
          <cell r="J7" t="str">
            <v>Jurisdiction</v>
          </cell>
        </row>
        <row r="8">
          <cell r="J8" t="str">
            <v>DNG Related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>
        <row r="9">
          <cell r="I9" t="str">
            <v>GSR</v>
          </cell>
          <cell r="J9" t="str">
            <v>GSC</v>
          </cell>
          <cell r="K9" t="str">
            <v>FS</v>
          </cell>
          <cell r="L9" t="str">
            <v>IS</v>
          </cell>
          <cell r="M9" t="str">
            <v>TS</v>
          </cell>
          <cell r="P9" t="str">
            <v>TBF</v>
          </cell>
          <cell r="Q9" t="str">
            <v>NGV</v>
          </cell>
        </row>
      </sheetData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 4.5"/>
      <sheetName val="Page 2"/>
      <sheetName val="IRP Adjustments"/>
      <sheetName val="UT LRS LRI FROM IRP"/>
      <sheetName val="FIRM PEAK USAGE BY CLASS"/>
      <sheetName val="UT Insufficients FROM IRP"/>
      <sheetName val="GS RES LRS LRI"/>
      <sheetName val="GS NRES LRS LRI"/>
    </sheetNames>
    <sheetDataSet>
      <sheetData sheetId="0">
        <row r="13">
          <cell r="I13">
            <v>13284887</v>
          </cell>
          <cell r="J13">
            <v>42068809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Panel"/>
      <sheetName val="Report"/>
      <sheetName val="Adjustments"/>
      <sheetName val="ROR-Model"/>
      <sheetName val="Summaries"/>
      <sheetName val="PROJECTED EXPENSES"/>
      <sheetName val="EXPENSES"/>
      <sheetName val="Rate Base"/>
      <sheetName val="RB FORECAST"/>
      <sheetName val="101_106 PROJECTION"/>
      <sheetName val="108_111 Projection"/>
      <sheetName val="PROJECTED ACC 252 (CONTR)"/>
      <sheetName val="190_255_282 FORECAST"/>
      <sheetName val="EDIT Amort Adj"/>
      <sheetName val="Labor Forecast"/>
      <sheetName val="ENERGY EFFICIENCY SERVICES ADJ"/>
      <sheetName val="PIPELINE INTEGRITY"/>
      <sheetName val="Other Taxes"/>
      <sheetName val="Taxes"/>
      <sheetName val="Und Stor"/>
      <sheetName val="Wexpro"/>
      <sheetName val="Tax Surcredit 2"/>
      <sheetName val="Transition Costs"/>
      <sheetName val="RESERVE ACCRUAL"/>
      <sheetName val="Donations"/>
      <sheetName val="Advertising"/>
      <sheetName val="Incentive"/>
      <sheetName val="Sporting Events"/>
      <sheetName val="Revenue"/>
      <sheetName val="Booked DEC 2018 Rev"/>
      <sheetName val="YE Projected Rev 2019"/>
      <sheetName val="YE Proj Rev 2019 with CET "/>
      <sheetName val="AVG Projected Rev 2019 adj HDD"/>
      <sheetName val="AVG Proj Rev 2019 "/>
      <sheetName val="AVG Proj Rev 2019 with CET"/>
      <sheetName val="YE Projected Rev 2020"/>
      <sheetName val="YE Proj Rev 2020 with CET"/>
      <sheetName val="AVG Projected Rev 2020 adj HDD"/>
      <sheetName val="AVG Proj Rev 2020 "/>
      <sheetName val="AVG Proj Rev 2020 with CET"/>
      <sheetName val="Other Rev"/>
      <sheetName val="Utah Bad Debt"/>
      <sheetName val="Capital Str"/>
      <sheetName val="Utah Allocation"/>
      <sheetName val="ALLOCATIONS&amp;PRETAX"/>
      <sheetName val="OYF Savings"/>
      <sheetName val="RNGT -NGV Volume"/>
      <sheetName val="Pension"/>
      <sheetName val="Optional Adjustment 1"/>
      <sheetName val="Optional Adjustment 2"/>
      <sheetName val="Optional Adjustment 3"/>
      <sheetName val="Optional Adjustment 4"/>
      <sheetName val="Optional Adjustment 5"/>
      <sheetName val="Optional Adjustment 6"/>
      <sheetName val="Optional Adjustment 7"/>
      <sheetName val="Optional Adjustment 8"/>
      <sheetName val="Optional Adjustment 9"/>
      <sheetName val="Optional Adjustment 10"/>
      <sheetName val="Optional Adjustment 11"/>
      <sheetName val="Optional Adjustment 12"/>
      <sheetName val="Optional Adjustment 13"/>
      <sheetName val="Optional Adjustment 14"/>
      <sheetName val="Optional Adjustment 15"/>
      <sheetName val="Optional Adjustment 16"/>
      <sheetName val="Optional Adjustment 17"/>
      <sheetName val="Optional Adjustment 18"/>
      <sheetName val="Optional Adjustment 19"/>
      <sheetName val="Optional Adjustment 20"/>
      <sheetName val="Optional Adjustment 21"/>
      <sheetName val="Optional Adjustment 22"/>
      <sheetName val="Optional Adjustment 23"/>
      <sheetName val="Labor Adjustment ROO"/>
      <sheetName val="COS Input"/>
      <sheetName val="Dist Plant"/>
      <sheetName val="COS REVRUN"/>
      <sheetName val="COS Alloc Factors"/>
      <sheetName val="COS Detail"/>
      <sheetName val="Taxes by Class"/>
      <sheetName val="COS Sum"/>
      <sheetName val="Rev Neutral"/>
      <sheetName val="Classification"/>
      <sheetName val="Rules"/>
      <sheetName val="Rate Design 2020 GS 20Yr 30 Dth"/>
      <sheetName val="Rate Design 2020 GS 20Yr 45 Dth"/>
      <sheetName val="Rate Design 2020 GS 30Yr 30 Dth"/>
      <sheetName val="Rate Design 2020 GS 30Yr 45Dth"/>
      <sheetName val="GS Rates 20Yr 30 Dth"/>
      <sheetName val="GS Rates 20Yr 45 Dth"/>
      <sheetName val="FS Rates"/>
      <sheetName val="IS Rates"/>
      <sheetName val="TBF Rates"/>
      <sheetName val="TSF_TSI Rates"/>
      <sheetName val="Sum-Win &amp; Demand Charge"/>
      <sheetName val="rates_curr_prop"/>
      <sheetName val="Proposed Block Out 20Yr 30 Dth"/>
      <sheetName val="Proposed Block Out 20Yr 45 Dth"/>
      <sheetName val="Proposed Block Out 30Yr 30 Dth"/>
      <sheetName val="Proposed Block Out 30Yr 45 Dth"/>
      <sheetName val="Current Block Out"/>
      <sheetName val="rates_2020_criteria"/>
      <sheetName val="Typical GS 2020 20 Yr 30 Dth"/>
      <sheetName val="Typical GS 2020 30 Yr 45 Dth"/>
      <sheetName val="Typical GS 2020 20 Yr 45 Dth"/>
      <sheetName val="Typical GS 2020 30 Yr Dth 30"/>
      <sheetName val="CET Calculation"/>
    </sheetNames>
    <sheetDataSet>
      <sheetData sheetId="0">
        <row r="1">
          <cell r="B1" t="str">
            <v>Dominion Energy</v>
          </cell>
        </row>
        <row r="2">
          <cell r="B2" t="str">
            <v>Utah - DEC 2020 Adjusted Avg  Results CET</v>
          </cell>
        </row>
        <row r="3">
          <cell r="B3" t="str">
            <v>12 Months Ended : Dec-2020</v>
          </cell>
        </row>
      </sheetData>
      <sheetData sheetId="1">
        <row r="6">
          <cell r="J6" t="str">
            <v>Utah</v>
          </cell>
        </row>
        <row r="7">
          <cell r="J7" t="str">
            <v>Jurisdiction</v>
          </cell>
        </row>
        <row r="8">
          <cell r="J8" t="str">
            <v>DNG Related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>
        <row r="9">
          <cell r="I9" t="str">
            <v>GSR</v>
          </cell>
          <cell r="J9" t="str">
            <v>GSC</v>
          </cell>
          <cell r="K9" t="str">
            <v>FS</v>
          </cell>
          <cell r="L9" t="str">
            <v>IS</v>
          </cell>
          <cell r="M9" t="str">
            <v>TS</v>
          </cell>
          <cell r="P9" t="str">
            <v>TBF</v>
          </cell>
          <cell r="Q9" t="str">
            <v>NGV</v>
          </cell>
        </row>
      </sheetData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pageSetUpPr fitToPage="1"/>
  </sheetPr>
  <dimension ref="A1:P77"/>
  <sheetViews>
    <sheetView tabSelected="1" workbookViewId="0">
      <selection activeCell="F4" sqref="F4"/>
    </sheetView>
  </sheetViews>
  <sheetFormatPr defaultRowHeight="12.75"/>
  <cols>
    <col min="1" max="1" width="4.140625" customWidth="1"/>
    <col min="2" max="2" width="2.7109375" customWidth="1"/>
    <col min="3" max="3" width="4.5703125" customWidth="1"/>
    <col min="4" max="4" width="5.7109375" customWidth="1"/>
    <col min="5" max="5" width="21.7109375" bestFit="1" customWidth="1"/>
    <col min="6" max="6" width="14.5703125" customWidth="1"/>
    <col min="7" max="7" width="14.42578125" customWidth="1"/>
    <col min="8" max="9" width="0" hidden="1" customWidth="1"/>
    <col min="10" max="10" width="11.5703125" bestFit="1" customWidth="1"/>
    <col min="11" max="11" width="11.7109375" customWidth="1"/>
    <col min="12" max="12" width="0" hidden="1" customWidth="1"/>
    <col min="13" max="14" width="12.28515625" customWidth="1"/>
    <col min="15" max="15" width="12.28515625" bestFit="1" customWidth="1"/>
    <col min="16" max="16" width="11.28515625" bestFit="1" customWidth="1"/>
  </cols>
  <sheetData>
    <row r="1" spans="1:16" ht="15.75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1" t="s">
        <v>0</v>
      </c>
    </row>
    <row r="2" spans="1:16" ht="15.7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2" t="s">
        <v>1</v>
      </c>
    </row>
    <row r="3" spans="1:16" ht="15.75">
      <c r="A3" s="33" t="str">
        <f>'[1]Control Panel'!$B$1</f>
        <v>Dominion Energy</v>
      </c>
      <c r="B3" s="30"/>
      <c r="C3" s="34"/>
      <c r="D3" s="34"/>
      <c r="E3" s="34"/>
      <c r="F3" s="35"/>
      <c r="G3" s="35"/>
      <c r="H3" s="35"/>
      <c r="I3" s="35"/>
      <c r="J3" s="35"/>
      <c r="K3" s="35"/>
      <c r="L3" s="35"/>
      <c r="M3" s="35"/>
      <c r="N3" s="35"/>
      <c r="O3" s="35"/>
      <c r="P3" s="31" t="s">
        <v>28</v>
      </c>
    </row>
    <row r="4" spans="1:16" ht="15.75">
      <c r="A4" s="33" t="str">
        <f>'[1]Control Panel'!$B$2</f>
        <v>Utah - DEC 2020 Adjusted Avg  Results CET</v>
      </c>
      <c r="B4" s="36"/>
      <c r="C4" s="37"/>
      <c r="D4" s="37"/>
      <c r="E4" s="29"/>
      <c r="F4" s="48"/>
      <c r="G4" s="48"/>
      <c r="H4" s="38"/>
      <c r="I4" s="38"/>
      <c r="J4" s="38"/>
      <c r="K4" s="38"/>
      <c r="L4" s="38"/>
      <c r="M4" s="38"/>
      <c r="N4" s="38"/>
      <c r="O4" s="38"/>
      <c r="P4" s="32" t="s">
        <v>29</v>
      </c>
    </row>
    <row r="5" spans="1:16" ht="15.75">
      <c r="A5" s="33" t="str">
        <f>'[1]Control Panel'!$B$3</f>
        <v>12 Months Ended : Dec-2020</v>
      </c>
      <c r="B5" s="36"/>
      <c r="C5" s="37"/>
      <c r="D5" s="37"/>
      <c r="E5" s="29"/>
      <c r="F5" s="48"/>
      <c r="G5" s="48"/>
      <c r="H5" s="38"/>
      <c r="I5" s="38"/>
      <c r="J5" s="38"/>
      <c r="K5" s="38"/>
      <c r="L5" s="38"/>
      <c r="M5" s="38"/>
      <c r="N5" s="38"/>
      <c r="O5" s="38"/>
      <c r="P5" s="32"/>
    </row>
    <row r="6" spans="1:16">
      <c r="A6" s="33"/>
      <c r="B6" s="36"/>
      <c r="C6" s="37"/>
      <c r="D6" s="37"/>
      <c r="E6" s="29"/>
      <c r="F6" s="186" t="s">
        <v>30</v>
      </c>
      <c r="G6" s="186"/>
      <c r="H6" s="186"/>
      <c r="I6" s="186"/>
      <c r="J6" s="186"/>
      <c r="K6" s="186"/>
      <c r="L6" s="186"/>
      <c r="M6" s="186"/>
      <c r="N6" s="186"/>
      <c r="O6" s="186"/>
      <c r="P6" s="186"/>
    </row>
    <row r="7" spans="1:16">
      <c r="A7" s="33"/>
      <c r="B7" s="39"/>
      <c r="C7" s="39"/>
      <c r="D7" s="39"/>
      <c r="E7" s="39"/>
      <c r="F7" s="190" t="s">
        <v>98</v>
      </c>
      <c r="G7" s="190"/>
      <c r="H7" s="190"/>
      <c r="I7" s="190"/>
      <c r="J7" s="190"/>
      <c r="K7" s="190"/>
      <c r="L7" s="190"/>
      <c r="M7" s="190"/>
      <c r="N7" s="190"/>
      <c r="O7" s="190"/>
      <c r="P7" s="190"/>
    </row>
    <row r="8" spans="1:16">
      <c r="A8" s="42"/>
      <c r="B8" s="43"/>
      <c r="C8" s="43"/>
      <c r="D8" s="43"/>
      <c r="E8" s="43"/>
      <c r="F8" s="40" t="str">
        <f>+[1]Report!J6</f>
        <v>Utah</v>
      </c>
      <c r="G8" s="40"/>
      <c r="H8" s="44"/>
      <c r="I8" s="44"/>
      <c r="J8" s="44"/>
      <c r="K8" s="44"/>
      <c r="L8" s="44"/>
      <c r="M8" s="44"/>
      <c r="N8" s="44"/>
      <c r="O8" s="44"/>
      <c r="P8" s="44"/>
    </row>
    <row r="9" spans="1:16" ht="13.5" thickBot="1">
      <c r="A9" s="42"/>
      <c r="B9" s="36"/>
      <c r="C9" s="36"/>
      <c r="D9" s="36"/>
      <c r="E9" s="36"/>
      <c r="F9" s="40" t="str">
        <f>+[1]Report!J7</f>
        <v>Jurisdiction</v>
      </c>
      <c r="G9" s="187" t="s">
        <v>31</v>
      </c>
      <c r="H9" s="187"/>
      <c r="I9" s="187"/>
      <c r="J9" s="187"/>
      <c r="K9" s="187"/>
      <c r="L9" s="187"/>
      <c r="M9" s="187"/>
      <c r="N9" s="187"/>
      <c r="O9" s="187"/>
      <c r="P9" s="187"/>
    </row>
    <row r="10" spans="1:16" ht="13.5" thickBot="1">
      <c r="A10" s="42"/>
      <c r="B10" s="187" t="s">
        <v>32</v>
      </c>
      <c r="C10" s="187"/>
      <c r="D10" s="187"/>
      <c r="E10" s="187"/>
      <c r="F10" s="45" t="str">
        <f>+[1]Report!J8</f>
        <v>DNG Related</v>
      </c>
      <c r="G10" s="45" t="s">
        <v>33</v>
      </c>
      <c r="H10" s="45" t="str">
        <f>'[1]COS Detail'!I9</f>
        <v>GSR</v>
      </c>
      <c r="I10" s="45" t="str">
        <f>'[1]COS Detail'!J9</f>
        <v>GSC</v>
      </c>
      <c r="J10" s="45" t="str">
        <f>'[1]COS Detail'!K9</f>
        <v>FS</v>
      </c>
      <c r="K10" s="45" t="str">
        <f>'[1]COS Detail'!L9</f>
        <v>IS</v>
      </c>
      <c r="L10" s="45" t="str">
        <f>'[1]COS Detail'!M9</f>
        <v>TS</v>
      </c>
      <c r="M10" s="46" t="s">
        <v>34</v>
      </c>
      <c r="N10" s="46" t="s">
        <v>35</v>
      </c>
      <c r="O10" s="45" t="str">
        <f>'[1]COS Detail'!P9</f>
        <v>TBF</v>
      </c>
      <c r="P10" s="45" t="str">
        <f>'[1]COS Detail'!Q9</f>
        <v>NGV</v>
      </c>
    </row>
    <row r="11" spans="1:16">
      <c r="A11" s="42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69" t="s">
        <v>94</v>
      </c>
      <c r="N11" s="69" t="s">
        <v>95</v>
      </c>
      <c r="O11" s="40"/>
      <c r="P11" s="40"/>
    </row>
    <row r="12" spans="1:16">
      <c r="A12" s="47">
        <v>1</v>
      </c>
      <c r="B12" s="188" t="s">
        <v>36</v>
      </c>
      <c r="C12" s="188"/>
      <c r="D12" s="188"/>
      <c r="E12" s="188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</row>
    <row r="13" spans="1:16">
      <c r="A13" s="47"/>
      <c r="B13" s="34"/>
      <c r="C13" s="34"/>
      <c r="D13" s="34"/>
      <c r="E13" s="34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</row>
    <row r="14" spans="1:16">
      <c r="A14" s="47">
        <f>+A12+1</f>
        <v>2</v>
      </c>
      <c r="B14" s="36" t="s">
        <v>37</v>
      </c>
      <c r="C14" s="29"/>
      <c r="D14" s="29"/>
      <c r="E14" s="2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</row>
    <row r="15" spans="1:16">
      <c r="A15" s="47">
        <f t="shared" ref="A15:A20" si="0">+A14+1</f>
        <v>3</v>
      </c>
      <c r="B15" s="36"/>
      <c r="C15" s="29"/>
      <c r="D15" s="29" t="s">
        <v>38</v>
      </c>
      <c r="E15" s="29"/>
      <c r="F15" s="118">
        <v>378376157.36584151</v>
      </c>
      <c r="G15" s="116">
        <v>343174525.63777804</v>
      </c>
      <c r="H15" s="116">
        <v>0</v>
      </c>
      <c r="I15" s="116">
        <v>0</v>
      </c>
      <c r="J15" s="116">
        <v>2670972.1532509457</v>
      </c>
      <c r="K15" s="116">
        <v>186124.50189197512</v>
      </c>
      <c r="L15" s="116">
        <v>0</v>
      </c>
      <c r="M15" s="116">
        <v>10528077.783816369</v>
      </c>
      <c r="N15" s="116">
        <v>17674607.429959718</v>
      </c>
      <c r="O15" s="116">
        <v>1507778.9513588531</v>
      </c>
      <c r="P15" s="116">
        <v>2634070.9077855996</v>
      </c>
    </row>
    <row r="16" spans="1:16">
      <c r="A16" s="47">
        <f t="shared" si="0"/>
        <v>4</v>
      </c>
      <c r="B16" s="36"/>
      <c r="C16" s="29"/>
      <c r="D16" s="29" t="s">
        <v>39</v>
      </c>
      <c r="E16" s="29"/>
      <c r="F16" s="118">
        <v>0</v>
      </c>
      <c r="G16" s="116">
        <v>0</v>
      </c>
      <c r="H16" s="116">
        <v>0</v>
      </c>
      <c r="I16" s="116">
        <v>0</v>
      </c>
      <c r="J16" s="116">
        <v>0</v>
      </c>
      <c r="K16" s="116">
        <v>0</v>
      </c>
      <c r="L16" s="116">
        <v>0</v>
      </c>
      <c r="M16" s="116">
        <v>0</v>
      </c>
      <c r="N16" s="116">
        <v>0</v>
      </c>
      <c r="O16" s="116">
        <v>0</v>
      </c>
      <c r="P16" s="116">
        <v>0</v>
      </c>
    </row>
    <row r="17" spans="1:16">
      <c r="A17" s="47">
        <f t="shared" si="0"/>
        <v>5</v>
      </c>
      <c r="B17" s="36"/>
      <c r="C17" s="29"/>
      <c r="D17" s="29" t="s">
        <v>40</v>
      </c>
      <c r="E17" s="29"/>
      <c r="F17" s="118">
        <v>0</v>
      </c>
      <c r="G17" s="116">
        <v>0</v>
      </c>
      <c r="H17" s="116">
        <v>0</v>
      </c>
      <c r="I17" s="116">
        <v>0</v>
      </c>
      <c r="J17" s="116">
        <v>0</v>
      </c>
      <c r="K17" s="116">
        <v>0</v>
      </c>
      <c r="L17" s="116">
        <v>0</v>
      </c>
      <c r="M17" s="116">
        <v>0</v>
      </c>
      <c r="N17" s="116">
        <v>0</v>
      </c>
      <c r="O17" s="116">
        <v>0</v>
      </c>
      <c r="P17" s="116">
        <v>0</v>
      </c>
    </row>
    <row r="18" spans="1:16">
      <c r="A18" s="47">
        <f t="shared" si="0"/>
        <v>6</v>
      </c>
      <c r="B18" s="36"/>
      <c r="C18" s="29"/>
      <c r="D18" s="29" t="s">
        <v>41</v>
      </c>
      <c r="E18" s="29"/>
      <c r="F18" s="118">
        <v>0</v>
      </c>
      <c r="G18" s="116">
        <v>0</v>
      </c>
      <c r="H18" s="116">
        <v>0</v>
      </c>
      <c r="I18" s="116">
        <v>0</v>
      </c>
      <c r="J18" s="116">
        <v>0</v>
      </c>
      <c r="K18" s="116">
        <v>0</v>
      </c>
      <c r="L18" s="116">
        <v>0</v>
      </c>
      <c r="M18" s="116">
        <v>0</v>
      </c>
      <c r="N18" s="116">
        <v>0</v>
      </c>
      <c r="O18" s="116">
        <v>0</v>
      </c>
      <c r="P18" s="116">
        <v>0</v>
      </c>
    </row>
    <row r="19" spans="1:16" ht="13.5" thickBot="1">
      <c r="A19" s="47">
        <f t="shared" si="0"/>
        <v>7</v>
      </c>
      <c r="B19" s="36"/>
      <c r="C19" s="29"/>
      <c r="D19" s="29" t="s">
        <v>42</v>
      </c>
      <c r="E19" s="29"/>
      <c r="F19" s="126">
        <v>10750615.114305682</v>
      </c>
      <c r="G19" s="121">
        <v>9808181.4800446033</v>
      </c>
      <c r="H19" s="121">
        <v>0</v>
      </c>
      <c r="I19" s="121">
        <v>0</v>
      </c>
      <c r="J19" s="121">
        <v>62593.630868977372</v>
      </c>
      <c r="K19" s="121">
        <v>2880.4993958534446</v>
      </c>
      <c r="L19" s="121">
        <v>0</v>
      </c>
      <c r="M19" s="121">
        <v>213266.77875711984</v>
      </c>
      <c r="N19" s="121">
        <v>558668.01943028811</v>
      </c>
      <c r="O19" s="121">
        <v>89742.271865639763</v>
      </c>
      <c r="P19" s="121">
        <v>15282.433943201195</v>
      </c>
    </row>
    <row r="20" spans="1:16">
      <c r="A20" s="47">
        <f t="shared" si="0"/>
        <v>8</v>
      </c>
      <c r="B20" s="36"/>
      <c r="C20" s="29" t="s">
        <v>43</v>
      </c>
      <c r="D20" s="29"/>
      <c r="E20" s="29"/>
      <c r="F20" s="116">
        <v>389126772.48014718</v>
      </c>
      <c r="G20" s="116">
        <v>352982707.11782265</v>
      </c>
      <c r="H20" s="116">
        <v>0</v>
      </c>
      <c r="I20" s="116">
        <v>0</v>
      </c>
      <c r="J20" s="116">
        <v>2733565.7841199231</v>
      </c>
      <c r="K20" s="116">
        <v>189005.00128782855</v>
      </c>
      <c r="L20" s="116">
        <v>0</v>
      </c>
      <c r="M20" s="116">
        <v>10741344.562573489</v>
      </c>
      <c r="N20" s="116">
        <v>18233275.449390005</v>
      </c>
      <c r="O20" s="116">
        <v>1597521.223224493</v>
      </c>
      <c r="P20" s="116">
        <v>2649353.3417288009</v>
      </c>
    </row>
    <row r="21" spans="1:16">
      <c r="A21" s="47"/>
      <c r="B21" s="36"/>
      <c r="C21" s="29"/>
      <c r="D21" s="29"/>
      <c r="E21" s="29"/>
      <c r="F21" s="116"/>
      <c r="G21" s="116"/>
      <c r="H21" s="116"/>
      <c r="I21" s="116"/>
      <c r="J21" s="116"/>
      <c r="K21" s="116"/>
      <c r="L21" s="116"/>
      <c r="M21" s="116"/>
      <c r="N21" s="116"/>
      <c r="O21" s="116"/>
      <c r="P21" s="116"/>
    </row>
    <row r="22" spans="1:16">
      <c r="A22" s="47">
        <f>+A20+1</f>
        <v>9</v>
      </c>
      <c r="B22" s="36" t="s">
        <v>44</v>
      </c>
      <c r="C22" s="29"/>
      <c r="D22" s="29"/>
      <c r="E22" s="29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</row>
    <row r="23" spans="1:16">
      <c r="A23" s="47">
        <f>+A22+1</f>
        <v>10</v>
      </c>
      <c r="B23" s="36"/>
      <c r="C23" s="29" t="s">
        <v>45</v>
      </c>
      <c r="D23" s="29"/>
      <c r="E23" s="29"/>
      <c r="F23" s="118"/>
      <c r="G23" s="116"/>
      <c r="H23" s="116"/>
      <c r="I23" s="116"/>
      <c r="J23" s="116"/>
      <c r="K23" s="116"/>
      <c r="L23" s="116"/>
      <c r="M23" s="116"/>
      <c r="N23" s="116"/>
      <c r="O23" s="116"/>
      <c r="P23" s="116"/>
    </row>
    <row r="24" spans="1:16" ht="13.5" thickBot="1">
      <c r="A24" s="47">
        <f>+A23+1</f>
        <v>11</v>
      </c>
      <c r="B24" s="36"/>
      <c r="C24" s="29"/>
      <c r="D24" s="29" t="s">
        <v>46</v>
      </c>
      <c r="E24" s="29" t="s">
        <v>47</v>
      </c>
      <c r="F24" s="126">
        <v>0</v>
      </c>
      <c r="G24" s="121">
        <v>0</v>
      </c>
      <c r="H24" s="121">
        <v>0</v>
      </c>
      <c r="I24" s="121">
        <v>0</v>
      </c>
      <c r="J24" s="121">
        <v>0</v>
      </c>
      <c r="K24" s="121">
        <v>0</v>
      </c>
      <c r="L24" s="121">
        <v>0</v>
      </c>
      <c r="M24" s="121">
        <v>0</v>
      </c>
      <c r="N24" s="121">
        <v>0</v>
      </c>
      <c r="O24" s="121">
        <v>0</v>
      </c>
      <c r="P24" s="121">
        <v>0</v>
      </c>
    </row>
    <row r="25" spans="1:16">
      <c r="A25" s="47">
        <f>+A24+1</f>
        <v>12</v>
      </c>
      <c r="B25" s="36"/>
      <c r="C25" s="29"/>
      <c r="D25" s="29" t="s">
        <v>48</v>
      </c>
      <c r="E25" s="29"/>
      <c r="F25" s="116">
        <v>0</v>
      </c>
      <c r="G25" s="116">
        <v>0</v>
      </c>
      <c r="H25" s="116">
        <v>0</v>
      </c>
      <c r="I25" s="116">
        <v>0</v>
      </c>
      <c r="J25" s="116">
        <v>0</v>
      </c>
      <c r="K25" s="116">
        <v>0</v>
      </c>
      <c r="L25" s="116">
        <v>0</v>
      </c>
      <c r="M25" s="116">
        <v>0</v>
      </c>
      <c r="N25" s="116">
        <v>0</v>
      </c>
      <c r="O25" s="116">
        <v>0</v>
      </c>
      <c r="P25" s="116">
        <v>0</v>
      </c>
    </row>
    <row r="26" spans="1:16">
      <c r="A26" s="47"/>
      <c r="B26" s="36"/>
      <c r="C26" s="29"/>
      <c r="D26" s="29"/>
      <c r="E26" s="29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6"/>
    </row>
    <row r="27" spans="1:16">
      <c r="A27" s="47">
        <f>+A25+1</f>
        <v>13</v>
      </c>
      <c r="B27" s="36"/>
      <c r="C27" s="29" t="s">
        <v>49</v>
      </c>
      <c r="D27" s="29"/>
      <c r="E27" s="29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</row>
    <row r="28" spans="1:16">
      <c r="A28" s="47">
        <f t="shared" ref="A28:A33" si="1">+A27+1</f>
        <v>14</v>
      </c>
      <c r="B28" s="36"/>
      <c r="C28" s="29"/>
      <c r="D28" s="29" t="s">
        <v>50</v>
      </c>
      <c r="E28" s="29"/>
      <c r="F28" s="118">
        <v>-838700.76351998851</v>
      </c>
      <c r="G28" s="116">
        <v>-715105.12316389498</v>
      </c>
      <c r="H28" s="116">
        <v>0</v>
      </c>
      <c r="I28" s="116">
        <v>0</v>
      </c>
      <c r="J28" s="116">
        <v>-6040.2373347753428</v>
      </c>
      <c r="K28" s="116">
        <v>-254.67228772458625</v>
      </c>
      <c r="L28" s="116">
        <v>0</v>
      </c>
      <c r="M28" s="116">
        <v>-20456.440526047703</v>
      </c>
      <c r="N28" s="116">
        <v>-69487.537061751878</v>
      </c>
      <c r="O28" s="116">
        <v>-10483.653014538037</v>
      </c>
      <c r="P28" s="116">
        <v>-16873.100131256084</v>
      </c>
    </row>
    <row r="29" spans="1:16">
      <c r="A29" s="47">
        <f t="shared" si="1"/>
        <v>15</v>
      </c>
      <c r="B29" s="36"/>
      <c r="C29" s="29"/>
      <c r="D29" s="29" t="s">
        <v>51</v>
      </c>
      <c r="E29" s="29"/>
      <c r="F29" s="118">
        <v>55486322.666434921</v>
      </c>
      <c r="G29" s="116">
        <v>47309547.493152969</v>
      </c>
      <c r="H29" s="116">
        <v>0</v>
      </c>
      <c r="I29" s="116">
        <v>0</v>
      </c>
      <c r="J29" s="116">
        <v>399606.83513936488</v>
      </c>
      <c r="K29" s="116">
        <v>16848.474861974737</v>
      </c>
      <c r="L29" s="116">
        <v>0</v>
      </c>
      <c r="M29" s="116">
        <v>1353346.4007726125</v>
      </c>
      <c r="N29" s="116">
        <v>4597119.8196152942</v>
      </c>
      <c r="O29" s="116">
        <v>693571.98561049975</v>
      </c>
      <c r="P29" s="116">
        <v>1116281.6572822011</v>
      </c>
    </row>
    <row r="30" spans="1:16">
      <c r="A30" s="47">
        <f t="shared" si="1"/>
        <v>16</v>
      </c>
      <c r="B30" s="36"/>
      <c r="C30" s="29"/>
      <c r="D30" s="29" t="s">
        <v>52</v>
      </c>
      <c r="E30" s="29"/>
      <c r="F30" s="118">
        <v>12536205.584243411</v>
      </c>
      <c r="G30" s="116">
        <v>12020401.542358549</v>
      </c>
      <c r="H30" s="116">
        <v>0</v>
      </c>
      <c r="I30" s="116">
        <v>0</v>
      </c>
      <c r="J30" s="116">
        <v>42249.20734922665</v>
      </c>
      <c r="K30" s="116">
        <v>2902.6176289395335</v>
      </c>
      <c r="L30" s="116">
        <v>0</v>
      </c>
      <c r="M30" s="116">
        <v>161031.69367139705</v>
      </c>
      <c r="N30" s="116">
        <v>257652.4066677721</v>
      </c>
      <c r="O30" s="116">
        <v>21407.788533644918</v>
      </c>
      <c r="P30" s="116">
        <v>30560.328033881648</v>
      </c>
    </row>
    <row r="31" spans="1:16">
      <c r="A31" s="47">
        <f t="shared" si="1"/>
        <v>17</v>
      </c>
      <c r="B31" s="36"/>
      <c r="C31" s="29"/>
      <c r="D31" s="29" t="s">
        <v>53</v>
      </c>
      <c r="E31" s="29"/>
      <c r="F31" s="118">
        <v>3047465.0098747867</v>
      </c>
      <c r="G31" s="116">
        <v>2326920.1793925664</v>
      </c>
      <c r="H31" s="116">
        <v>0</v>
      </c>
      <c r="I31" s="116">
        <v>0</v>
      </c>
      <c r="J31" s="116">
        <v>39201.435883197875</v>
      </c>
      <c r="K31" s="116">
        <v>30641.985762464756</v>
      </c>
      <c r="L31" s="116">
        <v>0</v>
      </c>
      <c r="M31" s="116">
        <v>194370.55193442959</v>
      </c>
      <c r="N31" s="116">
        <v>416918.25546563941</v>
      </c>
      <c r="O31" s="116">
        <v>31709.282056467626</v>
      </c>
      <c r="P31" s="116">
        <v>7703.3193800214094</v>
      </c>
    </row>
    <row r="32" spans="1:16" ht="13.5" thickBot="1">
      <c r="A32" s="47">
        <f t="shared" si="1"/>
        <v>18</v>
      </c>
      <c r="B32" s="36"/>
      <c r="C32" s="29"/>
      <c r="D32" s="29" t="s">
        <v>54</v>
      </c>
      <c r="E32" s="29"/>
      <c r="F32" s="126">
        <v>49477895.435294837</v>
      </c>
      <c r="G32" s="121">
        <v>43517873.317990199</v>
      </c>
      <c r="H32" s="121">
        <v>0</v>
      </c>
      <c r="I32" s="121">
        <v>0</v>
      </c>
      <c r="J32" s="121">
        <v>373058.15538264636</v>
      </c>
      <c r="K32" s="121">
        <v>15272.749876188587</v>
      </c>
      <c r="L32" s="121">
        <v>0</v>
      </c>
      <c r="M32" s="121">
        <v>1185195.3353112829</v>
      </c>
      <c r="N32" s="121">
        <v>3754965.2586271279</v>
      </c>
      <c r="O32" s="121">
        <v>605018.79385509377</v>
      </c>
      <c r="P32" s="121">
        <v>26511.824252298051</v>
      </c>
    </row>
    <row r="33" spans="1:16">
      <c r="A33" s="47">
        <f t="shared" si="1"/>
        <v>19</v>
      </c>
      <c r="B33" s="36"/>
      <c r="C33" s="29"/>
      <c r="D33" s="29" t="s">
        <v>55</v>
      </c>
      <c r="E33" s="29"/>
      <c r="F33" s="116">
        <v>119709187.93232797</v>
      </c>
      <c r="G33" s="116">
        <v>104459637.40973039</v>
      </c>
      <c r="H33" s="116">
        <v>0</v>
      </c>
      <c r="I33" s="116">
        <v>0</v>
      </c>
      <c r="J33" s="116">
        <v>848075.39641966042</v>
      </c>
      <c r="K33" s="116">
        <v>65411.155841843029</v>
      </c>
      <c r="L33" s="116">
        <v>0</v>
      </c>
      <c r="M33" s="116">
        <v>2873487.5411636746</v>
      </c>
      <c r="N33" s="116">
        <v>8957168.2033140808</v>
      </c>
      <c r="O33" s="116">
        <v>1341224.1970411679</v>
      </c>
      <c r="P33" s="116">
        <v>1164184.0288171463</v>
      </c>
    </row>
    <row r="34" spans="1:16">
      <c r="A34" s="47"/>
      <c r="B34" s="36"/>
      <c r="C34" s="29"/>
      <c r="D34" s="29"/>
      <c r="E34" s="29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</row>
    <row r="35" spans="1:16">
      <c r="A35" s="47">
        <f>+A33+1</f>
        <v>20</v>
      </c>
      <c r="B35" s="36"/>
      <c r="C35" s="29" t="s">
        <v>56</v>
      </c>
      <c r="D35" s="29"/>
      <c r="E35" s="29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</row>
    <row r="36" spans="1:16">
      <c r="A36" s="47">
        <f>+A35+1</f>
        <v>21</v>
      </c>
      <c r="B36" s="36"/>
      <c r="C36" s="29"/>
      <c r="D36" s="29" t="s">
        <v>57</v>
      </c>
      <c r="E36" s="29"/>
      <c r="F36" s="118">
        <v>85423489.740319356</v>
      </c>
      <c r="G36" s="116">
        <v>75016446.687009245</v>
      </c>
      <c r="H36" s="116">
        <v>0</v>
      </c>
      <c r="I36" s="116">
        <v>0</v>
      </c>
      <c r="J36" s="116">
        <v>622688.86870791228</v>
      </c>
      <c r="K36" s="116">
        <v>26754.945162394055</v>
      </c>
      <c r="L36" s="116">
        <v>0</v>
      </c>
      <c r="M36" s="116">
        <v>2076236.2023892447</v>
      </c>
      <c r="N36" s="116">
        <v>6577983.0348622873</v>
      </c>
      <c r="O36" s="116">
        <v>1059877.5455000415</v>
      </c>
      <c r="P36" s="116">
        <v>43502.456688240141</v>
      </c>
    </row>
    <row r="37" spans="1:16">
      <c r="A37" s="47">
        <f>+A36+1</f>
        <v>22</v>
      </c>
      <c r="B37" s="36"/>
      <c r="C37" s="29"/>
      <c r="D37" s="29" t="s">
        <v>58</v>
      </c>
      <c r="E37" s="29"/>
      <c r="F37" s="118">
        <v>28343362.158901293</v>
      </c>
      <c r="G37" s="116">
        <v>24862530.187797733</v>
      </c>
      <c r="H37" s="116">
        <v>0</v>
      </c>
      <c r="I37" s="116">
        <v>0</v>
      </c>
      <c r="J37" s="116">
        <v>201527.88658790098</v>
      </c>
      <c r="K37" s="116">
        <v>8969.0142581360633</v>
      </c>
      <c r="L37" s="116">
        <v>0</v>
      </c>
      <c r="M37" s="116">
        <v>696013.09176524275</v>
      </c>
      <c r="N37" s="116">
        <v>2205125.9410683764</v>
      </c>
      <c r="O37" s="116">
        <v>355300.92697889556</v>
      </c>
      <c r="P37" s="116">
        <v>13895.11044500678</v>
      </c>
    </row>
    <row r="38" spans="1:16" ht="13.5" thickBot="1">
      <c r="A38" s="47">
        <f>+A37+1</f>
        <v>23</v>
      </c>
      <c r="B38" s="36"/>
      <c r="C38" s="29"/>
      <c r="D38" s="29" t="s">
        <v>59</v>
      </c>
      <c r="E38" s="29"/>
      <c r="F38" s="126">
        <v>29744657.44161617</v>
      </c>
      <c r="G38" s="121">
        <v>29162227.731015667</v>
      </c>
      <c r="H38" s="121">
        <v>0</v>
      </c>
      <c r="I38" s="121">
        <v>0</v>
      </c>
      <c r="J38" s="121">
        <v>201022.17729138516</v>
      </c>
      <c r="K38" s="121">
        <v>18979.410370829839</v>
      </c>
      <c r="L38" s="121">
        <v>0</v>
      </c>
      <c r="M38" s="121">
        <v>1046318.1730343659</v>
      </c>
      <c r="N38" s="121">
        <v>-558737.98577390483</v>
      </c>
      <c r="O38" s="121">
        <v>-396511.49873480474</v>
      </c>
      <c r="P38" s="121">
        <v>271359.43441263214</v>
      </c>
    </row>
    <row r="39" spans="1:16">
      <c r="A39" s="47">
        <f>+A38+1</f>
        <v>24</v>
      </c>
      <c r="B39" s="36"/>
      <c r="C39" s="29"/>
      <c r="D39" s="29" t="s">
        <v>60</v>
      </c>
      <c r="E39" s="29"/>
      <c r="F39" s="116">
        <v>143511509.34083682</v>
      </c>
      <c r="G39" s="116">
        <v>129041204.60582264</v>
      </c>
      <c r="H39" s="116">
        <v>0</v>
      </c>
      <c r="I39" s="116">
        <v>0</v>
      </c>
      <c r="J39" s="116">
        <v>1025238.9325871984</v>
      </c>
      <c r="K39" s="116">
        <v>54703.369791359961</v>
      </c>
      <c r="L39" s="116">
        <v>0</v>
      </c>
      <c r="M39" s="116">
        <v>3818567.4671888533</v>
      </c>
      <c r="N39" s="116">
        <v>8224370.9901567595</v>
      </c>
      <c r="O39" s="116">
        <v>1018666.9737441321</v>
      </c>
      <c r="P39" s="116">
        <v>328757.00154587906</v>
      </c>
    </row>
    <row r="40" spans="1:16">
      <c r="A40" s="47"/>
      <c r="B40" s="36"/>
      <c r="C40" s="29"/>
      <c r="D40" s="29"/>
      <c r="E40" s="29"/>
      <c r="F40" s="116"/>
      <c r="G40" s="116"/>
      <c r="H40" s="116"/>
      <c r="I40" s="116"/>
      <c r="J40" s="116"/>
      <c r="K40" s="116"/>
      <c r="L40" s="116"/>
      <c r="M40" s="116"/>
      <c r="N40" s="116"/>
      <c r="O40" s="116"/>
      <c r="P40" s="116"/>
    </row>
    <row r="41" spans="1:16" ht="13.5" thickBot="1">
      <c r="A41" s="47">
        <f>+A39+1</f>
        <v>25</v>
      </c>
      <c r="B41" s="36"/>
      <c r="C41" s="29" t="s">
        <v>61</v>
      </c>
      <c r="D41" s="29"/>
      <c r="E41" s="29"/>
      <c r="F41" s="124">
        <v>263220697.27316478</v>
      </c>
      <c r="G41" s="120">
        <v>233500842.01555303</v>
      </c>
      <c r="H41" s="120">
        <v>0</v>
      </c>
      <c r="I41" s="120">
        <v>0</v>
      </c>
      <c r="J41" s="120">
        <v>1873314.3290068589</v>
      </c>
      <c r="K41" s="120">
        <v>120114.52563320298</v>
      </c>
      <c r="L41" s="120">
        <v>0</v>
      </c>
      <c r="M41" s="120">
        <v>6692055.0083525274</v>
      </c>
      <c r="N41" s="120">
        <v>17181539.193470839</v>
      </c>
      <c r="O41" s="120">
        <v>2359891.1707853</v>
      </c>
      <c r="P41" s="120">
        <v>1492941.0303630254</v>
      </c>
    </row>
    <row r="42" spans="1:16" ht="13.5" thickTop="1">
      <c r="A42" s="47"/>
      <c r="B42" s="36"/>
      <c r="C42" s="29"/>
      <c r="D42" s="29"/>
      <c r="E42" s="29"/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16"/>
    </row>
    <row r="43" spans="1:16">
      <c r="A43" s="47">
        <f>+A41+1</f>
        <v>26</v>
      </c>
      <c r="B43" s="36" t="s">
        <v>62</v>
      </c>
      <c r="C43" s="29"/>
      <c r="D43" s="29"/>
      <c r="E43" s="29"/>
      <c r="F43" s="116">
        <v>125906075.2069824</v>
      </c>
      <c r="G43" s="116">
        <v>119481865.10226962</v>
      </c>
      <c r="H43" s="116">
        <v>0</v>
      </c>
      <c r="I43" s="116">
        <v>0</v>
      </c>
      <c r="J43" s="116">
        <v>860251.45511306426</v>
      </c>
      <c r="K43" s="116">
        <v>68890.475654625567</v>
      </c>
      <c r="L43" s="116">
        <v>0</v>
      </c>
      <c r="M43" s="116">
        <v>4049289.5542209614</v>
      </c>
      <c r="N43" s="116">
        <v>1051736.2559191659</v>
      </c>
      <c r="O43" s="116">
        <v>-762369.94756080699</v>
      </c>
      <c r="P43" s="116">
        <v>1156412.3113657755</v>
      </c>
    </row>
    <row r="44" spans="1:16" ht="13.5" thickBot="1">
      <c r="A44" s="47"/>
      <c r="B44" s="50"/>
      <c r="C44" s="50"/>
      <c r="D44" s="50"/>
      <c r="E44" s="50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</row>
    <row r="45" spans="1:16">
      <c r="A45" s="47"/>
      <c r="B45" s="30"/>
      <c r="C45" s="30"/>
      <c r="D45" s="30"/>
      <c r="E45" s="30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</row>
    <row r="46" spans="1:16">
      <c r="A46" s="47">
        <f>+A43+1</f>
        <v>27</v>
      </c>
      <c r="B46" s="189" t="s">
        <v>63</v>
      </c>
      <c r="C46" s="189"/>
      <c r="D46" s="189"/>
      <c r="E46" s="189"/>
      <c r="F46" s="116"/>
      <c r="G46" s="116"/>
      <c r="H46" s="116"/>
      <c r="I46" s="116"/>
      <c r="J46" s="116"/>
      <c r="K46" s="116"/>
      <c r="L46" s="116"/>
      <c r="M46" s="116"/>
      <c r="N46" s="116"/>
      <c r="O46" s="116"/>
      <c r="P46" s="116"/>
    </row>
    <row r="47" spans="1:16">
      <c r="A47" s="47"/>
      <c r="B47" s="41"/>
      <c r="C47" s="41"/>
      <c r="D47" s="41"/>
      <c r="E47" s="41"/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16"/>
    </row>
    <row r="48" spans="1:16">
      <c r="A48" s="47">
        <f>+A46+1</f>
        <v>28</v>
      </c>
      <c r="B48" s="36" t="s">
        <v>64</v>
      </c>
      <c r="C48" s="29"/>
      <c r="D48" s="29"/>
      <c r="E48" s="29"/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6"/>
    </row>
    <row r="49" spans="1:16">
      <c r="A49" s="47">
        <f t="shared" ref="A49:A54" si="2">+A48+1</f>
        <v>29</v>
      </c>
      <c r="B49" s="30"/>
      <c r="C49" s="37">
        <v>101</v>
      </c>
      <c r="D49" s="29" t="s">
        <v>65</v>
      </c>
      <c r="E49" s="29"/>
      <c r="F49" s="118">
        <v>3244815858.1726484</v>
      </c>
      <c r="G49" s="116">
        <v>2839798111.3906775</v>
      </c>
      <c r="H49" s="116">
        <v>0</v>
      </c>
      <c r="I49" s="116">
        <v>0</v>
      </c>
      <c r="J49" s="116">
        <v>24344246.727161907</v>
      </c>
      <c r="K49" s="116">
        <v>996637.08144057833</v>
      </c>
      <c r="L49" s="116">
        <v>0</v>
      </c>
      <c r="M49" s="116">
        <v>77340991.602515697</v>
      </c>
      <c r="N49" s="116">
        <v>245033647.94204509</v>
      </c>
      <c r="O49" s="116">
        <v>39481047.605221301</v>
      </c>
      <c r="P49" s="116">
        <v>17821175.823586479</v>
      </c>
    </row>
    <row r="50" spans="1:16">
      <c r="A50" s="47">
        <f t="shared" si="2"/>
        <v>30</v>
      </c>
      <c r="B50" s="30"/>
      <c r="C50" s="37">
        <v>105</v>
      </c>
      <c r="D50" s="29" t="s">
        <v>66</v>
      </c>
      <c r="E50" s="29"/>
      <c r="F50" s="118">
        <v>5036.8300000000008</v>
      </c>
      <c r="G50" s="116">
        <v>4418.4045865914868</v>
      </c>
      <c r="H50" s="116">
        <v>0</v>
      </c>
      <c r="I50" s="116">
        <v>0</v>
      </c>
      <c r="J50" s="116">
        <v>35.839488179752124</v>
      </c>
      <c r="K50" s="116">
        <v>1.5933836919827988</v>
      </c>
      <c r="L50" s="116">
        <v>0</v>
      </c>
      <c r="M50" s="116">
        <v>123.64969860754131</v>
      </c>
      <c r="N50" s="116">
        <v>391.75004210515885</v>
      </c>
      <c r="O50" s="116">
        <v>63.120727261748875</v>
      </c>
      <c r="P50" s="116">
        <v>2.4720735623294927</v>
      </c>
    </row>
    <row r="51" spans="1:16">
      <c r="A51" s="47">
        <f t="shared" si="2"/>
        <v>31</v>
      </c>
      <c r="B51" s="30"/>
      <c r="C51" s="37">
        <v>106</v>
      </c>
      <c r="D51" s="29" t="s">
        <v>67</v>
      </c>
      <c r="E51" s="29"/>
      <c r="F51" s="118">
        <v>0</v>
      </c>
      <c r="G51" s="116">
        <v>0</v>
      </c>
      <c r="H51" s="116">
        <v>0</v>
      </c>
      <c r="I51" s="116">
        <v>0</v>
      </c>
      <c r="J51" s="116">
        <v>0</v>
      </c>
      <c r="K51" s="116">
        <v>0</v>
      </c>
      <c r="L51" s="116">
        <v>0</v>
      </c>
      <c r="M51" s="116">
        <v>0</v>
      </c>
      <c r="N51" s="116">
        <v>0</v>
      </c>
      <c r="O51" s="116">
        <v>0</v>
      </c>
      <c r="P51" s="116">
        <v>0</v>
      </c>
    </row>
    <row r="52" spans="1:16">
      <c r="A52" s="47">
        <f t="shared" si="2"/>
        <v>32</v>
      </c>
      <c r="B52" s="30"/>
      <c r="C52" s="37">
        <v>108</v>
      </c>
      <c r="D52" s="29" t="s">
        <v>68</v>
      </c>
      <c r="E52" s="29"/>
      <c r="F52" s="118">
        <v>-799516884.35056579</v>
      </c>
      <c r="G52" s="116">
        <v>-707808977.56770289</v>
      </c>
      <c r="H52" s="116">
        <v>0</v>
      </c>
      <c r="I52" s="116">
        <v>0</v>
      </c>
      <c r="J52" s="116">
        <v>-6869002.090190636</v>
      </c>
      <c r="K52" s="116">
        <v>-231603.11012356984</v>
      </c>
      <c r="L52" s="116">
        <v>0</v>
      </c>
      <c r="M52" s="116">
        <v>-17972855.444323055</v>
      </c>
      <c r="N52" s="116">
        <v>-56942046.412995234</v>
      </c>
      <c r="O52" s="116">
        <v>-9174787.4793991894</v>
      </c>
      <c r="P52" s="116">
        <v>-517612.2458312253</v>
      </c>
    </row>
    <row r="53" spans="1:16">
      <c r="A53" s="47">
        <f>+A52+1</f>
        <v>33</v>
      </c>
      <c r="B53" s="30"/>
      <c r="C53" s="37">
        <v>111</v>
      </c>
      <c r="D53" s="29" t="s">
        <v>69</v>
      </c>
      <c r="E53" s="29"/>
      <c r="F53" s="118">
        <v>-5624785.526647795</v>
      </c>
      <c r="G53" s="116">
        <v>-5466910.762461314</v>
      </c>
      <c r="H53" s="116">
        <v>0</v>
      </c>
      <c r="I53" s="116">
        <v>0</v>
      </c>
      <c r="J53" s="116">
        <v>-137379.41199115998</v>
      </c>
      <c r="K53" s="116">
        <v>-20.338255616674772</v>
      </c>
      <c r="L53" s="116">
        <v>0</v>
      </c>
      <c r="M53" s="116">
        <v>-1578.2885125901728</v>
      </c>
      <c r="N53" s="116">
        <v>-5000.3728130687032</v>
      </c>
      <c r="O53" s="116">
        <v>-805.68509155654067</v>
      </c>
      <c r="P53" s="116">
        <v>-13090.667522488255</v>
      </c>
    </row>
    <row r="54" spans="1:16" ht="13.5" thickBot="1">
      <c r="A54" s="47">
        <f t="shared" si="2"/>
        <v>34</v>
      </c>
      <c r="B54" s="30"/>
      <c r="C54" s="37">
        <v>254</v>
      </c>
      <c r="D54" s="106" t="s">
        <v>70</v>
      </c>
      <c r="E54" s="92"/>
      <c r="F54" s="126">
        <v>-404258011.45277828</v>
      </c>
      <c r="G54" s="121">
        <v>-355183643.61076295</v>
      </c>
      <c r="H54" s="121">
        <v>0</v>
      </c>
      <c r="I54" s="121">
        <v>0</v>
      </c>
      <c r="J54" s="121">
        <v>-2978958.7430807878</v>
      </c>
      <c r="K54" s="121">
        <v>-126034.23714066281</v>
      </c>
      <c r="L54" s="121">
        <v>0</v>
      </c>
      <c r="M54" s="121">
        <v>-9780503.9144599084</v>
      </c>
      <c r="N54" s="121">
        <v>-30986835.095008135</v>
      </c>
      <c r="O54" s="121">
        <v>-4992753.9413301824</v>
      </c>
      <c r="P54" s="121">
        <v>-209281.91099567601</v>
      </c>
    </row>
    <row r="55" spans="1:16">
      <c r="A55" s="47">
        <f>+A54+1</f>
        <v>35</v>
      </c>
      <c r="B55" s="30"/>
      <c r="C55" s="51" t="s">
        <v>71</v>
      </c>
      <c r="D55" s="29"/>
      <c r="E55" s="29"/>
      <c r="F55" s="116">
        <v>2035421213.6726565</v>
      </c>
      <c r="G55" s="116">
        <v>1771342997.8543372</v>
      </c>
      <c r="H55" s="116">
        <v>0</v>
      </c>
      <c r="I55" s="116">
        <v>0</v>
      </c>
      <c r="J55" s="116">
        <v>14358942.321387503</v>
      </c>
      <c r="K55" s="116">
        <v>638980.98930442089</v>
      </c>
      <c r="L55" s="116">
        <v>0</v>
      </c>
      <c r="M55" s="116">
        <v>49586177.604918748</v>
      </c>
      <c r="N55" s="116">
        <v>157100157.81127074</v>
      </c>
      <c r="O55" s="116">
        <v>25312763.620127637</v>
      </c>
      <c r="P55" s="116">
        <v>17081193.471310649</v>
      </c>
    </row>
    <row r="56" spans="1:16">
      <c r="A56" s="47"/>
      <c r="B56" s="29"/>
      <c r="C56" s="29"/>
      <c r="D56" s="29"/>
      <c r="E56" s="29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16"/>
    </row>
    <row r="57" spans="1:16">
      <c r="A57" s="47">
        <f>+A55+1</f>
        <v>36</v>
      </c>
      <c r="B57" s="36" t="s">
        <v>72</v>
      </c>
      <c r="C57" s="29"/>
      <c r="D57" s="29"/>
      <c r="E57" s="29"/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16"/>
    </row>
    <row r="58" spans="1:16">
      <c r="A58" s="47">
        <f t="shared" ref="A58:A69" si="3">+A57+1</f>
        <v>37</v>
      </c>
      <c r="B58" s="30"/>
      <c r="C58" s="37">
        <v>154</v>
      </c>
      <c r="D58" s="29" t="s">
        <v>73</v>
      </c>
      <c r="E58" s="29"/>
      <c r="F58" s="118">
        <v>24807024.296942215</v>
      </c>
      <c r="G58" s="116">
        <v>21818812.850728989</v>
      </c>
      <c r="H58" s="116">
        <v>0</v>
      </c>
      <c r="I58" s="116">
        <v>0</v>
      </c>
      <c r="J58" s="116">
        <v>187042.36797727912</v>
      </c>
      <c r="K58" s="116">
        <v>7657.3886970435969</v>
      </c>
      <c r="L58" s="116">
        <v>0</v>
      </c>
      <c r="M58" s="116">
        <v>594228.37655128678</v>
      </c>
      <c r="N58" s="116">
        <v>1882649.0816844509</v>
      </c>
      <c r="O58" s="116">
        <v>303341.84158858913</v>
      </c>
      <c r="P58" s="116">
        <v>13292.389714576806</v>
      </c>
    </row>
    <row r="59" spans="1:16">
      <c r="A59" s="47">
        <f t="shared" si="3"/>
        <v>38</v>
      </c>
      <c r="B59" s="30"/>
      <c r="C59" s="37" t="s">
        <v>74</v>
      </c>
      <c r="D59" s="29" t="s">
        <v>75</v>
      </c>
      <c r="E59" s="29"/>
      <c r="F59" s="118">
        <v>0</v>
      </c>
      <c r="G59" s="116">
        <v>0</v>
      </c>
      <c r="H59" s="116">
        <v>0</v>
      </c>
      <c r="I59" s="116">
        <v>0</v>
      </c>
      <c r="J59" s="116">
        <v>0</v>
      </c>
      <c r="K59" s="116">
        <v>0</v>
      </c>
      <c r="L59" s="116">
        <v>0</v>
      </c>
      <c r="M59" s="116">
        <v>0</v>
      </c>
      <c r="N59" s="116">
        <v>0</v>
      </c>
      <c r="O59" s="116">
        <v>0</v>
      </c>
      <c r="P59" s="116">
        <v>0</v>
      </c>
    </row>
    <row r="60" spans="1:16">
      <c r="A60" s="47">
        <f t="shared" si="3"/>
        <v>39</v>
      </c>
      <c r="B60" s="30"/>
      <c r="C60" s="37">
        <v>165</v>
      </c>
      <c r="D60" s="29" t="s">
        <v>76</v>
      </c>
      <c r="E60" s="29"/>
      <c r="F60" s="118">
        <v>2774808.2806198751</v>
      </c>
      <c r="G60" s="116">
        <v>2440559.6514435969</v>
      </c>
      <c r="H60" s="116">
        <v>0</v>
      </c>
      <c r="I60" s="116">
        <v>0</v>
      </c>
      <c r="J60" s="116">
        <v>20921.764145410943</v>
      </c>
      <c r="K60" s="116">
        <v>856.52294729685366</v>
      </c>
      <c r="L60" s="116">
        <v>0</v>
      </c>
      <c r="M60" s="116">
        <v>66467.860074497527</v>
      </c>
      <c r="N60" s="116">
        <v>210585.12294049477</v>
      </c>
      <c r="O60" s="116">
        <v>33930.528862434003</v>
      </c>
      <c r="P60" s="116">
        <v>1486.8302061436921</v>
      </c>
    </row>
    <row r="61" spans="1:16">
      <c r="A61" s="47">
        <f t="shared" si="3"/>
        <v>40</v>
      </c>
      <c r="B61" s="30"/>
      <c r="C61" s="52" t="s">
        <v>77</v>
      </c>
      <c r="D61" s="53" t="s">
        <v>78</v>
      </c>
      <c r="E61" s="29"/>
      <c r="F61" s="118">
        <v>31711929.259102911</v>
      </c>
      <c r="G61" s="116">
        <v>27891964.846634623</v>
      </c>
      <c r="H61" s="116">
        <v>0</v>
      </c>
      <c r="I61" s="116">
        <v>0</v>
      </c>
      <c r="J61" s="116">
        <v>239104.62902564663</v>
      </c>
      <c r="K61" s="116">
        <v>9788.7826352487082</v>
      </c>
      <c r="L61" s="116">
        <v>0</v>
      </c>
      <c r="M61" s="116">
        <v>759628.72512963007</v>
      </c>
      <c r="N61" s="116">
        <v>2406674.5685999691</v>
      </c>
      <c r="O61" s="116">
        <v>387775.45047872083</v>
      </c>
      <c r="P61" s="116">
        <v>16992.256599073247</v>
      </c>
    </row>
    <row r="62" spans="1:16">
      <c r="A62" s="47">
        <f t="shared" si="3"/>
        <v>41</v>
      </c>
      <c r="B62" s="30"/>
      <c r="C62" s="52" t="s">
        <v>77</v>
      </c>
      <c r="D62" s="53" t="s">
        <v>79</v>
      </c>
      <c r="E62" s="29"/>
      <c r="F62" s="118">
        <v>7523878.7165264683</v>
      </c>
      <c r="G62" s="116">
        <v>6617565.2372666532</v>
      </c>
      <c r="H62" s="116">
        <v>0</v>
      </c>
      <c r="I62" s="116">
        <v>0</v>
      </c>
      <c r="J62" s="116">
        <v>56729.25840147736</v>
      </c>
      <c r="K62" s="116">
        <v>2322.4576697398661</v>
      </c>
      <c r="L62" s="116">
        <v>0</v>
      </c>
      <c r="M62" s="116">
        <v>180227.26875957462</v>
      </c>
      <c r="N62" s="116">
        <v>571000.50319698104</v>
      </c>
      <c r="O62" s="116">
        <v>92002.458595634656</v>
      </c>
      <c r="P62" s="116">
        <v>4031.5326364076373</v>
      </c>
    </row>
    <row r="63" spans="1:16">
      <c r="A63" s="47">
        <f t="shared" si="3"/>
        <v>42</v>
      </c>
      <c r="B63" s="30"/>
      <c r="C63" s="37" t="s">
        <v>80</v>
      </c>
      <c r="D63" s="29" t="s">
        <v>81</v>
      </c>
      <c r="E63" s="29"/>
      <c r="F63" s="118">
        <v>-5361638.9033333343</v>
      </c>
      <c r="G63" s="116">
        <v>-5353307.4459801326</v>
      </c>
      <c r="H63" s="116">
        <v>0</v>
      </c>
      <c r="I63" s="116">
        <v>0</v>
      </c>
      <c r="J63" s="116">
        <v>-2224.9063843037534</v>
      </c>
      <c r="K63" s="116">
        <v>-90.504666480152665</v>
      </c>
      <c r="L63" s="116">
        <v>0</v>
      </c>
      <c r="M63" s="116">
        <v>-4712.2282108664749</v>
      </c>
      <c r="N63" s="116">
        <v>-1158.0050177767614</v>
      </c>
      <c r="O63" s="116">
        <v>-30.168222160050892</v>
      </c>
      <c r="P63" s="116">
        <v>-115.64485161352843</v>
      </c>
    </row>
    <row r="64" spans="1:16">
      <c r="A64" s="47">
        <f t="shared" si="3"/>
        <v>43</v>
      </c>
      <c r="B64" s="30"/>
      <c r="C64" s="37">
        <v>252</v>
      </c>
      <c r="D64" s="29" t="s">
        <v>82</v>
      </c>
      <c r="E64" s="29"/>
      <c r="F64" s="118">
        <v>0.73683116817846894</v>
      </c>
      <c r="G64" s="116">
        <v>0.73683116817846894</v>
      </c>
      <c r="H64" s="116">
        <v>0</v>
      </c>
      <c r="I64" s="116">
        <v>0</v>
      </c>
      <c r="J64" s="116">
        <v>0</v>
      </c>
      <c r="K64" s="116">
        <v>0</v>
      </c>
      <c r="L64" s="116">
        <v>0</v>
      </c>
      <c r="M64" s="116">
        <v>0</v>
      </c>
      <c r="N64" s="116">
        <v>0</v>
      </c>
      <c r="O64" s="116">
        <v>0</v>
      </c>
      <c r="P64" s="116">
        <v>0</v>
      </c>
    </row>
    <row r="65" spans="1:16">
      <c r="A65" s="47">
        <f t="shared" si="3"/>
        <v>44</v>
      </c>
      <c r="B65" s="30"/>
      <c r="C65" s="37" t="s">
        <v>83</v>
      </c>
      <c r="D65" s="29" t="s">
        <v>84</v>
      </c>
      <c r="E65" s="29"/>
      <c r="F65" s="118">
        <v>-36873.564304314503</v>
      </c>
      <c r="G65" s="116">
        <v>-36816.26642693024</v>
      </c>
      <c r="H65" s="116">
        <v>0</v>
      </c>
      <c r="I65" s="116">
        <v>0</v>
      </c>
      <c r="J65" s="116">
        <v>-15.301334183788448</v>
      </c>
      <c r="K65" s="116">
        <v>-0.62242715323885212</v>
      </c>
      <c r="L65" s="116">
        <v>0</v>
      </c>
      <c r="M65" s="116">
        <v>-32.407376379256966</v>
      </c>
      <c r="N65" s="116">
        <v>-7.9639403655408065</v>
      </c>
      <c r="O65" s="116">
        <v>-0.20747571774628404</v>
      </c>
      <c r="P65" s="116">
        <v>-0.79532358469408893</v>
      </c>
    </row>
    <row r="66" spans="1:16">
      <c r="A66" s="47">
        <f t="shared" si="3"/>
        <v>45</v>
      </c>
      <c r="B66" s="30"/>
      <c r="C66" s="37">
        <v>255</v>
      </c>
      <c r="D66" s="29" t="s">
        <v>85</v>
      </c>
      <c r="E66" s="29"/>
      <c r="F66" s="118">
        <v>0</v>
      </c>
      <c r="G66" s="116">
        <v>0</v>
      </c>
      <c r="H66" s="116">
        <v>0</v>
      </c>
      <c r="I66" s="116">
        <v>0</v>
      </c>
      <c r="J66" s="116">
        <v>0</v>
      </c>
      <c r="K66" s="116">
        <v>0</v>
      </c>
      <c r="L66" s="116">
        <v>0</v>
      </c>
      <c r="M66" s="116">
        <v>0</v>
      </c>
      <c r="N66" s="116">
        <v>0</v>
      </c>
      <c r="O66" s="116">
        <v>0</v>
      </c>
      <c r="P66" s="116">
        <v>0</v>
      </c>
    </row>
    <row r="67" spans="1:16">
      <c r="A67" s="47">
        <f t="shared" si="3"/>
        <v>46</v>
      </c>
      <c r="B67" s="30"/>
      <c r="C67" s="37">
        <v>282</v>
      </c>
      <c r="D67" s="29" t="s">
        <v>86</v>
      </c>
      <c r="E67" s="29"/>
      <c r="F67" s="118">
        <v>-294564926.78689206</v>
      </c>
      <c r="G67" s="116">
        <v>-259036449.01314113</v>
      </c>
      <c r="H67" s="116">
        <v>0</v>
      </c>
      <c r="I67" s="116">
        <v>0</v>
      </c>
      <c r="J67" s="116">
        <v>-2212638.3688947237</v>
      </c>
      <c r="K67" s="116">
        <v>-91076.659437741793</v>
      </c>
      <c r="L67" s="116">
        <v>0</v>
      </c>
      <c r="M67" s="116">
        <v>-7067727.3442183752</v>
      </c>
      <c r="N67" s="116">
        <v>-22392149.078125332</v>
      </c>
      <c r="O67" s="116">
        <v>-3607935.1189587461</v>
      </c>
      <c r="P67" s="116">
        <v>-156951.20411598351</v>
      </c>
    </row>
    <row r="68" spans="1:16" ht="13.5" thickBot="1">
      <c r="A68" s="47">
        <f t="shared" si="3"/>
        <v>47</v>
      </c>
      <c r="B68" s="30"/>
      <c r="C68" s="29"/>
      <c r="D68" s="29" t="s">
        <v>87</v>
      </c>
      <c r="E68" s="29"/>
      <c r="F68" s="126">
        <v>13938534.840714561</v>
      </c>
      <c r="G68" s="121">
        <v>12259522.926351292</v>
      </c>
      <c r="H68" s="121">
        <v>0</v>
      </c>
      <c r="I68" s="121">
        <v>0</v>
      </c>
      <c r="J68" s="121">
        <v>105095.09449960174</v>
      </c>
      <c r="K68" s="121">
        <v>4302.5224575521634</v>
      </c>
      <c r="L68" s="121">
        <v>0</v>
      </c>
      <c r="M68" s="121">
        <v>333884.17855995364</v>
      </c>
      <c r="N68" s="121">
        <v>1057820.1360947825</v>
      </c>
      <c r="O68" s="121">
        <v>170441.27409308983</v>
      </c>
      <c r="P68" s="121">
        <v>7468.7086582900783</v>
      </c>
    </row>
    <row r="69" spans="1:16" ht="13.5" thickBot="1">
      <c r="A69" s="47">
        <f t="shared" si="3"/>
        <v>48</v>
      </c>
      <c r="B69" s="30"/>
      <c r="C69" s="51" t="s">
        <v>88</v>
      </c>
      <c r="D69" s="29"/>
      <c r="E69" s="29"/>
      <c r="F69" s="104">
        <v>-219207263.1237925</v>
      </c>
      <c r="G69" s="104">
        <v>-193398146.47629187</v>
      </c>
      <c r="H69" s="104">
        <v>0</v>
      </c>
      <c r="I69" s="104">
        <v>0</v>
      </c>
      <c r="J69" s="104">
        <v>-1605985.4625637955</v>
      </c>
      <c r="K69" s="104">
        <v>-66240.112124494</v>
      </c>
      <c r="L69" s="104">
        <v>0</v>
      </c>
      <c r="M69" s="104">
        <v>-5138035.5707306787</v>
      </c>
      <c r="N69" s="104">
        <v>-16264585.634566795</v>
      </c>
      <c r="O69" s="104">
        <v>-2620473.9410381559</v>
      </c>
      <c r="P69" s="104">
        <v>-113795.92647669026</v>
      </c>
    </row>
    <row r="70" spans="1:16" ht="13.5" thickTop="1">
      <c r="A70" s="47"/>
      <c r="B70" s="36"/>
      <c r="C70" s="29"/>
      <c r="D70" s="29"/>
      <c r="E70" s="29"/>
      <c r="F70" s="116"/>
      <c r="G70" s="116"/>
      <c r="H70" s="116"/>
      <c r="I70" s="116"/>
      <c r="J70" s="116"/>
      <c r="K70" s="116"/>
      <c r="L70" s="116"/>
      <c r="M70" s="116"/>
      <c r="N70" s="116"/>
      <c r="O70" s="116"/>
      <c r="P70" s="116"/>
    </row>
    <row r="71" spans="1:16">
      <c r="A71" s="47">
        <f>+A69+1</f>
        <v>49</v>
      </c>
      <c r="B71" s="51" t="s">
        <v>89</v>
      </c>
      <c r="C71" s="29"/>
      <c r="D71" s="29"/>
      <c r="E71" s="29"/>
      <c r="F71" s="118">
        <v>1816213950.5488641</v>
      </c>
      <c r="G71" s="116">
        <v>1577944851.3780453</v>
      </c>
      <c r="H71" s="116">
        <v>0</v>
      </c>
      <c r="I71" s="116">
        <v>0</v>
      </c>
      <c r="J71" s="116">
        <v>12752956.858823707</v>
      </c>
      <c r="K71" s="116">
        <v>572740.87717992684</v>
      </c>
      <c r="L71" s="116">
        <v>0</v>
      </c>
      <c r="M71" s="116">
        <v>44448142.034188069</v>
      </c>
      <c r="N71" s="116">
        <v>140835572.17670396</v>
      </c>
      <c r="O71" s="116">
        <v>22692289.679089479</v>
      </c>
      <c r="P71" s="116">
        <v>16967397.544833958</v>
      </c>
    </row>
    <row r="72" spans="1:16">
      <c r="A72" s="47"/>
      <c r="B72" s="51"/>
      <c r="C72" s="29"/>
      <c r="D72" s="29"/>
      <c r="E72" s="29"/>
      <c r="F72" s="118"/>
      <c r="G72" s="116"/>
      <c r="H72" s="116"/>
      <c r="I72" s="116"/>
      <c r="J72" s="116"/>
      <c r="K72" s="116"/>
      <c r="L72" s="116"/>
      <c r="M72" s="116"/>
      <c r="N72" s="116"/>
      <c r="O72" s="116"/>
      <c r="P72" s="116"/>
    </row>
    <row r="73" spans="1:16">
      <c r="A73" s="47">
        <v>50</v>
      </c>
      <c r="B73" t="s">
        <v>99</v>
      </c>
      <c r="C73" s="49"/>
      <c r="D73" s="49"/>
      <c r="E73" s="49"/>
      <c r="F73" s="100">
        <v>6.9323371934751021E-2</v>
      </c>
      <c r="G73" s="112">
        <v>7.5719924557518054E-2</v>
      </c>
      <c r="H73" s="112">
        <v>0</v>
      </c>
      <c r="I73" s="112">
        <v>0</v>
      </c>
      <c r="J73" s="112">
        <v>6.7455058825660538E-2</v>
      </c>
      <c r="K73" s="112">
        <v>0.12028210033450011</v>
      </c>
      <c r="L73" s="112">
        <v>0</v>
      </c>
      <c r="M73" s="86">
        <v>9.1101435715949142E-2</v>
      </c>
      <c r="N73" s="86">
        <v>7.4678310292201648E-3</v>
      </c>
      <c r="O73" s="112">
        <v>-3.3595990459407747E-2</v>
      </c>
      <c r="P73" s="112">
        <v>6.8154960612558227E-2</v>
      </c>
    </row>
    <row r="74" spans="1:16">
      <c r="A74" s="47">
        <f>A73+1</f>
        <v>51</v>
      </c>
      <c r="B74" s="56" t="s">
        <v>91</v>
      </c>
      <c r="F74" s="100">
        <v>9.0533403517729122E-2</v>
      </c>
      <c r="G74" s="112">
        <v>0.10216349919548737</v>
      </c>
      <c r="H74" s="112">
        <v>-3.5509090909090907E-2</v>
      </c>
      <c r="I74" s="112">
        <v>-3.5509090909090907E-2</v>
      </c>
      <c r="J74" s="112">
        <v>8.7136470592110063E-2</v>
      </c>
      <c r="K74" s="112">
        <v>0.18318563697181836</v>
      </c>
      <c r="L74" s="112">
        <v>-3.5509090909090907E-2</v>
      </c>
      <c r="M74" s="112">
        <v>0.13012988311990753</v>
      </c>
      <c r="N74" s="112">
        <v>-2.1931216310508785E-2</v>
      </c>
      <c r="O74" s="112">
        <v>-9.6592709926195897E-2</v>
      </c>
      <c r="P74" s="112">
        <v>8.8409019295560401E-2</v>
      </c>
    </row>
    <row r="75" spans="1:16">
      <c r="A75" s="54"/>
      <c r="F75" s="119"/>
      <c r="G75" s="119"/>
      <c r="H75" s="119"/>
      <c r="I75" s="119"/>
      <c r="J75" s="119"/>
      <c r="K75" s="119"/>
      <c r="L75" s="119"/>
      <c r="M75" s="119"/>
      <c r="N75" s="119"/>
      <c r="O75" s="119"/>
      <c r="P75" s="119"/>
    </row>
    <row r="76" spans="1:16">
      <c r="A76" s="161">
        <v>52</v>
      </c>
      <c r="B76" s="30" t="s">
        <v>92</v>
      </c>
      <c r="C76" s="30"/>
      <c r="D76" s="30"/>
      <c r="E76" s="30"/>
      <c r="F76" s="116">
        <v>389126772.48014718</v>
      </c>
      <c r="G76" s="116">
        <v>352982707.11782265</v>
      </c>
      <c r="H76" s="116">
        <v>0</v>
      </c>
      <c r="I76" s="116">
        <v>0</v>
      </c>
      <c r="J76" s="116">
        <v>2733565.7841199231</v>
      </c>
      <c r="K76" s="116">
        <v>189005.00128782855</v>
      </c>
      <c r="L76" s="116">
        <v>0</v>
      </c>
      <c r="M76" s="116">
        <v>10741344.562573489</v>
      </c>
      <c r="N76" s="116">
        <v>18233275.449390005</v>
      </c>
      <c r="O76" s="116">
        <v>1597521.223224493</v>
      </c>
      <c r="P76" s="116">
        <v>2649353.3417288009</v>
      </c>
    </row>
    <row r="77" spans="1:16">
      <c r="A77" s="161">
        <v>53</v>
      </c>
      <c r="B77" s="57" t="s">
        <v>100</v>
      </c>
      <c r="C77" s="30"/>
      <c r="D77" s="30"/>
      <c r="E77" s="30"/>
      <c r="F77" s="119">
        <v>19249739.63396129</v>
      </c>
      <c r="G77" s="119">
        <v>3279187.2483088323</v>
      </c>
      <c r="H77" s="119">
        <v>0</v>
      </c>
      <c r="I77" s="119">
        <v>0</v>
      </c>
      <c r="J77" s="119">
        <v>166905.11430139258</v>
      </c>
      <c r="K77" s="119">
        <v>-32807.764866660022</v>
      </c>
      <c r="L77" s="119">
        <v>0</v>
      </c>
      <c r="M77" s="101">
        <v>-818343.36435378937</v>
      </c>
      <c r="N77" s="101">
        <v>13097013.914454747</v>
      </c>
      <c r="O77" s="119">
        <v>3351541.6945446585</v>
      </c>
      <c r="P77" s="119">
        <v>206242.79157216486</v>
      </c>
    </row>
  </sheetData>
  <mergeCells count="6">
    <mergeCell ref="F6:P6"/>
    <mergeCell ref="G9:P9"/>
    <mergeCell ref="B10:E10"/>
    <mergeCell ref="B12:E12"/>
    <mergeCell ref="B46:E46"/>
    <mergeCell ref="F7:P7"/>
  </mergeCells>
  <printOptions horizontalCentered="1" verticalCentered="1"/>
  <pageMargins left="0.5" right="0.5" top="0.5" bottom="0.5" header="0.3" footer="0.3"/>
  <pageSetup scale="69" orientation="portrait" horizontalDpi="4294967293" verticalDpi="4294967293" r:id="rId1"/>
  <headerFooter scaleWithDoc="0">
    <oddHeader>&amp;R&amp;"Arial,Bold"&amp;12ANGC Exhibit 2.01R&amp;"Arial,Regular"&amp;10
Page 1 of 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pageSetUpPr fitToPage="1"/>
  </sheetPr>
  <dimension ref="A1:Q86"/>
  <sheetViews>
    <sheetView workbookViewId="0">
      <selection sqref="A1:P77"/>
    </sheetView>
  </sheetViews>
  <sheetFormatPr defaultRowHeight="12.75"/>
  <cols>
    <col min="1" max="1" width="4.140625" customWidth="1"/>
    <col min="2" max="2" width="2.7109375" customWidth="1"/>
    <col min="3" max="3" width="4.5703125" customWidth="1"/>
    <col min="4" max="4" width="5.7109375" customWidth="1"/>
    <col min="5" max="5" width="22.7109375" customWidth="1"/>
    <col min="6" max="6" width="14.5703125" customWidth="1"/>
    <col min="7" max="7" width="14.42578125" customWidth="1"/>
    <col min="8" max="9" width="0" hidden="1" customWidth="1"/>
    <col min="10" max="10" width="11.5703125" bestFit="1" customWidth="1"/>
    <col min="11" max="11" width="11.7109375" customWidth="1"/>
    <col min="12" max="12" width="0" hidden="1" customWidth="1"/>
    <col min="13" max="14" width="12.28515625" customWidth="1"/>
    <col min="15" max="15" width="12.28515625" bestFit="1" customWidth="1"/>
    <col min="16" max="16" width="11.28515625" bestFit="1" customWidth="1"/>
    <col min="17" max="17" width="12" customWidth="1"/>
  </cols>
  <sheetData>
    <row r="1" spans="1:16" ht="15.75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1" t="s">
        <v>0</v>
      </c>
    </row>
    <row r="2" spans="1:16" ht="15.7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2" t="s">
        <v>1</v>
      </c>
    </row>
    <row r="3" spans="1:16" ht="15.75">
      <c r="A3" s="33" t="str">
        <f>'[1]Control Panel'!$B$1</f>
        <v>Dominion Energy</v>
      </c>
      <c r="B3" s="30"/>
      <c r="C3" s="34"/>
      <c r="D3" s="34"/>
      <c r="E3" s="34"/>
      <c r="F3" s="35"/>
      <c r="G3" s="35"/>
      <c r="H3" s="35"/>
      <c r="I3" s="35"/>
      <c r="J3" s="35"/>
      <c r="K3" s="35"/>
      <c r="L3" s="35"/>
      <c r="M3" s="35"/>
      <c r="N3" s="35"/>
      <c r="O3" s="35"/>
      <c r="P3" s="31" t="s">
        <v>28</v>
      </c>
    </row>
    <row r="4" spans="1:16" ht="15.75">
      <c r="A4" s="33" t="str">
        <f>'[1]Control Panel'!$B$2</f>
        <v>Utah - DEC 2020 Adjusted Avg  Results CET</v>
      </c>
      <c r="B4" s="36"/>
      <c r="C4" s="37"/>
      <c r="D4" s="37"/>
      <c r="E4" s="29"/>
      <c r="F4" s="60"/>
      <c r="G4" s="60"/>
      <c r="H4" s="38"/>
      <c r="I4" s="38"/>
      <c r="J4" s="38"/>
      <c r="K4" s="38"/>
      <c r="L4" s="38"/>
      <c r="M4" s="38"/>
      <c r="N4" s="38"/>
      <c r="O4" s="38"/>
      <c r="P4" s="32" t="s">
        <v>29</v>
      </c>
    </row>
    <row r="5" spans="1:16" ht="15.75">
      <c r="A5" s="33" t="str">
        <f>'[1]Control Panel'!$B$3</f>
        <v>12 Months Ended : Dec-2020</v>
      </c>
      <c r="B5" s="36"/>
      <c r="C5" s="37"/>
      <c r="D5" s="37"/>
      <c r="E5" s="29"/>
      <c r="F5" s="60"/>
      <c r="G5" s="60"/>
      <c r="H5" s="38"/>
      <c r="I5" s="38"/>
      <c r="J5" s="38"/>
      <c r="K5" s="38"/>
      <c r="L5" s="38"/>
      <c r="M5" s="38"/>
      <c r="N5" s="38"/>
      <c r="O5" s="38"/>
      <c r="P5" s="32"/>
    </row>
    <row r="6" spans="1:16">
      <c r="A6" s="33"/>
      <c r="B6" s="36"/>
      <c r="C6" s="37"/>
      <c r="D6" s="37"/>
      <c r="E6" s="29"/>
      <c r="F6" s="186" t="s">
        <v>30</v>
      </c>
      <c r="G6" s="186"/>
      <c r="H6" s="186"/>
      <c r="I6" s="186"/>
      <c r="J6" s="186"/>
      <c r="K6" s="186"/>
      <c r="L6" s="186"/>
      <c r="M6" s="186"/>
      <c r="N6" s="186"/>
      <c r="O6" s="186"/>
      <c r="P6" s="186"/>
    </row>
    <row r="7" spans="1:16">
      <c r="A7" s="33"/>
      <c r="B7" s="39"/>
      <c r="C7" s="39"/>
      <c r="D7" s="39"/>
      <c r="E7" s="39"/>
      <c r="F7" s="190" t="s">
        <v>169</v>
      </c>
      <c r="G7" s="190"/>
      <c r="H7" s="190"/>
      <c r="I7" s="190"/>
      <c r="J7" s="190"/>
      <c r="K7" s="190"/>
      <c r="L7" s="190"/>
      <c r="M7" s="190"/>
      <c r="N7" s="190"/>
      <c r="O7" s="190"/>
      <c r="P7" s="190"/>
    </row>
    <row r="8" spans="1:16">
      <c r="A8" s="42"/>
      <c r="B8" s="43"/>
      <c r="C8" s="43"/>
      <c r="D8" s="43"/>
      <c r="E8" s="43"/>
      <c r="F8" s="40" t="str">
        <f>+[1]Report!J6</f>
        <v>Utah</v>
      </c>
      <c r="G8" s="40"/>
      <c r="H8" s="44"/>
      <c r="I8" s="44"/>
      <c r="J8" s="44"/>
      <c r="K8" s="44"/>
      <c r="L8" s="44"/>
      <c r="M8" s="44"/>
      <c r="N8" s="44"/>
      <c r="O8" s="44"/>
      <c r="P8" s="44"/>
    </row>
    <row r="9" spans="1:16" ht="13.5" thickBot="1">
      <c r="A9" s="42"/>
      <c r="B9" s="36"/>
      <c r="C9" s="36"/>
      <c r="D9" s="36"/>
      <c r="E9" s="36"/>
      <c r="F9" s="40" t="str">
        <f>+[1]Report!J7</f>
        <v>Jurisdiction</v>
      </c>
      <c r="G9" s="187" t="s">
        <v>31</v>
      </c>
      <c r="H9" s="187"/>
      <c r="I9" s="187"/>
      <c r="J9" s="187"/>
      <c r="K9" s="187"/>
      <c r="L9" s="187"/>
      <c r="M9" s="187"/>
      <c r="N9" s="187"/>
      <c r="O9" s="187"/>
      <c r="P9" s="187"/>
    </row>
    <row r="10" spans="1:16" ht="13.5" thickBot="1">
      <c r="A10" s="42"/>
      <c r="B10" s="187" t="s">
        <v>32</v>
      </c>
      <c r="C10" s="187"/>
      <c r="D10" s="187"/>
      <c r="E10" s="187"/>
      <c r="F10" s="59" t="str">
        <f>+[1]Report!J8</f>
        <v>DNG Related</v>
      </c>
      <c r="G10" s="59" t="s">
        <v>33</v>
      </c>
      <c r="H10" s="59" t="str">
        <f>'[1]COS Detail'!I9</f>
        <v>GSR</v>
      </c>
      <c r="I10" s="59" t="str">
        <f>'[1]COS Detail'!J9</f>
        <v>GSC</v>
      </c>
      <c r="J10" s="59" t="str">
        <f>'[1]COS Detail'!K9</f>
        <v>FS</v>
      </c>
      <c r="K10" s="59" t="str">
        <f>'[1]COS Detail'!L9</f>
        <v>IS</v>
      </c>
      <c r="L10" s="59" t="str">
        <f>'[1]COS Detail'!M9</f>
        <v>TS</v>
      </c>
      <c r="M10" s="46" t="s">
        <v>34</v>
      </c>
      <c r="N10" s="46" t="s">
        <v>35</v>
      </c>
      <c r="O10" s="59" t="str">
        <f>'[1]COS Detail'!P9</f>
        <v>TBF</v>
      </c>
      <c r="P10" s="59" t="str">
        <f>'[1]COS Detail'!Q9</f>
        <v>NGV</v>
      </c>
    </row>
    <row r="11" spans="1:16">
      <c r="A11" s="42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70" t="s">
        <v>14</v>
      </c>
      <c r="N11" s="70" t="s">
        <v>12</v>
      </c>
      <c r="O11" s="40"/>
      <c r="P11" s="40"/>
    </row>
    <row r="12" spans="1:16">
      <c r="A12" s="47">
        <v>1</v>
      </c>
      <c r="B12" s="188" t="s">
        <v>36</v>
      </c>
      <c r="C12" s="188"/>
      <c r="D12" s="188"/>
      <c r="E12" s="188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</row>
    <row r="13" spans="1:16">
      <c r="A13" s="47"/>
      <c r="B13" s="34"/>
      <c r="C13" s="34"/>
      <c r="D13" s="34"/>
      <c r="E13" s="34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</row>
    <row r="14" spans="1:16">
      <c r="A14" s="47">
        <f>+A12+1</f>
        <v>2</v>
      </c>
      <c r="B14" s="36" t="s">
        <v>37</v>
      </c>
      <c r="C14" s="29"/>
      <c r="D14" s="29"/>
      <c r="E14" s="2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</row>
    <row r="15" spans="1:16">
      <c r="A15" s="47">
        <f t="shared" ref="A15:A20" si="0">+A14+1</f>
        <v>3</v>
      </c>
      <c r="B15" s="36"/>
      <c r="C15" s="29"/>
      <c r="D15" s="29" t="s">
        <v>38</v>
      </c>
      <c r="E15" s="29"/>
      <c r="F15" s="181">
        <v>378376157.36584145</v>
      </c>
      <c r="G15" s="180">
        <v>343174439.48943508</v>
      </c>
      <c r="H15" s="180">
        <v>0</v>
      </c>
      <c r="I15" s="180">
        <v>0</v>
      </c>
      <c r="J15" s="180">
        <v>2670969.9731252845</v>
      </c>
      <c r="K15" s="180">
        <v>186124.39739936937</v>
      </c>
      <c r="L15" s="180">
        <v>0</v>
      </c>
      <c r="M15" s="180">
        <v>24666095.620291494</v>
      </c>
      <c r="N15" s="180">
        <v>3536679.995082336</v>
      </c>
      <c r="O15" s="180">
        <v>1507777.1906547348</v>
      </c>
      <c r="P15" s="180">
        <v>2634070.6998532084</v>
      </c>
    </row>
    <row r="16" spans="1:16">
      <c r="A16" s="47">
        <f t="shared" si="0"/>
        <v>4</v>
      </c>
      <c r="B16" s="36"/>
      <c r="C16" s="29"/>
      <c r="D16" s="29" t="s">
        <v>39</v>
      </c>
      <c r="E16" s="29"/>
      <c r="F16" s="181">
        <v>0</v>
      </c>
      <c r="G16" s="180">
        <v>0</v>
      </c>
      <c r="H16" s="180">
        <v>0</v>
      </c>
      <c r="I16" s="180">
        <v>0</v>
      </c>
      <c r="J16" s="180">
        <v>0</v>
      </c>
      <c r="K16" s="180">
        <v>0</v>
      </c>
      <c r="L16" s="180">
        <v>0</v>
      </c>
      <c r="M16" s="180">
        <v>0</v>
      </c>
      <c r="N16" s="180">
        <v>0</v>
      </c>
      <c r="O16" s="180">
        <v>0</v>
      </c>
      <c r="P16" s="180">
        <v>0</v>
      </c>
    </row>
    <row r="17" spans="1:16">
      <c r="A17" s="47">
        <f t="shared" si="0"/>
        <v>5</v>
      </c>
      <c r="B17" s="36"/>
      <c r="C17" s="29"/>
      <c r="D17" s="29" t="s">
        <v>40</v>
      </c>
      <c r="E17" s="29"/>
      <c r="F17" s="181">
        <v>0</v>
      </c>
      <c r="G17" s="180">
        <v>0</v>
      </c>
      <c r="H17" s="180">
        <v>0</v>
      </c>
      <c r="I17" s="180">
        <v>0</v>
      </c>
      <c r="J17" s="180">
        <v>0</v>
      </c>
      <c r="K17" s="180">
        <v>0</v>
      </c>
      <c r="L17" s="180">
        <v>0</v>
      </c>
      <c r="M17" s="180">
        <v>0</v>
      </c>
      <c r="N17" s="180">
        <v>0</v>
      </c>
      <c r="O17" s="180">
        <v>0</v>
      </c>
      <c r="P17" s="180">
        <v>0</v>
      </c>
    </row>
    <row r="18" spans="1:16">
      <c r="A18" s="47">
        <f t="shared" si="0"/>
        <v>6</v>
      </c>
      <c r="B18" s="36"/>
      <c r="C18" s="29"/>
      <c r="D18" s="29" t="s">
        <v>41</v>
      </c>
      <c r="E18" s="29"/>
      <c r="F18" s="181">
        <v>0</v>
      </c>
      <c r="G18" s="180">
        <v>0</v>
      </c>
      <c r="H18" s="180">
        <v>0</v>
      </c>
      <c r="I18" s="180">
        <v>0</v>
      </c>
      <c r="J18" s="180">
        <v>0</v>
      </c>
      <c r="K18" s="180">
        <v>0</v>
      </c>
      <c r="L18" s="180">
        <v>0</v>
      </c>
      <c r="M18" s="180">
        <v>0</v>
      </c>
      <c r="N18" s="180">
        <v>0</v>
      </c>
      <c r="O18" s="180">
        <v>0</v>
      </c>
      <c r="P18" s="180">
        <v>0</v>
      </c>
    </row>
    <row r="19" spans="1:16" ht="13.5" thickBot="1">
      <c r="A19" s="47">
        <f t="shared" si="0"/>
        <v>7</v>
      </c>
      <c r="B19" s="36"/>
      <c r="C19" s="29"/>
      <c r="D19" s="29" t="s">
        <v>42</v>
      </c>
      <c r="E19" s="29"/>
      <c r="F19" s="185">
        <v>10750615.114305682</v>
      </c>
      <c r="G19" s="184">
        <v>9808094.4749593139</v>
      </c>
      <c r="H19" s="184">
        <v>0</v>
      </c>
      <c r="I19" s="184">
        <v>0</v>
      </c>
      <c r="J19" s="184">
        <v>62591.454954814173</v>
      </c>
      <c r="K19" s="184">
        <v>2880.3958183750638</v>
      </c>
      <c r="L19" s="184">
        <v>0</v>
      </c>
      <c r="M19" s="184">
        <v>612040.35787993262</v>
      </c>
      <c r="N19" s="184">
        <v>159985.50931970714</v>
      </c>
      <c r="O19" s="184">
        <v>89740.697525183554</v>
      </c>
      <c r="P19" s="184">
        <v>15282.223848355978</v>
      </c>
    </row>
    <row r="20" spans="1:16">
      <c r="A20" s="47">
        <f t="shared" si="0"/>
        <v>8</v>
      </c>
      <c r="B20" s="36"/>
      <c r="C20" s="29" t="s">
        <v>43</v>
      </c>
      <c r="D20" s="29"/>
      <c r="E20" s="29"/>
      <c r="F20" s="180">
        <v>389126772.48014712</v>
      </c>
      <c r="G20" s="180">
        <v>352982533.96439439</v>
      </c>
      <c r="H20" s="180">
        <v>0</v>
      </c>
      <c r="I20" s="180">
        <v>0</v>
      </c>
      <c r="J20" s="180">
        <v>2733561.4280800987</v>
      </c>
      <c r="K20" s="180">
        <v>189004.79321774442</v>
      </c>
      <c r="L20" s="180">
        <v>0</v>
      </c>
      <c r="M20" s="180">
        <v>25278135.978171427</v>
      </c>
      <c r="N20" s="180">
        <v>3696665.5044020433</v>
      </c>
      <c r="O20" s="180">
        <v>1597517.8881799183</v>
      </c>
      <c r="P20" s="180">
        <v>2649352.9237015643</v>
      </c>
    </row>
    <row r="21" spans="1:16">
      <c r="A21" s="47"/>
      <c r="B21" s="36"/>
      <c r="C21" s="29"/>
      <c r="D21" s="29"/>
      <c r="E21" s="29"/>
      <c r="F21" s="180"/>
      <c r="G21" s="180"/>
      <c r="H21" s="180"/>
      <c r="I21" s="180"/>
      <c r="J21" s="180"/>
      <c r="K21" s="180"/>
      <c r="L21" s="180"/>
      <c r="M21" s="180"/>
      <c r="N21" s="180"/>
      <c r="O21" s="180"/>
      <c r="P21" s="180"/>
    </row>
    <row r="22" spans="1:16">
      <c r="A22" s="47">
        <f>+A20+1</f>
        <v>9</v>
      </c>
      <c r="B22" s="36" t="s">
        <v>44</v>
      </c>
      <c r="C22" s="29"/>
      <c r="D22" s="29"/>
      <c r="E22" s="29"/>
      <c r="F22" s="180"/>
      <c r="G22" s="180"/>
      <c r="H22" s="180"/>
      <c r="I22" s="180"/>
      <c r="J22" s="180"/>
      <c r="K22" s="180"/>
      <c r="L22" s="180"/>
      <c r="M22" s="180"/>
      <c r="N22" s="180"/>
      <c r="O22" s="180"/>
      <c r="P22" s="180"/>
    </row>
    <row r="23" spans="1:16">
      <c r="A23" s="47">
        <f>+A22+1</f>
        <v>10</v>
      </c>
      <c r="B23" s="36"/>
      <c r="C23" s="29" t="s">
        <v>45</v>
      </c>
      <c r="D23" s="29"/>
      <c r="E23" s="29"/>
      <c r="F23" s="181"/>
      <c r="G23" s="180"/>
      <c r="H23" s="180"/>
      <c r="I23" s="180"/>
      <c r="J23" s="180"/>
      <c r="K23" s="180"/>
      <c r="L23" s="180"/>
      <c r="M23" s="180"/>
      <c r="N23" s="180"/>
      <c r="O23" s="180"/>
      <c r="P23" s="180"/>
    </row>
    <row r="24" spans="1:16" ht="13.5" thickBot="1">
      <c r="A24" s="47">
        <f>+A23+1</f>
        <v>11</v>
      </c>
      <c r="B24" s="36"/>
      <c r="C24" s="29"/>
      <c r="D24" s="29" t="s">
        <v>46</v>
      </c>
      <c r="E24" s="29" t="s">
        <v>47</v>
      </c>
      <c r="F24" s="185">
        <v>0</v>
      </c>
      <c r="G24" s="184">
        <v>0</v>
      </c>
      <c r="H24" s="184">
        <v>0</v>
      </c>
      <c r="I24" s="184">
        <v>0</v>
      </c>
      <c r="J24" s="184">
        <v>0</v>
      </c>
      <c r="K24" s="184">
        <v>0</v>
      </c>
      <c r="L24" s="184">
        <v>0</v>
      </c>
      <c r="M24" s="184">
        <v>0</v>
      </c>
      <c r="N24" s="184">
        <v>0</v>
      </c>
      <c r="O24" s="184">
        <v>0</v>
      </c>
      <c r="P24" s="184">
        <v>0</v>
      </c>
    </row>
    <row r="25" spans="1:16">
      <c r="A25" s="47">
        <f>+A24+1</f>
        <v>12</v>
      </c>
      <c r="B25" s="36"/>
      <c r="C25" s="29"/>
      <c r="D25" s="29" t="s">
        <v>48</v>
      </c>
      <c r="E25" s="29"/>
      <c r="F25" s="180">
        <v>0</v>
      </c>
      <c r="G25" s="180">
        <v>0</v>
      </c>
      <c r="H25" s="180">
        <v>0</v>
      </c>
      <c r="I25" s="180">
        <v>0</v>
      </c>
      <c r="J25" s="180">
        <v>0</v>
      </c>
      <c r="K25" s="180">
        <v>0</v>
      </c>
      <c r="L25" s="180">
        <v>0</v>
      </c>
      <c r="M25" s="180">
        <v>0</v>
      </c>
      <c r="N25" s="180">
        <v>0</v>
      </c>
      <c r="O25" s="180">
        <v>0</v>
      </c>
      <c r="P25" s="180">
        <v>0</v>
      </c>
    </row>
    <row r="26" spans="1:16">
      <c r="A26" s="47"/>
      <c r="B26" s="36"/>
      <c r="C26" s="29"/>
      <c r="D26" s="29"/>
      <c r="E26" s="29"/>
      <c r="F26" s="180"/>
      <c r="G26" s="180"/>
      <c r="H26" s="180"/>
      <c r="I26" s="180"/>
      <c r="J26" s="180"/>
      <c r="K26" s="180"/>
      <c r="L26" s="180"/>
      <c r="M26" s="180"/>
      <c r="N26" s="180"/>
      <c r="O26" s="180"/>
      <c r="P26" s="180"/>
    </row>
    <row r="27" spans="1:16">
      <c r="A27" s="47">
        <f>+A25+1</f>
        <v>13</v>
      </c>
      <c r="B27" s="36"/>
      <c r="C27" s="29" t="s">
        <v>49</v>
      </c>
      <c r="D27" s="29"/>
      <c r="E27" s="29"/>
      <c r="F27" s="180"/>
      <c r="G27" s="180"/>
      <c r="H27" s="180"/>
      <c r="I27" s="180"/>
      <c r="J27" s="180"/>
      <c r="K27" s="180"/>
      <c r="L27" s="180"/>
      <c r="M27" s="180"/>
      <c r="N27" s="180"/>
      <c r="O27" s="180"/>
      <c r="P27" s="180"/>
    </row>
    <row r="28" spans="1:16">
      <c r="A28" s="47">
        <f t="shared" ref="A28:A33" si="1">+A27+1</f>
        <v>14</v>
      </c>
      <c r="B28" s="36"/>
      <c r="C28" s="29"/>
      <c r="D28" s="29" t="s">
        <v>50</v>
      </c>
      <c r="E28" s="29"/>
      <c r="F28" s="181">
        <v>-838700.76351998851</v>
      </c>
      <c r="G28" s="180">
        <v>-715090.32339588506</v>
      </c>
      <c r="H28" s="180">
        <v>0</v>
      </c>
      <c r="I28" s="180">
        <v>0</v>
      </c>
      <c r="J28" s="180">
        <v>-6039.8664706221189</v>
      </c>
      <c r="K28" s="180">
        <v>-254.65461339522616</v>
      </c>
      <c r="L28" s="180">
        <v>0</v>
      </c>
      <c r="M28" s="180">
        <v>-68272.501027007878</v>
      </c>
      <c r="N28" s="180">
        <v>-21686.974197264146</v>
      </c>
      <c r="O28" s="180">
        <v>-10483.379419503521</v>
      </c>
      <c r="P28" s="180">
        <v>-16873.064396310616</v>
      </c>
    </row>
    <row r="29" spans="1:16">
      <c r="A29" s="47">
        <f t="shared" si="1"/>
        <v>15</v>
      </c>
      <c r="B29" s="36"/>
      <c r="C29" s="29"/>
      <c r="D29" s="29" t="s">
        <v>51</v>
      </c>
      <c r="E29" s="29"/>
      <c r="F29" s="181">
        <v>55486322.666434914</v>
      </c>
      <c r="G29" s="180">
        <v>47308568.377908409</v>
      </c>
      <c r="H29" s="180">
        <v>0</v>
      </c>
      <c r="I29" s="180">
        <v>0</v>
      </c>
      <c r="J29" s="180">
        <v>399582.29970436083</v>
      </c>
      <c r="K29" s="180">
        <v>16847.305573016813</v>
      </c>
      <c r="L29" s="180">
        <v>0</v>
      </c>
      <c r="M29" s="180">
        <v>4516736.1066063764</v>
      </c>
      <c r="N29" s="180">
        <v>1434755.3982396822</v>
      </c>
      <c r="O29" s="180">
        <v>693553.88525453792</v>
      </c>
      <c r="P29" s="180">
        <v>1116279.2931485304</v>
      </c>
    </row>
    <row r="30" spans="1:16">
      <c r="A30" s="47">
        <f t="shared" si="1"/>
        <v>16</v>
      </c>
      <c r="B30" s="36"/>
      <c r="C30" s="29"/>
      <c r="D30" s="29" t="s">
        <v>52</v>
      </c>
      <c r="E30" s="29"/>
      <c r="F30" s="181">
        <v>12536205.584243413</v>
      </c>
      <c r="G30" s="180">
        <v>12020401.542409653</v>
      </c>
      <c r="H30" s="180">
        <v>0</v>
      </c>
      <c r="I30" s="180">
        <v>0</v>
      </c>
      <c r="J30" s="180">
        <v>42249.207349634518</v>
      </c>
      <c r="K30" s="180">
        <v>2902.6176289684122</v>
      </c>
      <c r="L30" s="180">
        <v>0</v>
      </c>
      <c r="M30" s="180">
        <v>368201.15436023317</v>
      </c>
      <c r="N30" s="180">
        <v>50482.945926860128</v>
      </c>
      <c r="O30" s="180">
        <v>21407.788533866675</v>
      </c>
      <c r="P30" s="180">
        <v>30560.32803419722</v>
      </c>
    </row>
    <row r="31" spans="1:16">
      <c r="A31" s="47">
        <f t="shared" si="1"/>
        <v>17</v>
      </c>
      <c r="B31" s="36"/>
      <c r="C31" s="29"/>
      <c r="D31" s="29" t="s">
        <v>53</v>
      </c>
      <c r="E31" s="29"/>
      <c r="F31" s="181">
        <v>3047465.0098747876</v>
      </c>
      <c r="G31" s="180">
        <v>2326919.9829492532</v>
      </c>
      <c r="H31" s="180">
        <v>0</v>
      </c>
      <c r="I31" s="180">
        <v>0</v>
      </c>
      <c r="J31" s="180">
        <v>39201.42950602332</v>
      </c>
      <c r="K31" s="180">
        <v>30641.980720220607</v>
      </c>
      <c r="L31" s="180">
        <v>0</v>
      </c>
      <c r="M31" s="180">
        <v>492355.67104318703</v>
      </c>
      <c r="N31" s="180">
        <v>118933.35070406772</v>
      </c>
      <c r="O31" s="180">
        <v>31709.276836381996</v>
      </c>
      <c r="P31" s="180">
        <v>7703.3181156533683</v>
      </c>
    </row>
    <row r="32" spans="1:16" ht="13.5" thickBot="1">
      <c r="A32" s="47">
        <f t="shared" si="1"/>
        <v>18</v>
      </c>
      <c r="B32" s="36"/>
      <c r="C32" s="29"/>
      <c r="D32" s="29" t="s">
        <v>54</v>
      </c>
      <c r="E32" s="29"/>
      <c r="F32" s="185">
        <v>49477895.435294844</v>
      </c>
      <c r="G32" s="184">
        <v>43517106.00589212</v>
      </c>
      <c r="H32" s="184">
        <v>0</v>
      </c>
      <c r="I32" s="184">
        <v>0</v>
      </c>
      <c r="J32" s="184">
        <v>373038.96564228274</v>
      </c>
      <c r="K32" s="184">
        <v>15271.83640955314</v>
      </c>
      <c r="L32" s="184">
        <v>0</v>
      </c>
      <c r="M32" s="184">
        <v>3786491.1448705373</v>
      </c>
      <c r="N32" s="184">
        <v>1154472.6015983766</v>
      </c>
      <c r="O32" s="184">
        <v>605004.90949120116</v>
      </c>
      <c r="P32" s="184">
        <v>26509.971390773608</v>
      </c>
    </row>
    <row r="33" spans="1:16">
      <c r="A33" s="47">
        <f t="shared" si="1"/>
        <v>19</v>
      </c>
      <c r="B33" s="36"/>
      <c r="C33" s="29"/>
      <c r="D33" s="29" t="s">
        <v>55</v>
      </c>
      <c r="E33" s="29"/>
      <c r="F33" s="180">
        <v>119709187.93232799</v>
      </c>
      <c r="G33" s="180">
        <v>104457905.58576354</v>
      </c>
      <c r="H33" s="180">
        <v>0</v>
      </c>
      <c r="I33" s="180">
        <v>0</v>
      </c>
      <c r="J33" s="180">
        <v>848032.03573167929</v>
      </c>
      <c r="K33" s="180">
        <v>65409.085718363742</v>
      </c>
      <c r="L33" s="180">
        <v>0</v>
      </c>
      <c r="M33" s="180">
        <v>9095511.5758533254</v>
      </c>
      <c r="N33" s="180">
        <v>2736957.3222717224</v>
      </c>
      <c r="O33" s="180">
        <v>1341192.4806964842</v>
      </c>
      <c r="P33" s="180">
        <v>1164179.846292844</v>
      </c>
    </row>
    <row r="34" spans="1:16">
      <c r="A34" s="47"/>
      <c r="B34" s="36"/>
      <c r="C34" s="29"/>
      <c r="D34" s="29"/>
      <c r="E34" s="29"/>
      <c r="F34" s="180"/>
      <c r="G34" s="180"/>
      <c r="H34" s="180"/>
      <c r="I34" s="180"/>
      <c r="J34" s="180"/>
      <c r="K34" s="180"/>
      <c r="L34" s="180"/>
      <c r="M34" s="180"/>
      <c r="N34" s="180"/>
      <c r="O34" s="180"/>
      <c r="P34" s="180"/>
    </row>
    <row r="35" spans="1:16">
      <c r="A35" s="47">
        <f>+A33+1</f>
        <v>20</v>
      </c>
      <c r="B35" s="36"/>
      <c r="C35" s="29" t="s">
        <v>56</v>
      </c>
      <c r="D35" s="29"/>
      <c r="E35" s="29"/>
      <c r="F35" s="180"/>
      <c r="G35" s="180"/>
      <c r="H35" s="180"/>
      <c r="I35" s="180"/>
      <c r="J35" s="180"/>
      <c r="K35" s="180"/>
      <c r="L35" s="180"/>
      <c r="M35" s="180"/>
      <c r="N35" s="180"/>
      <c r="O35" s="180"/>
      <c r="P35" s="180"/>
    </row>
    <row r="36" spans="1:16">
      <c r="A36" s="47">
        <f>+A35+1</f>
        <v>21</v>
      </c>
      <c r="B36" s="36"/>
      <c r="C36" s="29"/>
      <c r="D36" s="29" t="s">
        <v>57</v>
      </c>
      <c r="E36" s="29"/>
      <c r="F36" s="181">
        <v>85423489.740319371</v>
      </c>
      <c r="G36" s="180">
        <v>75015102.502545223</v>
      </c>
      <c r="H36" s="180">
        <v>0</v>
      </c>
      <c r="I36" s="180">
        <v>0</v>
      </c>
      <c r="J36" s="180">
        <v>622655.25194241328</v>
      </c>
      <c r="K36" s="180">
        <v>26753.344943053249</v>
      </c>
      <c r="L36" s="180">
        <v>0</v>
      </c>
      <c r="M36" s="180">
        <v>6633210.375352772</v>
      </c>
      <c r="N36" s="180">
        <v>2022415.8319653708</v>
      </c>
      <c r="O36" s="180">
        <v>1059853.2227423475</v>
      </c>
      <c r="P36" s="180">
        <v>43499.210828203009</v>
      </c>
    </row>
    <row r="37" spans="1:16">
      <c r="A37" s="47">
        <f>+A36+1</f>
        <v>22</v>
      </c>
      <c r="B37" s="36"/>
      <c r="C37" s="29"/>
      <c r="D37" s="29" t="s">
        <v>58</v>
      </c>
      <c r="E37" s="29"/>
      <c r="F37" s="181">
        <v>28343362.158901289</v>
      </c>
      <c r="G37" s="180">
        <v>24862079.579151358</v>
      </c>
      <c r="H37" s="180">
        <v>0</v>
      </c>
      <c r="I37" s="180">
        <v>0</v>
      </c>
      <c r="J37" s="180">
        <v>201516.6172974112</v>
      </c>
      <c r="K37" s="180">
        <v>8968.4778193582333</v>
      </c>
      <c r="L37" s="180">
        <v>0</v>
      </c>
      <c r="M37" s="180">
        <v>2223639.707450313</v>
      </c>
      <c r="N37" s="180">
        <v>677970.98153926537</v>
      </c>
      <c r="O37" s="180">
        <v>355292.77330265997</v>
      </c>
      <c r="P37" s="180">
        <v>13894.022340928219</v>
      </c>
    </row>
    <row r="38" spans="1:16" ht="13.5" thickBot="1">
      <c r="A38" s="47">
        <f>+A37+1</f>
        <v>23</v>
      </c>
      <c r="B38" s="36"/>
      <c r="C38" s="29"/>
      <c r="D38" s="29" t="s">
        <v>59</v>
      </c>
      <c r="E38" s="29"/>
      <c r="F38" s="185">
        <v>29744657.441616181</v>
      </c>
      <c r="G38" s="184">
        <v>29163196.826547861</v>
      </c>
      <c r="H38" s="184">
        <v>0</v>
      </c>
      <c r="I38" s="184">
        <v>0</v>
      </c>
      <c r="J38" s="184">
        <v>201046.41933049494</v>
      </c>
      <c r="K38" s="184">
        <v>18980.565662953988</v>
      </c>
      <c r="L38" s="184">
        <v>0</v>
      </c>
      <c r="M38" s="184">
        <v>1126686.3654296582</v>
      </c>
      <c r="N38" s="184">
        <v>-640120.59084173967</v>
      </c>
      <c r="O38" s="184">
        <v>-396493.91921764135</v>
      </c>
      <c r="P38" s="184">
        <v>271361.77470459312</v>
      </c>
    </row>
    <row r="39" spans="1:16">
      <c r="A39" s="47">
        <f>+A38+1</f>
        <v>24</v>
      </c>
      <c r="B39" s="36"/>
      <c r="C39" s="29"/>
      <c r="D39" s="29" t="s">
        <v>60</v>
      </c>
      <c r="E39" s="29"/>
      <c r="F39" s="180">
        <v>143511509.34083685</v>
      </c>
      <c r="G39" s="180">
        <v>129040378.90824445</v>
      </c>
      <c r="H39" s="180">
        <v>0</v>
      </c>
      <c r="I39" s="180">
        <v>0</v>
      </c>
      <c r="J39" s="180">
        <v>1025218.2885703194</v>
      </c>
      <c r="K39" s="180">
        <v>54702.388425365469</v>
      </c>
      <c r="L39" s="180">
        <v>0</v>
      </c>
      <c r="M39" s="180">
        <v>9983536.4482327439</v>
      </c>
      <c r="N39" s="180">
        <v>2060266.2226628966</v>
      </c>
      <c r="O39" s="180">
        <v>1018652.076827366</v>
      </c>
      <c r="P39" s="180">
        <v>328755.00787372433</v>
      </c>
    </row>
    <row r="40" spans="1:16">
      <c r="A40" s="47"/>
      <c r="B40" s="36"/>
      <c r="C40" s="29"/>
      <c r="D40" s="29"/>
      <c r="E40" s="29"/>
      <c r="F40" s="181"/>
      <c r="G40" s="180"/>
      <c r="H40" s="180"/>
      <c r="I40" s="180"/>
      <c r="J40" s="180"/>
      <c r="K40" s="180"/>
      <c r="L40" s="180"/>
      <c r="M40" s="180"/>
      <c r="N40" s="180"/>
      <c r="O40" s="180"/>
      <c r="P40" s="180"/>
    </row>
    <row r="41" spans="1:16" ht="13.5" thickBot="1">
      <c r="A41" s="47">
        <f>+A39+1</f>
        <v>25</v>
      </c>
      <c r="B41" s="36"/>
      <c r="C41" s="29" t="s">
        <v>61</v>
      </c>
      <c r="D41" s="29"/>
      <c r="E41" s="29"/>
      <c r="F41" s="183">
        <v>263220697.27316484</v>
      </c>
      <c r="G41" s="183">
        <v>233498284.494008</v>
      </c>
      <c r="H41" s="183">
        <v>0</v>
      </c>
      <c r="I41" s="183">
        <v>0</v>
      </c>
      <c r="J41" s="183">
        <v>1873250.3243019986</v>
      </c>
      <c r="K41" s="183">
        <v>120111.47414372921</v>
      </c>
      <c r="L41" s="183">
        <v>0</v>
      </c>
      <c r="M41" s="183">
        <v>19079048.024086069</v>
      </c>
      <c r="N41" s="183">
        <v>4797223.5449346192</v>
      </c>
      <c r="O41" s="183">
        <v>2359844.5575238504</v>
      </c>
      <c r="P41" s="183">
        <v>1492934.8541665683</v>
      </c>
    </row>
    <row r="42" spans="1:16" ht="13.5" thickTop="1">
      <c r="A42" s="47"/>
      <c r="B42" s="36"/>
      <c r="C42" s="29"/>
      <c r="D42" s="29"/>
      <c r="E42" s="29"/>
    </row>
    <row r="43" spans="1:16">
      <c r="A43" s="47">
        <f>+A41+1</f>
        <v>26</v>
      </c>
      <c r="B43" s="36" t="s">
        <v>62</v>
      </c>
      <c r="C43" s="29"/>
      <c r="D43" s="29"/>
      <c r="E43" s="29"/>
      <c r="F43" s="180">
        <v>125906075.20698228</v>
      </c>
      <c r="G43" s="180">
        <v>119484249.47038639</v>
      </c>
      <c r="H43" s="180">
        <v>0</v>
      </c>
      <c r="I43" s="180">
        <v>0</v>
      </c>
      <c r="J43" s="180">
        <v>860311.10377810011</v>
      </c>
      <c r="K43" s="180">
        <v>68893.319074015206</v>
      </c>
      <c r="L43" s="180">
        <v>0</v>
      </c>
      <c r="M43" s="180">
        <v>6199087.9540853575</v>
      </c>
      <c r="N43" s="180">
        <v>-1100558.0405325759</v>
      </c>
      <c r="O43" s="180">
        <v>-762326.66934393207</v>
      </c>
      <c r="P43" s="180">
        <v>1156418.0695349961</v>
      </c>
    </row>
    <row r="44" spans="1:16" ht="13.5" thickBot="1">
      <c r="A44" s="47"/>
      <c r="B44" s="50"/>
      <c r="C44" s="50"/>
      <c r="D44" s="50"/>
      <c r="E44" s="50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</row>
    <row r="45" spans="1:16">
      <c r="A45" s="47"/>
      <c r="B45" s="30"/>
      <c r="C45" s="30"/>
      <c r="D45" s="30"/>
      <c r="E45" s="30"/>
    </row>
    <row r="46" spans="1:16">
      <c r="A46" s="47">
        <f>+A43+1</f>
        <v>27</v>
      </c>
      <c r="B46" s="189" t="s">
        <v>63</v>
      </c>
      <c r="C46" s="189"/>
      <c r="D46" s="189"/>
      <c r="E46" s="189"/>
      <c r="F46" s="180"/>
      <c r="G46" s="180"/>
      <c r="H46" s="180"/>
      <c r="I46" s="180"/>
      <c r="J46" s="180"/>
      <c r="K46" s="180"/>
      <c r="L46" s="180"/>
      <c r="M46" s="180"/>
      <c r="N46" s="180"/>
      <c r="O46" s="180"/>
      <c r="P46" s="180"/>
    </row>
    <row r="47" spans="1:16">
      <c r="A47" s="47"/>
      <c r="B47" s="58"/>
      <c r="C47" s="58"/>
      <c r="D47" s="58"/>
      <c r="E47" s="58"/>
      <c r="F47" s="180"/>
      <c r="G47" s="180"/>
      <c r="H47" s="180"/>
      <c r="I47" s="180"/>
      <c r="J47" s="180"/>
      <c r="K47" s="180"/>
      <c r="L47" s="180"/>
      <c r="M47" s="180"/>
      <c r="N47" s="180"/>
      <c r="O47" s="180"/>
      <c r="P47" s="180"/>
    </row>
    <row r="48" spans="1:16">
      <c r="A48" s="47">
        <f>+A46+1</f>
        <v>28</v>
      </c>
      <c r="B48" s="36" t="s">
        <v>64</v>
      </c>
      <c r="C48" s="29"/>
      <c r="D48" s="29"/>
      <c r="E48" s="29"/>
      <c r="F48" s="180"/>
      <c r="G48" s="180"/>
      <c r="H48" s="180"/>
      <c r="I48" s="180"/>
      <c r="J48" s="180"/>
      <c r="K48" s="180"/>
      <c r="L48" s="180"/>
      <c r="M48" s="180"/>
      <c r="N48" s="180"/>
      <c r="O48" s="180"/>
      <c r="P48" s="180"/>
    </row>
    <row r="49" spans="1:16">
      <c r="A49" s="47">
        <f t="shared" ref="A49:A54" si="2">+A48+1</f>
        <v>29</v>
      </c>
      <c r="B49" s="30"/>
      <c r="C49" s="37">
        <v>101</v>
      </c>
      <c r="D49" s="29" t="s">
        <v>65</v>
      </c>
      <c r="E49" s="29"/>
      <c r="F49" s="181">
        <v>3244815858.1726475</v>
      </c>
      <c r="G49" s="180">
        <v>2839748039.7469854</v>
      </c>
      <c r="H49" s="180">
        <v>0</v>
      </c>
      <c r="I49" s="180">
        <v>0</v>
      </c>
      <c r="J49" s="180">
        <v>24342994.483329929</v>
      </c>
      <c r="K49" s="180">
        <v>996577.47235060227</v>
      </c>
      <c r="L49" s="180">
        <v>0</v>
      </c>
      <c r="M49" s="180">
        <v>247090898.11049339</v>
      </c>
      <c r="N49" s="180">
        <v>75336151.877533019</v>
      </c>
      <c r="O49" s="180">
        <v>39480141.568520658</v>
      </c>
      <c r="P49" s="180">
        <v>17821054.913434938</v>
      </c>
    </row>
    <row r="50" spans="1:16">
      <c r="A50" s="47">
        <f t="shared" si="2"/>
        <v>30</v>
      </c>
      <c r="B50" s="30"/>
      <c r="C50" s="37">
        <v>105</v>
      </c>
      <c r="D50" s="29" t="s">
        <v>66</v>
      </c>
      <c r="E50" s="29"/>
      <c r="F50" s="181">
        <v>5036.8300000000017</v>
      </c>
      <c r="G50" s="180">
        <v>4418.3245340407902</v>
      </c>
      <c r="H50" s="180">
        <v>0</v>
      </c>
      <c r="I50" s="180">
        <v>0</v>
      </c>
      <c r="J50" s="180">
        <v>35.837486142162504</v>
      </c>
      <c r="K50" s="180">
        <v>1.5932883913426457</v>
      </c>
      <c r="L50" s="180">
        <v>0</v>
      </c>
      <c r="M50" s="180">
        <v>395.03909178008803</v>
      </c>
      <c r="N50" s="180">
        <v>120.44444066328617</v>
      </c>
      <c r="O50" s="180">
        <v>63.119278726339139</v>
      </c>
      <c r="P50" s="180">
        <v>2.4718802559923563</v>
      </c>
    </row>
    <row r="51" spans="1:16">
      <c r="A51" s="47">
        <f t="shared" si="2"/>
        <v>31</v>
      </c>
      <c r="B51" s="30"/>
      <c r="C51" s="37">
        <v>106</v>
      </c>
      <c r="D51" s="29" t="s">
        <v>67</v>
      </c>
      <c r="E51" s="29"/>
      <c r="F51" s="181">
        <v>0</v>
      </c>
      <c r="G51" s="180">
        <v>0</v>
      </c>
      <c r="H51" s="180">
        <v>0</v>
      </c>
      <c r="I51" s="180">
        <v>0</v>
      </c>
      <c r="J51" s="180">
        <v>0</v>
      </c>
      <c r="K51" s="180">
        <v>0</v>
      </c>
      <c r="L51" s="180">
        <v>0</v>
      </c>
      <c r="M51" s="180">
        <v>0</v>
      </c>
      <c r="N51" s="180">
        <v>0</v>
      </c>
      <c r="O51" s="180">
        <v>0</v>
      </c>
      <c r="P51" s="180">
        <v>0</v>
      </c>
    </row>
    <row r="52" spans="1:16">
      <c r="A52" s="47">
        <f t="shared" si="2"/>
        <v>32</v>
      </c>
      <c r="B52" s="30"/>
      <c r="C52" s="37">
        <v>108</v>
      </c>
      <c r="D52" s="29" t="s">
        <v>68</v>
      </c>
      <c r="E52" s="29"/>
      <c r="F52" s="181">
        <v>-799516884.35056591</v>
      </c>
      <c r="G52" s="180">
        <v>-707797341.68878174</v>
      </c>
      <c r="H52" s="180">
        <v>0</v>
      </c>
      <c r="I52" s="180">
        <v>0</v>
      </c>
      <c r="J52" s="180">
        <v>-6868711.0880078757</v>
      </c>
      <c r="K52" s="180">
        <v>-231589.25788900303</v>
      </c>
      <c r="L52" s="180">
        <v>0</v>
      </c>
      <c r="M52" s="180">
        <v>-57420119.671744697</v>
      </c>
      <c r="N52" s="180">
        <v>-17506961.565546121</v>
      </c>
      <c r="O52" s="180">
        <v>-9174576.9304223768</v>
      </c>
      <c r="P52" s="180">
        <v>-517584.14817394887</v>
      </c>
    </row>
    <row r="53" spans="1:16">
      <c r="A53" s="47">
        <f>+A52+1</f>
        <v>33</v>
      </c>
      <c r="B53" s="30"/>
      <c r="C53" s="37">
        <v>111</v>
      </c>
      <c r="D53" s="29" t="s">
        <v>69</v>
      </c>
      <c r="E53" s="29"/>
      <c r="F53" s="180">
        <v>-5624785.5266477941</v>
      </c>
      <c r="G53" s="180">
        <v>-5466909.7406551745</v>
      </c>
      <c r="H53" s="180">
        <v>0</v>
      </c>
      <c r="I53" s="180">
        <v>0</v>
      </c>
      <c r="J53" s="180">
        <v>-137379.3864367675</v>
      </c>
      <c r="K53" s="180">
        <v>-20.337039180991624</v>
      </c>
      <c r="L53" s="180">
        <v>0</v>
      </c>
      <c r="M53" s="180">
        <v>-5042.3548751176786</v>
      </c>
      <c r="N53" s="180">
        <v>-1537.3759842922846</v>
      </c>
      <c r="O53" s="180">
        <v>-805.66660217223159</v>
      </c>
      <c r="P53" s="180">
        <v>-13090.665055089024</v>
      </c>
    </row>
    <row r="54" spans="1:16" ht="13.5" thickBot="1">
      <c r="A54" s="47">
        <f t="shared" si="2"/>
        <v>34</v>
      </c>
      <c r="B54" s="30"/>
      <c r="C54" s="37">
        <v>254</v>
      </c>
      <c r="D54" s="106" t="s">
        <v>70</v>
      </c>
      <c r="E54" s="92"/>
      <c r="F54" s="184">
        <v>-404258011.45277846</v>
      </c>
      <c r="G54" s="184">
        <v>-355177311.57522815</v>
      </c>
      <c r="H54" s="184">
        <v>0</v>
      </c>
      <c r="I54" s="184">
        <v>0</v>
      </c>
      <c r="J54" s="184">
        <v>-2978800.3849391774</v>
      </c>
      <c r="K54" s="184">
        <v>-126026.69900434249</v>
      </c>
      <c r="L54" s="184">
        <v>0</v>
      </c>
      <c r="M54" s="184">
        <v>-31246993.943616401</v>
      </c>
      <c r="N54" s="184">
        <v>-9526972.8648603298</v>
      </c>
      <c r="O54" s="184">
        <v>-4992639.3643728215</v>
      </c>
      <c r="P54" s="184">
        <v>-209266.62075713649</v>
      </c>
    </row>
    <row r="55" spans="1:16">
      <c r="A55" s="47">
        <f>+A54+1</f>
        <v>35</v>
      </c>
      <c r="B55" s="30"/>
      <c r="C55" s="61" t="s">
        <v>71</v>
      </c>
      <c r="D55" s="29"/>
      <c r="E55" s="29"/>
      <c r="F55" s="180">
        <v>2035421213.6726556</v>
      </c>
      <c r="G55" s="180">
        <v>1771310895.0668542</v>
      </c>
      <c r="H55" s="180">
        <v>0</v>
      </c>
      <c r="I55" s="180">
        <v>0</v>
      </c>
      <c r="J55" s="180">
        <v>14358139.46143225</v>
      </c>
      <c r="K55" s="180">
        <v>638942.77170646703</v>
      </c>
      <c r="L55" s="180">
        <v>0</v>
      </c>
      <c r="M55" s="180">
        <v>158419137.17934895</v>
      </c>
      <c r="N55" s="180">
        <v>48300800.515582934</v>
      </c>
      <c r="O55" s="180">
        <v>25312182.726402014</v>
      </c>
      <c r="P55" s="180">
        <v>17081115.951329019</v>
      </c>
    </row>
    <row r="56" spans="1:16">
      <c r="A56" s="47"/>
      <c r="B56" s="29"/>
      <c r="C56" s="29"/>
      <c r="D56" s="29"/>
      <c r="E56" s="29"/>
      <c r="F56" s="181"/>
      <c r="G56" s="180"/>
      <c r="H56" s="180"/>
      <c r="I56" s="180"/>
      <c r="J56" s="180"/>
      <c r="K56" s="180"/>
      <c r="L56" s="180"/>
      <c r="M56" s="180"/>
      <c r="N56" s="180"/>
      <c r="O56" s="180"/>
      <c r="P56" s="180"/>
    </row>
    <row r="57" spans="1:16">
      <c r="A57" s="47">
        <f>+A55+1</f>
        <v>36</v>
      </c>
      <c r="B57" s="36" t="s">
        <v>72</v>
      </c>
      <c r="C57" s="29"/>
      <c r="D57" s="29"/>
      <c r="E57" s="29"/>
      <c r="F57" s="181"/>
      <c r="G57" s="180"/>
      <c r="H57" s="180"/>
      <c r="I57" s="180"/>
      <c r="J57" s="180"/>
      <c r="K57" s="180"/>
      <c r="L57" s="180"/>
      <c r="M57" s="180"/>
      <c r="N57" s="180"/>
      <c r="O57" s="180"/>
      <c r="P57" s="180"/>
    </row>
    <row r="58" spans="1:16">
      <c r="A58" s="47">
        <f t="shared" ref="A58:A69" si="3">+A57+1</f>
        <v>37</v>
      </c>
      <c r="B58" s="30"/>
      <c r="C58" s="37">
        <v>154</v>
      </c>
      <c r="D58" s="29" t="s">
        <v>73</v>
      </c>
      <c r="E58" s="29"/>
      <c r="F58" s="181">
        <v>24807024.296942223</v>
      </c>
      <c r="G58" s="180">
        <v>21818428.138936121</v>
      </c>
      <c r="H58" s="180">
        <v>0</v>
      </c>
      <c r="I58" s="180">
        <v>0</v>
      </c>
      <c r="J58" s="180">
        <v>187032.74670395564</v>
      </c>
      <c r="K58" s="180">
        <v>7656.9307068881808</v>
      </c>
      <c r="L58" s="180">
        <v>0</v>
      </c>
      <c r="M58" s="180">
        <v>1898455.4012366966</v>
      </c>
      <c r="N58" s="180">
        <v>578824.73832093307</v>
      </c>
      <c r="O58" s="180">
        <v>303334.88030316267</v>
      </c>
      <c r="P58" s="180">
        <v>13291.460734464546</v>
      </c>
    </row>
    <row r="59" spans="1:16">
      <c r="A59" s="47">
        <f t="shared" si="3"/>
        <v>38</v>
      </c>
      <c r="B59" s="30"/>
      <c r="C59" s="37" t="s">
        <v>74</v>
      </c>
      <c r="D59" s="29" t="s">
        <v>75</v>
      </c>
      <c r="E59" s="29"/>
      <c r="F59" s="181">
        <v>0</v>
      </c>
      <c r="G59" s="180">
        <v>0</v>
      </c>
      <c r="H59" s="180">
        <v>0</v>
      </c>
      <c r="I59" s="180">
        <v>0</v>
      </c>
      <c r="J59" s="180">
        <v>0</v>
      </c>
      <c r="K59" s="180">
        <v>0</v>
      </c>
      <c r="L59" s="180">
        <v>0</v>
      </c>
      <c r="M59" s="180">
        <v>0</v>
      </c>
      <c r="N59" s="180">
        <v>0</v>
      </c>
      <c r="O59" s="180">
        <v>0</v>
      </c>
      <c r="P59" s="180">
        <v>0</v>
      </c>
    </row>
    <row r="60" spans="1:16">
      <c r="A60" s="47">
        <f t="shared" si="3"/>
        <v>39</v>
      </c>
      <c r="B60" s="30"/>
      <c r="C60" s="37">
        <v>165</v>
      </c>
      <c r="D60" s="29" t="s">
        <v>76</v>
      </c>
      <c r="E60" s="29"/>
      <c r="F60" s="181">
        <v>2774808.2806198755</v>
      </c>
      <c r="G60" s="180">
        <v>2440516.6192178964</v>
      </c>
      <c r="H60" s="180">
        <v>0</v>
      </c>
      <c r="I60" s="180">
        <v>0</v>
      </c>
      <c r="J60" s="180">
        <v>20920.68795067801</v>
      </c>
      <c r="K60" s="180">
        <v>856.4717184650325</v>
      </c>
      <c r="L60" s="180">
        <v>0</v>
      </c>
      <c r="M60" s="180">
        <v>212353.15065130335</v>
      </c>
      <c r="N60" s="180">
        <v>64744.874584515688</v>
      </c>
      <c r="O60" s="180">
        <v>33929.750202639349</v>
      </c>
      <c r="P60" s="180">
        <v>1486.7262943775258</v>
      </c>
    </row>
    <row r="61" spans="1:16">
      <c r="A61" s="47">
        <f t="shared" si="3"/>
        <v>40</v>
      </c>
      <c r="B61" s="30"/>
      <c r="C61" s="52" t="s">
        <v>77</v>
      </c>
      <c r="D61" s="53" t="s">
        <v>78</v>
      </c>
      <c r="E61" s="29"/>
      <c r="F61" s="181">
        <v>31711929.259102922</v>
      </c>
      <c r="G61" s="180">
        <v>27891473.052334163</v>
      </c>
      <c r="H61" s="180">
        <v>0</v>
      </c>
      <c r="I61" s="180">
        <v>0</v>
      </c>
      <c r="J61" s="180">
        <v>239092.32972141067</v>
      </c>
      <c r="K61" s="180">
        <v>9788.1971659382398</v>
      </c>
      <c r="L61" s="180">
        <v>0</v>
      </c>
      <c r="M61" s="180">
        <v>2426880.4942074749</v>
      </c>
      <c r="N61" s="180">
        <v>739937.56507566094</v>
      </c>
      <c r="O61" s="180">
        <v>387766.55155604659</v>
      </c>
      <c r="P61" s="180">
        <v>16991.069042224412</v>
      </c>
    </row>
    <row r="62" spans="1:16">
      <c r="A62" s="47">
        <f t="shared" si="3"/>
        <v>41</v>
      </c>
      <c r="B62" s="30"/>
      <c r="C62" s="52" t="s">
        <v>77</v>
      </c>
      <c r="D62" s="53" t="s">
        <v>79</v>
      </c>
      <c r="E62" s="29"/>
      <c r="F62" s="181">
        <v>7523878.7165264701</v>
      </c>
      <c r="G62" s="180">
        <v>6617448.5556027945</v>
      </c>
      <c r="H62" s="180">
        <v>0</v>
      </c>
      <c r="I62" s="180">
        <v>0</v>
      </c>
      <c r="J62" s="180">
        <v>56726.340304864156</v>
      </c>
      <c r="K62" s="180">
        <v>2322.318763019678</v>
      </c>
      <c r="L62" s="180">
        <v>0</v>
      </c>
      <c r="M62" s="180">
        <v>575794.50145498326</v>
      </c>
      <c r="N62" s="180">
        <v>175555.40225712123</v>
      </c>
      <c r="O62" s="180">
        <v>92000.347263512245</v>
      </c>
      <c r="P62" s="180">
        <v>4031.2508801755703</v>
      </c>
    </row>
    <row r="63" spans="1:16">
      <c r="A63" s="47">
        <f t="shared" si="3"/>
        <v>42</v>
      </c>
      <c r="B63" s="30"/>
      <c r="C63" s="37" t="s">
        <v>80</v>
      </c>
      <c r="D63" s="29" t="s">
        <v>81</v>
      </c>
      <c r="E63" s="29"/>
      <c r="F63" s="181">
        <v>-5361638.9033333333</v>
      </c>
      <c r="G63" s="180">
        <v>-5353307.4459801326</v>
      </c>
      <c r="H63" s="180">
        <v>0</v>
      </c>
      <c r="I63" s="180">
        <v>0</v>
      </c>
      <c r="J63" s="180">
        <v>-2224.9063843037534</v>
      </c>
      <c r="K63" s="180">
        <v>-90.504666480152665</v>
      </c>
      <c r="L63" s="180">
        <v>0</v>
      </c>
      <c r="M63" s="180">
        <v>-5830.1291587635214</v>
      </c>
      <c r="N63" s="180">
        <v>-40.104069879714679</v>
      </c>
      <c r="O63" s="180">
        <v>-30.168222160050892</v>
      </c>
      <c r="P63" s="180">
        <v>-115.64485161352843</v>
      </c>
    </row>
    <row r="64" spans="1:16">
      <c r="A64" s="47">
        <f t="shared" si="3"/>
        <v>43</v>
      </c>
      <c r="B64" s="30"/>
      <c r="C64" s="37">
        <v>252</v>
      </c>
      <c r="D64" s="29" t="s">
        <v>82</v>
      </c>
      <c r="E64" s="29"/>
      <c r="F64" s="181">
        <v>0.73683116817846894</v>
      </c>
      <c r="G64" s="180">
        <v>0.73683116817846894</v>
      </c>
      <c r="H64" s="180">
        <v>0</v>
      </c>
      <c r="I64" s="180">
        <v>0</v>
      </c>
      <c r="J64" s="180">
        <v>0</v>
      </c>
      <c r="K64" s="180">
        <v>0</v>
      </c>
      <c r="L64" s="180">
        <v>0</v>
      </c>
      <c r="M64" s="180">
        <v>0</v>
      </c>
      <c r="N64" s="180">
        <v>0</v>
      </c>
      <c r="O64" s="180">
        <v>0</v>
      </c>
      <c r="P64" s="180">
        <v>0</v>
      </c>
    </row>
    <row r="65" spans="1:17">
      <c r="A65" s="47">
        <f t="shared" si="3"/>
        <v>44</v>
      </c>
      <c r="B65" s="30"/>
      <c r="C65" s="37" t="s">
        <v>83</v>
      </c>
      <c r="D65" s="29" t="s">
        <v>84</v>
      </c>
      <c r="E65" s="29"/>
      <c r="F65" s="181">
        <v>-36873.564304314503</v>
      </c>
      <c r="G65" s="180">
        <v>-36816.26642693024</v>
      </c>
      <c r="H65" s="180">
        <v>0</v>
      </c>
      <c r="I65" s="180">
        <v>0</v>
      </c>
      <c r="J65" s="180">
        <v>-15.301334183788448</v>
      </c>
      <c r="K65" s="180">
        <v>-0.62242715323885212</v>
      </c>
      <c r="L65" s="180">
        <v>0</v>
      </c>
      <c r="M65" s="180">
        <v>-40.095509286250902</v>
      </c>
      <c r="N65" s="180">
        <v>-0.27580745854686778</v>
      </c>
      <c r="O65" s="180">
        <v>-0.20747571774628404</v>
      </c>
      <c r="P65" s="180">
        <v>-0.79532358469408893</v>
      </c>
    </row>
    <row r="66" spans="1:17" ht="13.5" thickBot="1">
      <c r="A66" s="47">
        <f t="shared" si="3"/>
        <v>45</v>
      </c>
      <c r="B66" s="30"/>
      <c r="C66" s="37">
        <v>255</v>
      </c>
      <c r="D66" s="29" t="s">
        <v>85</v>
      </c>
      <c r="E66" s="29"/>
      <c r="F66" s="185">
        <v>0</v>
      </c>
      <c r="G66" s="184">
        <v>0</v>
      </c>
      <c r="H66" s="184">
        <v>0</v>
      </c>
      <c r="I66" s="184">
        <v>0</v>
      </c>
      <c r="J66" s="184">
        <v>0</v>
      </c>
      <c r="K66" s="184">
        <v>0</v>
      </c>
      <c r="L66" s="184">
        <v>0</v>
      </c>
      <c r="M66" s="184">
        <v>0</v>
      </c>
      <c r="N66" s="184">
        <v>0</v>
      </c>
      <c r="O66" s="184">
        <v>0</v>
      </c>
      <c r="P66" s="184">
        <v>0</v>
      </c>
    </row>
    <row r="67" spans="1:17" ht="13.5" thickBot="1">
      <c r="A67" s="47">
        <f t="shared" si="3"/>
        <v>46</v>
      </c>
      <c r="B67" s="30"/>
      <c r="C67" s="37">
        <v>282</v>
      </c>
      <c r="D67" s="29" t="s">
        <v>86</v>
      </c>
      <c r="E67" s="29"/>
      <c r="F67" s="178">
        <v>-294564926.78689212</v>
      </c>
      <c r="G67" s="178">
        <v>-259031873.26724041</v>
      </c>
      <c r="H67" s="178">
        <v>0</v>
      </c>
      <c r="I67" s="178">
        <v>0</v>
      </c>
      <c r="J67" s="178">
        <v>-2212523.9338740506</v>
      </c>
      <c r="K67" s="178">
        <v>-91071.212122075682</v>
      </c>
      <c r="L67" s="178">
        <v>0</v>
      </c>
      <c r="M67" s="178">
        <v>-22580148.778777815</v>
      </c>
      <c r="N67" s="178">
        <v>-6884517.118289819</v>
      </c>
      <c r="O67" s="178">
        <v>-3607852.3217223617</v>
      </c>
      <c r="P67" s="178">
        <v>-156940.15486555931</v>
      </c>
    </row>
    <row r="68" spans="1:17" ht="13.5" thickTop="1">
      <c r="A68" s="47">
        <f t="shared" si="3"/>
        <v>47</v>
      </c>
      <c r="B68" s="30"/>
      <c r="C68" s="29"/>
      <c r="D68" s="29" t="s">
        <v>87</v>
      </c>
      <c r="E68" s="29"/>
      <c r="F68" s="180">
        <v>13938534.840714565</v>
      </c>
      <c r="G68" s="180">
        <v>12259306.765046963</v>
      </c>
      <c r="H68" s="180">
        <v>0</v>
      </c>
      <c r="I68" s="180">
        <v>0</v>
      </c>
      <c r="J68" s="180">
        <v>105089.68851249799</v>
      </c>
      <c r="K68" s="180">
        <v>4302.265122707744</v>
      </c>
      <c r="L68" s="180">
        <v>0</v>
      </c>
      <c r="M68" s="180">
        <v>1066701.3680049558</v>
      </c>
      <c r="N68" s="180">
        <v>325229.20464701991</v>
      </c>
      <c r="O68" s="180">
        <v>170437.36269612858</v>
      </c>
      <c r="P68" s="180">
        <v>7468.1866842916643</v>
      </c>
    </row>
    <row r="69" spans="1:17">
      <c r="A69" s="47">
        <f t="shared" si="3"/>
        <v>48</v>
      </c>
      <c r="B69" s="30"/>
      <c r="C69" s="61" t="s">
        <v>88</v>
      </c>
      <c r="D69" s="29"/>
      <c r="E69" s="29"/>
      <c r="F69" s="181">
        <v>-219207263.12379253</v>
      </c>
      <c r="G69" s="180">
        <v>-193394823.11167836</v>
      </c>
      <c r="H69" s="180">
        <v>0</v>
      </c>
      <c r="I69" s="180">
        <v>0</v>
      </c>
      <c r="J69" s="180">
        <v>-1605902.3483991316</v>
      </c>
      <c r="K69" s="180">
        <v>-66236.155738690199</v>
      </c>
      <c r="L69" s="180">
        <v>0</v>
      </c>
      <c r="M69" s="180">
        <v>-16405834.08789045</v>
      </c>
      <c r="N69" s="180">
        <v>-5000265.7132819071</v>
      </c>
      <c r="O69" s="180">
        <v>-2620413.8053987506</v>
      </c>
      <c r="P69" s="180">
        <v>-113787.90140522382</v>
      </c>
    </row>
    <row r="70" spans="1:17">
      <c r="A70" s="47"/>
      <c r="B70" s="36"/>
      <c r="C70" s="29"/>
      <c r="D70" s="29"/>
      <c r="E70" s="29"/>
    </row>
    <row r="71" spans="1:17">
      <c r="A71" s="47">
        <f>+A69+1</f>
        <v>49</v>
      </c>
      <c r="B71" s="61" t="s">
        <v>89</v>
      </c>
      <c r="C71" s="29"/>
      <c r="D71" s="29"/>
      <c r="E71" s="29"/>
      <c r="F71" s="181">
        <v>1816213950.5488629</v>
      </c>
      <c r="G71" s="182">
        <v>1577916071.9551759</v>
      </c>
      <c r="H71" s="182">
        <v>0</v>
      </c>
      <c r="I71" s="182">
        <v>0</v>
      </c>
      <c r="J71" s="182">
        <v>12752237.11303312</v>
      </c>
      <c r="K71" s="182">
        <v>572706.61596777686</v>
      </c>
      <c r="L71" s="182">
        <v>0</v>
      </c>
      <c r="M71" s="182">
        <v>142013303.0914585</v>
      </c>
      <c r="N71" s="182">
        <v>43300534.802301027</v>
      </c>
      <c r="O71" s="182">
        <v>22691768.921003263</v>
      </c>
      <c r="P71" s="182">
        <v>16967328.049923796</v>
      </c>
    </row>
    <row r="72" spans="1:17">
      <c r="A72" s="47"/>
      <c r="B72" s="61"/>
      <c r="C72" s="29"/>
      <c r="D72" s="29"/>
      <c r="E72" s="29"/>
      <c r="F72" s="182"/>
      <c r="G72" s="182"/>
      <c r="H72" s="182"/>
      <c r="I72" s="182"/>
      <c r="J72" s="182"/>
      <c r="K72" s="182"/>
      <c r="L72" s="182"/>
      <c r="M72" s="182"/>
      <c r="N72" s="182"/>
      <c r="O72" s="182"/>
      <c r="P72" s="182"/>
    </row>
    <row r="73" spans="1:17">
      <c r="A73" s="47">
        <v>50</v>
      </c>
      <c r="B73" t="s">
        <v>99</v>
      </c>
      <c r="C73" s="49"/>
      <c r="D73" s="49"/>
      <c r="E73" s="49"/>
      <c r="F73" s="179">
        <v>6.9323371934751021E-2</v>
      </c>
      <c r="G73" s="179">
        <v>7.5722816690963146E-2</v>
      </c>
      <c r="H73" s="179">
        <v>0</v>
      </c>
      <c r="I73" s="179">
        <v>0</v>
      </c>
      <c r="J73" s="179">
        <v>6.7463543545535215E-2</v>
      </c>
      <c r="K73" s="179">
        <v>0.12029426088887973</v>
      </c>
      <c r="L73" s="179">
        <v>0</v>
      </c>
      <c r="M73" s="175">
        <v>4.3651459540329549E-2</v>
      </c>
      <c r="N73" s="175">
        <v>-2.5416730891603016E-2</v>
      </c>
      <c r="O73" s="179">
        <v>-3.3594854239782534E-2</v>
      </c>
      <c r="P73" s="179">
        <v>6.8155579130220786E-2</v>
      </c>
    </row>
    <row r="74" spans="1:17">
      <c r="A74" s="47">
        <f>A73+1</f>
        <v>51</v>
      </c>
      <c r="B74" s="56" t="s">
        <v>91</v>
      </c>
      <c r="F74" s="172">
        <v>9.0533403517729122E-2</v>
      </c>
      <c r="G74" s="172">
        <v>0.10216875761993299</v>
      </c>
      <c r="H74" s="172">
        <v>-3.5509090909090907E-2</v>
      </c>
      <c r="I74" s="172">
        <v>-3.5509090909090907E-2</v>
      </c>
      <c r="J74" s="172">
        <v>8.7151897355518565E-2</v>
      </c>
      <c r="K74" s="172">
        <v>0.18320774707069043</v>
      </c>
      <c r="L74" s="172">
        <v>-3.5509090909090907E-2</v>
      </c>
      <c r="M74" s="172">
        <v>4.3857199164235541E-2</v>
      </c>
      <c r="N74" s="172">
        <v>-8.1721328893823664E-2</v>
      </c>
      <c r="O74" s="172">
        <v>-9.6590644072331866E-2</v>
      </c>
      <c r="P74" s="172">
        <v>8.8410143873128691E-2</v>
      </c>
    </row>
    <row r="75" spans="1:17">
      <c r="A75" s="54"/>
      <c r="F75" s="172"/>
      <c r="G75" s="172"/>
      <c r="H75" s="172"/>
      <c r="I75" s="172"/>
      <c r="J75" s="172"/>
      <c r="K75" s="172"/>
      <c r="L75" s="172"/>
      <c r="M75" s="172"/>
      <c r="N75" s="172"/>
      <c r="O75" s="172"/>
      <c r="P75" s="172"/>
    </row>
    <row r="76" spans="1:17">
      <c r="A76" s="161">
        <v>52</v>
      </c>
      <c r="B76" s="30" t="s">
        <v>92</v>
      </c>
      <c r="C76" s="30"/>
      <c r="D76" s="30"/>
      <c r="E76" s="30"/>
      <c r="F76" s="162">
        <v>389126772.48014712</v>
      </c>
      <c r="G76" s="162">
        <v>352982533.96439439</v>
      </c>
      <c r="H76" s="162">
        <v>0</v>
      </c>
      <c r="I76" s="162">
        <v>0</v>
      </c>
      <c r="J76" s="162">
        <v>2733561.4280800987</v>
      </c>
      <c r="K76" s="162">
        <v>189004.79321774442</v>
      </c>
      <c r="L76" s="162">
        <v>0</v>
      </c>
      <c r="M76" s="162">
        <v>25278135.978171427</v>
      </c>
      <c r="N76" s="162">
        <v>3696665.5044020433</v>
      </c>
      <c r="O76" s="162">
        <v>1597517.8881799183</v>
      </c>
      <c r="P76" s="162">
        <v>2649352.9237015643</v>
      </c>
      <c r="Q76" s="162"/>
    </row>
    <row r="77" spans="1:17">
      <c r="A77" s="161">
        <v>53</v>
      </c>
      <c r="B77" s="57" t="s">
        <v>100</v>
      </c>
      <c r="C77" s="30"/>
      <c r="D77" s="30"/>
      <c r="E77" s="30"/>
      <c r="F77" s="162">
        <v>19249739.633961327</v>
      </c>
      <c r="G77" s="162">
        <v>3273048.4563818807</v>
      </c>
      <c r="H77" s="162">
        <v>0</v>
      </c>
      <c r="I77" s="162">
        <v>0</v>
      </c>
      <c r="J77" s="162">
        <v>166751.56514905271</v>
      </c>
      <c r="K77" s="162">
        <v>-32815.079460125868</v>
      </c>
      <c r="L77" s="162">
        <v>0</v>
      </c>
      <c r="M77" s="156">
        <v>6361592.4442950515</v>
      </c>
      <c r="N77" s="156">
        <v>5923503.843926942</v>
      </c>
      <c r="O77" s="162">
        <v>3351430.4364111968</v>
      </c>
      <c r="P77" s="162">
        <v>206227.96725730808</v>
      </c>
      <c r="Q77" s="162"/>
    </row>
    <row r="80" spans="1:17">
      <c r="F80" s="162"/>
      <c r="G80" s="162"/>
      <c r="H80" s="162"/>
      <c r="I80" s="162"/>
      <c r="J80" s="162"/>
      <c r="K80" s="162"/>
      <c r="L80" s="162"/>
      <c r="M80" s="162"/>
      <c r="N80" s="162"/>
      <c r="O80" s="162"/>
      <c r="P80" s="162"/>
    </row>
    <row r="81" spans="6:16">
      <c r="F81" s="159"/>
      <c r="G81" s="159"/>
      <c r="H81" s="159"/>
      <c r="I81" s="159"/>
      <c r="J81" s="159"/>
      <c r="K81" s="159"/>
      <c r="L81" s="159"/>
      <c r="M81" s="159"/>
      <c r="N81" s="159"/>
      <c r="O81" s="159"/>
      <c r="P81" s="159"/>
    </row>
    <row r="82" spans="6:16">
      <c r="F82" s="162"/>
      <c r="G82" s="162"/>
      <c r="H82" s="162"/>
      <c r="I82" s="162"/>
      <c r="J82" s="162"/>
      <c r="K82" s="162"/>
      <c r="L82" s="162"/>
      <c r="M82" s="162"/>
      <c r="N82" s="162"/>
      <c r="O82" s="162"/>
      <c r="P82" s="162"/>
    </row>
    <row r="83" spans="6:16">
      <c r="F83" s="162"/>
      <c r="G83" s="162"/>
      <c r="H83" s="162"/>
      <c r="I83" s="162"/>
      <c r="J83" s="162"/>
      <c r="K83" s="162"/>
      <c r="L83" s="162"/>
      <c r="M83" s="162"/>
      <c r="N83" s="162"/>
      <c r="O83" s="162"/>
      <c r="P83" s="162"/>
    </row>
    <row r="84" spans="6:16">
      <c r="F84" s="162"/>
      <c r="G84" s="162"/>
      <c r="H84" s="162"/>
      <c r="I84" s="162"/>
      <c r="J84" s="162"/>
      <c r="K84" s="162"/>
      <c r="L84" s="162"/>
      <c r="M84" s="162"/>
      <c r="N84" s="162"/>
      <c r="O84" s="162"/>
      <c r="P84" s="162"/>
    </row>
    <row r="85" spans="6:16">
      <c r="F85" s="162"/>
      <c r="G85" s="162"/>
      <c r="H85" s="162"/>
      <c r="I85" s="162"/>
      <c r="J85" s="162"/>
      <c r="K85" s="162"/>
      <c r="L85" s="162"/>
      <c r="M85" s="162"/>
      <c r="N85" s="162"/>
      <c r="O85" s="162"/>
      <c r="P85" s="162"/>
    </row>
    <row r="86" spans="6:16">
      <c r="F86" s="162"/>
      <c r="G86" s="162"/>
      <c r="H86" s="162"/>
      <c r="I86" s="162"/>
      <c r="J86" s="162"/>
      <c r="K86" s="162"/>
      <c r="L86" s="162"/>
      <c r="M86" s="162"/>
      <c r="N86" s="162"/>
      <c r="O86" s="162"/>
      <c r="P86" s="162"/>
    </row>
  </sheetData>
  <mergeCells count="6">
    <mergeCell ref="B46:E46"/>
    <mergeCell ref="F6:P6"/>
    <mergeCell ref="F7:P7"/>
    <mergeCell ref="G9:P9"/>
    <mergeCell ref="B10:E10"/>
    <mergeCell ref="B12:E12"/>
  </mergeCells>
  <printOptions horizontalCentered="1" verticalCentered="1"/>
  <pageMargins left="0.5" right="0.5" top="1" bottom="0.75" header="0.5" footer="0.5"/>
  <pageSetup scale="67" orientation="portrait" horizontalDpi="1200" verticalDpi="1200" r:id="rId1"/>
  <headerFooter scaleWithDoc="0">
    <oddHeader xml:space="preserve">&amp;R&amp;"Arial,Bold"&amp;14ANGC Exhibit 2.01&amp;"Arial,Regular"&amp;10
&amp;11Page 2 of 2&amp;10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A1:G46"/>
  <sheetViews>
    <sheetView workbookViewId="0">
      <selection activeCell="O43" sqref="O43"/>
    </sheetView>
  </sheetViews>
  <sheetFormatPr defaultRowHeight="12.75"/>
  <cols>
    <col min="1" max="1" width="25.7109375" customWidth="1"/>
    <col min="2" max="2" width="6.7109375" customWidth="1"/>
    <col min="3" max="3" width="12.7109375" customWidth="1"/>
    <col min="4" max="4" width="6.7109375" customWidth="1"/>
    <col min="5" max="5" width="14.7109375" customWidth="1"/>
    <col min="6" max="6" width="6.7109375" customWidth="1"/>
    <col min="7" max="7" width="11.5703125" customWidth="1"/>
  </cols>
  <sheetData>
    <row r="1" spans="1:7" ht="20.25">
      <c r="A1" s="2" t="s">
        <v>0</v>
      </c>
    </row>
    <row r="2" spans="1:7" ht="15">
      <c r="A2" s="3" t="s">
        <v>1</v>
      </c>
    </row>
    <row r="4" spans="1:7" ht="18.75">
      <c r="A4" s="4" t="s">
        <v>168</v>
      </c>
    </row>
    <row r="5" spans="1:7" ht="14.25">
      <c r="A5" s="21" t="s">
        <v>26</v>
      </c>
    </row>
    <row r="6" spans="1:7" ht="14.25">
      <c r="A6" s="21"/>
    </row>
    <row r="7" spans="1:7" ht="15">
      <c r="A7" s="147" t="s">
        <v>165</v>
      </c>
      <c r="B7" s="148"/>
    </row>
    <row r="9" spans="1:7">
      <c r="A9" s="80"/>
      <c r="C9" s="80" t="s">
        <v>164</v>
      </c>
      <c r="D9" s="1"/>
      <c r="E9" s="1"/>
      <c r="G9" s="80" t="s">
        <v>163</v>
      </c>
    </row>
    <row r="10" spans="1:7">
      <c r="A10" s="80" t="s">
        <v>162</v>
      </c>
      <c r="C10" s="80" t="s">
        <v>161</v>
      </c>
      <c r="D10" s="1"/>
      <c r="E10" s="80" t="s">
        <v>160</v>
      </c>
      <c r="G10" s="80" t="s">
        <v>159</v>
      </c>
    </row>
    <row r="11" spans="1:7">
      <c r="A11" s="108" t="s">
        <v>158</v>
      </c>
      <c r="C11" s="108" t="s">
        <v>157</v>
      </c>
      <c r="D11" s="1"/>
      <c r="E11" s="108" t="s">
        <v>156</v>
      </c>
      <c r="G11" s="108" t="s">
        <v>156</v>
      </c>
    </row>
    <row r="13" spans="1:7" ht="15">
      <c r="A13" s="191" t="s">
        <v>155</v>
      </c>
      <c r="B13" s="191"/>
      <c r="C13" s="191"/>
      <c r="D13" s="191"/>
      <c r="E13" s="191"/>
      <c r="F13" s="191"/>
      <c r="G13" s="191"/>
    </row>
    <row r="14" spans="1:7" ht="15">
      <c r="A14" s="107"/>
      <c r="B14" s="107"/>
      <c r="C14" s="107"/>
      <c r="D14" s="107"/>
      <c r="E14" s="107"/>
      <c r="F14" s="107"/>
      <c r="G14" s="107"/>
    </row>
    <row r="15" spans="1:7">
      <c r="A15" s="80" t="s">
        <v>94</v>
      </c>
      <c r="C15" s="116">
        <v>4049289.5542209614</v>
      </c>
      <c r="E15" s="116">
        <v>44448142.034188069</v>
      </c>
      <c r="G15" s="144">
        <f>+C15/E15</f>
        <v>9.1101435715949142E-2</v>
      </c>
    </row>
    <row r="16" spans="1:7">
      <c r="A16" s="80" t="s">
        <v>95</v>
      </c>
      <c r="C16" s="145">
        <v>1051736.2559191659</v>
      </c>
      <c r="E16" s="145">
        <v>140835572.17670396</v>
      </c>
      <c r="G16" s="143">
        <f>+C16/E16</f>
        <v>7.4678310292201648E-3</v>
      </c>
    </row>
    <row r="17" spans="1:7">
      <c r="A17" s="80" t="s">
        <v>2</v>
      </c>
      <c r="C17" s="7">
        <f>+C15+C16</f>
        <v>5101025.8101401273</v>
      </c>
      <c r="E17" s="7">
        <f>+E15+E16</f>
        <v>185283714.21089202</v>
      </c>
      <c r="G17" s="143">
        <f>+C17/E17</f>
        <v>2.7530891378473133E-2</v>
      </c>
    </row>
    <row r="18" spans="1:7">
      <c r="G18" s="5"/>
    </row>
    <row r="19" spans="1:7" ht="15">
      <c r="A19" s="191" t="s">
        <v>154</v>
      </c>
      <c r="B19" s="191"/>
      <c r="C19" s="191"/>
      <c r="D19" s="191"/>
      <c r="E19" s="191"/>
      <c r="F19" s="191"/>
      <c r="G19" s="191"/>
    </row>
    <row r="20" spans="1:7" ht="15">
      <c r="A20" s="96"/>
      <c r="G20" s="5"/>
    </row>
    <row r="21" spans="1:7">
      <c r="A21" s="80" t="s">
        <v>10</v>
      </c>
      <c r="C21" s="116">
        <v>4420047.1392220706</v>
      </c>
      <c r="E21" s="116">
        <v>70476809.872303322</v>
      </c>
      <c r="G21" s="143">
        <f>+C21/E21</f>
        <v>6.2716333886717324E-2</v>
      </c>
    </row>
    <row r="22" spans="1:7">
      <c r="A22" s="80" t="s">
        <v>13</v>
      </c>
      <c r="C22" s="145">
        <v>680978.67091805302</v>
      </c>
      <c r="E22" s="145">
        <v>114806904.33858876</v>
      </c>
      <c r="G22" s="143">
        <f>+C22/E22</f>
        <v>5.9315132207529032E-3</v>
      </c>
    </row>
    <row r="23" spans="1:7">
      <c r="A23" s="80" t="s">
        <v>2</v>
      </c>
      <c r="C23" s="7">
        <f>+C21+C22</f>
        <v>5101025.8101401236</v>
      </c>
      <c r="E23" s="7">
        <f>+E21+E22</f>
        <v>185283714.21089208</v>
      </c>
      <c r="G23" s="143">
        <f>+C23/E23</f>
        <v>2.7530891378473105E-2</v>
      </c>
    </row>
    <row r="24" spans="1:7">
      <c r="G24" s="5"/>
    </row>
    <row r="25" spans="1:7" ht="15">
      <c r="A25" s="191" t="s">
        <v>153</v>
      </c>
      <c r="B25" s="191"/>
      <c r="C25" s="191"/>
      <c r="D25" s="191"/>
      <c r="E25" s="191"/>
      <c r="F25" s="191"/>
      <c r="G25" s="191"/>
    </row>
    <row r="26" spans="1:7" ht="15">
      <c r="A26" s="107"/>
      <c r="B26" s="107"/>
      <c r="C26" s="107"/>
      <c r="D26" s="107"/>
      <c r="E26" s="107"/>
      <c r="F26" s="107"/>
      <c r="G26" s="107"/>
    </row>
    <row r="27" spans="1:7">
      <c r="A27" s="80" t="s">
        <v>14</v>
      </c>
      <c r="C27" s="116">
        <v>6199087.9540853575</v>
      </c>
      <c r="E27" s="116">
        <v>142013303.0914585</v>
      </c>
      <c r="G27" s="143">
        <f>+C27/E27</f>
        <v>4.3651459540329549E-2</v>
      </c>
    </row>
    <row r="28" spans="1:7">
      <c r="A28" s="80" t="s">
        <v>12</v>
      </c>
      <c r="C28" s="145">
        <v>-1100558.0405325759</v>
      </c>
      <c r="E28" s="145">
        <v>43300534.802301027</v>
      </c>
      <c r="G28" s="144">
        <f>+C28/E28</f>
        <v>-2.5416730891603016E-2</v>
      </c>
    </row>
    <row r="29" spans="1:7">
      <c r="A29" s="80" t="s">
        <v>2</v>
      </c>
      <c r="C29" s="7">
        <f>+C27+C28</f>
        <v>5098529.9135527816</v>
      </c>
      <c r="E29" s="7">
        <f>+E27+E28</f>
        <v>185313837.89375952</v>
      </c>
      <c r="G29" s="143">
        <f>+C29/E29</f>
        <v>2.751294761093756E-2</v>
      </c>
    </row>
    <row r="30" spans="1:7">
      <c r="G30" s="5"/>
    </row>
    <row r="31" spans="1:7">
      <c r="G31" s="5"/>
    </row>
    <row r="32" spans="1:7" ht="15">
      <c r="A32" s="191" t="s">
        <v>152</v>
      </c>
      <c r="B32" s="191"/>
      <c r="C32" s="191"/>
      <c r="D32" s="191"/>
      <c r="E32" s="191"/>
      <c r="F32" s="191"/>
      <c r="G32" s="191"/>
    </row>
    <row r="33" spans="1:7" ht="15">
      <c r="A33" s="107"/>
      <c r="B33" s="107"/>
      <c r="C33" s="107"/>
      <c r="D33" s="107"/>
      <c r="E33" s="107"/>
      <c r="F33" s="107"/>
      <c r="G33" s="107"/>
    </row>
    <row r="34" spans="1:7" ht="15">
      <c r="A34" s="80" t="s">
        <v>94</v>
      </c>
      <c r="C34" s="7">
        <f>+C15</f>
        <v>4049289.5542209614</v>
      </c>
      <c r="E34" s="7">
        <f>+E15</f>
        <v>44448142.034188069</v>
      </c>
      <c r="G34" s="141">
        <f>+C34/E34</f>
        <v>9.1101435715949142E-2</v>
      </c>
    </row>
    <row r="35" spans="1:7">
      <c r="A35" s="80" t="s">
        <v>151</v>
      </c>
      <c r="C35" s="7">
        <f>+C21-C15</f>
        <v>370757.58500110917</v>
      </c>
      <c r="E35" s="7">
        <f>+E21-E15</f>
        <v>26028667.838115253</v>
      </c>
      <c r="G35" s="143">
        <f>+C35/E35</f>
        <v>1.4244201328590004E-2</v>
      </c>
    </row>
    <row r="36" spans="1:7">
      <c r="A36" s="80" t="s">
        <v>150</v>
      </c>
      <c r="C36" s="7">
        <f>+C27-C21</f>
        <v>1779040.8148632869</v>
      </c>
      <c r="E36" s="7">
        <f>+E27-E21</f>
        <v>71536493.219155177</v>
      </c>
      <c r="G36" s="143">
        <f>+C36/E36</f>
        <v>2.4868996714909095E-2</v>
      </c>
    </row>
    <row r="37" spans="1:7" ht="15">
      <c r="A37" s="80" t="s">
        <v>12</v>
      </c>
      <c r="C37" s="142">
        <f>+C28</f>
        <v>-1100558.0405325759</v>
      </c>
      <c r="E37" s="142">
        <f>+E28</f>
        <v>43300534.802301027</v>
      </c>
      <c r="G37" s="141">
        <f>+C37/E37</f>
        <v>-2.5416730891603016E-2</v>
      </c>
    </row>
    <row r="38" spans="1:7">
      <c r="A38" s="80" t="s">
        <v>2</v>
      </c>
      <c r="C38" s="7">
        <f>SUM(C34:C37)</f>
        <v>5098529.9135527816</v>
      </c>
      <c r="E38" s="7">
        <f>SUM(E34:E37)</f>
        <v>185313837.89375952</v>
      </c>
      <c r="G38" s="140">
        <f>+C38/E38</f>
        <v>2.751294761093756E-2</v>
      </c>
    </row>
    <row r="42" spans="1:7">
      <c r="A42" s="135" t="s">
        <v>149</v>
      </c>
      <c r="B42" s="135"/>
      <c r="C42" s="137">
        <f>+C38-C23</f>
        <v>-2495.8965873420238</v>
      </c>
      <c r="D42" s="135"/>
      <c r="E42" s="137">
        <f>+E38-E23</f>
        <v>30123.682867437601</v>
      </c>
      <c r="F42" s="135"/>
      <c r="G42" s="139">
        <f>+C42/E42</f>
        <v>-8.2854961603648414E-2</v>
      </c>
    </row>
    <row r="43" spans="1:7">
      <c r="A43" s="135"/>
      <c r="B43" s="135"/>
      <c r="C43" s="135"/>
      <c r="D43" s="135"/>
      <c r="E43" s="135"/>
      <c r="F43" s="135"/>
      <c r="G43" s="138"/>
    </row>
    <row r="44" spans="1:7">
      <c r="A44" s="135"/>
      <c r="B44" s="135"/>
      <c r="C44" s="135"/>
      <c r="D44" s="135"/>
      <c r="E44" s="135"/>
      <c r="F44" s="135"/>
      <c r="G44" s="138"/>
    </row>
    <row r="45" spans="1:7">
      <c r="A45" s="135" t="s">
        <v>148</v>
      </c>
      <c r="B45" s="135"/>
      <c r="C45" s="137">
        <f>+C37-C42</f>
        <v>-1098062.1439452339</v>
      </c>
      <c r="D45" s="135"/>
      <c r="E45" s="137">
        <f>+E37-E42</f>
        <v>43270411.119433589</v>
      </c>
      <c r="F45" s="135"/>
      <c r="G45" s="136">
        <f>+C45/E45</f>
        <v>-2.5376743958230447E-2</v>
      </c>
    </row>
    <row r="46" spans="1:7">
      <c r="A46" s="135"/>
      <c r="B46" s="135"/>
      <c r="C46" s="135"/>
      <c r="D46" s="135"/>
      <c r="E46" s="135"/>
      <c r="F46" s="135"/>
      <c r="G46" s="135"/>
    </row>
  </sheetData>
  <mergeCells count="4">
    <mergeCell ref="A13:G13"/>
    <mergeCell ref="A19:G19"/>
    <mergeCell ref="A25:G25"/>
    <mergeCell ref="A32:G32"/>
  </mergeCells>
  <printOptions horizontalCentered="1" verticalCentered="1"/>
  <pageMargins left="0.5" right="0.5" top="1" bottom="1" header="0.5" footer="0.5"/>
  <pageSetup orientation="portrait" horizontalDpi="1200" verticalDpi="1200" r:id="rId1"/>
  <headerFooter scaleWithDoc="0" alignWithMargins="0">
    <oddHeader>&amp;R&amp;"Arial,Bold"&amp;14ANGC Exhibit 2.02R&amp;"Arial,Regular"&amp;10
&amp;11Page 1 of 2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pageSetUpPr fitToPage="1"/>
  </sheetPr>
  <dimension ref="A1:AA70"/>
  <sheetViews>
    <sheetView workbookViewId="0">
      <selection activeCell="O43" sqref="O43"/>
    </sheetView>
  </sheetViews>
  <sheetFormatPr defaultRowHeight="12.75"/>
  <cols>
    <col min="1" max="1" width="3.7109375" customWidth="1"/>
    <col min="5" max="5" width="12.5703125" customWidth="1"/>
    <col min="6" max="6" width="2.7109375" customWidth="1"/>
    <col min="7" max="7" width="10.7109375" customWidth="1"/>
    <col min="8" max="8" width="1.7109375" customWidth="1"/>
    <col min="9" max="9" width="13.7109375" customWidth="1"/>
    <col min="10" max="10" width="1.7109375" customWidth="1"/>
    <col min="11" max="11" width="12.7109375" customWidth="1"/>
    <col min="12" max="12" width="1.7109375" customWidth="1"/>
    <col min="13" max="13" width="12.7109375" customWidth="1"/>
    <col min="14" max="14" width="1.7109375" customWidth="1"/>
    <col min="15" max="15" width="12.7109375" customWidth="1"/>
    <col min="16" max="16" width="1.7109375" customWidth="1"/>
    <col min="17" max="17" width="12.7109375" customWidth="1"/>
    <col min="18" max="18" width="1.7109375" customWidth="1"/>
    <col min="19" max="19" width="12.7109375" customWidth="1"/>
    <col min="20" max="20" width="1.7109375" customWidth="1"/>
    <col min="21" max="21" width="12.7109375" customWidth="1"/>
    <col min="22" max="22" width="1.7109375" customWidth="1"/>
    <col min="23" max="23" width="12.7109375" customWidth="1"/>
    <col min="24" max="24" width="1.7109375" customWidth="1"/>
    <col min="25" max="25" width="12.7109375" customWidth="1"/>
  </cols>
  <sheetData>
    <row r="1" spans="1:25" ht="18">
      <c r="A1" s="177" t="s">
        <v>0</v>
      </c>
    </row>
    <row r="2" spans="1:25" ht="14.25">
      <c r="A2" s="171" t="s">
        <v>1</v>
      </c>
    </row>
    <row r="4" spans="1:25" ht="15">
      <c r="A4" s="146" t="s">
        <v>167</v>
      </c>
    </row>
    <row r="5" spans="1:25">
      <c r="A5" s="166" t="s">
        <v>26</v>
      </c>
    </row>
    <row r="6" spans="1:25" ht="12.75" customHeight="1">
      <c r="A6" s="21"/>
    </row>
    <row r="7" spans="1:25" ht="14.25">
      <c r="A7" s="151" t="s">
        <v>166</v>
      </c>
      <c r="B7" s="148"/>
      <c r="C7" s="148"/>
      <c r="D7" s="148"/>
      <c r="E7" s="148"/>
    </row>
    <row r="8" spans="1:25" ht="12.75" customHeight="1">
      <c r="A8" s="21"/>
    </row>
    <row r="9" spans="1:25">
      <c r="G9" s="5" t="s">
        <v>7</v>
      </c>
      <c r="O9" s="5" t="s">
        <v>11</v>
      </c>
      <c r="U9" s="5" t="s">
        <v>11</v>
      </c>
    </row>
    <row r="10" spans="1:25">
      <c r="G10" s="5" t="s">
        <v>5</v>
      </c>
      <c r="I10" s="5" t="s">
        <v>2</v>
      </c>
      <c r="K10" s="5" t="s">
        <v>11</v>
      </c>
      <c r="M10" s="5" t="s">
        <v>11</v>
      </c>
      <c r="O10" t="s">
        <v>95</v>
      </c>
      <c r="Q10" s="5" t="s">
        <v>11</v>
      </c>
      <c r="S10" s="5" t="s">
        <v>11</v>
      </c>
      <c r="T10" s="5"/>
      <c r="U10" t="s">
        <v>13</v>
      </c>
      <c r="W10" s="5" t="s">
        <v>11</v>
      </c>
      <c r="Y10" s="5" t="s">
        <v>11</v>
      </c>
    </row>
    <row r="11" spans="1:25">
      <c r="G11" s="5" t="s">
        <v>6</v>
      </c>
      <c r="I11" s="5" t="s">
        <v>3</v>
      </c>
      <c r="K11" t="s">
        <v>94</v>
      </c>
      <c r="L11" s="5"/>
      <c r="M11" t="s">
        <v>95</v>
      </c>
      <c r="O11" t="s">
        <v>10</v>
      </c>
      <c r="Q11" t="s">
        <v>10</v>
      </c>
      <c r="R11" s="5"/>
      <c r="S11" t="s">
        <v>13</v>
      </c>
      <c r="U11" t="s">
        <v>14</v>
      </c>
      <c r="V11" s="5"/>
      <c r="W11" t="s">
        <v>14</v>
      </c>
      <c r="Y11" t="s">
        <v>12</v>
      </c>
    </row>
    <row r="12" spans="1:25">
      <c r="X12" s="5"/>
      <c r="Y12" s="5"/>
    </row>
    <row r="13" spans="1:25" ht="14.25">
      <c r="A13" s="16" t="s">
        <v>16</v>
      </c>
      <c r="B13" s="11"/>
      <c r="I13" s="12"/>
      <c r="Q13" s="12"/>
      <c r="U13" s="12"/>
      <c r="Y13" s="12"/>
    </row>
    <row r="14" spans="1:25">
      <c r="B14" s="11"/>
      <c r="I14" s="12"/>
      <c r="Q14" s="12"/>
      <c r="U14" s="12"/>
      <c r="Y14" s="12"/>
    </row>
    <row r="15" spans="1:25">
      <c r="A15" t="s">
        <v>4</v>
      </c>
      <c r="G15" s="5" t="s">
        <v>8</v>
      </c>
      <c r="I15" s="14">
        <v>28974801</v>
      </c>
      <c r="K15" s="5" t="s">
        <v>8</v>
      </c>
      <c r="L15" s="5"/>
      <c r="M15" s="5" t="s">
        <v>8</v>
      </c>
      <c r="N15" s="5"/>
      <c r="O15" s="5" t="s">
        <v>8</v>
      </c>
      <c r="Q15" s="5" t="s">
        <v>8</v>
      </c>
      <c r="R15" s="5"/>
      <c r="S15" s="5" t="s">
        <v>8</v>
      </c>
      <c r="T15" s="5"/>
      <c r="U15" s="5" t="s">
        <v>8</v>
      </c>
      <c r="V15" s="5"/>
      <c r="W15" s="5" t="s">
        <v>8</v>
      </c>
      <c r="Y15" s="5" t="s">
        <v>8</v>
      </c>
    </row>
    <row r="17" spans="1:27">
      <c r="A17" t="s">
        <v>96</v>
      </c>
      <c r="G17" s="8">
        <v>35000</v>
      </c>
      <c r="I17" s="62">
        <f>+M17+K17</f>
        <v>28974620</v>
      </c>
      <c r="J17" s="10"/>
      <c r="K17" s="14">
        <v>10741345</v>
      </c>
      <c r="L17" s="6"/>
      <c r="M17" s="20">
        <v>18233275</v>
      </c>
      <c r="O17" s="5" t="s">
        <v>8</v>
      </c>
      <c r="Q17" s="5" t="s">
        <v>8</v>
      </c>
      <c r="R17" s="5"/>
      <c r="S17" s="5" t="s">
        <v>8</v>
      </c>
      <c r="T17" s="5"/>
      <c r="U17" s="5" t="s">
        <v>8</v>
      </c>
      <c r="V17" s="5"/>
      <c r="W17" s="5" t="s">
        <v>8</v>
      </c>
      <c r="Y17" s="5" t="s">
        <v>8</v>
      </c>
    </row>
    <row r="18" spans="1:27">
      <c r="B18" s="11" t="s">
        <v>22</v>
      </c>
      <c r="I18" s="12">
        <f>+I17/$I$20</f>
        <v>1</v>
      </c>
      <c r="K18" s="12">
        <f>+K17/$I$20</f>
        <v>0.37071564700417126</v>
      </c>
      <c r="L18" s="11"/>
      <c r="M18" s="12">
        <f>+M17/$I$20</f>
        <v>0.62928435299582874</v>
      </c>
    </row>
    <row r="20" spans="1:27">
      <c r="A20" t="s">
        <v>15</v>
      </c>
      <c r="G20" s="8">
        <v>120000</v>
      </c>
      <c r="I20" s="15">
        <f>+Q20+S20</f>
        <v>28974620</v>
      </c>
      <c r="K20" s="5" t="s">
        <v>8</v>
      </c>
      <c r="L20" s="5"/>
      <c r="M20" s="5" t="s">
        <v>8</v>
      </c>
      <c r="N20" s="5"/>
      <c r="O20" s="5" t="s">
        <v>8</v>
      </c>
      <c r="Q20" s="14">
        <v>14359569</v>
      </c>
      <c r="R20" s="6"/>
      <c r="S20" s="20">
        <v>14615051</v>
      </c>
      <c r="T20" s="9"/>
      <c r="U20" s="5" t="s">
        <v>8</v>
      </c>
      <c r="V20" s="9"/>
      <c r="W20" s="5" t="s">
        <v>8</v>
      </c>
      <c r="X20" s="10"/>
      <c r="Y20" s="5" t="s">
        <v>8</v>
      </c>
    </row>
    <row r="21" spans="1:27">
      <c r="B21" s="11" t="s">
        <v>22</v>
      </c>
      <c r="I21" s="12">
        <f>+I20/$I$20</f>
        <v>1</v>
      </c>
      <c r="J21" s="11"/>
      <c r="K21" s="11"/>
      <c r="L21" s="11"/>
      <c r="M21" s="11"/>
      <c r="N21" s="11"/>
      <c r="O21" s="11"/>
      <c r="P21" s="11"/>
      <c r="Q21" s="12">
        <f>+Q20/$I$20</f>
        <v>0.49559127954050819</v>
      </c>
      <c r="R21" s="11"/>
      <c r="S21" s="12">
        <f>+S20/$I$20</f>
        <v>0.50440872045949181</v>
      </c>
    </row>
    <row r="23" spans="1:27">
      <c r="A23" t="s">
        <v>25</v>
      </c>
      <c r="G23" s="8">
        <v>800000</v>
      </c>
      <c r="I23" s="15">
        <f>+W23+Y23</f>
        <v>28974802</v>
      </c>
      <c r="K23" s="5" t="s">
        <v>8</v>
      </c>
      <c r="L23" s="5"/>
      <c r="M23" s="5" t="s">
        <v>8</v>
      </c>
      <c r="N23" s="5"/>
      <c r="O23" s="5" t="s">
        <v>8</v>
      </c>
      <c r="Q23" s="5" t="s">
        <v>8</v>
      </c>
      <c r="R23" s="5"/>
      <c r="S23" s="5" t="s">
        <v>8</v>
      </c>
      <c r="T23" s="5"/>
      <c r="U23" s="5" t="s">
        <v>8</v>
      </c>
      <c r="V23" s="7"/>
      <c r="W23" s="20">
        <v>25278136</v>
      </c>
      <c r="X23" s="15"/>
      <c r="Y23" s="20">
        <v>3696666</v>
      </c>
    </row>
    <row r="24" spans="1:27">
      <c r="B24" s="11" t="s">
        <v>22</v>
      </c>
      <c r="I24" s="12">
        <f>+I23/$I$23</f>
        <v>1</v>
      </c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2">
        <f>+W23/$I$23</f>
        <v>0.87241790297652422</v>
      </c>
      <c r="X24" s="11"/>
      <c r="Y24" s="12">
        <f>+Y23/$I$23</f>
        <v>0.12758209702347578</v>
      </c>
    </row>
    <row r="26" spans="1:27">
      <c r="A26" t="s">
        <v>20</v>
      </c>
      <c r="I26" s="15">
        <f>+K26+O26+U26+Y26</f>
        <v>28974802</v>
      </c>
      <c r="K26" s="63">
        <f>+K17</f>
        <v>10741345</v>
      </c>
      <c r="M26" s="5" t="s">
        <v>8</v>
      </c>
      <c r="O26" s="63">
        <f>+M17-Q20</f>
        <v>3873706</v>
      </c>
      <c r="Q26" s="5" t="s">
        <v>8</v>
      </c>
      <c r="S26" s="5" t="s">
        <v>8</v>
      </c>
      <c r="U26" s="15">
        <f>+W23-S20</f>
        <v>10663085</v>
      </c>
      <c r="W26" s="5" t="s">
        <v>8</v>
      </c>
      <c r="Y26" s="15">
        <f>+Y23</f>
        <v>3696666</v>
      </c>
    </row>
    <row r="27" spans="1:27">
      <c r="B27" s="11" t="s">
        <v>22</v>
      </c>
      <c r="I27" s="12">
        <f>+I26/$I$26</f>
        <v>1</v>
      </c>
      <c r="K27" s="18">
        <f>+K26/$I$26</f>
        <v>0.37071331842060562</v>
      </c>
      <c r="O27" s="18">
        <f>+O26/$I$26</f>
        <v>0.13369223368635963</v>
      </c>
      <c r="Q27" s="18"/>
      <c r="R27" s="1"/>
      <c r="S27" s="1"/>
      <c r="T27" s="1"/>
      <c r="U27" s="18">
        <f>+U26/$I$26</f>
        <v>0.36801235086955902</v>
      </c>
      <c r="V27" s="1"/>
      <c r="W27" s="1"/>
      <c r="X27" s="1"/>
      <c r="Y27" s="18">
        <f>+Y26/$I$26</f>
        <v>0.12758209702347578</v>
      </c>
      <c r="AA27" s="64">
        <f>+Y27+U27+O27+K27</f>
        <v>1</v>
      </c>
    </row>
    <row r="28" spans="1:27">
      <c r="X28" s="5"/>
      <c r="Y28" s="5"/>
    </row>
    <row r="29" spans="1:27" ht="14.25">
      <c r="A29" s="16" t="s">
        <v>17</v>
      </c>
      <c r="B29" s="11"/>
      <c r="I29" s="12"/>
      <c r="Q29" s="12"/>
      <c r="U29" s="12"/>
      <c r="Y29" s="12"/>
    </row>
    <row r="30" spans="1:27">
      <c r="B30" s="11"/>
      <c r="I30" s="12"/>
      <c r="Q30" s="12"/>
      <c r="U30" s="12"/>
      <c r="Y30" s="12"/>
    </row>
    <row r="31" spans="1:27">
      <c r="A31" t="s">
        <v>4</v>
      </c>
      <c r="G31" s="5" t="s">
        <v>8</v>
      </c>
      <c r="I31" s="17">
        <v>55375315</v>
      </c>
      <c r="K31" s="5" t="s">
        <v>8</v>
      </c>
      <c r="L31" s="5"/>
      <c r="M31" s="5" t="s">
        <v>8</v>
      </c>
      <c r="N31" s="5"/>
      <c r="O31" s="5" t="s">
        <v>8</v>
      </c>
      <c r="Q31" s="5" t="s">
        <v>8</v>
      </c>
      <c r="R31" s="5"/>
      <c r="S31" s="5" t="s">
        <v>8</v>
      </c>
      <c r="T31" s="5"/>
      <c r="U31" s="5" t="s">
        <v>8</v>
      </c>
      <c r="V31" s="5"/>
      <c r="W31" s="5" t="s">
        <v>8</v>
      </c>
      <c r="Y31" s="5" t="s">
        <v>8</v>
      </c>
    </row>
    <row r="33" spans="1:27">
      <c r="A33" t="s">
        <v>96</v>
      </c>
      <c r="G33" s="8">
        <v>35000</v>
      </c>
      <c r="I33" s="65">
        <f>+K33+M33</f>
        <v>55353696</v>
      </c>
      <c r="J33" s="10"/>
      <c r="K33" s="22">
        <v>7195980</v>
      </c>
      <c r="L33" s="10"/>
      <c r="M33" s="22">
        <v>48157716</v>
      </c>
      <c r="O33" s="5" t="s">
        <v>8</v>
      </c>
      <c r="Q33" s="5" t="s">
        <v>8</v>
      </c>
      <c r="R33" s="5"/>
      <c r="S33" s="5" t="s">
        <v>8</v>
      </c>
      <c r="T33" s="5"/>
      <c r="U33" s="5" t="s">
        <v>8</v>
      </c>
      <c r="V33" s="5"/>
      <c r="W33" s="5" t="s">
        <v>8</v>
      </c>
      <c r="Y33" s="5" t="s">
        <v>8</v>
      </c>
    </row>
    <row r="34" spans="1:27">
      <c r="B34" s="11" t="s">
        <v>22</v>
      </c>
    </row>
    <row r="36" spans="1:27">
      <c r="A36" t="s">
        <v>15</v>
      </c>
      <c r="G36" s="8">
        <v>120000</v>
      </c>
      <c r="I36" s="8">
        <f>+Q36+S36</f>
        <v>55353696</v>
      </c>
      <c r="J36" s="8"/>
      <c r="K36" s="5" t="s">
        <v>8</v>
      </c>
      <c r="L36" s="5"/>
      <c r="M36" s="5" t="s">
        <v>8</v>
      </c>
      <c r="N36" s="5"/>
      <c r="O36" s="5" t="s">
        <v>8</v>
      </c>
      <c r="P36" s="8"/>
      <c r="Q36" s="22">
        <f>+'[2]Exh 4.5'!$I$13</f>
        <v>13284887</v>
      </c>
      <c r="S36" s="22">
        <f>+'[2]Exh 4.5'!$J$13</f>
        <v>42068809</v>
      </c>
      <c r="T36" s="9"/>
      <c r="U36" s="5" t="s">
        <v>8</v>
      </c>
      <c r="V36" s="9"/>
      <c r="W36" s="5" t="s">
        <v>8</v>
      </c>
      <c r="X36" s="10"/>
      <c r="Y36" s="5" t="s">
        <v>8</v>
      </c>
    </row>
    <row r="37" spans="1:27">
      <c r="B37" s="11" t="s">
        <v>19</v>
      </c>
      <c r="I37" s="12">
        <f>+I36/$I$36</f>
        <v>1</v>
      </c>
      <c r="J37" s="11"/>
      <c r="K37" s="11"/>
      <c r="L37" s="11"/>
      <c r="M37" s="11"/>
      <c r="N37" s="11"/>
      <c r="O37" s="11"/>
      <c r="P37" s="11"/>
      <c r="Q37" s="12">
        <f>+Q36/$I$36</f>
        <v>0.23999999927737437</v>
      </c>
      <c r="R37" s="11"/>
      <c r="S37" s="12">
        <f>+S36/$I$36</f>
        <v>0.76000000072262563</v>
      </c>
    </row>
    <row r="39" spans="1:27">
      <c r="A39" t="s">
        <v>25</v>
      </c>
      <c r="G39" s="8">
        <v>800000</v>
      </c>
      <c r="I39" s="8">
        <f>+W39+Y39</f>
        <v>55375315</v>
      </c>
      <c r="K39" s="5" t="s">
        <v>8</v>
      </c>
      <c r="L39" s="5"/>
      <c r="M39" s="5" t="s">
        <v>8</v>
      </c>
      <c r="N39" s="5"/>
      <c r="O39" s="5" t="s">
        <v>8</v>
      </c>
      <c r="Q39" s="5" t="s">
        <v>8</v>
      </c>
      <c r="R39" s="5"/>
      <c r="S39" s="5" t="s">
        <v>8</v>
      </c>
      <c r="T39" s="5"/>
      <c r="U39" s="5" t="s">
        <v>8</v>
      </c>
      <c r="V39" s="7"/>
      <c r="W39" s="19">
        <v>39229253</v>
      </c>
      <c r="Y39" s="19">
        <v>16146062</v>
      </c>
    </row>
    <row r="40" spans="1:27">
      <c r="B40" s="11" t="s">
        <v>19</v>
      </c>
      <c r="I40" s="12">
        <f>+I39/$I$39</f>
        <v>1</v>
      </c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2">
        <f>+W39/$I$39</f>
        <v>0.70842491821491216</v>
      </c>
      <c r="X40" s="11"/>
      <c r="Y40" s="12">
        <f>+Y39/$I$39</f>
        <v>0.29157508178508779</v>
      </c>
    </row>
    <row r="42" spans="1:27">
      <c r="A42" t="s">
        <v>24</v>
      </c>
      <c r="I42" s="8">
        <f>+K42+O42+U42+Y42</f>
        <v>55375315</v>
      </c>
      <c r="K42" s="7">
        <f>+K33</f>
        <v>7195980</v>
      </c>
      <c r="M42" s="5" t="s">
        <v>8</v>
      </c>
      <c r="O42" s="7">
        <f>+M33-S36</f>
        <v>6088907</v>
      </c>
      <c r="Q42" s="5" t="s">
        <v>8</v>
      </c>
      <c r="S42" s="5" t="s">
        <v>8</v>
      </c>
      <c r="U42" s="7">
        <f>+W39-Q36</f>
        <v>25944366</v>
      </c>
      <c r="W42" s="5" t="s">
        <v>8</v>
      </c>
      <c r="Y42" s="7">
        <f>+Y39</f>
        <v>16146062</v>
      </c>
    </row>
    <row r="43" spans="1:27">
      <c r="B43" s="11" t="s">
        <v>19</v>
      </c>
      <c r="I43" s="12">
        <f>+I42/$I$42</f>
        <v>1</v>
      </c>
      <c r="K43" s="18">
        <f>+K42/$I$42</f>
        <v>0.12994923821200838</v>
      </c>
      <c r="O43" s="18">
        <f>+O42/$I$42</f>
        <v>0.10995706299819694</v>
      </c>
      <c r="R43" s="1"/>
      <c r="S43" s="1"/>
      <c r="T43" s="1"/>
      <c r="U43" s="18">
        <f>+U42/$I$42</f>
        <v>0.46851861700470687</v>
      </c>
      <c r="V43" s="1"/>
      <c r="W43" s="1"/>
      <c r="X43" s="1"/>
      <c r="Y43" s="18">
        <f>+Y42/$I$42</f>
        <v>0.29157508178508779</v>
      </c>
      <c r="AA43" s="64">
        <f>+Y43+U43+O43+K43</f>
        <v>1</v>
      </c>
    </row>
    <row r="44" spans="1:27">
      <c r="X44" s="5"/>
      <c r="Y44" s="5"/>
    </row>
    <row r="45" spans="1:27" ht="14.25">
      <c r="A45" s="16" t="s">
        <v>18</v>
      </c>
    </row>
    <row r="46" spans="1:27" ht="12.75" customHeight="1">
      <c r="A46" s="4"/>
    </row>
    <row r="47" spans="1:27">
      <c r="A47" t="s">
        <v>4</v>
      </c>
      <c r="G47" s="5" t="s">
        <v>8</v>
      </c>
      <c r="I47" s="14">
        <v>12285096.285842625</v>
      </c>
      <c r="K47" s="5" t="s">
        <v>8</v>
      </c>
      <c r="L47" s="5"/>
      <c r="M47" s="5" t="s">
        <v>8</v>
      </c>
      <c r="N47" s="5"/>
      <c r="O47" s="5" t="s">
        <v>8</v>
      </c>
      <c r="Q47" s="5" t="s">
        <v>8</v>
      </c>
      <c r="R47" s="5"/>
      <c r="S47" s="5" t="s">
        <v>8</v>
      </c>
      <c r="T47" s="5"/>
      <c r="U47" s="5" t="s">
        <v>8</v>
      </c>
      <c r="V47" s="5"/>
      <c r="W47" s="5" t="s">
        <v>8</v>
      </c>
      <c r="Y47" s="5" t="s">
        <v>8</v>
      </c>
    </row>
    <row r="49" spans="1:27">
      <c r="A49" t="s">
        <v>96</v>
      </c>
      <c r="G49" s="163">
        <v>35000</v>
      </c>
      <c r="I49" s="62">
        <f>+M49+K49</f>
        <v>12278671</v>
      </c>
      <c r="K49" s="14">
        <v>-818343</v>
      </c>
      <c r="L49" s="14"/>
      <c r="M49" s="14">
        <v>13097014</v>
      </c>
      <c r="O49" s="5" t="s">
        <v>8</v>
      </c>
      <c r="Q49" s="5" t="s">
        <v>8</v>
      </c>
      <c r="R49" s="5"/>
      <c r="S49" s="5" t="s">
        <v>8</v>
      </c>
      <c r="T49" s="5"/>
      <c r="U49" s="5" t="s">
        <v>8</v>
      </c>
      <c r="V49" s="5"/>
      <c r="W49" s="5" t="s">
        <v>8</v>
      </c>
      <c r="Y49" s="5" t="s">
        <v>8</v>
      </c>
    </row>
    <row r="50" spans="1:27">
      <c r="B50" s="11" t="s">
        <v>22</v>
      </c>
      <c r="G50" s="159"/>
      <c r="I50" s="12">
        <f>+I49/$I$20</f>
        <v>0.4237733229978512</v>
      </c>
      <c r="K50" s="154">
        <v>-6.6647524800090896E-2</v>
      </c>
      <c r="L50" s="153"/>
      <c r="M50" s="154">
        <v>1.0666475614407867</v>
      </c>
    </row>
    <row r="51" spans="1:27">
      <c r="G51" s="159"/>
    </row>
    <row r="52" spans="1:27" s="157" customFormat="1">
      <c r="A52" s="158" t="s">
        <v>15</v>
      </c>
      <c r="G52" s="163">
        <v>120000</v>
      </c>
      <c r="I52" s="169">
        <f>+Q52+S52</f>
        <v>12278670.550100967</v>
      </c>
      <c r="J52" s="159"/>
      <c r="K52" s="161" t="s">
        <v>8</v>
      </c>
      <c r="L52" s="161"/>
      <c r="M52" s="161" t="s">
        <v>8</v>
      </c>
      <c r="N52" s="161"/>
      <c r="O52" s="161" t="s">
        <v>8</v>
      </c>
      <c r="P52" s="159"/>
      <c r="Q52" s="168">
        <v>1367243.1194231205</v>
      </c>
      <c r="R52" s="168"/>
      <c r="S52" s="168">
        <v>10911427.430677846</v>
      </c>
      <c r="T52" s="164"/>
      <c r="U52" s="161" t="s">
        <v>8</v>
      </c>
      <c r="V52" s="164"/>
      <c r="W52" s="161" t="s">
        <v>8</v>
      </c>
      <c r="X52" s="165"/>
      <c r="Y52" s="161" t="s">
        <v>8</v>
      </c>
      <c r="Z52" s="159"/>
      <c r="AA52" s="159"/>
    </row>
    <row r="53" spans="1:27">
      <c r="A53" s="158"/>
      <c r="B53" s="11" t="s">
        <v>21</v>
      </c>
      <c r="G53" s="159"/>
      <c r="I53" s="167">
        <f>+I52/$I$52</f>
        <v>1</v>
      </c>
      <c r="J53" s="155"/>
      <c r="K53" s="155"/>
      <c r="L53" s="155"/>
      <c r="M53" s="155"/>
      <c r="N53" s="155"/>
      <c r="O53" s="155"/>
      <c r="P53" s="155"/>
      <c r="Q53" s="167">
        <f>+Q52/$I$52</f>
        <v>0.11135107126169108</v>
      </c>
      <c r="R53" s="155"/>
      <c r="S53" s="167">
        <f>+S52/$I$52</f>
        <v>0.88864892873830881</v>
      </c>
      <c r="T53" s="159"/>
      <c r="U53" s="159"/>
      <c r="V53" s="159"/>
      <c r="W53" s="159"/>
      <c r="X53" s="159"/>
      <c r="Y53" s="159"/>
      <c r="Z53" s="159"/>
      <c r="AA53" s="159"/>
    </row>
    <row r="54" spans="1:27">
      <c r="G54" s="159"/>
      <c r="I54" s="159"/>
      <c r="J54" s="159"/>
      <c r="K54" s="159"/>
      <c r="L54" s="159"/>
      <c r="M54" s="159"/>
      <c r="N54" s="159"/>
      <c r="O54" s="159"/>
      <c r="P54" s="159"/>
      <c r="Q54" s="159"/>
      <c r="R54" s="159"/>
      <c r="S54" s="159"/>
      <c r="T54" s="159"/>
      <c r="U54" s="159"/>
      <c r="V54" s="159"/>
      <c r="W54" s="159"/>
      <c r="X54" s="159"/>
      <c r="Y54" s="159"/>
      <c r="Z54" s="159"/>
      <c r="AA54" s="159"/>
    </row>
    <row r="55" spans="1:27" s="157" customFormat="1">
      <c r="A55" s="158" t="s">
        <v>25</v>
      </c>
      <c r="G55" s="163">
        <v>800000</v>
      </c>
      <c r="I55" s="169">
        <f>+W55+Y55</f>
        <v>12285096.288221993</v>
      </c>
      <c r="J55" s="159"/>
      <c r="K55" s="161" t="s">
        <v>8</v>
      </c>
      <c r="L55" s="161"/>
      <c r="M55" s="161" t="s">
        <v>8</v>
      </c>
      <c r="N55" s="161"/>
      <c r="O55" s="161" t="s">
        <v>8</v>
      </c>
      <c r="P55" s="159"/>
      <c r="Q55" s="161" t="s">
        <v>8</v>
      </c>
      <c r="R55" s="161"/>
      <c r="S55" s="161" t="s">
        <v>8</v>
      </c>
      <c r="T55" s="161"/>
      <c r="U55" s="161" t="s">
        <v>8</v>
      </c>
      <c r="V55" s="162"/>
      <c r="W55" s="169">
        <v>6361592.4442950515</v>
      </c>
      <c r="X55" s="169"/>
      <c r="Y55" s="169">
        <v>5923503.843926942</v>
      </c>
      <c r="Z55" s="159"/>
      <c r="AA55" s="159"/>
    </row>
    <row r="56" spans="1:27">
      <c r="B56" s="11" t="s">
        <v>21</v>
      </c>
      <c r="I56" s="167">
        <f>+I55/$I$55</f>
        <v>1</v>
      </c>
      <c r="J56" s="166"/>
      <c r="K56" s="166"/>
      <c r="L56" s="166"/>
      <c r="M56" s="166"/>
      <c r="N56" s="166"/>
      <c r="O56" s="166"/>
      <c r="P56" s="166"/>
      <c r="Q56" s="166"/>
      <c r="R56" s="166"/>
      <c r="S56" s="166"/>
      <c r="T56" s="166"/>
      <c r="U56" s="166"/>
      <c r="V56" s="166"/>
      <c r="W56" s="167">
        <f>+W55/$I$55</f>
        <v>0.51783008411534048</v>
      </c>
      <c r="X56" s="166"/>
      <c r="Y56" s="167">
        <f>+Y55/$I$55</f>
        <v>0.48216991588465957</v>
      </c>
      <c r="Z56" s="159"/>
      <c r="AA56" s="159"/>
    </row>
    <row r="57" spans="1:27">
      <c r="I57" s="159"/>
      <c r="J57" s="159"/>
      <c r="K57" s="159"/>
      <c r="L57" s="159"/>
      <c r="M57" s="159"/>
      <c r="N57" s="159"/>
      <c r="O57" s="159"/>
      <c r="P57" s="159"/>
      <c r="Q57" s="159"/>
      <c r="R57" s="159"/>
      <c r="S57" s="159"/>
      <c r="T57" s="159"/>
      <c r="U57" s="159"/>
      <c r="V57" s="159"/>
      <c r="W57" s="159"/>
      <c r="X57" s="159"/>
      <c r="Y57" s="159"/>
      <c r="Z57" s="159"/>
      <c r="AA57" s="159"/>
    </row>
    <row r="58" spans="1:27">
      <c r="A58" t="s">
        <v>20</v>
      </c>
      <c r="I58" s="169">
        <f>+K58+O58+U58+Y58</f>
        <v>12285096.738121027</v>
      </c>
      <c r="J58" s="159"/>
      <c r="K58" s="173">
        <f>+K49</f>
        <v>-818343</v>
      </c>
      <c r="L58" s="159"/>
      <c r="M58" s="161" t="s">
        <v>8</v>
      </c>
      <c r="N58" s="159"/>
      <c r="O58" s="169">
        <f>+M49-S52</f>
        <v>2185586.5693221539</v>
      </c>
      <c r="P58" s="159"/>
      <c r="Q58" s="161" t="s">
        <v>8</v>
      </c>
      <c r="R58" s="159"/>
      <c r="S58" s="161" t="s">
        <v>8</v>
      </c>
      <c r="T58" s="159"/>
      <c r="U58" s="169">
        <f>+W55-Q52</f>
        <v>4994349.3248719312</v>
      </c>
      <c r="V58" s="159"/>
      <c r="W58" s="161" t="s">
        <v>8</v>
      </c>
      <c r="X58" s="159"/>
      <c r="Y58" s="169">
        <f>+Y55</f>
        <v>5923503.843926942</v>
      </c>
      <c r="Z58" s="159"/>
      <c r="AA58" s="159"/>
    </row>
    <row r="59" spans="1:27">
      <c r="B59" s="11" t="s">
        <v>21</v>
      </c>
      <c r="I59" s="167">
        <f>+I58/$I$58</f>
        <v>1</v>
      </c>
      <c r="J59" s="159"/>
      <c r="K59" s="167">
        <f>+K58/$I$58</f>
        <v>-6.6612662272382189E-2</v>
      </c>
      <c r="L59" s="159"/>
      <c r="M59" s="159"/>
      <c r="N59" s="159"/>
      <c r="O59" s="167">
        <f>+O58/$I$58</f>
        <v>0.17790552373431562</v>
      </c>
      <c r="P59" s="159"/>
      <c r="Q59" s="159"/>
      <c r="R59" s="160"/>
      <c r="S59" s="160"/>
      <c r="T59" s="160"/>
      <c r="U59" s="167">
        <f>+U58/$I$58</f>
        <v>0.40653724031120686</v>
      </c>
      <c r="V59" s="160"/>
      <c r="W59" s="160"/>
      <c r="X59" s="160"/>
      <c r="Y59" s="167">
        <f>+Y58/$I$58</f>
        <v>0.48216989822685974</v>
      </c>
      <c r="Z59" s="159"/>
      <c r="AA59" s="174">
        <f>+Y59+U59+O59+K59</f>
        <v>1</v>
      </c>
    </row>
    <row r="60" spans="1:27">
      <c r="B60" s="11"/>
      <c r="I60" s="167"/>
      <c r="J60" s="159"/>
      <c r="K60" s="159"/>
      <c r="L60" s="159"/>
      <c r="M60" s="159"/>
      <c r="N60" s="159"/>
      <c r="O60" s="159"/>
      <c r="P60" s="159"/>
      <c r="Q60" s="167"/>
      <c r="R60" s="159"/>
      <c r="S60" s="159"/>
      <c r="T60" s="159"/>
      <c r="U60" s="167"/>
      <c r="V60" s="159"/>
      <c r="W60" s="159"/>
      <c r="X60" s="159"/>
      <c r="Y60" s="167"/>
      <c r="Z60" s="159"/>
      <c r="AA60" s="159"/>
    </row>
    <row r="61" spans="1:27" ht="14.25">
      <c r="A61" s="1" t="s">
        <v>23</v>
      </c>
      <c r="B61" s="11"/>
      <c r="I61" s="170">
        <f>+I58/I26</f>
        <v>0.42399243101371414</v>
      </c>
      <c r="J61" s="160"/>
      <c r="K61" s="176">
        <f>+K58/K26</f>
        <v>-7.6186269038002227E-2</v>
      </c>
      <c r="L61" s="160"/>
      <c r="M61" s="161"/>
      <c r="N61" s="160"/>
      <c r="O61" s="170">
        <f>+O58/O26</f>
        <v>0.56421075046019342</v>
      </c>
      <c r="P61" s="160"/>
      <c r="Q61" s="161"/>
      <c r="R61" s="160"/>
      <c r="S61" s="161"/>
      <c r="T61" s="160"/>
      <c r="U61" s="170">
        <f>+U58/U26</f>
        <v>0.4683775215964171</v>
      </c>
      <c r="V61" s="160"/>
      <c r="W61" s="161"/>
      <c r="X61" s="160"/>
      <c r="Y61" s="176">
        <f>+Y58/Y26</f>
        <v>1.6023908689416198</v>
      </c>
      <c r="Z61" s="159"/>
      <c r="AA61" s="159"/>
    </row>
    <row r="62" spans="1:27" ht="13.5" thickBot="1">
      <c r="A62" s="102"/>
      <c r="B62" s="13"/>
      <c r="C62" s="13"/>
      <c r="D62" s="13"/>
    </row>
    <row r="63" spans="1:27">
      <c r="A63" t="s">
        <v>8</v>
      </c>
      <c r="B63" t="s">
        <v>9</v>
      </c>
    </row>
    <row r="70" spans="1:25">
      <c r="A70" s="67" t="s">
        <v>97</v>
      </c>
      <c r="B70" s="67"/>
      <c r="C70" s="67"/>
      <c r="D70" s="67"/>
      <c r="E70" s="67"/>
      <c r="F70" s="67"/>
      <c r="G70" s="67"/>
      <c r="H70" s="67"/>
      <c r="I70" s="67"/>
      <c r="J70" s="67"/>
      <c r="K70" s="68">
        <f>+K58/K42</f>
        <v>-0.11372224492008037</v>
      </c>
      <c r="L70" s="67"/>
      <c r="M70" s="67"/>
      <c r="N70" s="67"/>
      <c r="O70" s="68">
        <f>+O58/O42</f>
        <v>0.35894563167447852</v>
      </c>
      <c r="P70" s="67"/>
      <c r="Q70" s="67"/>
      <c r="R70" s="67"/>
      <c r="S70" s="67"/>
      <c r="T70" s="67"/>
      <c r="U70" s="68">
        <f>+U58/U42</f>
        <v>0.19250226908115353</v>
      </c>
      <c r="V70" s="67"/>
      <c r="W70" s="67"/>
      <c r="X70" s="67"/>
      <c r="Y70" s="68">
        <f>+Y58/Y42</f>
        <v>0.36686988096087714</v>
      </c>
    </row>
  </sheetData>
  <printOptions horizontalCentered="1" verticalCentered="1"/>
  <pageMargins left="0.45" right="0.4" top="0.5" bottom="0.5" header="0.3" footer="0.3"/>
  <pageSetup scale="67" orientation="landscape" horizontalDpi="4294967293" verticalDpi="4294967293" r:id="rId1"/>
  <headerFooter scaleWithDoc="0" alignWithMargins="0">
    <oddHeader xml:space="preserve">&amp;R&amp;"Arial,Bold"&amp;12ANGC Exhibit 2.02R&amp;"Arial,Regular"&amp;10
Page 2 of 2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pageSetUpPr fitToPage="1"/>
  </sheetPr>
  <dimension ref="A1:P77"/>
  <sheetViews>
    <sheetView topLeftCell="A40" workbookViewId="0">
      <selection activeCell="N86" sqref="N86"/>
    </sheetView>
  </sheetViews>
  <sheetFormatPr defaultRowHeight="12.75"/>
  <cols>
    <col min="1" max="1" width="4.140625" customWidth="1"/>
    <col min="2" max="2" width="2.7109375" customWidth="1"/>
    <col min="3" max="3" width="6.7109375" customWidth="1"/>
    <col min="4" max="4" width="5.7109375" customWidth="1"/>
    <col min="5" max="5" width="21.7109375" bestFit="1" customWidth="1"/>
    <col min="6" max="6" width="14.5703125" customWidth="1"/>
    <col min="7" max="7" width="14.42578125" customWidth="1"/>
    <col min="8" max="9" width="0" hidden="1" customWidth="1"/>
    <col min="10" max="10" width="11.5703125" bestFit="1" customWidth="1"/>
    <col min="11" max="11" width="11.7109375" customWidth="1"/>
    <col min="12" max="12" width="0" hidden="1" customWidth="1"/>
    <col min="13" max="14" width="12.28515625" customWidth="1"/>
    <col min="15" max="15" width="12.28515625" bestFit="1" customWidth="1"/>
    <col min="16" max="16" width="11.28515625" bestFit="1" customWidth="1"/>
  </cols>
  <sheetData>
    <row r="1" spans="1:16" ht="15.75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1" t="s">
        <v>0</v>
      </c>
    </row>
    <row r="2" spans="1:16" ht="15.7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2" t="s">
        <v>1</v>
      </c>
    </row>
    <row r="3" spans="1:16" ht="15.75">
      <c r="A3" s="129" t="str">
        <f>'[3]Control Panel'!$B$1</f>
        <v>Dominion Energy</v>
      </c>
      <c r="B3" s="30"/>
      <c r="C3" s="134"/>
      <c r="D3" s="134"/>
      <c r="E3" s="134"/>
      <c r="F3" s="35"/>
      <c r="G3" s="35"/>
      <c r="H3" s="35"/>
      <c r="I3" s="35"/>
      <c r="J3" s="35"/>
      <c r="K3" s="35"/>
      <c r="L3" s="35"/>
      <c r="M3" s="35"/>
      <c r="N3" s="35"/>
      <c r="O3" s="35"/>
      <c r="P3" s="31" t="s">
        <v>28</v>
      </c>
    </row>
    <row r="4" spans="1:16" ht="15.75">
      <c r="A4" s="129" t="str">
        <f>'[3]Control Panel'!$B$2</f>
        <v>Utah - DEC 2020 Adjusted Avg  Results CET</v>
      </c>
      <c r="B4" s="110"/>
      <c r="C4" s="113"/>
      <c r="D4" s="113"/>
      <c r="E4" s="114"/>
      <c r="F4" s="130"/>
      <c r="G4" s="130"/>
      <c r="H4" s="38"/>
      <c r="I4" s="38"/>
      <c r="J4" s="38"/>
      <c r="K4" s="38"/>
      <c r="L4" s="38"/>
      <c r="M4" s="38"/>
      <c r="N4" s="38"/>
      <c r="O4" s="38"/>
      <c r="P4" s="32" t="s">
        <v>29</v>
      </c>
    </row>
    <row r="5" spans="1:16" ht="15.75">
      <c r="A5" s="129" t="str">
        <f>'[3]Control Panel'!$B$3</f>
        <v>12 Months Ended : Dec-2020</v>
      </c>
      <c r="B5" s="110"/>
      <c r="C5" s="113"/>
      <c r="D5" s="113"/>
      <c r="E5" s="114"/>
      <c r="F5" s="130"/>
      <c r="G5" s="130"/>
      <c r="H5" s="38"/>
      <c r="I5" s="38"/>
      <c r="J5" s="38"/>
      <c r="K5" s="38"/>
      <c r="L5" s="38"/>
      <c r="M5" s="38"/>
      <c r="N5" s="38"/>
      <c r="O5" s="38"/>
      <c r="P5" s="32"/>
    </row>
    <row r="6" spans="1:16">
      <c r="A6" s="129"/>
      <c r="B6" s="110"/>
      <c r="C6" s="113"/>
      <c r="D6" s="113"/>
      <c r="E6" s="114"/>
      <c r="F6" s="193" t="s">
        <v>30</v>
      </c>
      <c r="G6" s="193"/>
      <c r="H6" s="193"/>
      <c r="I6" s="193"/>
      <c r="J6" s="193"/>
      <c r="K6" s="193"/>
      <c r="L6" s="193"/>
      <c r="M6" s="193"/>
      <c r="N6" s="193"/>
      <c r="O6" s="193"/>
      <c r="P6" s="193"/>
    </row>
    <row r="7" spans="1:16">
      <c r="A7" s="129"/>
      <c r="B7" s="39"/>
      <c r="C7" s="39"/>
      <c r="D7" s="39"/>
      <c r="E7" s="39"/>
      <c r="F7" s="194" t="s">
        <v>101</v>
      </c>
      <c r="G7" s="194"/>
      <c r="H7" s="194"/>
      <c r="I7" s="194"/>
      <c r="J7" s="194"/>
      <c r="K7" s="194"/>
      <c r="L7" s="194"/>
      <c r="M7" s="194"/>
      <c r="N7" s="194"/>
      <c r="O7" s="194"/>
      <c r="P7" s="194"/>
    </row>
    <row r="8" spans="1:16">
      <c r="A8" s="122"/>
      <c r="B8" s="115"/>
      <c r="C8" s="115"/>
      <c r="D8" s="115"/>
      <c r="E8" s="115"/>
      <c r="F8" s="133" t="str">
        <f>+[3]Report!J6</f>
        <v>Utah</v>
      </c>
      <c r="G8" s="133"/>
      <c r="H8" s="44"/>
      <c r="I8" s="44"/>
      <c r="J8" s="44"/>
      <c r="K8" s="44"/>
      <c r="L8" s="44"/>
      <c r="M8" s="44"/>
      <c r="N8" s="44"/>
      <c r="O8" s="44"/>
      <c r="P8" s="44"/>
    </row>
    <row r="9" spans="1:16">
      <c r="A9" s="122"/>
      <c r="B9" s="110"/>
      <c r="C9" s="110"/>
      <c r="D9" s="110"/>
      <c r="E9" s="110"/>
      <c r="F9" s="133" t="str">
        <f>+[3]Report!J7</f>
        <v>Jurisdiction</v>
      </c>
      <c r="G9" s="195" t="s">
        <v>31</v>
      </c>
      <c r="H9" s="195"/>
      <c r="I9" s="195"/>
      <c r="J9" s="195"/>
      <c r="K9" s="195"/>
      <c r="L9" s="195"/>
      <c r="M9" s="195"/>
      <c r="N9" s="195"/>
      <c r="O9" s="195"/>
      <c r="P9" s="195"/>
    </row>
    <row r="10" spans="1:16" ht="13.5" thickBot="1">
      <c r="A10" s="122"/>
      <c r="B10" s="196" t="s">
        <v>32</v>
      </c>
      <c r="C10" s="196"/>
      <c r="D10" s="196"/>
      <c r="E10" s="196"/>
      <c r="F10" s="128" t="str">
        <f>+[3]Report!J8</f>
        <v>DNG Related</v>
      </c>
      <c r="G10" s="128" t="s">
        <v>33</v>
      </c>
      <c r="H10" s="128" t="str">
        <f>'[3]COS Detail'!I9</f>
        <v>GSR</v>
      </c>
      <c r="I10" s="128" t="str">
        <f>'[3]COS Detail'!J9</f>
        <v>GSC</v>
      </c>
      <c r="J10" s="128" t="str">
        <f>'[3]COS Detail'!K9</f>
        <v>FS</v>
      </c>
      <c r="K10" s="128" t="str">
        <f>'[3]COS Detail'!L9</f>
        <v>IS</v>
      </c>
      <c r="L10" s="128" t="str">
        <f>'[3]COS Detail'!M9</f>
        <v>TS</v>
      </c>
      <c r="M10" s="98" t="s">
        <v>34</v>
      </c>
      <c r="N10" s="98" t="s">
        <v>35</v>
      </c>
      <c r="O10" s="128" t="str">
        <f>'[3]COS Detail'!P9</f>
        <v>TBF</v>
      </c>
      <c r="P10" s="128" t="str">
        <f>'[3]COS Detail'!Q9</f>
        <v>NGV</v>
      </c>
    </row>
    <row r="11" spans="1:16">
      <c r="A11" s="122"/>
      <c r="B11" s="133"/>
      <c r="C11" s="133"/>
      <c r="D11" s="133"/>
      <c r="E11" s="133"/>
      <c r="F11" s="133"/>
      <c r="G11" s="133"/>
      <c r="H11" s="133"/>
      <c r="I11" s="133"/>
      <c r="J11" s="133"/>
      <c r="K11" s="133"/>
      <c r="L11" s="133"/>
      <c r="M11" s="105" t="s">
        <v>94</v>
      </c>
      <c r="N11" s="105" t="s">
        <v>95</v>
      </c>
      <c r="O11" s="133"/>
      <c r="P11" s="133"/>
    </row>
    <row r="12" spans="1:16">
      <c r="A12" s="125">
        <v>1</v>
      </c>
      <c r="B12" s="197" t="s">
        <v>36</v>
      </c>
      <c r="C12" s="197"/>
      <c r="D12" s="197"/>
      <c r="E12" s="197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</row>
    <row r="13" spans="1:16">
      <c r="A13" s="125"/>
      <c r="B13" s="134"/>
      <c r="C13" s="134"/>
      <c r="D13" s="134"/>
      <c r="E13" s="134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</row>
    <row r="14" spans="1:16">
      <c r="A14" s="125">
        <f>+A12+1</f>
        <v>2</v>
      </c>
      <c r="B14" s="110" t="s">
        <v>37</v>
      </c>
      <c r="C14" s="114"/>
      <c r="D14" s="114"/>
      <c r="E14" s="114"/>
      <c r="F14" s="116"/>
      <c r="G14" s="116"/>
      <c r="H14" s="116"/>
      <c r="I14" s="116"/>
      <c r="J14" s="116"/>
      <c r="K14" s="116"/>
      <c r="L14" s="116"/>
      <c r="M14" s="116"/>
      <c r="N14" s="116"/>
      <c r="O14" s="116"/>
      <c r="P14" s="116"/>
    </row>
    <row r="15" spans="1:16">
      <c r="A15" s="125">
        <v>3</v>
      </c>
      <c r="B15" s="110"/>
      <c r="C15" s="114"/>
      <c r="D15" s="114" t="s">
        <v>38</v>
      </c>
      <c r="E15" s="114"/>
      <c r="F15" s="118">
        <v>378376157.36584145</v>
      </c>
      <c r="G15" s="116">
        <v>343208512.68463272</v>
      </c>
      <c r="H15" s="116">
        <v>0</v>
      </c>
      <c r="I15" s="116">
        <v>0</v>
      </c>
      <c r="J15" s="116">
        <v>2669972.1249643196</v>
      </c>
      <c r="K15" s="116">
        <v>185961.48903734644</v>
      </c>
      <c r="L15" s="116">
        <v>0</v>
      </c>
      <c r="M15" s="116">
        <v>10529223.36815525</v>
      </c>
      <c r="N15" s="116">
        <v>17635159.087380964</v>
      </c>
      <c r="O15" s="116">
        <v>1513475.9575884782</v>
      </c>
      <c r="P15" s="116">
        <v>2633852.6540824184</v>
      </c>
    </row>
    <row r="16" spans="1:16">
      <c r="A16" s="125">
        <v>4</v>
      </c>
      <c r="B16" s="110"/>
      <c r="C16" s="114"/>
      <c r="D16" s="114" t="s">
        <v>39</v>
      </c>
      <c r="E16" s="114"/>
      <c r="F16" s="118">
        <v>0</v>
      </c>
      <c r="G16" s="116">
        <v>0</v>
      </c>
      <c r="H16" s="116">
        <v>0</v>
      </c>
      <c r="I16" s="116">
        <v>0</v>
      </c>
      <c r="J16" s="116">
        <v>0</v>
      </c>
      <c r="K16" s="116">
        <v>0</v>
      </c>
      <c r="L16" s="116">
        <v>0</v>
      </c>
      <c r="M16" s="116">
        <v>0</v>
      </c>
      <c r="N16" s="116">
        <v>0</v>
      </c>
      <c r="O16" s="116">
        <v>0</v>
      </c>
      <c r="P16" s="116">
        <v>0</v>
      </c>
    </row>
    <row r="17" spans="1:16">
      <c r="A17" s="125">
        <v>5</v>
      </c>
      <c r="B17" s="110"/>
      <c r="C17" s="114"/>
      <c r="D17" s="114" t="s">
        <v>40</v>
      </c>
      <c r="E17" s="114"/>
      <c r="F17" s="118">
        <v>0</v>
      </c>
      <c r="G17" s="116">
        <v>0</v>
      </c>
      <c r="H17" s="116">
        <v>0</v>
      </c>
      <c r="I17" s="116">
        <v>0</v>
      </c>
      <c r="J17" s="116">
        <v>0</v>
      </c>
      <c r="K17" s="116">
        <v>0</v>
      </c>
      <c r="L17" s="116">
        <v>0</v>
      </c>
      <c r="M17" s="116">
        <v>0</v>
      </c>
      <c r="N17" s="116">
        <v>0</v>
      </c>
      <c r="O17" s="116">
        <v>0</v>
      </c>
      <c r="P17" s="116">
        <v>0</v>
      </c>
    </row>
    <row r="18" spans="1:16">
      <c r="A18" s="125">
        <v>6</v>
      </c>
      <c r="B18" s="110"/>
      <c r="C18" s="114"/>
      <c r="D18" s="114" t="s">
        <v>41</v>
      </c>
      <c r="E18" s="114"/>
      <c r="F18" s="118">
        <v>0</v>
      </c>
      <c r="G18" s="116">
        <v>0</v>
      </c>
      <c r="H18" s="116">
        <v>0</v>
      </c>
      <c r="I18" s="116">
        <v>0</v>
      </c>
      <c r="J18" s="116">
        <v>0</v>
      </c>
      <c r="K18" s="116">
        <v>0</v>
      </c>
      <c r="L18" s="116">
        <v>0</v>
      </c>
      <c r="M18" s="116">
        <v>0</v>
      </c>
      <c r="N18" s="116">
        <v>0</v>
      </c>
      <c r="O18" s="116">
        <v>0</v>
      </c>
      <c r="P18" s="116">
        <v>0</v>
      </c>
    </row>
    <row r="19" spans="1:16" ht="13.5" thickBot="1">
      <c r="A19" s="125">
        <v>7</v>
      </c>
      <c r="B19" s="110"/>
      <c r="C19" s="114"/>
      <c r="D19" s="114" t="s">
        <v>42</v>
      </c>
      <c r="E19" s="114"/>
      <c r="F19" s="126">
        <v>10750615.114305681</v>
      </c>
      <c r="G19" s="121">
        <v>9837072.2427272759</v>
      </c>
      <c r="H19" s="121">
        <v>0</v>
      </c>
      <c r="I19" s="121">
        <v>0</v>
      </c>
      <c r="J19" s="121">
        <v>61743.554661167655</v>
      </c>
      <c r="K19" s="121">
        <v>2741.9299662281555</v>
      </c>
      <c r="L19" s="121">
        <v>0</v>
      </c>
      <c r="M19" s="121">
        <v>214240.58520194347</v>
      </c>
      <c r="N19" s="121">
        <v>525134.87050621491</v>
      </c>
      <c r="O19" s="121">
        <v>94585.024332058412</v>
      </c>
      <c r="P19" s="121">
        <v>15096.906910794491</v>
      </c>
    </row>
    <row r="20" spans="1:16">
      <c r="A20" s="125">
        <v>8</v>
      </c>
      <c r="B20" s="110"/>
      <c r="C20" s="114" t="s">
        <v>43</v>
      </c>
      <c r="D20" s="114"/>
      <c r="E20" s="114"/>
      <c r="F20" s="116">
        <v>389126772.48014712</v>
      </c>
      <c r="G20" s="116">
        <v>353045584.92736</v>
      </c>
      <c r="H20" s="116">
        <v>0</v>
      </c>
      <c r="I20" s="116">
        <v>0</v>
      </c>
      <c r="J20" s="116">
        <v>2731715.6796254874</v>
      </c>
      <c r="K20" s="116">
        <v>188703.41900357459</v>
      </c>
      <c r="L20" s="116">
        <v>0</v>
      </c>
      <c r="M20" s="116">
        <v>10743463.953357194</v>
      </c>
      <c r="N20" s="116">
        <v>18160293.95788718</v>
      </c>
      <c r="O20" s="116">
        <v>1608060.9819205366</v>
      </c>
      <c r="P20" s="116">
        <v>2648949.5609932127</v>
      </c>
    </row>
    <row r="21" spans="1:16">
      <c r="A21" s="125"/>
      <c r="B21" s="110"/>
      <c r="C21" s="114"/>
      <c r="D21" s="114"/>
      <c r="E21" s="114"/>
      <c r="F21" s="116"/>
      <c r="G21" s="116"/>
      <c r="H21" s="116"/>
      <c r="I21" s="116"/>
      <c r="J21" s="116"/>
      <c r="K21" s="116"/>
      <c r="L21" s="116"/>
      <c r="M21" s="116"/>
      <c r="N21" s="116"/>
      <c r="O21" s="116"/>
      <c r="P21" s="116"/>
    </row>
    <row r="22" spans="1:16">
      <c r="A22" s="125">
        <v>9</v>
      </c>
      <c r="B22" s="110" t="s">
        <v>44</v>
      </c>
      <c r="C22" s="114"/>
      <c r="D22" s="114"/>
      <c r="E22" s="114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</row>
    <row r="23" spans="1:16">
      <c r="A23" s="125">
        <v>10</v>
      </c>
      <c r="B23" s="110"/>
      <c r="C23" s="114" t="s">
        <v>45</v>
      </c>
      <c r="D23" s="114"/>
      <c r="E23" s="114"/>
      <c r="F23" s="118"/>
      <c r="G23" s="116"/>
      <c r="H23" s="116"/>
      <c r="I23" s="116"/>
      <c r="J23" s="116"/>
      <c r="K23" s="116"/>
      <c r="L23" s="116"/>
      <c r="M23" s="116"/>
      <c r="N23" s="116"/>
      <c r="O23" s="116"/>
      <c r="P23" s="116"/>
    </row>
    <row r="24" spans="1:16" ht="13.5" thickBot="1">
      <c r="A24" s="125">
        <v>11</v>
      </c>
      <c r="B24" s="110"/>
      <c r="C24" s="114"/>
      <c r="D24" s="114" t="s">
        <v>46</v>
      </c>
      <c r="E24" s="114" t="s">
        <v>47</v>
      </c>
      <c r="F24" s="126">
        <v>0</v>
      </c>
      <c r="G24" s="121">
        <v>0</v>
      </c>
      <c r="H24" s="121">
        <v>0</v>
      </c>
      <c r="I24" s="121">
        <v>0</v>
      </c>
      <c r="J24" s="121">
        <v>0</v>
      </c>
      <c r="K24" s="121">
        <v>0</v>
      </c>
      <c r="L24" s="121">
        <v>0</v>
      </c>
      <c r="M24" s="121">
        <v>0</v>
      </c>
      <c r="N24" s="121">
        <v>0</v>
      </c>
      <c r="O24" s="121">
        <v>0</v>
      </c>
      <c r="P24" s="121">
        <v>0</v>
      </c>
    </row>
    <row r="25" spans="1:16">
      <c r="A25" s="125">
        <v>12</v>
      </c>
      <c r="B25" s="110"/>
      <c r="C25" s="114"/>
      <c r="D25" s="114" t="s">
        <v>48</v>
      </c>
      <c r="E25" s="114"/>
      <c r="F25" s="116">
        <v>0</v>
      </c>
      <c r="G25" s="116">
        <v>0</v>
      </c>
      <c r="H25" s="116">
        <v>0</v>
      </c>
      <c r="I25" s="116">
        <v>0</v>
      </c>
      <c r="J25" s="116">
        <v>0</v>
      </c>
      <c r="K25" s="116">
        <v>0</v>
      </c>
      <c r="L25" s="116">
        <v>0</v>
      </c>
      <c r="M25" s="116">
        <v>0</v>
      </c>
      <c r="N25" s="116">
        <v>0</v>
      </c>
      <c r="O25" s="116">
        <v>0</v>
      </c>
      <c r="P25" s="116">
        <v>0</v>
      </c>
    </row>
    <row r="26" spans="1:16">
      <c r="A26" s="125"/>
      <c r="B26" s="110"/>
      <c r="C26" s="114"/>
      <c r="D26" s="114"/>
      <c r="E26" s="114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6"/>
    </row>
    <row r="27" spans="1:16">
      <c r="A27" s="125">
        <v>13</v>
      </c>
      <c r="B27" s="110"/>
      <c r="C27" s="114" t="s">
        <v>49</v>
      </c>
      <c r="D27" s="114"/>
      <c r="E27" s="114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</row>
    <row r="28" spans="1:16">
      <c r="A28" s="125">
        <v>14</v>
      </c>
      <c r="B28" s="110"/>
      <c r="C28" s="114"/>
      <c r="D28" s="114" t="s">
        <v>50</v>
      </c>
      <c r="E28" s="114"/>
      <c r="F28" s="118">
        <v>-838700.76351998851</v>
      </c>
      <c r="G28" s="116">
        <v>-719421.34852761007</v>
      </c>
      <c r="H28" s="116">
        <v>0</v>
      </c>
      <c r="I28" s="116">
        <v>0</v>
      </c>
      <c r="J28" s="116">
        <v>-5913.2375553115871</v>
      </c>
      <c r="K28" s="116">
        <v>-233.97027672703911</v>
      </c>
      <c r="L28" s="116">
        <v>0</v>
      </c>
      <c r="M28" s="116">
        <v>-20601.925369167395</v>
      </c>
      <c r="N28" s="116">
        <v>-64477.747964071561</v>
      </c>
      <c r="O28" s="116">
        <v>-11207.151083984521</v>
      </c>
      <c r="P28" s="116">
        <v>-16845.382743116337</v>
      </c>
    </row>
    <row r="29" spans="1:16">
      <c r="A29" s="125">
        <v>15</v>
      </c>
      <c r="B29" s="110"/>
      <c r="C29" s="114"/>
      <c r="D29" s="114" t="s">
        <v>51</v>
      </c>
      <c r="E29" s="114"/>
      <c r="F29" s="118">
        <v>55486322.666434936</v>
      </c>
      <c r="G29" s="116">
        <v>47595098.053792767</v>
      </c>
      <c r="H29" s="116">
        <v>0</v>
      </c>
      <c r="I29" s="116">
        <v>0</v>
      </c>
      <c r="J29" s="116">
        <v>391204.8507268111</v>
      </c>
      <c r="K29" s="116">
        <v>15478.882139496425</v>
      </c>
      <c r="L29" s="116">
        <v>0</v>
      </c>
      <c r="M29" s="116">
        <v>1362971.3102749428</v>
      </c>
      <c r="N29" s="116">
        <v>4265684.8353450652</v>
      </c>
      <c r="O29" s="116">
        <v>741436.7892162184</v>
      </c>
      <c r="P29" s="116">
        <v>1114447.9449396278</v>
      </c>
    </row>
    <row r="30" spans="1:16">
      <c r="A30" s="125">
        <v>16</v>
      </c>
      <c r="B30" s="110"/>
      <c r="C30" s="114"/>
      <c r="D30" s="114" t="s">
        <v>52</v>
      </c>
      <c r="E30" s="114"/>
      <c r="F30" s="118">
        <v>12536205.584243411</v>
      </c>
      <c r="G30" s="116">
        <v>12020401.542358549</v>
      </c>
      <c r="H30" s="116">
        <v>0</v>
      </c>
      <c r="I30" s="116">
        <v>0</v>
      </c>
      <c r="J30" s="116">
        <v>42249.20734922665</v>
      </c>
      <c r="K30" s="116">
        <v>2902.6176289395335</v>
      </c>
      <c r="L30" s="116">
        <v>0</v>
      </c>
      <c r="M30" s="116">
        <v>161031.69367139705</v>
      </c>
      <c r="N30" s="116">
        <v>257652.4066677721</v>
      </c>
      <c r="O30" s="116">
        <v>21407.788533644918</v>
      </c>
      <c r="P30" s="116">
        <v>30560.328033881648</v>
      </c>
    </row>
    <row r="31" spans="1:16">
      <c r="A31" s="125">
        <v>17</v>
      </c>
      <c r="B31" s="110"/>
      <c r="C31" s="114"/>
      <c r="D31" s="114" t="s">
        <v>53</v>
      </c>
      <c r="E31" s="114"/>
      <c r="F31" s="118">
        <v>3047465.0098747867</v>
      </c>
      <c r="G31" s="116">
        <v>2326920.1793925664</v>
      </c>
      <c r="H31" s="116">
        <v>0</v>
      </c>
      <c r="I31" s="116">
        <v>0</v>
      </c>
      <c r="J31" s="116">
        <v>39201.435883197875</v>
      </c>
      <c r="K31" s="116">
        <v>30641.985762464756</v>
      </c>
      <c r="L31" s="116">
        <v>0</v>
      </c>
      <c r="M31" s="116">
        <v>194370.55193442959</v>
      </c>
      <c r="N31" s="116">
        <v>416918.25546563941</v>
      </c>
      <c r="O31" s="116">
        <v>31709.282056467626</v>
      </c>
      <c r="P31" s="116">
        <v>7703.3193800214094</v>
      </c>
    </row>
    <row r="32" spans="1:16" ht="13.5" thickBot="1">
      <c r="A32" s="125">
        <v>18</v>
      </c>
      <c r="B32" s="110"/>
      <c r="C32" s="114"/>
      <c r="D32" s="114" t="s">
        <v>54</v>
      </c>
      <c r="E32" s="114"/>
      <c r="F32" s="126">
        <v>49477895.435294829</v>
      </c>
      <c r="G32" s="121">
        <v>43772665.626874499</v>
      </c>
      <c r="H32" s="121">
        <v>0</v>
      </c>
      <c r="I32" s="121">
        <v>0</v>
      </c>
      <c r="J32" s="121">
        <v>365561.1958148274</v>
      </c>
      <c r="K32" s="121">
        <v>14050.683664133081</v>
      </c>
      <c r="L32" s="121">
        <v>0</v>
      </c>
      <c r="M32" s="121">
        <v>1193783.4918514299</v>
      </c>
      <c r="N32" s="121">
        <v>3459230.99462135</v>
      </c>
      <c r="O32" s="121">
        <v>647727.81112219393</v>
      </c>
      <c r="P32" s="121">
        <v>24875.631346400562</v>
      </c>
    </row>
    <row r="33" spans="1:16">
      <c r="A33" s="125">
        <v>19</v>
      </c>
      <c r="B33" s="110"/>
      <c r="C33" s="114"/>
      <c r="D33" s="114" t="s">
        <v>55</v>
      </c>
      <c r="E33" s="114"/>
      <c r="F33" s="116">
        <v>119709187.93232799</v>
      </c>
      <c r="G33" s="116">
        <v>104995664.05389076</v>
      </c>
      <c r="H33" s="116">
        <v>0</v>
      </c>
      <c r="I33" s="116">
        <v>0</v>
      </c>
      <c r="J33" s="116">
        <v>832303.45221875142</v>
      </c>
      <c r="K33" s="116">
        <v>62840.198918306756</v>
      </c>
      <c r="L33" s="116">
        <v>0</v>
      </c>
      <c r="M33" s="116">
        <v>2891555.1223630318</v>
      </c>
      <c r="N33" s="116">
        <v>8335008.744135756</v>
      </c>
      <c r="O33" s="116">
        <v>1431074.5198445404</v>
      </c>
      <c r="P33" s="116">
        <v>1160741.8409568153</v>
      </c>
    </row>
    <row r="34" spans="1:16">
      <c r="A34" s="125"/>
      <c r="B34" s="110"/>
      <c r="C34" s="114"/>
      <c r="D34" s="114"/>
      <c r="E34" s="114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</row>
    <row r="35" spans="1:16">
      <c r="A35" s="125">
        <v>20</v>
      </c>
      <c r="B35" s="110"/>
      <c r="C35" s="114" t="s">
        <v>56</v>
      </c>
      <c r="D35" s="114"/>
      <c r="E35" s="114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</row>
    <row r="36" spans="1:16">
      <c r="A36" s="125">
        <v>21</v>
      </c>
      <c r="B36" s="110"/>
      <c r="C36" s="114"/>
      <c r="D36" s="114" t="s">
        <v>57</v>
      </c>
      <c r="E36" s="114"/>
      <c r="F36" s="118">
        <v>85423489.740319386</v>
      </c>
      <c r="G36" s="116">
        <v>75462794.221491396</v>
      </c>
      <c r="H36" s="116">
        <v>0</v>
      </c>
      <c r="I36" s="116">
        <v>0</v>
      </c>
      <c r="J36" s="116">
        <v>609555.62526794709</v>
      </c>
      <c r="K36" s="116">
        <v>24614.118215484137</v>
      </c>
      <c r="L36" s="116">
        <v>0</v>
      </c>
      <c r="M36" s="116">
        <v>2091281.0148258009</v>
      </c>
      <c r="N36" s="116">
        <v>6059913.002925762</v>
      </c>
      <c r="O36" s="116">
        <v>1134695.5988423887</v>
      </c>
      <c r="P36" s="116">
        <v>40636.158750588707</v>
      </c>
    </row>
    <row r="37" spans="1:16">
      <c r="A37" s="125">
        <v>22</v>
      </c>
      <c r="B37" s="110"/>
      <c r="C37" s="114"/>
      <c r="D37" s="114" t="s">
        <v>58</v>
      </c>
      <c r="E37" s="114"/>
      <c r="F37" s="118">
        <v>28343362.158901289</v>
      </c>
      <c r="G37" s="116">
        <v>25012158.504228789</v>
      </c>
      <c r="H37" s="116">
        <v>0</v>
      </c>
      <c r="I37" s="116">
        <v>0</v>
      </c>
      <c r="J37" s="116">
        <v>197125.25197386392</v>
      </c>
      <c r="K37" s="116">
        <v>8251.3485221574501</v>
      </c>
      <c r="L37" s="116">
        <v>0</v>
      </c>
      <c r="M37" s="116">
        <v>701056.53836681216</v>
      </c>
      <c r="N37" s="116">
        <v>2031454.2151519728</v>
      </c>
      <c r="O37" s="116">
        <v>380382.05434135033</v>
      </c>
      <c r="P37" s="116">
        <v>12934.246316344843</v>
      </c>
    </row>
    <row r="38" spans="1:16" ht="13.5" thickBot="1">
      <c r="A38" s="125">
        <v>23</v>
      </c>
      <c r="B38" s="110"/>
      <c r="C38" s="114"/>
      <c r="D38" s="114" t="s">
        <v>59</v>
      </c>
      <c r="E38" s="114"/>
      <c r="F38" s="126">
        <v>29744657.441616181</v>
      </c>
      <c r="G38" s="121">
        <v>28851425.692930147</v>
      </c>
      <c r="H38" s="121">
        <v>0</v>
      </c>
      <c r="I38" s="121">
        <v>0</v>
      </c>
      <c r="J38" s="121">
        <v>210167.15628751737</v>
      </c>
      <c r="K38" s="121">
        <v>20470.117335437564</v>
      </c>
      <c r="L38" s="121">
        <v>0</v>
      </c>
      <c r="M38" s="121">
        <v>1035842.1246490622</v>
      </c>
      <c r="N38" s="121">
        <v>-197993.92569139774</v>
      </c>
      <c r="O38" s="121">
        <v>-448609.02738223487</v>
      </c>
      <c r="P38" s="121">
        <v>273355.30348764773</v>
      </c>
    </row>
    <row r="39" spans="1:16">
      <c r="A39" s="125">
        <v>24</v>
      </c>
      <c r="B39" s="110"/>
      <c r="C39" s="114"/>
      <c r="D39" s="114" t="s">
        <v>60</v>
      </c>
      <c r="E39" s="114"/>
      <c r="F39" s="116">
        <v>143511509.34083685</v>
      </c>
      <c r="G39" s="116">
        <v>129326378.41865033</v>
      </c>
      <c r="H39" s="116">
        <v>0</v>
      </c>
      <c r="I39" s="116">
        <v>0</v>
      </c>
      <c r="J39" s="116">
        <v>1016848.0335293284</v>
      </c>
      <c r="K39" s="116">
        <v>53335.584073079153</v>
      </c>
      <c r="L39" s="116">
        <v>0</v>
      </c>
      <c r="M39" s="116">
        <v>3828179.6778416755</v>
      </c>
      <c r="N39" s="116">
        <v>7893373.2923863372</v>
      </c>
      <c r="O39" s="116">
        <v>1066468.6258015044</v>
      </c>
      <c r="P39" s="116">
        <v>326925.70855458127</v>
      </c>
    </row>
    <row r="40" spans="1:16">
      <c r="A40" s="125"/>
      <c r="B40" s="110"/>
      <c r="C40" s="114"/>
      <c r="D40" s="114"/>
      <c r="E40" s="114"/>
      <c r="F40" s="116"/>
      <c r="G40" s="116"/>
      <c r="H40" s="116"/>
      <c r="I40" s="116"/>
      <c r="J40" s="116"/>
      <c r="K40" s="116"/>
      <c r="L40" s="116"/>
      <c r="M40" s="116"/>
      <c r="N40" s="116"/>
      <c r="O40" s="116"/>
      <c r="P40" s="116"/>
    </row>
    <row r="41" spans="1:16" ht="13.5" thickBot="1">
      <c r="A41" s="125">
        <v>25</v>
      </c>
      <c r="B41" s="110"/>
      <c r="C41" s="114" t="s">
        <v>61</v>
      </c>
      <c r="D41" s="114"/>
      <c r="E41" s="114"/>
      <c r="F41" s="124">
        <v>263220697.27316478</v>
      </c>
      <c r="G41" s="120">
        <v>234322042.47254109</v>
      </c>
      <c r="H41" s="120">
        <v>0</v>
      </c>
      <c r="I41" s="120">
        <v>0</v>
      </c>
      <c r="J41" s="120">
        <v>1849151.4857480798</v>
      </c>
      <c r="K41" s="120">
        <v>116175.7829913859</v>
      </c>
      <c r="L41" s="120">
        <v>0</v>
      </c>
      <c r="M41" s="120">
        <v>6719734.8002047073</v>
      </c>
      <c r="N41" s="120">
        <v>16228382.036522094</v>
      </c>
      <c r="O41" s="120">
        <v>2497543.145646045</v>
      </c>
      <c r="P41" s="120">
        <v>1487667.5495113966</v>
      </c>
    </row>
    <row r="42" spans="1:16" ht="13.5" thickTop="1">
      <c r="A42" s="125"/>
      <c r="B42" s="110"/>
      <c r="C42" s="114"/>
      <c r="D42" s="114"/>
      <c r="E42" s="114"/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16"/>
    </row>
    <row r="43" spans="1:16">
      <c r="A43" s="125">
        <v>26</v>
      </c>
      <c r="B43" s="110" t="s">
        <v>62</v>
      </c>
      <c r="C43" s="114"/>
      <c r="D43" s="114"/>
      <c r="E43" s="114"/>
      <c r="F43" s="116">
        <v>125906075.20698234</v>
      </c>
      <c r="G43" s="116">
        <v>118723542.4548189</v>
      </c>
      <c r="H43" s="116">
        <v>0</v>
      </c>
      <c r="I43" s="116">
        <v>0</v>
      </c>
      <c r="J43" s="116">
        <v>882564.19387740758</v>
      </c>
      <c r="K43" s="116">
        <v>72527.636012188683</v>
      </c>
      <c r="L43" s="116">
        <v>0</v>
      </c>
      <c r="M43" s="116">
        <v>4023729.1531524863</v>
      </c>
      <c r="N43" s="116">
        <v>1931911.921365086</v>
      </c>
      <c r="O43" s="116">
        <v>-889482.16372550838</v>
      </c>
      <c r="P43" s="116">
        <v>1161282.0114818162</v>
      </c>
    </row>
    <row r="44" spans="1:16" ht="13.5" thickBot="1">
      <c r="A44" s="125"/>
      <c r="B44" s="121"/>
      <c r="C44" s="121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</row>
    <row r="45" spans="1:16">
      <c r="A45" s="125"/>
      <c r="B45" s="30"/>
      <c r="C45" s="30"/>
      <c r="D45" s="30"/>
      <c r="E45" s="30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</row>
    <row r="46" spans="1:16">
      <c r="A46" s="125">
        <v>27</v>
      </c>
      <c r="B46" s="192" t="s">
        <v>63</v>
      </c>
      <c r="C46" s="192"/>
      <c r="D46" s="192"/>
      <c r="E46" s="192"/>
      <c r="F46" s="116"/>
      <c r="G46" s="116"/>
      <c r="H46" s="116"/>
      <c r="I46" s="116"/>
      <c r="J46" s="116"/>
      <c r="K46" s="116"/>
      <c r="L46" s="116"/>
      <c r="M46" s="116"/>
      <c r="N46" s="116"/>
      <c r="O46" s="116"/>
      <c r="P46" s="116"/>
    </row>
    <row r="47" spans="1:16">
      <c r="A47" s="125"/>
      <c r="B47" s="132"/>
      <c r="C47" s="132"/>
      <c r="D47" s="132"/>
      <c r="E47" s="132"/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16"/>
    </row>
    <row r="48" spans="1:16">
      <c r="A48" s="125">
        <v>28</v>
      </c>
      <c r="B48" s="110" t="s">
        <v>64</v>
      </c>
      <c r="C48" s="114"/>
      <c r="D48" s="114"/>
      <c r="E48" s="114"/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6"/>
    </row>
    <row r="49" spans="1:16">
      <c r="A49" s="125">
        <v>29</v>
      </c>
      <c r="B49" s="30"/>
      <c r="C49" s="113">
        <v>101</v>
      </c>
      <c r="D49" s="114" t="s">
        <v>65</v>
      </c>
      <c r="E49" s="114"/>
      <c r="F49" s="118">
        <v>3244815858.1726484</v>
      </c>
      <c r="G49" s="116">
        <v>2856424813.5339417</v>
      </c>
      <c r="H49" s="116">
        <v>0</v>
      </c>
      <c r="I49" s="116">
        <v>0</v>
      </c>
      <c r="J49" s="116">
        <v>23855025.862293415</v>
      </c>
      <c r="K49" s="116">
        <v>916890.04748901504</v>
      </c>
      <c r="L49" s="116">
        <v>0</v>
      </c>
      <c r="M49" s="116">
        <v>77901419.51094833</v>
      </c>
      <c r="N49" s="116">
        <v>225735241.55484831</v>
      </c>
      <c r="O49" s="116">
        <v>42268063.084774248</v>
      </c>
      <c r="P49" s="116">
        <v>17714404.57835383</v>
      </c>
    </row>
    <row r="50" spans="1:16">
      <c r="A50" s="125">
        <v>30</v>
      </c>
      <c r="B50" s="30"/>
      <c r="C50" s="113">
        <v>105</v>
      </c>
      <c r="D50" s="114" t="s">
        <v>66</v>
      </c>
      <c r="E50" s="114"/>
      <c r="F50" s="118">
        <v>5036.83</v>
      </c>
      <c r="G50" s="116">
        <v>4444.9866961074595</v>
      </c>
      <c r="H50" s="116">
        <v>0</v>
      </c>
      <c r="I50" s="116">
        <v>0</v>
      </c>
      <c r="J50" s="116">
        <v>35.057341335755076</v>
      </c>
      <c r="K50" s="116">
        <v>1.4658873086465993</v>
      </c>
      <c r="L50" s="116">
        <v>0</v>
      </c>
      <c r="M50" s="116">
        <v>124.54568843820046</v>
      </c>
      <c r="N50" s="116">
        <v>360.89651819837309</v>
      </c>
      <c r="O50" s="116">
        <v>67.576496665797549</v>
      </c>
      <c r="P50" s="116">
        <v>2.3013719457686368</v>
      </c>
    </row>
    <row r="51" spans="1:16">
      <c r="A51" s="125">
        <v>31</v>
      </c>
      <c r="B51" s="30"/>
      <c r="C51" s="113">
        <v>106</v>
      </c>
      <c r="D51" s="114" t="s">
        <v>67</v>
      </c>
      <c r="E51" s="114"/>
      <c r="F51" s="118">
        <v>0</v>
      </c>
      <c r="G51" s="116">
        <v>0</v>
      </c>
      <c r="H51" s="116">
        <v>0</v>
      </c>
      <c r="I51" s="116">
        <v>0</v>
      </c>
      <c r="J51" s="116">
        <v>0</v>
      </c>
      <c r="K51" s="116">
        <v>0</v>
      </c>
      <c r="L51" s="116">
        <v>0</v>
      </c>
      <c r="M51" s="116">
        <v>0</v>
      </c>
      <c r="N51" s="116">
        <v>0</v>
      </c>
      <c r="O51" s="116">
        <v>0</v>
      </c>
      <c r="P51" s="116">
        <v>0</v>
      </c>
    </row>
    <row r="52" spans="1:16">
      <c r="A52" s="125">
        <v>32</v>
      </c>
      <c r="B52" s="30"/>
      <c r="C52" s="113">
        <v>108</v>
      </c>
      <c r="D52" s="114" t="s">
        <v>68</v>
      </c>
      <c r="E52" s="114"/>
      <c r="F52" s="118">
        <v>-799516884.35056567</v>
      </c>
      <c r="G52" s="116">
        <v>-711672767.10472465</v>
      </c>
      <c r="H52" s="116">
        <v>0</v>
      </c>
      <c r="I52" s="116">
        <v>0</v>
      </c>
      <c r="J52" s="116">
        <v>-6755314.694898149</v>
      </c>
      <c r="K52" s="116">
        <v>-213071.12748891296</v>
      </c>
      <c r="L52" s="116">
        <v>0</v>
      </c>
      <c r="M52" s="116">
        <v>-18103090.259994797</v>
      </c>
      <c r="N52" s="116">
        <v>-52457393.952299252</v>
      </c>
      <c r="O52" s="116">
        <v>-9822446.9585086703</v>
      </c>
      <c r="P52" s="116">
        <v>-492800.25265121605</v>
      </c>
    </row>
    <row r="53" spans="1:16">
      <c r="A53" s="125">
        <v>33</v>
      </c>
      <c r="B53" s="30"/>
      <c r="C53" s="113">
        <v>111</v>
      </c>
      <c r="D53" s="114" t="s">
        <v>69</v>
      </c>
      <c r="E53" s="114"/>
      <c r="F53" s="118">
        <v>-5624785.5266477959</v>
      </c>
      <c r="G53" s="116">
        <v>-5467250.0616149874</v>
      </c>
      <c r="H53" s="116">
        <v>0</v>
      </c>
      <c r="I53" s="116">
        <v>0</v>
      </c>
      <c r="J53" s="116">
        <v>-137369.42851855198</v>
      </c>
      <c r="K53" s="116">
        <v>-18.710867281059013</v>
      </c>
      <c r="L53" s="116">
        <v>0</v>
      </c>
      <c r="M53" s="116">
        <v>-1589.7250989551362</v>
      </c>
      <c r="N53" s="116">
        <v>-4606.5525053495194</v>
      </c>
      <c r="O53" s="116">
        <v>-862.55938841577995</v>
      </c>
      <c r="P53" s="116">
        <v>-13088.488654253779</v>
      </c>
    </row>
    <row r="54" spans="1:16" ht="13.5" thickBot="1">
      <c r="A54" s="125">
        <v>34</v>
      </c>
      <c r="B54" s="30"/>
      <c r="C54" s="113">
        <v>254</v>
      </c>
      <c r="D54" s="111" t="s">
        <v>70</v>
      </c>
      <c r="E54" s="114"/>
      <c r="F54" s="126">
        <v>-404258011.45277822</v>
      </c>
      <c r="G54" s="121">
        <v>-357286248.21961647</v>
      </c>
      <c r="H54" s="121">
        <v>0</v>
      </c>
      <c r="I54" s="121">
        <v>0</v>
      </c>
      <c r="J54" s="121">
        <v>-2917092.1121424008</v>
      </c>
      <c r="K54" s="121">
        <v>-115949.46628928339</v>
      </c>
      <c r="L54" s="121">
        <v>0</v>
      </c>
      <c r="M54" s="121">
        <v>-9851375.3532483838</v>
      </c>
      <c r="N54" s="121">
        <v>-28546368.076135866</v>
      </c>
      <c r="O54" s="121">
        <v>-5345198.553723041</v>
      </c>
      <c r="P54" s="121">
        <v>-195779.6716228397</v>
      </c>
    </row>
    <row r="55" spans="1:16">
      <c r="A55" s="125">
        <v>35</v>
      </c>
      <c r="B55" s="30"/>
      <c r="C55" s="131" t="s">
        <v>71</v>
      </c>
      <c r="D55" s="114"/>
      <c r="E55" s="114"/>
      <c r="F55" s="116">
        <v>2035421213.6726565</v>
      </c>
      <c r="G55" s="116">
        <v>1782002993.1346819</v>
      </c>
      <c r="H55" s="116">
        <v>0</v>
      </c>
      <c r="I55" s="116">
        <v>0</v>
      </c>
      <c r="J55" s="116">
        <v>14045284.684075648</v>
      </c>
      <c r="K55" s="116">
        <v>587852.20873084629</v>
      </c>
      <c r="L55" s="116">
        <v>0</v>
      </c>
      <c r="M55" s="116">
        <v>49945488.718294635</v>
      </c>
      <c r="N55" s="116">
        <v>144727233.87042603</v>
      </c>
      <c r="O55" s="116">
        <v>27099622.589650791</v>
      </c>
      <c r="P55" s="116">
        <v>17012738.466797471</v>
      </c>
    </row>
    <row r="56" spans="1:16">
      <c r="A56" s="125"/>
      <c r="B56" s="114"/>
      <c r="C56" s="114"/>
      <c r="D56" s="114"/>
      <c r="E56" s="114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16"/>
    </row>
    <row r="57" spans="1:16">
      <c r="A57" s="125">
        <v>36</v>
      </c>
      <c r="B57" s="110" t="s">
        <v>72</v>
      </c>
      <c r="C57" s="114"/>
      <c r="D57" s="114"/>
      <c r="E57" s="114"/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16"/>
    </row>
    <row r="58" spans="1:16">
      <c r="A58" s="125">
        <v>37</v>
      </c>
      <c r="B58" s="30"/>
      <c r="C58" s="113">
        <v>154</v>
      </c>
      <c r="D58" s="114" t="s">
        <v>73</v>
      </c>
      <c r="E58" s="114"/>
      <c r="F58" s="118">
        <v>24807024.296942223</v>
      </c>
      <c r="G58" s="116">
        <v>21946559.573615231</v>
      </c>
      <c r="H58" s="116">
        <v>0</v>
      </c>
      <c r="I58" s="116">
        <v>0</v>
      </c>
      <c r="J58" s="116">
        <v>183283.57313534222</v>
      </c>
      <c r="K58" s="116">
        <v>7044.6741515233871</v>
      </c>
      <c r="L58" s="116">
        <v>0</v>
      </c>
      <c r="M58" s="116">
        <v>598534.27125604404</v>
      </c>
      <c r="N58" s="116">
        <v>1734375.0492486176</v>
      </c>
      <c r="O58" s="116">
        <v>324755.11350976513</v>
      </c>
      <c r="P58" s="116">
        <v>12472.042025694922</v>
      </c>
    </row>
    <row r="59" spans="1:16">
      <c r="A59" s="125">
        <v>38</v>
      </c>
      <c r="B59" s="30"/>
      <c r="C59" s="113" t="s">
        <v>74</v>
      </c>
      <c r="D59" s="114" t="s">
        <v>75</v>
      </c>
      <c r="E59" s="114"/>
      <c r="F59" s="118">
        <v>0</v>
      </c>
      <c r="G59" s="116">
        <v>0</v>
      </c>
      <c r="H59" s="116">
        <v>0</v>
      </c>
      <c r="I59" s="116">
        <v>0</v>
      </c>
      <c r="J59" s="116">
        <v>0</v>
      </c>
      <c r="K59" s="116">
        <v>0</v>
      </c>
      <c r="L59" s="116">
        <v>0</v>
      </c>
      <c r="M59" s="116">
        <v>0</v>
      </c>
      <c r="N59" s="116">
        <v>0</v>
      </c>
      <c r="O59" s="116">
        <v>0</v>
      </c>
      <c r="P59" s="116">
        <v>0</v>
      </c>
    </row>
    <row r="60" spans="1:16">
      <c r="A60" s="125">
        <v>39</v>
      </c>
      <c r="B60" s="30"/>
      <c r="C60" s="113">
        <v>165</v>
      </c>
      <c r="D60" s="114" t="s">
        <v>76</v>
      </c>
      <c r="E60" s="114"/>
      <c r="F60" s="118">
        <v>2774808.2806198755</v>
      </c>
      <c r="G60" s="116">
        <v>2454848.8568010684</v>
      </c>
      <c r="H60" s="116">
        <v>0</v>
      </c>
      <c r="I60" s="116">
        <v>0</v>
      </c>
      <c r="J60" s="116">
        <v>20501.321333419044</v>
      </c>
      <c r="K60" s="116">
        <v>787.98730294811617</v>
      </c>
      <c r="L60" s="116">
        <v>0</v>
      </c>
      <c r="M60" s="116">
        <v>66949.499151366195</v>
      </c>
      <c r="N60" s="116">
        <v>193999.8200005301</v>
      </c>
      <c r="O60" s="116">
        <v>36325.726429494403</v>
      </c>
      <c r="P60" s="116">
        <v>1395.0696010485694</v>
      </c>
    </row>
    <row r="61" spans="1:16">
      <c r="A61" s="125">
        <v>40</v>
      </c>
      <c r="B61" s="30"/>
      <c r="C61" s="123" t="s">
        <v>77</v>
      </c>
      <c r="D61" s="117" t="s">
        <v>78</v>
      </c>
      <c r="E61" s="114"/>
      <c r="F61" s="118">
        <v>31711929.259102911</v>
      </c>
      <c r="G61" s="116">
        <v>28055269.199093778</v>
      </c>
      <c r="H61" s="116">
        <v>0</v>
      </c>
      <c r="I61" s="116">
        <v>0</v>
      </c>
      <c r="J61" s="116">
        <v>234299.5933752532</v>
      </c>
      <c r="K61" s="116">
        <v>9005.5222130804868</v>
      </c>
      <c r="L61" s="116">
        <v>0</v>
      </c>
      <c r="M61" s="116">
        <v>765133.14301707665</v>
      </c>
      <c r="N61" s="116">
        <v>2217129.2377580646</v>
      </c>
      <c r="O61" s="116">
        <v>415148.99420738034</v>
      </c>
      <c r="P61" s="116">
        <v>15943.569438279945</v>
      </c>
    </row>
    <row r="62" spans="1:16">
      <c r="A62" s="125">
        <v>41</v>
      </c>
      <c r="B62" s="30"/>
      <c r="C62" s="123" t="s">
        <v>77</v>
      </c>
      <c r="D62" s="117" t="s">
        <v>79</v>
      </c>
      <c r="E62" s="114"/>
      <c r="F62" s="118">
        <v>7523878.7165264674</v>
      </c>
      <c r="G62" s="116">
        <v>6656310.3458264191</v>
      </c>
      <c r="H62" s="116">
        <v>0</v>
      </c>
      <c r="I62" s="116">
        <v>0</v>
      </c>
      <c r="J62" s="116">
        <v>55589.229828420153</v>
      </c>
      <c r="K62" s="116">
        <v>2136.6236143060619</v>
      </c>
      <c r="L62" s="116">
        <v>0</v>
      </c>
      <c r="M62" s="116">
        <v>181533.23069748917</v>
      </c>
      <c r="N62" s="116">
        <v>526029.53757435165</v>
      </c>
      <c r="O62" s="116">
        <v>98497.024768925708</v>
      </c>
      <c r="P62" s="116">
        <v>3782.7242165565353</v>
      </c>
    </row>
    <row r="63" spans="1:16">
      <c r="A63" s="125">
        <v>42</v>
      </c>
      <c r="B63" s="30"/>
      <c r="C63" s="113" t="s">
        <v>80</v>
      </c>
      <c r="D63" s="114" t="s">
        <v>81</v>
      </c>
      <c r="E63" s="114"/>
      <c r="F63" s="118">
        <v>-5361638.9033333343</v>
      </c>
      <c r="G63" s="116">
        <v>-5353307.4459801326</v>
      </c>
      <c r="H63" s="116">
        <v>0</v>
      </c>
      <c r="I63" s="116">
        <v>0</v>
      </c>
      <c r="J63" s="116">
        <v>-2224.9063843037534</v>
      </c>
      <c r="K63" s="116">
        <v>-90.504666480152665</v>
      </c>
      <c r="L63" s="116">
        <v>0</v>
      </c>
      <c r="M63" s="116">
        <v>-4712.2282108664749</v>
      </c>
      <c r="N63" s="116">
        <v>-1158.0050177767614</v>
      </c>
      <c r="O63" s="116">
        <v>-30.168222160050892</v>
      </c>
      <c r="P63" s="116">
        <v>-115.64485161352843</v>
      </c>
    </row>
    <row r="64" spans="1:16">
      <c r="A64" s="125">
        <v>43</v>
      </c>
      <c r="B64" s="30"/>
      <c r="C64" s="113">
        <v>252</v>
      </c>
      <c r="D64" s="114" t="s">
        <v>82</v>
      </c>
      <c r="E64" s="114"/>
      <c r="F64" s="118">
        <v>0.73683116817846894</v>
      </c>
      <c r="G64" s="116">
        <v>0.73683116817846894</v>
      </c>
      <c r="H64" s="116">
        <v>0</v>
      </c>
      <c r="I64" s="116">
        <v>0</v>
      </c>
      <c r="J64" s="116">
        <v>0</v>
      </c>
      <c r="K64" s="116">
        <v>0</v>
      </c>
      <c r="L64" s="116">
        <v>0</v>
      </c>
      <c r="M64" s="116">
        <v>0</v>
      </c>
      <c r="N64" s="116">
        <v>0</v>
      </c>
      <c r="O64" s="116">
        <v>0</v>
      </c>
      <c r="P64" s="116">
        <v>0</v>
      </c>
    </row>
    <row r="65" spans="1:16">
      <c r="A65" s="125">
        <v>44</v>
      </c>
      <c r="B65" s="30"/>
      <c r="C65" s="113" t="s">
        <v>83</v>
      </c>
      <c r="D65" s="114" t="s">
        <v>84</v>
      </c>
      <c r="E65" s="114"/>
      <c r="F65" s="118">
        <v>-36873.564304314503</v>
      </c>
      <c r="G65" s="116">
        <v>-36816.26642693024</v>
      </c>
      <c r="H65" s="116">
        <v>0</v>
      </c>
      <c r="I65" s="116">
        <v>0</v>
      </c>
      <c r="J65" s="116">
        <v>-15.301334183788448</v>
      </c>
      <c r="K65" s="116">
        <v>-0.62242715323885212</v>
      </c>
      <c r="L65" s="116">
        <v>0</v>
      </c>
      <c r="M65" s="116">
        <v>-32.407376379256966</v>
      </c>
      <c r="N65" s="116">
        <v>-7.9639403655408065</v>
      </c>
      <c r="O65" s="116">
        <v>-0.20747571774628404</v>
      </c>
      <c r="P65" s="116">
        <v>-0.79532358469408893</v>
      </c>
    </row>
    <row r="66" spans="1:16">
      <c r="A66" s="125">
        <v>45</v>
      </c>
      <c r="B66" s="30"/>
      <c r="C66" s="113">
        <v>255</v>
      </c>
      <c r="D66" s="114" t="s">
        <v>85</v>
      </c>
      <c r="E66" s="114"/>
      <c r="F66" s="118">
        <v>0</v>
      </c>
      <c r="G66" s="116">
        <v>0</v>
      </c>
      <c r="H66" s="116">
        <v>0</v>
      </c>
      <c r="I66" s="116">
        <v>0</v>
      </c>
      <c r="J66" s="116">
        <v>0</v>
      </c>
      <c r="K66" s="116">
        <v>0</v>
      </c>
      <c r="L66" s="116">
        <v>0</v>
      </c>
      <c r="M66" s="116">
        <v>0</v>
      </c>
      <c r="N66" s="116">
        <v>0</v>
      </c>
      <c r="O66" s="116">
        <v>0</v>
      </c>
      <c r="P66" s="116">
        <v>0</v>
      </c>
    </row>
    <row r="67" spans="1:16">
      <c r="A67" s="125">
        <v>46</v>
      </c>
      <c r="B67" s="30"/>
      <c r="C67" s="113">
        <v>282</v>
      </c>
      <c r="D67" s="114" t="s">
        <v>86</v>
      </c>
      <c r="E67" s="114"/>
      <c r="F67" s="118">
        <v>-294564926.78689206</v>
      </c>
      <c r="G67" s="116">
        <v>-260555863.16787636</v>
      </c>
      <c r="H67" s="116">
        <v>0</v>
      </c>
      <c r="I67" s="116">
        <v>0</v>
      </c>
      <c r="J67" s="116">
        <v>-2167931.4209703482</v>
      </c>
      <c r="K67" s="116">
        <v>-83789.05837650274</v>
      </c>
      <c r="L67" s="116">
        <v>0</v>
      </c>
      <c r="M67" s="116">
        <v>-7118941.4749247525</v>
      </c>
      <c r="N67" s="116">
        <v>-20628583.96606135</v>
      </c>
      <c r="O67" s="116">
        <v>-3862623.6755114072</v>
      </c>
      <c r="P67" s="116">
        <v>-147194.02317129937</v>
      </c>
    </row>
    <row r="68" spans="1:16" ht="13.5" thickBot="1">
      <c r="A68" s="125">
        <v>47</v>
      </c>
      <c r="B68" s="30"/>
      <c r="C68" s="114"/>
      <c r="D68" s="114" t="s">
        <v>87</v>
      </c>
      <c r="E68" s="114"/>
      <c r="F68" s="126">
        <v>13938534.840714561</v>
      </c>
      <c r="G68" s="121">
        <v>12331301.069768373</v>
      </c>
      <c r="H68" s="121">
        <v>0</v>
      </c>
      <c r="I68" s="121">
        <v>0</v>
      </c>
      <c r="J68" s="121">
        <v>102983.1083042283</v>
      </c>
      <c r="K68" s="121">
        <v>3958.2512971776905</v>
      </c>
      <c r="L68" s="121">
        <v>0</v>
      </c>
      <c r="M68" s="121">
        <v>336303.56843293027</v>
      </c>
      <c r="N68" s="121">
        <v>974508.13775345567</v>
      </c>
      <c r="O68" s="121">
        <v>182472.93226999565</v>
      </c>
      <c r="P68" s="121">
        <v>7007.7728884005301</v>
      </c>
    </row>
    <row r="69" spans="1:16" ht="13.5" thickBot="1">
      <c r="A69" s="125">
        <v>48</v>
      </c>
      <c r="B69" s="30"/>
      <c r="C69" s="131" t="s">
        <v>88</v>
      </c>
      <c r="D69" s="114"/>
      <c r="E69" s="114"/>
      <c r="F69" s="104">
        <v>-219207263.1237925</v>
      </c>
      <c r="G69" s="104">
        <v>-194501697.0983474</v>
      </c>
      <c r="H69" s="104">
        <v>0</v>
      </c>
      <c r="I69" s="104">
        <v>0</v>
      </c>
      <c r="J69" s="104">
        <v>-1573514.8027121727</v>
      </c>
      <c r="K69" s="104">
        <v>-60947.126891100386</v>
      </c>
      <c r="L69" s="104">
        <v>0</v>
      </c>
      <c r="M69" s="104">
        <v>-5175232.3979570922</v>
      </c>
      <c r="N69" s="104">
        <v>-14983708.152684474</v>
      </c>
      <c r="O69" s="104">
        <v>-2805454.2600237238</v>
      </c>
      <c r="P69" s="104">
        <v>-106709.28517651709</v>
      </c>
    </row>
    <row r="70" spans="1:16" ht="13.5" thickTop="1">
      <c r="A70" s="125"/>
      <c r="B70" s="110"/>
      <c r="C70" s="114"/>
      <c r="D70" s="114"/>
      <c r="E70" s="114"/>
      <c r="F70" s="116"/>
      <c r="G70" s="116"/>
      <c r="H70" s="116"/>
      <c r="I70" s="116"/>
      <c r="J70" s="116"/>
      <c r="K70" s="116"/>
      <c r="L70" s="116"/>
      <c r="M70" s="116"/>
      <c r="N70" s="116"/>
      <c r="O70" s="116"/>
      <c r="P70" s="116"/>
    </row>
    <row r="71" spans="1:16">
      <c r="A71" s="125">
        <v>49</v>
      </c>
      <c r="B71" s="131" t="s">
        <v>89</v>
      </c>
      <c r="C71" s="114"/>
      <c r="D71" s="114"/>
      <c r="E71" s="114"/>
      <c r="F71" s="118">
        <v>1816213950.5488641</v>
      </c>
      <c r="G71" s="116">
        <v>1587501296.0363345</v>
      </c>
      <c r="H71" s="116">
        <v>0</v>
      </c>
      <c r="I71" s="116">
        <v>0</v>
      </c>
      <c r="J71" s="116">
        <v>12471769.881363476</v>
      </c>
      <c r="K71" s="116">
        <v>526905.08183974586</v>
      </c>
      <c r="L71" s="116">
        <v>0</v>
      </c>
      <c r="M71" s="116">
        <v>44770256.320337541</v>
      </c>
      <c r="N71" s="116">
        <v>129743525.71774155</v>
      </c>
      <c r="O71" s="116">
        <v>24294168.329627067</v>
      </c>
      <c r="P71" s="116">
        <v>16906029.181620955</v>
      </c>
    </row>
    <row r="72" spans="1:16">
      <c r="A72" s="125"/>
      <c r="B72" s="131"/>
      <c r="C72" s="114"/>
      <c r="D72" s="114"/>
      <c r="E72" s="114"/>
      <c r="F72" s="118"/>
      <c r="G72" s="116"/>
      <c r="H72" s="116"/>
      <c r="I72" s="116"/>
      <c r="J72" s="116"/>
      <c r="K72" s="116"/>
      <c r="L72" s="116"/>
      <c r="M72" s="116"/>
      <c r="N72" s="116"/>
      <c r="O72" s="116"/>
      <c r="P72" s="116"/>
    </row>
    <row r="73" spans="1:16">
      <c r="A73" s="125">
        <v>50</v>
      </c>
      <c r="B73" s="127" t="s">
        <v>90</v>
      </c>
      <c r="C73" s="114"/>
      <c r="D73" s="114"/>
      <c r="E73" s="114"/>
      <c r="F73" s="100">
        <v>6.9323371934751021E-2</v>
      </c>
      <c r="G73" s="55">
        <v>7.4786422380408293E-2</v>
      </c>
      <c r="H73" s="55">
        <v>0</v>
      </c>
      <c r="I73" s="55">
        <v>0</v>
      </c>
      <c r="J73" s="55">
        <v>7.0764951748846838E-2</v>
      </c>
      <c r="K73" s="55">
        <v>0.13764838964724088</v>
      </c>
      <c r="L73" s="55">
        <v>0</v>
      </c>
      <c r="M73" s="91">
        <v>8.9875052855675722E-2</v>
      </c>
      <c r="N73" s="91">
        <v>1.4890237571992466E-2</v>
      </c>
      <c r="O73" s="55">
        <v>-3.6612990889701415E-2</v>
      </c>
      <c r="P73" s="55">
        <v>6.8690406186230901E-2</v>
      </c>
    </row>
    <row r="74" spans="1:16">
      <c r="A74" s="125">
        <v>51</v>
      </c>
      <c r="B74" s="127" t="s">
        <v>91</v>
      </c>
      <c r="C74" s="114"/>
      <c r="D74" s="114"/>
      <c r="E74" s="114"/>
      <c r="F74" s="100">
        <v>9.0533403517729122E-2</v>
      </c>
      <c r="G74" s="55">
        <v>0.10046622250983325</v>
      </c>
      <c r="H74" s="55">
        <v>-3.5509090909090907E-2</v>
      </c>
      <c r="I74" s="55">
        <v>-3.5509090909090907E-2</v>
      </c>
      <c r="J74" s="55">
        <v>9.3154457725176068E-2</v>
      </c>
      <c r="K74" s="55">
        <v>0.21476070844952888</v>
      </c>
      <c r="L74" s="55">
        <v>-3.5509090909090907E-2</v>
      </c>
      <c r="M74" s="55">
        <v>0.12790009610122857</v>
      </c>
      <c r="N74" s="55">
        <v>-8.4359316872864229E-3</v>
      </c>
      <c r="O74" s="55">
        <v>-0.10207816525400257</v>
      </c>
      <c r="P74" s="55">
        <v>8.9382556702237992E-2</v>
      </c>
    </row>
    <row r="75" spans="1:16">
      <c r="A75" s="44"/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</row>
    <row r="76" spans="1:16">
      <c r="A76" s="125">
        <v>52</v>
      </c>
      <c r="B76" s="127" t="s">
        <v>92</v>
      </c>
      <c r="C76" s="30"/>
      <c r="D76" s="114"/>
      <c r="E76" s="114"/>
      <c r="F76" s="116">
        <v>389126772.48014712</v>
      </c>
      <c r="G76" s="116">
        <v>353045584.92736</v>
      </c>
      <c r="H76" s="116">
        <v>0</v>
      </c>
      <c r="I76" s="116">
        <v>0</v>
      </c>
      <c r="J76" s="116">
        <v>2731715.6796254874</v>
      </c>
      <c r="K76" s="116">
        <v>188703.41900357459</v>
      </c>
      <c r="L76" s="116">
        <v>0</v>
      </c>
      <c r="M76" s="116">
        <v>10743463.953357194</v>
      </c>
      <c r="N76" s="116">
        <v>18160293.95788718</v>
      </c>
      <c r="O76" s="116">
        <v>1608060.9819205366</v>
      </c>
      <c r="P76" s="116">
        <v>2648949.5609932127</v>
      </c>
    </row>
    <row r="77" spans="1:16">
      <c r="A77" s="85">
        <v>53</v>
      </c>
      <c r="B77" s="57" t="s">
        <v>93</v>
      </c>
      <c r="C77" s="30"/>
      <c r="D77" s="30"/>
      <c r="E77" s="30"/>
      <c r="F77" s="6">
        <v>19249739.633961368</v>
      </c>
      <c r="G77" s="6">
        <v>5273097.1792712416</v>
      </c>
      <c r="H77" s="6">
        <v>0</v>
      </c>
      <c r="I77" s="6">
        <v>0</v>
      </c>
      <c r="J77" s="6">
        <v>108236.69452155821</v>
      </c>
      <c r="K77" s="6">
        <v>-42371.20093418067</v>
      </c>
      <c r="L77" s="6">
        <v>0</v>
      </c>
      <c r="M77" s="99">
        <v>-751135.64254678925</v>
      </c>
      <c r="N77" s="99">
        <v>10782707.456347641</v>
      </c>
      <c r="O77" s="6">
        <v>3685766.5934178126</v>
      </c>
      <c r="P77" s="6">
        <v>193438.55388412601</v>
      </c>
    </row>
  </sheetData>
  <mergeCells count="6">
    <mergeCell ref="B46:E46"/>
    <mergeCell ref="F6:P6"/>
    <mergeCell ref="F7:P7"/>
    <mergeCell ref="G9:P9"/>
    <mergeCell ref="B10:E10"/>
    <mergeCell ref="B12:E12"/>
  </mergeCells>
  <printOptions horizontalCentered="1" verticalCentered="1"/>
  <pageMargins left="0.5" right="0.5" top="0.75" bottom="0.5" header="0.5" footer="0.25"/>
  <pageSetup scale="68" orientation="portrait" horizontalDpi="4294967293" verticalDpi="4294967293" r:id="rId1"/>
  <headerFooter scaleWithDoc="0">
    <oddHeader xml:space="preserve">&amp;R&amp;"Arial,Bold"&amp;12ANGC Exhibit 2.03R&amp;"Arial,Regular"&amp;10
Page 1 of 1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A1:K26"/>
  <sheetViews>
    <sheetView workbookViewId="0">
      <selection activeCell="O21" sqref="O21"/>
    </sheetView>
  </sheetViews>
  <sheetFormatPr defaultRowHeight="12.75"/>
  <cols>
    <col min="1" max="1" width="15.7109375" customWidth="1"/>
    <col min="2" max="2" width="6.7109375" customWidth="1"/>
    <col min="3" max="3" width="12.7109375" customWidth="1"/>
    <col min="4" max="4" width="3.7109375" customWidth="1"/>
    <col min="5" max="5" width="12.7109375" customWidth="1"/>
    <col min="6" max="6" width="4.7109375" customWidth="1"/>
    <col min="7" max="7" width="13.7109375" customWidth="1"/>
    <col min="8" max="8" width="3.7109375" customWidth="1"/>
    <col min="9" max="9" width="14.7109375" customWidth="1"/>
    <col min="10" max="10" width="3.7109375" customWidth="1"/>
    <col min="11" max="11" width="13.7109375" customWidth="1"/>
  </cols>
  <sheetData>
    <row r="1" spans="1:11" ht="20.25">
      <c r="A1" s="2" t="s">
        <v>0</v>
      </c>
    </row>
    <row r="2" spans="1:11" ht="15">
      <c r="A2" s="3" t="s">
        <v>119</v>
      </c>
    </row>
    <row r="5" spans="1:11" ht="18">
      <c r="A5" s="93" t="s">
        <v>120</v>
      </c>
    </row>
    <row r="6" spans="1:11" ht="14.25">
      <c r="A6" s="21" t="s">
        <v>170</v>
      </c>
    </row>
    <row r="8" spans="1:11">
      <c r="C8" s="198" t="s">
        <v>118</v>
      </c>
      <c r="D8" s="198"/>
      <c r="E8" s="198"/>
      <c r="G8" s="198" t="s">
        <v>117</v>
      </c>
      <c r="H8" s="198"/>
      <c r="I8" s="198"/>
    </row>
    <row r="9" spans="1:11">
      <c r="A9" s="1"/>
      <c r="B9" s="1"/>
      <c r="C9" s="80" t="s">
        <v>116</v>
      </c>
      <c r="D9" s="1"/>
      <c r="E9" s="80" t="s">
        <v>115</v>
      </c>
      <c r="F9" s="1"/>
      <c r="G9" s="80" t="s">
        <v>116</v>
      </c>
      <c r="H9" s="1"/>
      <c r="I9" s="80" t="s">
        <v>115</v>
      </c>
      <c r="J9" s="1"/>
      <c r="K9" s="80" t="s">
        <v>114</v>
      </c>
    </row>
    <row r="10" spans="1:11">
      <c r="A10" s="1"/>
      <c r="B10" s="1"/>
      <c r="C10" s="80" t="s">
        <v>113</v>
      </c>
      <c r="D10" s="1"/>
      <c r="E10" s="27" t="s">
        <v>112</v>
      </c>
      <c r="F10" s="1"/>
      <c r="G10" s="80" t="s">
        <v>113</v>
      </c>
      <c r="H10" s="1"/>
      <c r="I10" s="27" t="s">
        <v>112</v>
      </c>
      <c r="J10" s="1"/>
      <c r="K10" s="80" t="s">
        <v>111</v>
      </c>
    </row>
    <row r="11" spans="1:11">
      <c r="A11" s="81" t="s">
        <v>110</v>
      </c>
      <c r="B11" s="1"/>
      <c r="C11" s="82" t="s">
        <v>109</v>
      </c>
      <c r="D11" s="1"/>
      <c r="E11" s="82" t="s">
        <v>108</v>
      </c>
      <c r="F11" s="1"/>
      <c r="G11" s="82" t="s">
        <v>109</v>
      </c>
      <c r="H11" s="1"/>
      <c r="I11" s="82" t="s">
        <v>108</v>
      </c>
      <c r="J11" s="1"/>
      <c r="K11" s="82" t="s">
        <v>107</v>
      </c>
    </row>
    <row r="12" spans="1:11">
      <c r="C12" s="10"/>
      <c r="D12" s="10"/>
      <c r="E12" s="10"/>
      <c r="F12" s="10"/>
      <c r="G12" s="10"/>
      <c r="H12" s="10"/>
      <c r="I12" s="10"/>
    </row>
    <row r="13" spans="1:11">
      <c r="A13" s="1" t="s">
        <v>33</v>
      </c>
      <c r="C13" s="83">
        <v>7.5700000000000003E-2</v>
      </c>
      <c r="D13" s="83"/>
      <c r="E13" s="83">
        <v>7.4800000000000005E-2</v>
      </c>
      <c r="F13" s="10"/>
      <c r="G13" s="84">
        <v>3279187</v>
      </c>
      <c r="H13" s="10"/>
      <c r="I13" s="84">
        <v>5273097</v>
      </c>
      <c r="K13" s="25">
        <f t="shared" ref="K13:K18" si="0">+I13-G13</f>
        <v>1993910</v>
      </c>
    </row>
    <row r="14" spans="1:11">
      <c r="A14" s="1" t="s">
        <v>106</v>
      </c>
      <c r="C14" s="83">
        <v>6.7500000000000004E-2</v>
      </c>
      <c r="D14" s="83"/>
      <c r="E14" s="83">
        <v>7.0800000000000002E-2</v>
      </c>
      <c r="F14" s="10"/>
      <c r="G14" s="84">
        <v>166905</v>
      </c>
      <c r="H14" s="10"/>
      <c r="I14" s="84">
        <v>108237</v>
      </c>
      <c r="K14" s="25">
        <f t="shared" si="0"/>
        <v>-58668</v>
      </c>
    </row>
    <row r="15" spans="1:11">
      <c r="A15" s="1" t="s">
        <v>105</v>
      </c>
      <c r="C15" s="83">
        <v>0.1203</v>
      </c>
      <c r="D15" s="83"/>
      <c r="E15" s="83">
        <v>0.1376</v>
      </c>
      <c r="F15" s="10"/>
      <c r="G15" s="84">
        <v>-32808</v>
      </c>
      <c r="H15" s="10"/>
      <c r="I15" s="84">
        <v>-42371</v>
      </c>
      <c r="K15" s="25">
        <f t="shared" si="0"/>
        <v>-9563</v>
      </c>
    </row>
    <row r="16" spans="1:11">
      <c r="A16" s="1" t="s">
        <v>11</v>
      </c>
      <c r="C16" s="83">
        <v>2.7400000000000001E-2</v>
      </c>
      <c r="D16" s="83"/>
      <c r="E16" s="83">
        <v>3.4099999999999998E-2</v>
      </c>
      <c r="F16" s="10"/>
      <c r="G16" s="84">
        <f>+G20+G21</f>
        <v>12278671</v>
      </c>
      <c r="H16" s="10"/>
      <c r="I16" s="84">
        <f>+I20+I21</f>
        <v>10031571</v>
      </c>
      <c r="K16" s="25">
        <f t="shared" si="0"/>
        <v>-2247100</v>
      </c>
    </row>
    <row r="17" spans="1:11">
      <c r="A17" s="1" t="s">
        <v>104</v>
      </c>
      <c r="C17" s="83">
        <v>-3.3599999999999998E-2</v>
      </c>
      <c r="D17" s="83"/>
      <c r="E17" s="83">
        <v>-3.6600000000000001E-2</v>
      </c>
      <c r="F17" s="10"/>
      <c r="G17" s="84">
        <v>3351542</v>
      </c>
      <c r="H17" s="10"/>
      <c r="I17" s="84">
        <v>3685767</v>
      </c>
      <c r="K17" s="25">
        <f t="shared" si="0"/>
        <v>334225</v>
      </c>
    </row>
    <row r="18" spans="1:11">
      <c r="A18" s="1" t="s">
        <v>103</v>
      </c>
      <c r="C18" s="83">
        <v>6.8199999999999997E-2</v>
      </c>
      <c r="D18" s="83"/>
      <c r="E18" s="83">
        <v>6.8699999999999997E-2</v>
      </c>
      <c r="F18" s="10"/>
      <c r="G18" s="84">
        <v>206243</v>
      </c>
      <c r="H18" s="10"/>
      <c r="I18" s="84">
        <v>193439</v>
      </c>
      <c r="K18" s="25">
        <f t="shared" si="0"/>
        <v>-12804</v>
      </c>
    </row>
    <row r="19" spans="1:11">
      <c r="A19" s="1"/>
      <c r="C19" s="83"/>
      <c r="D19" s="83"/>
      <c r="E19" s="83"/>
      <c r="F19" s="10"/>
      <c r="G19" s="10"/>
      <c r="H19" s="10"/>
      <c r="I19" s="84"/>
    </row>
    <row r="20" spans="1:11">
      <c r="A20" s="1" t="s">
        <v>34</v>
      </c>
      <c r="C20" s="83">
        <v>9.11E-2</v>
      </c>
      <c r="D20" s="83"/>
      <c r="E20" s="83">
        <v>8.9899999999999994E-2</v>
      </c>
      <c r="F20" s="10"/>
      <c r="G20" s="84">
        <v>-818343</v>
      </c>
      <c r="H20" s="10"/>
      <c r="I20" s="84">
        <v>-751136</v>
      </c>
      <c r="K20" s="25">
        <f>+I20-G20</f>
        <v>67207</v>
      </c>
    </row>
    <row r="21" spans="1:11">
      <c r="A21" s="1" t="s">
        <v>35</v>
      </c>
      <c r="C21" s="83">
        <v>7.4999999999999997E-3</v>
      </c>
      <c r="D21" s="83"/>
      <c r="E21" s="83">
        <v>1.49E-2</v>
      </c>
      <c r="F21" s="10"/>
      <c r="G21" s="84">
        <v>13097014</v>
      </c>
      <c r="H21" s="10"/>
      <c r="I21" s="84">
        <v>10782707</v>
      </c>
      <c r="K21" s="25">
        <f>+I21-G21</f>
        <v>-2314307</v>
      </c>
    </row>
    <row r="22" spans="1:11">
      <c r="A22" s="1"/>
      <c r="C22" s="83"/>
      <c r="D22" s="83"/>
      <c r="E22" s="83"/>
      <c r="F22" s="10"/>
      <c r="G22" s="10"/>
      <c r="H22" s="10"/>
      <c r="I22" s="84"/>
    </row>
    <row r="23" spans="1:11">
      <c r="A23" s="1" t="s">
        <v>102</v>
      </c>
      <c r="C23" s="83">
        <v>6.93E-2</v>
      </c>
      <c r="D23" s="83"/>
      <c r="E23" s="83">
        <v>6.93E-2</v>
      </c>
      <c r="F23" s="10"/>
      <c r="G23" s="84">
        <f>+SUM(G13:G18)</f>
        <v>19249740</v>
      </c>
      <c r="H23" s="10"/>
      <c r="I23" s="84">
        <f>+SUM(I13:I18)</f>
        <v>19249740</v>
      </c>
      <c r="K23" s="25">
        <f>+I23-G23</f>
        <v>0</v>
      </c>
    </row>
    <row r="26" spans="1:11">
      <c r="I26" s="25"/>
    </row>
  </sheetData>
  <mergeCells count="2">
    <mergeCell ref="C8:E8"/>
    <mergeCell ref="G8:I8"/>
  </mergeCells>
  <printOptions horizontalCentered="1" verticalCentered="1"/>
  <pageMargins left="0.75" right="0.75" top="1" bottom="1" header="0.5" footer="0.5"/>
  <pageSetup orientation="landscape" horizontalDpi="4294967293" verticalDpi="4294967293" r:id="rId1"/>
  <headerFooter scaleWithDoc="0">
    <oddHeader xml:space="preserve">&amp;R&amp;"Arial,Bold"&amp;14ANGC Exhibit 2.04R&amp;"Arial,Regular"&amp;10
&amp;11Page 1 of 1&amp;10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pageSetUpPr fitToPage="1"/>
  </sheetPr>
  <dimension ref="A1:AE75"/>
  <sheetViews>
    <sheetView workbookViewId="0">
      <selection activeCell="L35" sqref="L35"/>
    </sheetView>
  </sheetViews>
  <sheetFormatPr defaultRowHeight="12.75"/>
  <cols>
    <col min="2" max="2" width="3.7109375" customWidth="1"/>
    <col min="3" max="3" width="13.5703125" customWidth="1"/>
    <col min="4" max="4" width="2.7109375" customWidth="1"/>
    <col min="5" max="5" width="13.7109375" customWidth="1"/>
    <col min="6" max="6" width="2.7109375" customWidth="1"/>
    <col min="7" max="7" width="11.7109375" customWidth="1"/>
    <col min="8" max="8" width="2.7109375" customWidth="1"/>
    <col min="9" max="9" width="15.5703125" customWidth="1"/>
    <col min="10" max="10" width="1.7109375" customWidth="1"/>
    <col min="11" max="11" width="13.7109375" customWidth="1"/>
    <col min="12" max="12" width="3.7109375" customWidth="1"/>
    <col min="13" max="13" width="12.7109375" customWidth="1"/>
    <col min="14" max="14" width="1.7109375" customWidth="1"/>
    <col min="15" max="15" width="8.7109375" customWidth="1"/>
    <col min="16" max="16" width="2.7109375" customWidth="1"/>
    <col min="17" max="17" width="12.7109375" customWidth="1"/>
    <col min="18" max="18" width="1.7109375" customWidth="1"/>
    <col min="19" max="19" width="8.7109375" customWidth="1"/>
    <col min="20" max="20" width="2.7109375" customWidth="1"/>
    <col min="21" max="21" width="12.7109375" customWidth="1"/>
    <col min="22" max="22" width="1.7109375" customWidth="1"/>
    <col min="23" max="23" width="8.5703125" customWidth="1"/>
    <col min="24" max="24" width="3.7109375" customWidth="1"/>
    <col min="25" max="25" width="12.7109375" customWidth="1"/>
    <col min="26" max="26" width="1.7109375" customWidth="1"/>
    <col min="27" max="27" width="9.42578125" customWidth="1"/>
    <col min="28" max="28" width="14" customWidth="1"/>
    <col min="29" max="29" width="13.5703125" customWidth="1"/>
    <col min="30" max="30" width="12.7109375" customWidth="1"/>
    <col min="31" max="31" width="10.5703125" customWidth="1"/>
  </cols>
  <sheetData>
    <row r="1" spans="1:31" ht="20.25">
      <c r="A1" s="2" t="s">
        <v>0</v>
      </c>
      <c r="B1" s="2"/>
    </row>
    <row r="2" spans="1:31" ht="15">
      <c r="A2" s="3" t="s">
        <v>119</v>
      </c>
      <c r="B2" s="3"/>
    </row>
    <row r="5" spans="1:31" ht="18">
      <c r="A5" s="93" t="s">
        <v>126</v>
      </c>
    </row>
    <row r="6" spans="1:31" ht="14.25">
      <c r="A6" s="21" t="s">
        <v>125</v>
      </c>
    </row>
    <row r="8" spans="1:31" ht="15">
      <c r="G8" s="107" t="s">
        <v>136</v>
      </c>
      <c r="K8" s="107" t="s">
        <v>121</v>
      </c>
    </row>
    <row r="9" spans="1:31" ht="15">
      <c r="A9" s="96"/>
      <c r="B9" s="96"/>
      <c r="C9" s="28" t="s">
        <v>124</v>
      </c>
      <c r="D9" s="28"/>
      <c r="E9" s="28" t="s">
        <v>124</v>
      </c>
      <c r="F9" s="28"/>
      <c r="G9" s="107" t="s">
        <v>104</v>
      </c>
      <c r="H9" s="96"/>
      <c r="I9" s="107" t="s">
        <v>132</v>
      </c>
      <c r="K9" s="28" t="s">
        <v>111</v>
      </c>
      <c r="L9" s="96"/>
      <c r="M9" s="191" t="s">
        <v>127</v>
      </c>
      <c r="N9" s="191"/>
      <c r="O9" s="191"/>
      <c r="P9" s="96"/>
      <c r="Q9" s="191" t="s">
        <v>128</v>
      </c>
      <c r="R9" s="191"/>
      <c r="S9" s="191"/>
      <c r="T9" s="96"/>
      <c r="U9" s="191" t="s">
        <v>129</v>
      </c>
      <c r="V9" s="191"/>
      <c r="W9" s="191"/>
      <c r="Y9" s="107" t="s">
        <v>139</v>
      </c>
      <c r="Z9" s="107"/>
    </row>
    <row r="10" spans="1:31" ht="15">
      <c r="A10" s="96"/>
      <c r="B10" s="96"/>
      <c r="C10" s="107" t="s">
        <v>130</v>
      </c>
      <c r="D10" s="107"/>
      <c r="E10" s="107" t="s">
        <v>111</v>
      </c>
      <c r="F10" s="107"/>
      <c r="G10" s="28" t="s">
        <v>138</v>
      </c>
      <c r="H10" s="96"/>
      <c r="I10" s="107" t="s">
        <v>141</v>
      </c>
      <c r="J10" s="96"/>
      <c r="K10" s="107" t="s">
        <v>107</v>
      </c>
      <c r="L10" s="96"/>
      <c r="M10" s="199" t="s">
        <v>137</v>
      </c>
      <c r="N10" s="199"/>
      <c r="O10" s="199"/>
      <c r="P10" s="96"/>
      <c r="Q10" s="199" t="s">
        <v>137</v>
      </c>
      <c r="R10" s="199"/>
      <c r="S10" s="199"/>
      <c r="T10" s="28"/>
      <c r="U10" s="199" t="s">
        <v>137</v>
      </c>
      <c r="V10" s="199"/>
      <c r="W10" s="199"/>
      <c r="Y10" s="107" t="s">
        <v>111</v>
      </c>
      <c r="Z10" s="107"/>
      <c r="AA10" s="107" t="s">
        <v>123</v>
      </c>
    </row>
    <row r="11" spans="1:31" ht="15">
      <c r="A11" s="96" t="s">
        <v>3</v>
      </c>
      <c r="B11" s="96"/>
      <c r="C11" s="95" t="s">
        <v>111</v>
      </c>
      <c r="D11" s="28"/>
      <c r="E11" s="95" t="s">
        <v>107</v>
      </c>
      <c r="F11" s="28"/>
      <c r="G11" s="95" t="s">
        <v>146</v>
      </c>
      <c r="H11" s="96"/>
      <c r="I11" s="95" t="s">
        <v>142</v>
      </c>
      <c r="J11" s="79"/>
      <c r="K11" s="95" t="s">
        <v>143</v>
      </c>
      <c r="L11" s="96"/>
      <c r="M11" s="109" t="s">
        <v>122</v>
      </c>
      <c r="N11" s="107"/>
      <c r="O11" s="109" t="s">
        <v>123</v>
      </c>
      <c r="P11" s="96"/>
      <c r="Q11" s="109" t="s">
        <v>122</v>
      </c>
      <c r="R11" s="107"/>
      <c r="S11" s="107" t="s">
        <v>123</v>
      </c>
      <c r="T11" s="107"/>
      <c r="U11" s="109" t="s">
        <v>122</v>
      </c>
      <c r="V11" s="107"/>
      <c r="W11" s="109" t="s">
        <v>123</v>
      </c>
      <c r="Y11" s="95" t="s">
        <v>140</v>
      </c>
      <c r="Z11" s="107"/>
      <c r="AA11" s="95" t="s">
        <v>140</v>
      </c>
    </row>
    <row r="14" spans="1:31">
      <c r="A14" t="s">
        <v>33</v>
      </c>
      <c r="C14" s="15">
        <v>343208444</v>
      </c>
      <c r="D14" s="15"/>
      <c r="E14" s="15">
        <v>5273097</v>
      </c>
      <c r="F14" s="15"/>
      <c r="G14" s="24">
        <f>+C14/$C$57</f>
        <v>0.95540706591325353</v>
      </c>
      <c r="H14" s="90"/>
      <c r="I14" s="15">
        <f>-$AD$18*G14</f>
        <v>2468730.9668974262</v>
      </c>
      <c r="J14" s="15"/>
      <c r="K14" s="15">
        <f>+E14+I14</f>
        <v>7741827.9668974262</v>
      </c>
      <c r="L14" s="90"/>
      <c r="M14" s="62">
        <f>+K14+M61</f>
        <v>15629093.508961273</v>
      </c>
      <c r="N14" s="90"/>
      <c r="O14" s="64">
        <f t="shared" ref="O14:O20" si="0">+M14/C14</f>
        <v>4.553819634158323E-2</v>
      </c>
      <c r="P14" s="26"/>
      <c r="Q14" s="15">
        <f>-SUM(Q15:Q19)</f>
        <v>-3583828.1610319237</v>
      </c>
      <c r="R14" s="90"/>
      <c r="S14" s="64">
        <f t="shared" ref="S14:S20" si="1">+Q14/(C14+M14)</f>
        <v>-9.9873279309370608E-3</v>
      </c>
      <c r="T14" s="26"/>
      <c r="U14" s="15">
        <f>-SUM(U15:U19)</f>
        <v>-4303437.3810319239</v>
      </c>
      <c r="V14" s="90"/>
      <c r="W14" s="64">
        <f t="shared" ref="W14:W20" si="2">+U14/(C14+M14+Q14)</f>
        <v>-1.2113701469664914E-2</v>
      </c>
      <c r="Y14" s="63">
        <f>+M14+Q14+U14</f>
        <v>7741827.9668974252</v>
      </c>
      <c r="Z14" s="63"/>
      <c r="AA14" s="23">
        <f>+Y14/C14</f>
        <v>2.2557218804609088E-2</v>
      </c>
      <c r="AC14" s="63">
        <f>+M14+Q14+U14</f>
        <v>7741827.9668974252</v>
      </c>
      <c r="AD14" s="63">
        <f t="shared" ref="AD14:AD20" si="3">+AC14-E14</f>
        <v>2468730.9668974252</v>
      </c>
      <c r="AE14" s="63">
        <f>+AD14-I14</f>
        <v>0</v>
      </c>
    </row>
    <row r="15" spans="1:31">
      <c r="A15" t="s">
        <v>106</v>
      </c>
      <c r="C15" s="15">
        <v>2669970</v>
      </c>
      <c r="D15" s="15"/>
      <c r="E15" s="15">
        <v>108237</v>
      </c>
      <c r="F15" s="15"/>
      <c r="G15" s="24">
        <f>+C15/$C$57</f>
        <v>7.4325333434290724E-3</v>
      </c>
      <c r="H15" s="90"/>
      <c r="I15" s="15">
        <f>-$AD$18*G15</f>
        <v>19205.348046993626</v>
      </c>
      <c r="J15" s="15"/>
      <c r="K15" s="15">
        <f>+E15+I15</f>
        <v>127442.34804699363</v>
      </c>
      <c r="L15" s="90"/>
      <c r="M15" s="62">
        <f>+K15</f>
        <v>127442.34804699363</v>
      </c>
      <c r="N15" s="90"/>
      <c r="O15" s="64">
        <f t="shared" si="0"/>
        <v>4.7731752808830671E-2</v>
      </c>
      <c r="P15" s="26"/>
      <c r="Q15" s="15">
        <v>0</v>
      </c>
      <c r="R15" s="90"/>
      <c r="S15" s="64">
        <f t="shared" si="1"/>
        <v>0</v>
      </c>
      <c r="T15" s="26"/>
      <c r="U15" s="15">
        <v>0</v>
      </c>
      <c r="V15" s="90"/>
      <c r="W15" s="64">
        <f t="shared" si="2"/>
        <v>0</v>
      </c>
      <c r="Y15" s="63">
        <f t="shared" ref="Y15:Y19" si="4">+M15+Q15+U15</f>
        <v>127442.34804699363</v>
      </c>
      <c r="Z15" s="63"/>
      <c r="AA15" s="23">
        <f t="shared" ref="AA15:AA19" si="5">+Y15/C15</f>
        <v>4.7731752808830671E-2</v>
      </c>
      <c r="AC15" s="63">
        <f>+M15+Q15+U15</f>
        <v>127442.34804699363</v>
      </c>
      <c r="AD15" s="63">
        <f t="shared" si="3"/>
        <v>19205.348046993633</v>
      </c>
      <c r="AE15" s="63">
        <f t="shared" ref="AE15:AE20" si="6">+AD15-I15</f>
        <v>0</v>
      </c>
    </row>
    <row r="16" spans="1:31">
      <c r="A16" t="s">
        <v>105</v>
      </c>
      <c r="C16" s="15">
        <v>185961</v>
      </c>
      <c r="D16" s="15"/>
      <c r="E16" s="15">
        <v>-42371</v>
      </c>
      <c r="F16" s="15"/>
      <c r="G16" s="24">
        <f>+C16/$C$57</f>
        <v>5.1766923713652733E-4</v>
      </c>
      <c r="H16" s="90"/>
      <c r="I16" s="15">
        <f>-$AD$18*G16</f>
        <v>1337.6351525174373</v>
      </c>
      <c r="J16" s="15"/>
      <c r="K16" s="15">
        <f>+E16+I16</f>
        <v>-41033.36484748256</v>
      </c>
      <c r="L16" s="90"/>
      <c r="M16" s="94">
        <f>+K16</f>
        <v>-41033.36484748256</v>
      </c>
      <c r="N16" s="90"/>
      <c r="O16" s="64">
        <f t="shared" si="0"/>
        <v>-0.22065575495659068</v>
      </c>
      <c r="P16" s="26"/>
      <c r="Q16" s="15">
        <v>0</v>
      </c>
      <c r="R16" s="90"/>
      <c r="S16" s="64">
        <f t="shared" si="1"/>
        <v>0</v>
      </c>
      <c r="T16" s="26"/>
      <c r="U16" s="15">
        <v>0</v>
      </c>
      <c r="V16" s="90"/>
      <c r="W16" s="64">
        <f t="shared" si="2"/>
        <v>0</v>
      </c>
      <c r="Y16" s="63">
        <f t="shared" si="4"/>
        <v>-41033.36484748256</v>
      </c>
      <c r="Z16" s="63"/>
      <c r="AA16" s="23">
        <f t="shared" si="5"/>
        <v>-0.22065575495659068</v>
      </c>
      <c r="AC16" s="63">
        <f t="shared" ref="AC16:AC20" si="7">+M16+Q16+U16</f>
        <v>-41033.36484748256</v>
      </c>
      <c r="AD16" s="63">
        <f t="shared" si="3"/>
        <v>1337.6351525174396</v>
      </c>
      <c r="AE16" s="63">
        <f t="shared" si="6"/>
        <v>2.2737367544323206E-12</v>
      </c>
    </row>
    <row r="17" spans="1:31">
      <c r="A17" t="s">
        <v>11</v>
      </c>
      <c r="C17" s="15">
        <v>28164455</v>
      </c>
      <c r="D17" s="15"/>
      <c r="E17" s="15">
        <f>+E24</f>
        <v>10031571</v>
      </c>
      <c r="F17" s="15"/>
      <c r="G17" s="24">
        <f>+G24</f>
        <v>2.9310741704176559E-2</v>
      </c>
      <c r="H17" s="90"/>
      <c r="I17" s="15">
        <f>+I24</f>
        <v>75737.70206384729</v>
      </c>
      <c r="J17" s="15"/>
      <c r="K17" s="15">
        <f>+K24</f>
        <v>10107308.702063847</v>
      </c>
      <c r="L17" s="90"/>
      <c r="M17" s="15">
        <f>+M24</f>
        <v>3019157.9600000004</v>
      </c>
      <c r="N17" s="90"/>
      <c r="O17" s="64">
        <f t="shared" si="0"/>
        <v>0.10719745722045751</v>
      </c>
      <c r="P17" s="26"/>
      <c r="Q17" s="15">
        <f>+Q24</f>
        <v>3220594.1610319237</v>
      </c>
      <c r="R17" s="90"/>
      <c r="S17" s="64">
        <f t="shared" si="1"/>
        <v>0.10327841630035174</v>
      </c>
      <c r="T17" s="26"/>
      <c r="U17" s="15">
        <f>+U24</f>
        <v>3867556.5810319241</v>
      </c>
      <c r="V17" s="90"/>
      <c r="W17" s="64">
        <f t="shared" si="2"/>
        <v>0.11241522199381294</v>
      </c>
      <c r="Y17" s="63">
        <f>+Y24</f>
        <v>10107308.702063847</v>
      </c>
      <c r="Z17" s="63"/>
      <c r="AA17" s="23">
        <f t="shared" si="5"/>
        <v>0.3588675407375661</v>
      </c>
      <c r="AC17" s="63">
        <f t="shared" si="7"/>
        <v>10107308.702063847</v>
      </c>
      <c r="AD17" s="63">
        <f t="shared" si="3"/>
        <v>75737.702063847333</v>
      </c>
      <c r="AE17" s="63">
        <f t="shared" si="6"/>
        <v>0</v>
      </c>
    </row>
    <row r="18" spans="1:31">
      <c r="A18" t="s">
        <v>104</v>
      </c>
      <c r="C18" s="15">
        <v>1513475</v>
      </c>
      <c r="D18" s="15"/>
      <c r="E18" s="15">
        <v>3685767</v>
      </c>
      <c r="F18" s="15"/>
      <c r="G18" s="24">
        <v>0</v>
      </c>
      <c r="H18" s="90"/>
      <c r="I18" s="15">
        <f>+AD18</f>
        <v>-2583957.2000000002</v>
      </c>
      <c r="J18" s="15"/>
      <c r="K18" s="15">
        <f>+E18+I18</f>
        <v>1101809.7999999998</v>
      </c>
      <c r="L18" s="90"/>
      <c r="M18" s="62">
        <f>+C18*0.2</f>
        <v>302695</v>
      </c>
      <c r="N18" s="90"/>
      <c r="O18" s="64">
        <f t="shared" si="0"/>
        <v>0.2</v>
      </c>
      <c r="P18" s="26"/>
      <c r="Q18" s="15">
        <f>+(C18+M18)*0.2</f>
        <v>363234</v>
      </c>
      <c r="R18" s="90"/>
      <c r="S18" s="64">
        <f t="shared" si="1"/>
        <v>0.2</v>
      </c>
      <c r="T18" s="26"/>
      <c r="U18" s="15">
        <f>+(C18+M18+Q18)*0.2</f>
        <v>435880.80000000005</v>
      </c>
      <c r="V18" s="90"/>
      <c r="W18" s="64">
        <f t="shared" si="2"/>
        <v>0.2</v>
      </c>
      <c r="Y18" s="63">
        <f t="shared" si="4"/>
        <v>1101809.8</v>
      </c>
      <c r="Z18" s="63"/>
      <c r="AA18" s="23">
        <f t="shared" si="5"/>
        <v>0.72799999999999998</v>
      </c>
      <c r="AC18" s="63">
        <f>+M18+Q18+U18</f>
        <v>1101809.8</v>
      </c>
      <c r="AD18" s="63">
        <f t="shared" si="3"/>
        <v>-2583957.2000000002</v>
      </c>
      <c r="AE18" s="63">
        <f t="shared" si="6"/>
        <v>0</v>
      </c>
    </row>
    <row r="19" spans="1:31">
      <c r="A19" t="s">
        <v>103</v>
      </c>
      <c r="C19" s="97">
        <v>2633852</v>
      </c>
      <c r="D19" s="88"/>
      <c r="E19" s="97">
        <v>193439</v>
      </c>
      <c r="F19" s="88"/>
      <c r="G19" s="87">
        <f>+C19/$C$57</f>
        <v>7.3319898020042735E-3</v>
      </c>
      <c r="H19" s="90"/>
      <c r="I19" s="97">
        <f>-$AD$18*G19</f>
        <v>18945.547839215516</v>
      </c>
      <c r="J19" s="15"/>
      <c r="K19" s="97">
        <f>+E19+I19</f>
        <v>212384.54783921552</v>
      </c>
      <c r="L19" s="90"/>
      <c r="M19" s="78">
        <f>+K19</f>
        <v>212384.54783921552</v>
      </c>
      <c r="N19" s="90"/>
      <c r="O19" s="64">
        <f t="shared" si="0"/>
        <v>8.0636477614997162E-2</v>
      </c>
      <c r="P19" s="26"/>
      <c r="Q19" s="97">
        <v>0</v>
      </c>
      <c r="R19" s="90"/>
      <c r="S19" s="64">
        <f t="shared" si="1"/>
        <v>0</v>
      </c>
      <c r="T19" s="26"/>
      <c r="U19" s="97">
        <v>0</v>
      </c>
      <c r="V19" s="90"/>
      <c r="W19" s="64">
        <f t="shared" si="2"/>
        <v>0</v>
      </c>
      <c r="Y19" s="74">
        <f t="shared" si="4"/>
        <v>212384.54783921552</v>
      </c>
      <c r="Z19" s="63"/>
      <c r="AA19" s="23">
        <f t="shared" si="5"/>
        <v>8.0636477614997162E-2</v>
      </c>
      <c r="AC19" s="63">
        <f t="shared" si="7"/>
        <v>212384.54783921552</v>
      </c>
      <c r="AD19" s="63">
        <f t="shared" si="3"/>
        <v>18945.54783921552</v>
      </c>
      <c r="AE19" s="63">
        <f t="shared" si="6"/>
        <v>0</v>
      </c>
    </row>
    <row r="20" spans="1:31">
      <c r="A20" t="s">
        <v>27</v>
      </c>
      <c r="C20" s="15">
        <f>+SUM(C14:C19)</f>
        <v>378376157</v>
      </c>
      <c r="D20" s="15"/>
      <c r="E20" s="15">
        <f>SUM(E14:E19)</f>
        <v>19249740</v>
      </c>
      <c r="F20" s="15"/>
      <c r="G20" s="24">
        <f>SUM(G14:G19)</f>
        <v>0.99999999999999989</v>
      </c>
      <c r="H20" s="90"/>
      <c r="I20" s="63">
        <f>SUM(I14:I19)</f>
        <v>0</v>
      </c>
      <c r="J20" s="63"/>
      <c r="K20" s="15">
        <f>SUM(K14:K19)</f>
        <v>19249740.000000004</v>
      </c>
      <c r="L20" s="90"/>
      <c r="M20" s="15">
        <f>+SUM(M14:M19)</f>
        <v>19249740</v>
      </c>
      <c r="N20" s="90"/>
      <c r="O20" s="64">
        <f t="shared" si="0"/>
        <v>5.0874611531085454E-2</v>
      </c>
      <c r="P20" s="26"/>
      <c r="Q20" s="15">
        <f>+SUM(Q14:Q19)</f>
        <v>0</v>
      </c>
      <c r="R20" s="90"/>
      <c r="S20" s="64">
        <f t="shared" si="1"/>
        <v>0</v>
      </c>
      <c r="T20" s="26"/>
      <c r="U20" s="15">
        <f>+SUM(U14:U19)</f>
        <v>2.3283064365386963E-10</v>
      </c>
      <c r="V20" s="90"/>
      <c r="W20" s="64">
        <f t="shared" si="2"/>
        <v>5.8555201110019663E-19</v>
      </c>
      <c r="Y20" s="63">
        <f>SUM(Y14:Y19)</f>
        <v>19249740.000000004</v>
      </c>
      <c r="Z20" s="63"/>
      <c r="AA20" s="23">
        <f>+Y20/C20</f>
        <v>5.087461153108546E-2</v>
      </c>
      <c r="AC20" s="63">
        <f t="shared" si="7"/>
        <v>19249740</v>
      </c>
      <c r="AD20" s="63">
        <f t="shared" si="3"/>
        <v>0</v>
      </c>
      <c r="AE20" s="63">
        <f t="shared" si="6"/>
        <v>0</v>
      </c>
    </row>
    <row r="21" spans="1:31">
      <c r="G21" s="24"/>
      <c r="O21" s="64"/>
      <c r="S21" s="64"/>
      <c r="W21" s="64"/>
      <c r="AA21" s="64"/>
    </row>
    <row r="22" spans="1:31">
      <c r="A22" t="s">
        <v>34</v>
      </c>
      <c r="C22" s="15">
        <v>10529223</v>
      </c>
      <c r="D22" s="15"/>
      <c r="E22" s="15">
        <v>-751136</v>
      </c>
      <c r="F22" s="15"/>
      <c r="G22" s="24">
        <f>+C22/$C$57</f>
        <v>2.9310741704176559E-2</v>
      </c>
      <c r="H22" s="90"/>
      <c r="I22" s="15">
        <f>-$AD$18*G22</f>
        <v>75737.70206384729</v>
      </c>
      <c r="J22" s="15"/>
      <c r="K22" s="15">
        <f t="shared" ref="K22:K23" si="8">+E22+I22</f>
        <v>-675398.29793615267</v>
      </c>
      <c r="L22" s="90"/>
      <c r="M22" s="15">
        <v>0</v>
      </c>
      <c r="N22" s="90"/>
      <c r="O22" s="64">
        <f>+M22/C22</f>
        <v>0</v>
      </c>
      <c r="P22" s="26"/>
      <c r="Q22" s="15">
        <f>+$K$22*0.5</f>
        <v>-337699.14896807633</v>
      </c>
      <c r="R22" s="90"/>
      <c r="S22" s="64">
        <f>+Q22/(C22+M22)</f>
        <v>-3.2072561191654532E-2</v>
      </c>
      <c r="T22" s="26"/>
      <c r="U22" s="15">
        <f>+$K$22*0.5</f>
        <v>-337699.14896807633</v>
      </c>
      <c r="V22" s="90"/>
      <c r="W22" s="64">
        <f>+U22/(C22+M22+Q22)</f>
        <v>-3.313529496709005E-2</v>
      </c>
      <c r="Y22" s="63">
        <f t="shared" ref="Y22:Y23" si="9">+M22+Q22+U22</f>
        <v>-675398.29793615267</v>
      </c>
      <c r="Z22" s="63"/>
      <c r="AA22" s="23">
        <f t="shared" ref="AA22:AA24" si="10">+Y22/C22</f>
        <v>-6.4145122383309064E-2</v>
      </c>
      <c r="AC22" s="63">
        <f t="shared" ref="AC22:AC23" si="11">+M22+Q22+U22</f>
        <v>-675398.29793615267</v>
      </c>
      <c r="AD22" s="63">
        <f>+AC22-E22</f>
        <v>75737.702063847333</v>
      </c>
      <c r="AE22" s="63">
        <f>+AD22-I22</f>
        <v>0</v>
      </c>
    </row>
    <row r="23" spans="1:31">
      <c r="A23" t="s">
        <v>35</v>
      </c>
      <c r="C23" s="97">
        <v>17635159</v>
      </c>
      <c r="D23" s="15"/>
      <c r="E23" s="97">
        <v>10782707</v>
      </c>
      <c r="F23" s="15"/>
      <c r="G23" s="87">
        <v>0</v>
      </c>
      <c r="H23" s="90"/>
      <c r="I23" s="97">
        <v>0</v>
      </c>
      <c r="J23" s="15"/>
      <c r="K23" s="97">
        <f t="shared" si="8"/>
        <v>10782707</v>
      </c>
      <c r="L23" s="90"/>
      <c r="M23" s="97">
        <f>+$K$23*0.28</f>
        <v>3019157.9600000004</v>
      </c>
      <c r="N23" s="90"/>
      <c r="O23" s="71">
        <f>+M23/C23</f>
        <v>0.17120106260453907</v>
      </c>
      <c r="P23" s="26"/>
      <c r="Q23" s="97">
        <f>+$E$23*0.33</f>
        <v>3558293.31</v>
      </c>
      <c r="R23" s="90"/>
      <c r="S23" s="64">
        <f>+Q23/(C23+M23)</f>
        <v>0.1722784305523701</v>
      </c>
      <c r="T23" s="26"/>
      <c r="U23" s="97">
        <f>+$E$23*0.39</f>
        <v>4205255.7300000004</v>
      </c>
      <c r="V23" s="90"/>
      <c r="W23" s="64">
        <f>+U23/(C23+M23+Q23)</f>
        <v>0.17368039559164805</v>
      </c>
      <c r="Y23" s="74">
        <f t="shared" si="9"/>
        <v>10782707</v>
      </c>
      <c r="Z23" s="63"/>
      <c r="AA23" s="23">
        <f t="shared" si="10"/>
        <v>0.61143236644478227</v>
      </c>
      <c r="AC23" s="63">
        <f t="shared" si="11"/>
        <v>10782707</v>
      </c>
      <c r="AD23" s="63">
        <f>+AC23-E23</f>
        <v>0</v>
      </c>
      <c r="AE23" s="63">
        <f>+AD23-I23</f>
        <v>0</v>
      </c>
    </row>
    <row r="24" spans="1:31">
      <c r="A24" t="s">
        <v>2</v>
      </c>
      <c r="C24" s="63">
        <f>+C22+C23</f>
        <v>28164382</v>
      </c>
      <c r="D24" s="63"/>
      <c r="E24" s="63">
        <f>+E22+E23</f>
        <v>10031571</v>
      </c>
      <c r="G24" s="24">
        <f>+G22+G23</f>
        <v>2.9310741704176559E-2</v>
      </c>
      <c r="I24" s="63">
        <f>+I22+I23</f>
        <v>75737.70206384729</v>
      </c>
      <c r="K24" s="63">
        <f>+K22+K23</f>
        <v>10107308.702063847</v>
      </c>
      <c r="M24" s="63">
        <f>+M22+M23</f>
        <v>3019157.9600000004</v>
      </c>
      <c r="O24" s="64">
        <f>+M24/C24</f>
        <v>0.10719773506835692</v>
      </c>
      <c r="Q24" s="63">
        <f>+Q22+Q23</f>
        <v>3220594.1610319237</v>
      </c>
      <c r="S24" s="64">
        <f>+Q24/(C24+M24)</f>
        <v>0.10327865807291507</v>
      </c>
      <c r="U24" s="63">
        <f>+U22+U23</f>
        <v>3867556.5810319241</v>
      </c>
      <c r="W24" s="64">
        <f>+U24/(C24+M24+Q24)</f>
        <v>0.11241546052070558</v>
      </c>
      <c r="Y24" s="63">
        <f>+M24+Q24+U24</f>
        <v>10107308.702063847</v>
      </c>
      <c r="Z24" s="63"/>
      <c r="AA24" s="23">
        <f t="shared" si="10"/>
        <v>0.35886847089575219</v>
      </c>
      <c r="AC24" s="63">
        <f>+AC22+AC23</f>
        <v>10107308.702063847</v>
      </c>
      <c r="AD24" s="63">
        <f>+AD22+AD23</f>
        <v>75737.702063847333</v>
      </c>
      <c r="AE24" s="63">
        <f>+AD24-I24</f>
        <v>0</v>
      </c>
    </row>
    <row r="26" spans="1:31" ht="13.5" thickBot="1">
      <c r="A26" s="102"/>
      <c r="B26" s="102"/>
      <c r="C26" s="102"/>
      <c r="D26" s="102"/>
      <c r="E26" s="102"/>
      <c r="F26" s="102"/>
      <c r="G26" s="102"/>
    </row>
    <row r="27" spans="1:31">
      <c r="A27" s="72" t="s">
        <v>147</v>
      </c>
    </row>
    <row r="28" spans="1:31">
      <c r="A28" t="s">
        <v>145</v>
      </c>
    </row>
    <row r="31" spans="1:31" s="159" customFormat="1"/>
    <row r="32" spans="1:31" s="159" customFormat="1"/>
    <row r="33" s="159" customFormat="1"/>
    <row r="34" s="159" customFormat="1"/>
    <row r="35" s="159" customFormat="1"/>
    <row r="36" s="159" customFormat="1"/>
    <row r="37" s="159" customFormat="1"/>
    <row r="38" s="159" customFormat="1"/>
    <row r="39" s="159" customFormat="1"/>
    <row r="40" s="159" customFormat="1"/>
    <row r="41" s="159" customFormat="1"/>
    <row r="42" s="159" customFormat="1"/>
    <row r="43" s="159" customFormat="1"/>
    <row r="44" s="159" customFormat="1"/>
    <row r="45" s="159" customFormat="1"/>
    <row r="46" s="159" customFormat="1"/>
    <row r="47" s="159" customFormat="1"/>
    <row r="48" s="159" customFormat="1"/>
    <row r="49" spans="3:21" s="159" customFormat="1"/>
    <row r="50" spans="3:21" s="159" customFormat="1"/>
    <row r="51" spans="3:21" s="159" customFormat="1"/>
    <row r="52" spans="3:21" s="159" customFormat="1"/>
    <row r="57" spans="3:21">
      <c r="C57" s="63">
        <f>+C14+C15+C16+C22+C19</f>
        <v>359227450</v>
      </c>
      <c r="D57" s="63"/>
      <c r="G57" s="26"/>
    </row>
    <row r="58" spans="3:21">
      <c r="E58" s="15"/>
      <c r="M58" s="15">
        <v>19249740</v>
      </c>
      <c r="Q58" s="15"/>
      <c r="U58" s="15"/>
    </row>
    <row r="59" spans="3:21">
      <c r="M59" s="63">
        <f>+M58-M20</f>
        <v>0</v>
      </c>
      <c r="Q59" s="63"/>
      <c r="U59" s="63"/>
    </row>
    <row r="61" spans="3:21">
      <c r="C61" s="63"/>
      <c r="D61" s="63"/>
      <c r="F61" s="63"/>
      <c r="G61" s="63"/>
      <c r="H61" s="63"/>
      <c r="I61" s="63"/>
      <c r="J61" s="63"/>
      <c r="K61" s="63"/>
      <c r="M61" s="103">
        <v>7887265.5420638472</v>
      </c>
      <c r="Q61" s="15"/>
      <c r="U61" s="63"/>
    </row>
    <row r="63" spans="3:21">
      <c r="E63" s="25"/>
      <c r="M63" s="63"/>
      <c r="Q63" s="63"/>
      <c r="U63" s="63"/>
    </row>
    <row r="64" spans="3:21">
      <c r="M64" s="63"/>
    </row>
    <row r="68" spans="5:29">
      <c r="AC68" s="76"/>
    </row>
    <row r="71" spans="5:29">
      <c r="E71" s="63">
        <f>+E18+C18</f>
        <v>5199242</v>
      </c>
      <c r="M71" s="63"/>
      <c r="Q71" s="63"/>
      <c r="U71" s="66"/>
    </row>
    <row r="72" spans="5:29">
      <c r="E72" s="73">
        <f>+C18/E71</f>
        <v>0.29109531735587613</v>
      </c>
      <c r="G72" t="s">
        <v>144</v>
      </c>
      <c r="M72" s="63"/>
    </row>
    <row r="75" spans="5:29">
      <c r="Q75" s="63"/>
    </row>
  </sheetData>
  <mergeCells count="6">
    <mergeCell ref="M10:O10"/>
    <mergeCell ref="Q10:S10"/>
    <mergeCell ref="U10:W10"/>
    <mergeCell ref="M9:O9"/>
    <mergeCell ref="Q9:S9"/>
    <mergeCell ref="U9:W9"/>
  </mergeCells>
  <printOptions horizontalCentered="1" verticalCentered="1"/>
  <pageMargins left="0.5" right="0.5" top="1" bottom="1" header="0.5" footer="0.5"/>
  <pageSetup scale="75" fitToHeight="0" orientation="landscape" horizontalDpi="1200" verticalDpi="1200" r:id="rId1"/>
  <headerFooter scaleWithDoc="0" alignWithMargins="0">
    <oddHeader xml:space="preserve">&amp;R&amp;"Arial,Bold"&amp;14ANGC Exhibit 2.05R&amp;"Arial,Regular"&amp;10
&amp;11Page 1 of 2&amp;10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pageSetUpPr fitToPage="1"/>
  </sheetPr>
  <dimension ref="A1:AE86"/>
  <sheetViews>
    <sheetView topLeftCell="A10" workbookViewId="0">
      <selection activeCell="AC14" sqref="AC14:AF26"/>
    </sheetView>
  </sheetViews>
  <sheetFormatPr defaultRowHeight="12.75"/>
  <cols>
    <col min="2" max="2" width="3.7109375" customWidth="1"/>
    <col min="3" max="3" width="13.5703125" customWidth="1"/>
    <col min="4" max="4" width="1.7109375" customWidth="1"/>
    <col min="5" max="5" width="15.7109375" customWidth="1"/>
    <col min="6" max="6" width="1.7109375" customWidth="1"/>
    <col min="7" max="7" width="12.7109375" customWidth="1"/>
    <col min="8" max="8" width="1.7109375" customWidth="1"/>
    <col min="9" max="9" width="13.7109375" customWidth="1"/>
    <col min="10" max="10" width="1.7109375" customWidth="1"/>
    <col min="11" max="11" width="13.7109375" customWidth="1"/>
    <col min="12" max="12" width="3.7109375" customWidth="1"/>
    <col min="13" max="13" width="13.7109375" customWidth="1"/>
    <col min="14" max="14" width="1.7109375" customWidth="1"/>
    <col min="15" max="15" width="8.7109375" customWidth="1"/>
    <col min="16" max="16" width="2.7109375" customWidth="1"/>
    <col min="17" max="17" width="13.5703125" customWidth="1"/>
    <col min="18" max="18" width="1.7109375" customWidth="1"/>
    <col min="19" max="19" width="8.7109375" customWidth="1"/>
    <col min="20" max="20" width="2.7109375" customWidth="1"/>
    <col min="21" max="21" width="13.7109375" customWidth="1"/>
    <col min="22" max="22" width="1.7109375" customWidth="1"/>
    <col min="23" max="23" width="8.5703125" customWidth="1"/>
    <col min="24" max="24" width="3.7109375" customWidth="1"/>
    <col min="25" max="25" width="12.7109375" customWidth="1"/>
    <col min="26" max="26" width="1.7109375" customWidth="1"/>
    <col min="27" max="27" width="9.42578125" customWidth="1"/>
    <col min="28" max="28" width="13.42578125" customWidth="1"/>
    <col min="29" max="29" width="13.5703125" customWidth="1"/>
    <col min="30" max="30" width="12.7109375" customWidth="1"/>
  </cols>
  <sheetData>
    <row r="1" spans="1:31" ht="20.25">
      <c r="A1" s="2" t="s">
        <v>0</v>
      </c>
      <c r="B1" s="2"/>
    </row>
    <row r="2" spans="1:31" ht="15">
      <c r="A2" s="3" t="s">
        <v>119</v>
      </c>
      <c r="B2" s="3"/>
    </row>
    <row r="5" spans="1:31" ht="18">
      <c r="A5" s="93" t="s">
        <v>131</v>
      </c>
    </row>
    <row r="6" spans="1:31">
      <c r="A6" t="s">
        <v>125</v>
      </c>
    </row>
    <row r="8" spans="1:31" ht="15">
      <c r="E8" s="107"/>
      <c r="G8" s="107" t="s">
        <v>136</v>
      </c>
      <c r="K8" s="107" t="s">
        <v>121</v>
      </c>
    </row>
    <row r="9" spans="1:31" ht="15">
      <c r="A9" s="96"/>
      <c r="B9" s="96"/>
      <c r="C9" s="28" t="s">
        <v>124</v>
      </c>
      <c r="D9" s="28"/>
      <c r="E9" s="28" t="s">
        <v>124</v>
      </c>
      <c r="F9" s="28"/>
      <c r="G9" s="107" t="s">
        <v>104</v>
      </c>
      <c r="H9" s="96"/>
      <c r="I9" s="96" t="s">
        <v>132</v>
      </c>
      <c r="K9" s="28" t="s">
        <v>111</v>
      </c>
      <c r="L9" s="96"/>
      <c r="M9" s="191" t="s">
        <v>127</v>
      </c>
      <c r="N9" s="191"/>
      <c r="O9" s="191"/>
      <c r="P9" s="96"/>
      <c r="Q9" s="191" t="s">
        <v>128</v>
      </c>
      <c r="R9" s="191"/>
      <c r="S9" s="191"/>
      <c r="T9" s="96"/>
      <c r="U9" s="191" t="s">
        <v>129</v>
      </c>
      <c r="V9" s="191"/>
      <c r="W9" s="191"/>
      <c r="Y9" s="107" t="s">
        <v>139</v>
      </c>
      <c r="Z9" s="107"/>
    </row>
    <row r="10" spans="1:31" ht="15">
      <c r="A10" s="96" t="s">
        <v>135</v>
      </c>
      <c r="B10" s="96"/>
      <c r="C10" s="107" t="s">
        <v>130</v>
      </c>
      <c r="D10" s="107"/>
      <c r="E10" s="107" t="s">
        <v>111</v>
      </c>
      <c r="F10" s="107"/>
      <c r="G10" s="28" t="s">
        <v>138</v>
      </c>
      <c r="H10" s="96"/>
      <c r="I10" s="107" t="s">
        <v>136</v>
      </c>
      <c r="J10" s="96"/>
      <c r="K10" s="107" t="s">
        <v>107</v>
      </c>
      <c r="L10" s="96"/>
      <c r="M10" s="199" t="s">
        <v>137</v>
      </c>
      <c r="N10" s="199"/>
      <c r="O10" s="199"/>
      <c r="P10" s="96"/>
      <c r="Q10" s="199" t="s">
        <v>137</v>
      </c>
      <c r="R10" s="199"/>
      <c r="S10" s="199"/>
      <c r="T10" s="28"/>
      <c r="U10" s="199" t="s">
        <v>137</v>
      </c>
      <c r="V10" s="199"/>
      <c r="W10" s="199"/>
      <c r="Y10" s="107" t="s">
        <v>111</v>
      </c>
      <c r="Z10" s="107"/>
      <c r="AA10" s="107" t="s">
        <v>123</v>
      </c>
    </row>
    <row r="11" spans="1:31" ht="15">
      <c r="A11" s="89" t="s">
        <v>3</v>
      </c>
      <c r="B11" s="96"/>
      <c r="C11" s="95" t="s">
        <v>111</v>
      </c>
      <c r="D11" s="28"/>
      <c r="E11" s="95" t="s">
        <v>107</v>
      </c>
      <c r="F11" s="28"/>
      <c r="G11" s="95" t="s">
        <v>146</v>
      </c>
      <c r="H11" s="96"/>
      <c r="I11" s="89" t="s">
        <v>133</v>
      </c>
      <c r="J11" s="79"/>
      <c r="K11" s="95" t="s">
        <v>143</v>
      </c>
      <c r="L11" s="96"/>
      <c r="M11" s="95" t="s">
        <v>122</v>
      </c>
      <c r="N11" s="107"/>
      <c r="O11" s="95" t="s">
        <v>123</v>
      </c>
      <c r="P11" s="96"/>
      <c r="Q11" s="95" t="s">
        <v>122</v>
      </c>
      <c r="R11" s="107"/>
      <c r="S11" s="95" t="s">
        <v>123</v>
      </c>
      <c r="T11" s="107"/>
      <c r="U11" s="95" t="s">
        <v>122</v>
      </c>
      <c r="V11" s="107"/>
      <c r="W11" s="95" t="s">
        <v>123</v>
      </c>
      <c r="Y11" s="95" t="s">
        <v>140</v>
      </c>
      <c r="Z11" s="107"/>
      <c r="AA11" s="95" t="s">
        <v>140</v>
      </c>
    </row>
    <row r="12" spans="1:31">
      <c r="E12" s="77" t="s">
        <v>134</v>
      </c>
    </row>
    <row r="14" spans="1:31">
      <c r="A14" t="s">
        <v>33</v>
      </c>
      <c r="C14" s="15">
        <v>343208444</v>
      </c>
      <c r="D14" s="15"/>
      <c r="E14" s="15">
        <v>-11552556</v>
      </c>
      <c r="F14" s="15"/>
      <c r="G14" s="24">
        <f>+C14/$C$57</f>
        <v>0.95540706591325353</v>
      </c>
      <c r="H14" s="90"/>
      <c r="I14" s="15">
        <f>-$AD$18*G14</f>
        <v>2222723.2014954225</v>
      </c>
      <c r="J14" s="15"/>
      <c r="K14" s="15">
        <f>+E14+I14</f>
        <v>-9329832.7985045779</v>
      </c>
      <c r="L14" s="90"/>
      <c r="M14" s="62">
        <f>+K14+M60</f>
        <v>-2652507.1570870904</v>
      </c>
      <c r="N14" s="90"/>
      <c r="O14" s="64">
        <f t="shared" ref="O14:O20" si="0">+M14/C14</f>
        <v>-7.7285603063049647E-3</v>
      </c>
      <c r="P14" s="26"/>
      <c r="Q14" s="15">
        <f>-SUM(Q15:Q19)</f>
        <v>-3085773.7581302049</v>
      </c>
      <c r="R14" s="90"/>
      <c r="S14" s="64">
        <f t="shared" ref="S14:S20" si="1">+Q14/(C14+M14)</f>
        <v>-9.0609894713230901E-3</v>
      </c>
      <c r="T14" s="26"/>
      <c r="U14" s="15">
        <f>-SUM(U15:U19)</f>
        <v>-3591551.8832872827</v>
      </c>
      <c r="V14" s="90"/>
      <c r="W14" s="64">
        <f t="shared" ref="W14:W20" si="2">+U14/(C14+M14+Q14)</f>
        <v>-1.0642576073858642E-2</v>
      </c>
      <c r="Y14" s="63">
        <f>+M14+Q14+U14</f>
        <v>-9329832.7985045779</v>
      </c>
      <c r="Z14" s="63"/>
      <c r="AA14" s="23">
        <f>+Y14/C14</f>
        <v>-2.71841586697808E-2</v>
      </c>
      <c r="AC14" s="152">
        <f>+M14+Q14+U14</f>
        <v>-9329832.7985045779</v>
      </c>
      <c r="AD14" s="152">
        <f>+AC14-E14</f>
        <v>2222723.2014954221</v>
      </c>
      <c r="AE14" s="152">
        <f>+AD14-I14</f>
        <v>0</v>
      </c>
    </row>
    <row r="15" spans="1:31">
      <c r="A15" t="s">
        <v>106</v>
      </c>
      <c r="C15" s="15">
        <v>2669970</v>
      </c>
      <c r="D15" s="15"/>
      <c r="E15" s="15">
        <v>-23949</v>
      </c>
      <c r="F15" s="15"/>
      <c r="G15" s="24">
        <f>+C15/$C$57</f>
        <v>7.4325333434290724E-3</v>
      </c>
      <c r="H15" s="90"/>
      <c r="I15" s="15">
        <f>-$AD$18*G15</f>
        <v>17291.545036394073</v>
      </c>
      <c r="J15" s="15"/>
      <c r="K15" s="15">
        <f t="shared" ref="K15:K16" si="3">+E15+I15</f>
        <v>-6657.4549636059273</v>
      </c>
      <c r="L15" s="90"/>
      <c r="M15" s="62">
        <f>+K15</f>
        <v>-6657.4549636059273</v>
      </c>
      <c r="N15" s="90"/>
      <c r="O15" s="64">
        <f t="shared" si="0"/>
        <v>-2.4934568416895798E-3</v>
      </c>
      <c r="P15" s="26"/>
      <c r="Q15" s="15">
        <v>0</v>
      </c>
      <c r="R15" s="90"/>
      <c r="S15" s="64">
        <f t="shared" si="1"/>
        <v>0</v>
      </c>
      <c r="T15" s="26"/>
      <c r="U15" s="15">
        <v>0</v>
      </c>
      <c r="V15" s="90"/>
      <c r="W15" s="64">
        <f t="shared" si="2"/>
        <v>0</v>
      </c>
      <c r="Y15" s="63">
        <f t="shared" ref="Y15:Y19" si="4">+M15+Q15+U15</f>
        <v>-6657.4549636059273</v>
      </c>
      <c r="Z15" s="63"/>
      <c r="AA15" s="23">
        <f t="shared" ref="AA15:AA19" si="5">+Y15/C15</f>
        <v>-2.4934568416895798E-3</v>
      </c>
      <c r="AC15" s="152">
        <f>+M15+Q15+U15</f>
        <v>-6657.4549636059273</v>
      </c>
      <c r="AD15" s="152">
        <f t="shared" ref="AD15:AD17" si="6">+AC15-E15</f>
        <v>17291.545036394073</v>
      </c>
      <c r="AE15" s="152">
        <f t="shared" ref="AE15:AE20" si="7">+AD15-I15</f>
        <v>0</v>
      </c>
    </row>
    <row r="16" spans="1:31">
      <c r="A16" t="s">
        <v>105</v>
      </c>
      <c r="C16" s="15">
        <v>185961</v>
      </c>
      <c r="D16" s="15"/>
      <c r="E16" s="15">
        <v>-47956</v>
      </c>
      <c r="F16" s="15"/>
      <c r="G16" s="24">
        <f>+C16/$C$57</f>
        <v>5.1766923713652733E-4</v>
      </c>
      <c r="H16" s="90"/>
      <c r="I16" s="15">
        <f>-$AD$18*G16</f>
        <v>1204.3405006471528</v>
      </c>
      <c r="J16" s="15"/>
      <c r="K16" s="15">
        <f t="shared" si="3"/>
        <v>-46751.659499352849</v>
      </c>
      <c r="L16" s="90"/>
      <c r="M16" s="94">
        <f>+K16</f>
        <v>-46751.659499352849</v>
      </c>
      <c r="N16" s="90"/>
      <c r="O16" s="64">
        <f t="shared" si="0"/>
        <v>-0.2514057221640712</v>
      </c>
      <c r="P16" s="26"/>
      <c r="Q16" s="15">
        <v>0</v>
      </c>
      <c r="R16" s="90"/>
      <c r="S16" s="64">
        <f t="shared" si="1"/>
        <v>0</v>
      </c>
      <c r="T16" s="26"/>
      <c r="U16" s="15">
        <v>0</v>
      </c>
      <c r="V16" s="90"/>
      <c r="W16" s="64">
        <f t="shared" si="2"/>
        <v>0</v>
      </c>
      <c r="Y16" s="63">
        <f t="shared" si="4"/>
        <v>-46751.659499352849</v>
      </c>
      <c r="Z16" s="63"/>
      <c r="AA16" s="23">
        <f t="shared" si="5"/>
        <v>-0.2514057221640712</v>
      </c>
      <c r="AC16" s="152">
        <f t="shared" ref="AC16:AC20" si="8">+M16+Q16+U16</f>
        <v>-46751.659499352849</v>
      </c>
      <c r="AD16" s="152">
        <f t="shared" si="6"/>
        <v>1204.3405006471512</v>
      </c>
      <c r="AE16" s="152">
        <f t="shared" si="7"/>
        <v>0</v>
      </c>
    </row>
    <row r="17" spans="1:31">
      <c r="A17" t="s">
        <v>11</v>
      </c>
      <c r="C17" s="15">
        <f>+C22+C23</f>
        <v>28164382</v>
      </c>
      <c r="D17" s="15"/>
      <c r="E17" s="15">
        <f>+E22+E23</f>
        <v>8181930</v>
      </c>
      <c r="F17" s="15"/>
      <c r="G17" s="24">
        <f>+G24</f>
        <v>2.9310741704176559E-2</v>
      </c>
      <c r="H17" s="90"/>
      <c r="I17" s="15">
        <f>+I22+I23</f>
        <v>68190.479182438867</v>
      </c>
      <c r="J17" s="15"/>
      <c r="K17" s="15">
        <f>+K24</f>
        <v>8250120.4791824389</v>
      </c>
      <c r="L17" s="90"/>
      <c r="M17" s="62">
        <f>+M23+M22</f>
        <v>2371909.6377649512</v>
      </c>
      <c r="N17" s="90"/>
      <c r="O17" s="64">
        <f t="shared" si="0"/>
        <v>8.421664064082611E-2</v>
      </c>
      <c r="P17" s="26"/>
      <c r="Q17" s="15">
        <f>+Q23+Q22</f>
        <v>2722539.7581302049</v>
      </c>
      <c r="R17" s="90"/>
      <c r="S17" s="64">
        <f t="shared" si="1"/>
        <v>8.9157511017584581E-2</v>
      </c>
      <c r="T17" s="26"/>
      <c r="U17" s="15">
        <f>+U23+U22</f>
        <v>3155671.0832872828</v>
      </c>
      <c r="V17" s="90"/>
      <c r="W17" s="64">
        <f t="shared" si="2"/>
        <v>9.4882199729866612E-2</v>
      </c>
      <c r="Y17" s="63">
        <f>+Y24</f>
        <v>8250120.4791824389</v>
      </c>
      <c r="Z17" s="63"/>
      <c r="AA17" s="23">
        <f t="shared" si="5"/>
        <v>0.29292744570722123</v>
      </c>
      <c r="AC17" s="152">
        <f t="shared" si="8"/>
        <v>8250120.4791824389</v>
      </c>
      <c r="AD17" s="152">
        <f t="shared" si="6"/>
        <v>68190.479182438925</v>
      </c>
      <c r="AE17" s="152">
        <f t="shared" si="7"/>
        <v>0</v>
      </c>
    </row>
    <row r="18" spans="1:31">
      <c r="A18" t="s">
        <v>104</v>
      </c>
      <c r="C18" s="15">
        <v>1513475</v>
      </c>
      <c r="D18" s="15"/>
      <c r="E18" s="15">
        <v>3428277</v>
      </c>
      <c r="F18" s="15"/>
      <c r="G18" s="24">
        <v>0</v>
      </c>
      <c r="H18" s="90"/>
      <c r="I18" s="15">
        <f>+AD18</f>
        <v>-2326467.2000000002</v>
      </c>
      <c r="J18" s="15"/>
      <c r="K18" s="62">
        <f>+E18+I18</f>
        <v>1101809.7999999998</v>
      </c>
      <c r="L18" s="90"/>
      <c r="M18" s="62">
        <f>+C18*0.2</f>
        <v>302695</v>
      </c>
      <c r="N18" s="90"/>
      <c r="O18" s="64">
        <f t="shared" si="0"/>
        <v>0.2</v>
      </c>
      <c r="P18" s="26"/>
      <c r="Q18" s="15">
        <f>+(C18+M18)*0.2</f>
        <v>363234</v>
      </c>
      <c r="R18" s="90"/>
      <c r="S18" s="64">
        <f t="shared" si="1"/>
        <v>0.2</v>
      </c>
      <c r="T18" s="26"/>
      <c r="U18" s="15">
        <f>+(C18+M18+Q18)*0.2</f>
        <v>435880.80000000005</v>
      </c>
      <c r="V18" s="90"/>
      <c r="W18" s="64">
        <f t="shared" si="2"/>
        <v>0.2</v>
      </c>
      <c r="Y18" s="63">
        <f t="shared" si="4"/>
        <v>1101809.8</v>
      </c>
      <c r="Z18" s="63"/>
      <c r="AA18" s="23">
        <f t="shared" si="5"/>
        <v>0.72799999999999998</v>
      </c>
      <c r="AC18" s="152">
        <f>+M18+Q18+U18</f>
        <v>1101809.8</v>
      </c>
      <c r="AD18" s="152">
        <f>+AC18-E18</f>
        <v>-2326467.2000000002</v>
      </c>
      <c r="AE18" s="152">
        <f t="shared" si="7"/>
        <v>0</v>
      </c>
    </row>
    <row r="19" spans="1:31">
      <c r="A19" t="s">
        <v>103</v>
      </c>
      <c r="C19" s="97">
        <v>2633852</v>
      </c>
      <c r="D19" s="88"/>
      <c r="E19" s="97">
        <v>14254</v>
      </c>
      <c r="F19" s="88"/>
      <c r="G19" s="24">
        <f>+C19/$C$57</f>
        <v>7.3319898020042735E-3</v>
      </c>
      <c r="H19" s="90"/>
      <c r="I19" s="97">
        <f>-$AD$18*G19</f>
        <v>17057.633785097438</v>
      </c>
      <c r="J19" s="15"/>
      <c r="K19" s="97">
        <f>+E19+I19</f>
        <v>31311.633785097438</v>
      </c>
      <c r="L19" s="90"/>
      <c r="M19" s="78">
        <f>+K19</f>
        <v>31311.633785097438</v>
      </c>
      <c r="N19" s="90"/>
      <c r="O19" s="64">
        <f t="shared" si="0"/>
        <v>1.1888152327882295E-2</v>
      </c>
      <c r="P19" s="26"/>
      <c r="Q19" s="97">
        <v>0</v>
      </c>
      <c r="R19" s="90"/>
      <c r="S19" s="64">
        <f t="shared" si="1"/>
        <v>0</v>
      </c>
      <c r="T19" s="26"/>
      <c r="U19" s="97">
        <v>0</v>
      </c>
      <c r="V19" s="90"/>
      <c r="W19" s="64">
        <f t="shared" si="2"/>
        <v>0</v>
      </c>
      <c r="Y19" s="74">
        <f t="shared" si="4"/>
        <v>31311.633785097438</v>
      </c>
      <c r="Z19" s="63"/>
      <c r="AA19" s="23">
        <f t="shared" si="5"/>
        <v>1.1888152327882295E-2</v>
      </c>
      <c r="AC19" s="152">
        <f t="shared" si="8"/>
        <v>31311.633785097438</v>
      </c>
      <c r="AD19" s="152">
        <f>+AC19-E19</f>
        <v>17057.633785097438</v>
      </c>
      <c r="AE19" s="152">
        <f t="shared" si="7"/>
        <v>0</v>
      </c>
    </row>
    <row r="20" spans="1:31">
      <c r="A20" t="s">
        <v>27</v>
      </c>
      <c r="C20" s="15">
        <f>+SUM(C14:C19)</f>
        <v>378376084</v>
      </c>
      <c r="D20" s="15"/>
      <c r="E20" s="15">
        <f>SUM(E14:E19)</f>
        <v>0</v>
      </c>
      <c r="F20" s="15"/>
      <c r="G20" s="24"/>
      <c r="H20" s="90"/>
      <c r="I20" s="63">
        <f>SUM(I14:I19)</f>
        <v>4.3655745685100555E-11</v>
      </c>
      <c r="J20" s="63"/>
      <c r="K20" s="15">
        <f>SUM(K14:K19)</f>
        <v>-4.220055416226387E-10</v>
      </c>
      <c r="L20" s="90"/>
      <c r="M20" s="15">
        <f>+SUM(M14:M19)</f>
        <v>-4.220055416226387E-10</v>
      </c>
      <c r="N20" s="90"/>
      <c r="O20" s="64">
        <f t="shared" si="0"/>
        <v>-1.115307122906422E-18</v>
      </c>
      <c r="P20" s="26"/>
      <c r="Q20" s="15">
        <f>+SUM(Q14:Q19)</f>
        <v>0</v>
      </c>
      <c r="R20" s="90"/>
      <c r="S20" s="64">
        <f t="shared" si="1"/>
        <v>0</v>
      </c>
      <c r="T20" s="26"/>
      <c r="U20" s="15">
        <f>+SUM(U14:U19)</f>
        <v>2.3283064365386963E-10</v>
      </c>
      <c r="V20" s="90"/>
      <c r="W20" s="64">
        <f t="shared" si="2"/>
        <v>6.153418609138881E-19</v>
      </c>
      <c r="Y20" s="63">
        <f>SUM(Y14:Y19)</f>
        <v>-1.8917489796876907E-10</v>
      </c>
      <c r="Z20" s="63"/>
      <c r="AA20" s="23">
        <f>+Y20/C20</f>
        <v>-4.9996526199253403E-19</v>
      </c>
      <c r="AC20" s="152">
        <f t="shared" si="8"/>
        <v>-1.8917489796876907E-10</v>
      </c>
      <c r="AD20" s="152">
        <f>SUM(AD14:AD19)</f>
        <v>-4.220055416226387E-10</v>
      </c>
      <c r="AE20" s="152">
        <f t="shared" si="7"/>
        <v>-4.6566128730773926E-10</v>
      </c>
    </row>
    <row r="21" spans="1:31">
      <c r="G21" s="24"/>
      <c r="O21" s="64"/>
      <c r="S21" s="64"/>
      <c r="W21" s="64"/>
      <c r="AA21" s="64"/>
      <c r="AC21" s="135"/>
      <c r="AD21" s="135"/>
      <c r="AE21" s="135"/>
    </row>
    <row r="22" spans="1:31">
      <c r="A22" t="s">
        <v>34</v>
      </c>
      <c r="C22" s="15">
        <v>10529223</v>
      </c>
      <c r="D22" s="15"/>
      <c r="E22" s="15">
        <v>-1225648</v>
      </c>
      <c r="F22" s="15"/>
      <c r="G22" s="24">
        <f>+C22/$C$57</f>
        <v>2.9310741704176559E-2</v>
      </c>
      <c r="H22" s="90"/>
      <c r="I22" s="15">
        <f>-$AD$18*G22</f>
        <v>68190.479182438867</v>
      </c>
      <c r="J22" s="15"/>
      <c r="K22" s="15">
        <f>+E22+I22</f>
        <v>-1157457.5208175611</v>
      </c>
      <c r="L22" s="90"/>
      <c r="M22" s="15">
        <f>+$K$22*M64</f>
        <v>-332769.03723504877</v>
      </c>
      <c r="N22" s="90"/>
      <c r="O22" s="64">
        <f>+M22/C22</f>
        <v>-3.160432989547745E-2</v>
      </c>
      <c r="P22" s="26"/>
      <c r="Q22" s="15">
        <f>+$K$22*Q64</f>
        <v>-381960.98186979519</v>
      </c>
      <c r="R22" s="90"/>
      <c r="S22" s="64">
        <f>+Q22/(C22+M22)</f>
        <v>-3.7460178142776572E-2</v>
      </c>
      <c r="T22" s="26"/>
      <c r="U22" s="15">
        <f>+$K$22*U64</f>
        <v>-442727.50171271712</v>
      </c>
      <c r="V22" s="90"/>
      <c r="W22" s="64">
        <f>+U22/(C22+M22+Q22)</f>
        <v>-4.5109564251003931E-2</v>
      </c>
      <c r="Y22" s="63">
        <f t="shared" ref="Y22:Y23" si="9">+M22+Q22+U22</f>
        <v>-1157457.5208175611</v>
      </c>
      <c r="Z22" s="63"/>
      <c r="AA22" s="23">
        <f t="shared" ref="AA22:AA24" si="10">+Y22/C22</f>
        <v>-0.1099281039842694</v>
      </c>
      <c r="AC22" s="152">
        <f t="shared" ref="AC22:AC23" si="11">+M22+Q22+U22</f>
        <v>-1157457.5208175611</v>
      </c>
      <c r="AD22" s="152">
        <f t="shared" ref="AD22:AD23" si="12">+AC22-E22</f>
        <v>68190.479182438925</v>
      </c>
      <c r="AE22" s="152">
        <f>+AD22-I22</f>
        <v>0</v>
      </c>
    </row>
    <row r="23" spans="1:31">
      <c r="A23" t="s">
        <v>35</v>
      </c>
      <c r="C23" s="15">
        <v>17635159</v>
      </c>
      <c r="D23" s="15"/>
      <c r="E23" s="15">
        <v>9407578</v>
      </c>
      <c r="F23" s="15"/>
      <c r="G23" s="24">
        <v>0</v>
      </c>
      <c r="H23" s="90"/>
      <c r="I23" s="15">
        <v>0</v>
      </c>
      <c r="J23" s="15"/>
      <c r="K23" s="15">
        <f>+E23+I23</f>
        <v>9407578</v>
      </c>
      <c r="L23" s="90"/>
      <c r="M23" s="15">
        <f>+$K$23*M64</f>
        <v>2704678.6749999998</v>
      </c>
      <c r="N23" s="90"/>
      <c r="O23" s="64">
        <f>+M23/C23</f>
        <v>0.15336854490509555</v>
      </c>
      <c r="P23" s="26"/>
      <c r="Q23" s="15">
        <f>+$K$23*Q64</f>
        <v>3104500.74</v>
      </c>
      <c r="R23" s="90"/>
      <c r="S23" s="64">
        <f>+Q23/(C23+M23)</f>
        <v>0.15263153962215681</v>
      </c>
      <c r="T23" s="26"/>
      <c r="U23" s="15">
        <f>+$K$23*U64</f>
        <v>3598398.585</v>
      </c>
      <c r="V23" s="90"/>
      <c r="W23" s="64">
        <f>+U23/(C23+M23+Q23)</f>
        <v>0.15348688972590913</v>
      </c>
      <c r="Y23" s="74">
        <f t="shared" si="9"/>
        <v>9407578</v>
      </c>
      <c r="Z23" s="63"/>
      <c r="AA23" s="23">
        <f t="shared" si="10"/>
        <v>0.53345580836554973</v>
      </c>
      <c r="AC23" s="149">
        <f t="shared" si="11"/>
        <v>9407578</v>
      </c>
      <c r="AD23" s="149">
        <f t="shared" si="12"/>
        <v>0</v>
      </c>
      <c r="AE23" s="152">
        <f>+AD23-I23</f>
        <v>0</v>
      </c>
    </row>
    <row r="24" spans="1:31">
      <c r="A24" t="s">
        <v>2</v>
      </c>
      <c r="C24" s="63">
        <f>+C22+C23</f>
        <v>28164382</v>
      </c>
      <c r="D24" s="63"/>
      <c r="E24" s="63">
        <f>+E22+E23</f>
        <v>8181930</v>
      </c>
      <c r="G24" s="24">
        <f>+G22+G23</f>
        <v>2.9310741704176559E-2</v>
      </c>
      <c r="I24" s="63">
        <f>+I22+I23</f>
        <v>68190.479182438867</v>
      </c>
      <c r="K24" s="63">
        <f>+K22+K23</f>
        <v>8250120.4791824389</v>
      </c>
      <c r="M24" s="15">
        <f>+M22+M23</f>
        <v>2371909.6377649512</v>
      </c>
      <c r="O24" s="23">
        <f>+O22+O23</f>
        <v>0.12176421500961809</v>
      </c>
      <c r="Q24" s="15">
        <f>+Q22+Q23</f>
        <v>2722539.7581302049</v>
      </c>
      <c r="S24" s="64">
        <f>+Q24/(C24+M24)</f>
        <v>8.9157511017584581E-2</v>
      </c>
      <c r="U24" s="15">
        <f>+U22+U23</f>
        <v>3155671.0832872828</v>
      </c>
      <c r="W24" s="64">
        <f>+U24/(C24+M24+Q24)</f>
        <v>9.4882199729866612E-2</v>
      </c>
      <c r="Y24" s="63">
        <f>+M24+Q24+U24</f>
        <v>8250120.4791824389</v>
      </c>
      <c r="Z24" s="63"/>
      <c r="AA24" s="23">
        <f t="shared" si="10"/>
        <v>0.29292744570722123</v>
      </c>
      <c r="AC24" s="152">
        <f>+AC22+AC23</f>
        <v>8250120.4791824389</v>
      </c>
      <c r="AD24" s="150">
        <f>+AD22+AD23</f>
        <v>68190.479182438925</v>
      </c>
      <c r="AE24" s="152">
        <f>+AD24-I24</f>
        <v>0</v>
      </c>
    </row>
    <row r="26" spans="1:31" ht="13.5" thickBot="1">
      <c r="A26" s="102"/>
      <c r="B26" s="102"/>
      <c r="C26" s="102"/>
      <c r="D26" s="102"/>
      <c r="E26" s="102"/>
      <c r="F26" s="102"/>
    </row>
    <row r="27" spans="1:31">
      <c r="A27" s="72" t="s">
        <v>147</v>
      </c>
    </row>
    <row r="28" spans="1:31">
      <c r="A28" t="s">
        <v>145</v>
      </c>
    </row>
    <row r="30" spans="1:31" s="159" customFormat="1"/>
    <row r="31" spans="1:31" s="159" customFormat="1"/>
    <row r="32" spans="1:31" s="159" customFormat="1"/>
    <row r="33" s="159" customFormat="1"/>
    <row r="34" s="159" customFormat="1"/>
    <row r="35" s="159" customFormat="1"/>
    <row r="36" s="159" customFormat="1"/>
    <row r="37" s="159" customFormat="1"/>
    <row r="38" s="159" customFormat="1"/>
    <row r="39" s="159" customFormat="1"/>
    <row r="40" s="159" customFormat="1"/>
    <row r="41" s="159" customFormat="1"/>
    <row r="42" s="159" customFormat="1"/>
    <row r="43" s="159" customFormat="1"/>
    <row r="44" s="159" customFormat="1"/>
    <row r="45" s="159" customFormat="1"/>
    <row r="46" s="159" customFormat="1"/>
    <row r="47" s="159" customFormat="1"/>
    <row r="48" s="159" customFormat="1"/>
    <row r="57" spans="3:29">
      <c r="C57" s="63">
        <f>+C14+C15+C16+C22+C19</f>
        <v>359227450</v>
      </c>
      <c r="D57" s="63"/>
      <c r="E57" s="63"/>
      <c r="F57" s="63"/>
      <c r="G57" s="26">
        <f>+G14+G15+G16+G19+G22</f>
        <v>0.99999999999999989</v>
      </c>
      <c r="M57" s="15">
        <v>0</v>
      </c>
      <c r="Q57" s="15"/>
      <c r="U57" s="15"/>
    </row>
    <row r="58" spans="3:29">
      <c r="M58" s="63">
        <f>+M57-M20</f>
        <v>4.220055416226387E-10</v>
      </c>
      <c r="Q58" s="63"/>
      <c r="U58" s="63"/>
    </row>
    <row r="60" spans="3:29">
      <c r="M60" s="63">
        <v>6677325.6414174875</v>
      </c>
      <c r="Q60" s="15"/>
      <c r="U60" s="63"/>
    </row>
    <row r="62" spans="3:29">
      <c r="M62" s="63"/>
      <c r="Q62" s="63"/>
      <c r="U62" s="63"/>
    </row>
    <row r="63" spans="3:29">
      <c r="M63" s="63"/>
    </row>
    <row r="64" spans="3:29">
      <c r="M64">
        <v>0.28749999999999998</v>
      </c>
      <c r="Q64" s="75">
        <v>0.33</v>
      </c>
      <c r="U64">
        <v>0.38250000000000001</v>
      </c>
      <c r="AC64" s="75">
        <f>+M64+Q64+U64</f>
        <v>1</v>
      </c>
    </row>
    <row r="68" spans="3:7">
      <c r="C68" s="63"/>
      <c r="D68" s="63"/>
      <c r="E68" s="63"/>
      <c r="F68" s="63"/>
      <c r="G68" s="63"/>
    </row>
    <row r="72" spans="3:7">
      <c r="C72" s="63"/>
      <c r="D72" s="63"/>
      <c r="E72" s="63"/>
      <c r="F72" s="63"/>
      <c r="G72" s="63"/>
    </row>
    <row r="82" spans="13:21">
      <c r="M82" s="63"/>
      <c r="Q82" s="63"/>
      <c r="U82" s="66"/>
    </row>
    <row r="83" spans="13:21">
      <c r="M83" s="63"/>
    </row>
    <row r="86" spans="13:21">
      <c r="Q86" s="63"/>
    </row>
  </sheetData>
  <mergeCells count="6">
    <mergeCell ref="M9:O9"/>
    <mergeCell ref="Q9:S9"/>
    <mergeCell ref="U9:W9"/>
    <mergeCell ref="M10:O10"/>
    <mergeCell ref="Q10:S10"/>
    <mergeCell ref="U10:W10"/>
  </mergeCells>
  <printOptions horizontalCentered="1" verticalCentered="1"/>
  <pageMargins left="0.5" right="0.5" top="1" bottom="1" header="0.5" footer="0.5"/>
  <pageSetup scale="75" fitToHeight="0" orientation="landscape" horizontalDpi="1200" verticalDpi="1200" r:id="rId1"/>
  <headerFooter scaleWithDoc="0">
    <oddHeader>&amp;R&amp;"Arial,Bold"&amp;14ANGC Exhibit 2.05R&amp;"Arial,Regular"&amp;10
&amp;11Page 2 of 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ANGC Exh 2.01R p1</vt:lpstr>
      <vt:lpstr>ANGC Exh 2.01R p2</vt:lpstr>
      <vt:lpstr>ANGC Exh 2.02R p1</vt:lpstr>
      <vt:lpstr>ANGC Exh 2.02R p2</vt:lpstr>
      <vt:lpstr>ANGC Exh 2.03R</vt:lpstr>
      <vt:lpstr>DRAFT ANGC Exh 2.04R</vt:lpstr>
      <vt:lpstr>ANGC Exh 2.05R p1</vt:lpstr>
      <vt:lpstr>ANGC Exh 2.05R p2</vt:lpstr>
      <vt:lpstr>'ANGC Exh 2.01R p1'!Print_Area</vt:lpstr>
      <vt:lpstr>'ANGC Exh 2.01R p2'!Print_Area</vt:lpstr>
      <vt:lpstr>'ANGC Exh 2.02R p1'!Print_Area</vt:lpstr>
      <vt:lpstr>'ANGC Exh 2.02R p2'!Print_Area</vt:lpstr>
      <vt:lpstr>'ANGC Exh 2.03R'!Print_Area</vt:lpstr>
      <vt:lpstr>'ANGC Exh 2.05R p1'!Print_Area</vt:lpstr>
      <vt:lpstr>'ANGC Exh 2.05R p2'!Print_Area</vt:lpstr>
      <vt:lpstr>'DRAFT ANGC Exh 2.04R'!Print_Area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Fred Nass</cp:lastModifiedBy>
  <cp:lastPrinted>2019-12-10T19:09:21Z</cp:lastPrinted>
  <dcterms:created xsi:type="dcterms:W3CDTF">2019-11-12T17:46:53Z</dcterms:created>
  <dcterms:modified xsi:type="dcterms:W3CDTF">2019-12-13T23:30:21Z</dcterms:modified>
</cp:coreProperties>
</file>