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9docs\1905732\"/>
    </mc:Choice>
  </mc:AlternateContent>
  <bookViews>
    <workbookView xWindow="0" yWindow="0" windowWidth="21555" windowHeight="11520" tabRatio="449" activeTab="1"/>
  </bookViews>
  <sheets>
    <sheet name="DNG Block Out" sheetId="2" r:id="rId1"/>
    <sheet name="Yearly Amortization" sheetId="4" r:id="rId2"/>
  </sheets>
  <definedNames>
    <definedName name="Beginning_Balance" localSheetId="1">-FV(Interest_Rate/12,Payment_Number-1,-'Yearly Amortization'!Monthly_Payment,Loan_Amount)</definedName>
    <definedName name="Beginning_Balance">-FV(Interest_Rate/12,Payment_Number-1,-Monthly_Payment,Loan_Amount)</definedName>
    <definedName name="ColumnTitle1" localSheetId="1">#REF!</definedName>
    <definedName name="ColumnTitle1">#REF!</definedName>
    <definedName name="Ending_Balance" localSheetId="1">-FV(Interest_Rate/12,Payment_Number,-'Yearly Amortization'!Monthly_Payment,Loan_Amount)</definedName>
    <definedName name="Ending_Balance">-FV(Interest_Rate/12,Payment_Number,-Monthly_Payment,Loan_Amount)</definedName>
    <definedName name="Full_Print">#REF!</definedName>
    <definedName name="Header_Row">ROW(#REF!)</definedName>
    <definedName name="Header_Row_Back">ROW(#REF!)</definedName>
    <definedName name="Interest" localSheetId="1">-IPMT(Interest_Rate/12,Payment_Number,'Yearly Amortization'!Number_of_Payments,Loan_Amount)</definedName>
    <definedName name="Interest">-IPMT(Interest_Rate/12,Payment_Number,Number_of_Payments,Loan_Amount)</definedName>
    <definedName name="Interest_Rate">#REF!</definedName>
    <definedName name="Last_Row" localSheetId="1">IF('Yearly Amortization'!Values_Entered,Header_Row+'Yearly Amortization'!Number_of_Payments,Header_Row)</definedName>
    <definedName name="Last_Row">IF(Values_Entered,Header_Row+Number_of_Payments,Header_Row)</definedName>
    <definedName name="Loan_Amount">#REF!</definedName>
    <definedName name="Loan_Not_Paid" localSheetId="1">IF(Payment_Number&lt;='Yearly Amortization'!Number_of_Payments,1,0)</definedName>
    <definedName name="Loan_Not_Paid">IF(Payment_Number&lt;=Number_of_Payments,1,0)</definedName>
    <definedName name="Loan_Start">#REF!</definedName>
    <definedName name="Loan_Years" localSheetId="1">#REF!</definedName>
    <definedName name="Loan_Years">#REF!</definedName>
    <definedName name="Monthly_Payment" localSheetId="1">-PMT(Interest_Rate/12,'Yearly Amortization'!Number_of_Payments,Loan_Amount)</definedName>
    <definedName name="Monthly_Payment">-PMT(Interest_Rate/12,Number_of_Payments,Loan_Amount)</definedName>
    <definedName name="Number_of_Payments" localSheetId="1">#REF!</definedName>
    <definedName name="Number_of_Payments">#REF!</definedName>
    <definedName name="Payment_Date">DATE(YEAR(Loan_Start),MONTH(Loan_Start)+Payment_Number,DAY(Loan_Start))</definedName>
    <definedName name="Payment_Number">ROW()-Header_Row</definedName>
    <definedName name="Principal" localSheetId="1">-PPMT(Interest_Rate/12,Payment_Number,'Yearly Amortization'!Number_of_Payments,Loan_Amount)</definedName>
    <definedName name="Principal">-PPMT(Interest_Rate/12,Payment_Number,Number_of_Payments,Loan_Amount)</definedName>
    <definedName name="_xlnm.Print_Area" localSheetId="1">'Yearly Amortization'!$A$1:$H$29</definedName>
    <definedName name="RowTitleRegion1..E6">#REF!</definedName>
    <definedName name="RowTitleRegion2..E11" localSheetId="1">#REF!</definedName>
    <definedName name="RowTitleRegion2..E11">#REF!</definedName>
    <definedName name="Total_Cost" localSheetId="1">#REF!</definedName>
    <definedName name="Total_Cost">#REF!</definedName>
    <definedName name="Total_Interest" localSheetId="1">#REF!</definedName>
    <definedName name="Total_Interest">#REF!</definedName>
    <definedName name="Values_Entered" localSheetId="1">IF(Loan_Amount*Interest_Rate*'Yearly Amortization'!Loan_Years*Loan_Start&gt;0,1,0)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2" l="1"/>
  <c r="J3" i="2"/>
  <c r="P4" i="2"/>
  <c r="I4" i="2"/>
  <c r="I5" i="2"/>
  <c r="I6" i="2"/>
  <c r="I7" i="2"/>
  <c r="I8" i="2"/>
  <c r="I9" i="2"/>
  <c r="I10" i="2"/>
  <c r="I11" i="2"/>
  <c r="I12" i="2"/>
  <c r="I13" i="2"/>
  <c r="I14" i="2"/>
  <c r="I3" i="2"/>
  <c r="H4" i="2"/>
  <c r="H3" i="2"/>
  <c r="G4" i="2"/>
  <c r="G5" i="2"/>
  <c r="G6" i="2"/>
  <c r="J6" i="2" s="1"/>
  <c r="M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G13" i="2"/>
  <c r="G14" i="2"/>
  <c r="G3" i="2"/>
  <c r="O4" i="2"/>
  <c r="J5" i="2"/>
  <c r="J12" i="2"/>
  <c r="J13" i="2"/>
  <c r="J14" i="2"/>
  <c r="O3" i="2"/>
  <c r="E3" i="2"/>
  <c r="E4" i="2"/>
  <c r="E5" i="2"/>
  <c r="E6" i="2"/>
  <c r="E7" i="2"/>
  <c r="E8" i="2"/>
  <c r="E9" i="2"/>
  <c r="E10" i="2"/>
  <c r="E11" i="2"/>
  <c r="E12" i="2"/>
  <c r="E13" i="2"/>
  <c r="E14" i="2"/>
  <c r="P18" i="2" l="1"/>
  <c r="P20" i="2" l="1"/>
  <c r="P19" i="2"/>
  <c r="P17" i="2"/>
  <c r="B28" i="4" l="1"/>
  <c r="B29" i="4"/>
  <c r="D10" i="4" l="1"/>
  <c r="M25" i="4" l="1"/>
  <c r="B33" i="4" l="1"/>
  <c r="B32" i="4"/>
  <c r="B31" i="4"/>
  <c r="B30" i="4"/>
  <c r="B27" i="4"/>
  <c r="B26" i="4"/>
  <c r="B25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G10" i="4"/>
  <c r="B10" i="4"/>
  <c r="B15" i="2"/>
  <c r="C14" i="2" s="1"/>
  <c r="O14" i="2"/>
  <c r="F14" i="2"/>
  <c r="O13" i="2"/>
  <c r="F13" i="2"/>
  <c r="F12" i="2"/>
  <c r="F11" i="2"/>
  <c r="F10" i="2"/>
  <c r="F9" i="2"/>
  <c r="F8" i="2"/>
  <c r="F7" i="2"/>
  <c r="F6" i="2"/>
  <c r="F5" i="2"/>
  <c r="F4" i="2"/>
  <c r="F3" i="2"/>
  <c r="M7" i="2" l="1"/>
  <c r="Q7" i="2" s="1"/>
  <c r="M9" i="2"/>
  <c r="Q9" i="2" s="1"/>
  <c r="M11" i="2"/>
  <c r="Q11" i="2" s="1"/>
  <c r="M8" i="2"/>
  <c r="Q8" i="2" s="1"/>
  <c r="M12" i="2"/>
  <c r="Q12" i="2" s="1"/>
  <c r="O5" i="2"/>
  <c r="Q5" i="2" s="1"/>
  <c r="P13" i="2"/>
  <c r="Q13" i="2" s="1"/>
  <c r="Q6" i="2"/>
  <c r="M10" i="2"/>
  <c r="Q10" i="2" s="1"/>
  <c r="P14" i="2"/>
  <c r="Q14" i="2" s="1"/>
  <c r="C7" i="2"/>
  <c r="C3" i="2"/>
  <c r="C5" i="2"/>
  <c r="C9" i="2"/>
  <c r="C13" i="2"/>
  <c r="C11" i="2"/>
  <c r="C12" i="2"/>
  <c r="C4" i="2"/>
  <c r="C6" i="2"/>
  <c r="C8" i="2"/>
  <c r="C10" i="2"/>
  <c r="G15" i="2" l="1"/>
  <c r="Q4" i="2"/>
  <c r="P3" i="2"/>
  <c r="Q3" i="2" s="1"/>
  <c r="J15" i="2" l="1"/>
  <c r="Q15" i="2"/>
  <c r="E10" i="4" l="1"/>
  <c r="E11" i="4" l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F10" i="4"/>
  <c r="H10" i="4"/>
  <c r="D11" i="4" s="1"/>
  <c r="G11" i="4" l="1"/>
  <c r="F11" i="4" s="1"/>
  <c r="H11" i="4" l="1"/>
  <c r="D12" i="4" s="1"/>
  <c r="G12" i="4" s="1"/>
  <c r="F12" i="4" s="1"/>
  <c r="H12" i="4" l="1"/>
  <c r="D13" i="4" s="1"/>
  <c r="G13" i="4" s="1"/>
  <c r="F13" i="4" s="1"/>
  <c r="H13" i="4" l="1"/>
  <c r="D14" i="4" s="1"/>
  <c r="G14" i="4" s="1"/>
  <c r="F14" i="4" s="1"/>
  <c r="H14" i="4" l="1"/>
  <c r="D15" i="4" s="1"/>
  <c r="G15" i="4" l="1"/>
  <c r="F15" i="4" s="1"/>
  <c r="H15" i="4" l="1"/>
  <c r="D16" i="4" s="1"/>
  <c r="G16" i="4" s="1"/>
  <c r="F16" i="4" s="1"/>
  <c r="H16" i="4" l="1"/>
  <c r="D17" i="4" s="1"/>
  <c r="G17" i="4" s="1"/>
  <c r="F17" i="4" s="1"/>
  <c r="H17" i="4" l="1"/>
  <c r="D18" i="4" s="1"/>
  <c r="G18" i="4" s="1"/>
  <c r="F18" i="4" s="1"/>
  <c r="H18" i="4" l="1"/>
  <c r="D19" i="4" s="1"/>
  <c r="G19" i="4" s="1"/>
  <c r="F19" i="4" s="1"/>
  <c r="H19" i="4" l="1"/>
  <c r="D20" i="4" s="1"/>
  <c r="G20" i="4" s="1"/>
  <c r="F20" i="4" s="1"/>
  <c r="H20" i="4" l="1"/>
  <c r="D21" i="4" s="1"/>
  <c r="G21" i="4" s="1"/>
  <c r="F21" i="4" s="1"/>
  <c r="H21" i="4" l="1"/>
  <c r="D22" i="4" s="1"/>
  <c r="G22" i="4" s="1"/>
  <c r="F22" i="4" s="1"/>
  <c r="H22" i="4" l="1"/>
  <c r="D23" i="4" s="1"/>
  <c r="G23" i="4" l="1"/>
  <c r="F23" i="4" s="1"/>
  <c r="H23" i="4" l="1"/>
  <c r="D24" i="4" s="1"/>
  <c r="G24" i="4" l="1"/>
  <c r="F24" i="4" s="1"/>
  <c r="H24" i="4" l="1"/>
  <c r="D25" i="4" s="1"/>
  <c r="G25" i="4" s="1"/>
  <c r="F25" i="4" s="1"/>
  <c r="H25" i="4" l="1"/>
  <c r="D26" i="4" s="1"/>
  <c r="G26" i="4" s="1"/>
  <c r="H26" i="4" l="1"/>
  <c r="D27" i="4" s="1"/>
  <c r="F26" i="4"/>
  <c r="G27" i="4" l="1"/>
  <c r="F27" i="4" s="1"/>
  <c r="H27" i="4" l="1"/>
  <c r="D28" i="4" s="1"/>
  <c r="G28" i="4" s="1"/>
  <c r="F28" i="4" s="1"/>
  <c r="H28" i="4" l="1"/>
  <c r="D29" i="4" s="1"/>
  <c r="G29" i="4" l="1"/>
  <c r="F29" i="4" s="1"/>
  <c r="H29" i="4" l="1"/>
</calcChain>
</file>

<file path=xl/comments1.xml><?xml version="1.0" encoding="utf-8"?>
<comments xmlns="http://schemas.openxmlformats.org/spreadsheetml/2006/main">
  <authors>
    <author>tc={6E4C4F0F-E3B3-4A52-A136-21264971C25B}</author>
  </authors>
  <commentList>
    <comment ref="P1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Base DNG + inf tracker - tax reform surcredit in 2nd tracker filing of 2019.</t>
        </r>
      </text>
    </comment>
  </commentList>
</comments>
</file>

<file path=xl/sharedStrings.xml><?xml version="1.0" encoding="utf-8"?>
<sst xmlns="http://schemas.openxmlformats.org/spreadsheetml/2006/main" count="54" uniqueCount="54">
  <si>
    <t>Enter values</t>
  </si>
  <si>
    <t>Annual interest rate</t>
  </si>
  <si>
    <t>Payment
Date</t>
  </si>
  <si>
    <t>Beginning
Balance</t>
  </si>
  <si>
    <t>Payment</t>
  </si>
  <si>
    <t>Principal</t>
  </si>
  <si>
    <t>Interest</t>
  </si>
  <si>
    <t>Ending
Balance</t>
  </si>
  <si>
    <t>Month</t>
  </si>
  <si>
    <t>Estimated</t>
  </si>
  <si>
    <t xml:space="preserve">Percentage </t>
  </si>
  <si>
    <t>Typical GS Customer Res</t>
  </si>
  <si>
    <t xml:space="preserve">Leftover </t>
  </si>
  <si>
    <t xml:space="preserve">Leftover/60 Remaining Customers </t>
  </si>
  <si>
    <t>Block 2</t>
  </si>
  <si>
    <t>Block 2 x 60</t>
  </si>
  <si>
    <t xml:space="preserve">Block 1 </t>
  </si>
  <si>
    <t xml:space="preserve">Block 1 Summer </t>
  </si>
  <si>
    <t xml:space="preserve">Block 2 Summer </t>
  </si>
  <si>
    <t xml:space="preserve">Block 1 Winter </t>
  </si>
  <si>
    <t xml:space="preserve">Block 2 Winter 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</si>
  <si>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</si>
  <si>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</si>
  <si>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</si>
  <si>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</si>
  <si>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</si>
  <si>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</si>
  <si>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</si>
  <si>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</si>
  <si>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</si>
  <si>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</si>
  <si>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</si>
  <si>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</si>
  <si>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Summer Block 1 Dng</t>
  </si>
  <si>
    <t xml:space="preserve">Assumptions </t>
  </si>
  <si>
    <t>Summer Block 2 Dng</t>
  </si>
  <si>
    <t>All Customers primary use for Natural Gas will be Space Heat</t>
  </si>
  <si>
    <t xml:space="preserve">Winter Block 1 Dng </t>
  </si>
  <si>
    <t xml:space="preserve">300 Residential Customers all assumed to be equal to typical GS Customer </t>
  </si>
  <si>
    <t>Winter Block 2 Dng</t>
  </si>
  <si>
    <t xml:space="preserve">60 Commercial Customers </t>
  </si>
  <si>
    <t>No residential Customers will reach the second block.</t>
  </si>
  <si>
    <t xml:space="preserve">All Customers are assumed to be GS </t>
  </si>
  <si>
    <t xml:space="preserve">DNG Block Out </t>
  </si>
  <si>
    <t xml:space="preserve">Current Tarrif Rates </t>
  </si>
  <si>
    <t>Annual DNG</t>
  </si>
  <si>
    <t>Initial customer participation</t>
  </si>
  <si>
    <t>Annual Growth Rate</t>
  </si>
  <si>
    <t>Eureka GSE Rate Calculation</t>
  </si>
  <si>
    <t>Column1</t>
  </si>
  <si>
    <t>340 x Typical GS</t>
  </si>
  <si>
    <t xml:space="preserve">DNG By Month </t>
  </si>
  <si>
    <t>Total Cost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</si>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</sst>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4" fillId="0" borderId="0">
      <alignment horizontal="right"/>
    </xf>
    <xf numFmtId="0" fontId="4" fillId="0" borderId="0" applyNumberFormat="0" applyFill="0" applyProtection="0">
      <alignment horizontal="right" indent="1"/>
    </xf>
    <xf numFmtId="0" fontId="4" fillId="0" borderId="0" applyNumberFormat="0" applyFont="0" applyFill="0" applyBorder="0" applyProtection="0">
      <alignment horizontal="left" indent="5"/>
    </xf>
    <xf numFmtId="4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4" fontId="4" fillId="0" borderId="0" applyFont="0" applyFill="0" applyBorder="0">
      <alignment horizontal="right"/>
    </xf>
    <xf numFmtId="1" fontId="4" fillId="0" borderId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center" wrapText="1"/>
    </xf>
  </cellStyleXfs>
  <cellXfs count="35">
    <xf numFmtId="0" fontId="0" fillId="0" borderId="0" xfId="0"/>
    <xf numFmtId="0" fontId="3" fillId="0" borderId="1" xfId="3" applyFill="1">
      <alignment horizontal="left"/>
    </xf>
    <xf numFmtId="0" fontId="3" fillId="0" borderId="1" xfId="3">
      <alignment horizontal="left"/>
    </xf>
    <xf numFmtId="0" fontId="4" fillId="0" borderId="0" xfId="4">
      <alignment horizontal="right"/>
    </xf>
    <xf numFmtId="0" fontId="4" fillId="0" borderId="0" xfId="4" applyFill="1">
      <alignment horizontal="right"/>
    </xf>
    <xf numFmtId="10" fontId="0" fillId="0" borderId="4" xfId="8" applyFont="1" applyBorder="1" applyAlignment="1">
      <alignment horizontal="right"/>
    </xf>
    <xf numFmtId="14" fontId="0" fillId="0" borderId="4" xfId="9" applyFont="1" applyBorder="1">
      <alignment horizontal="right"/>
    </xf>
    <xf numFmtId="0" fontId="0" fillId="0" borderId="0" xfId="6" applyFont="1">
      <alignment horizontal="left" indent="5"/>
    </xf>
    <xf numFmtId="0" fontId="0" fillId="0" borderId="0" xfId="6" applyFont="1" applyAlignment="1">
      <alignment horizontal="center"/>
    </xf>
    <xf numFmtId="1" fontId="0" fillId="0" borderId="0" xfId="10" applyFont="1" applyBorder="1">
      <alignment horizontal="right"/>
    </xf>
    <xf numFmtId="0" fontId="0" fillId="0" borderId="0" xfId="11" applyFont="1">
      <alignment horizontal="center" wrapText="1"/>
    </xf>
    <xf numFmtId="0" fontId="0" fillId="0" borderId="0" xfId="11" applyFont="1" applyFill="1">
      <alignment horizontal="center" wrapText="1"/>
    </xf>
    <xf numFmtId="1" fontId="0" fillId="0" borderId="0" xfId="10" applyFont="1">
      <alignment horizontal="right"/>
    </xf>
    <xf numFmtId="14" fontId="0" fillId="0" borderId="0" xfId="9" applyFont="1">
      <alignment horizontal="right"/>
    </xf>
    <xf numFmtId="44" fontId="0" fillId="0" borderId="0" xfId="7" applyFont="1" applyAlignment="1">
      <alignment horizontal="right"/>
    </xf>
    <xf numFmtId="44" fontId="4" fillId="0" borderId="0" xfId="1" applyFont="1" applyFill="1" applyAlignment="1">
      <alignment horizontal="right"/>
    </xf>
    <xf numFmtId="44" fontId="4" fillId="0" borderId="0" xfId="1" applyNumberFormat="1" applyFont="1" applyAlignment="1">
      <alignment horizontal="right"/>
    </xf>
    <xf numFmtId="44" fontId="4" fillId="0" borderId="0" xfId="1" applyNumberFormat="1" applyFont="1" applyFill="1" applyAlignment="1">
      <alignment horizontal="right"/>
    </xf>
    <xf numFmtId="9" fontId="0" fillId="0" borderId="0" xfId="2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9" fontId="4" fillId="0" borderId="0" xfId="4" applyNumberFormat="1" applyFill="1">
      <alignment horizontal="right"/>
    </xf>
    <xf numFmtId="164" fontId="0" fillId="0" borderId="4" xfId="7" applyNumberFormat="1" applyFont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6">
      <alignment horizontal="left" indent="5"/>
    </xf>
    <xf numFmtId="0" fontId="4" fillId="0" borderId="3" xfId="6" applyBorder="1">
      <alignment horizontal="left" indent="5"/>
    </xf>
    <xf numFmtId="0" fontId="4" fillId="0" borderId="2" xfId="5" applyBorder="1">
      <alignment horizontal="right" indent="1"/>
    </xf>
    <xf numFmtId="0" fontId="0" fillId="0" borderId="0" xfId="6" applyFont="1">
      <alignment horizontal="left" indent="5"/>
    </xf>
    <xf numFmtId="0" fontId="0" fillId="0" borderId="3" xfId="6" applyFont="1" applyBorder="1">
      <alignment horizontal="left" indent="5"/>
    </xf>
  </cellXfs>
  <cellStyles count="12">
    <cellStyle name="Comma 2" xfId="10"/>
    <cellStyle name="Currency" xfId="1" builtinId="4"/>
    <cellStyle name="Currency 2" xfId="7"/>
    <cellStyle name="Date" xfId="9"/>
    <cellStyle name="Heading 1 2" xfId="5"/>
    <cellStyle name="Heading 2 2" xfId="6"/>
    <cellStyle name="Heading 3 2" xfId="11"/>
    <cellStyle name="Normal" xfId="0" builtinId="0"/>
    <cellStyle name="Normal 2" xfId="4"/>
    <cellStyle name="Percent" xfId="2" builtinId="5"/>
    <cellStyle name="Percent 2" xfId="8"/>
    <cellStyle name="Title 2" xfId="3"/>
  </cellStyles>
  <dxfs count="11"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border outline="0">
        <bottom style="thin">
          <color rgb="FF800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261938</xdr:colOff>
      <xdr:row>31</xdr:row>
      <xdr:rowOff>55563</xdr:rowOff>
    </xdr:from>
    <xdr:to>
      <xdr:col>16</xdr:col>
      <xdr:colOff>865188</xdr:colOff>
      <xdr:row>52</xdr:row>
      <xdr:rowOff>103188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723FB63-0371-4217-B4A6-55D5103F3DC9}"/>
            </a:ext>
          </a:extLst>
        </xdr:cNvPr>
        <xdr:cNvSpPr txBox="1"/>
      </xdr:nvSpPr>
      <xdr:spPr>
        <a:xfrm rot="5400000">
          <a:off x="11191875" y="7588251"/>
          <a:ext cx="4048125" cy="155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600"/>
            <a:t>Dominon Energy Utah</a:t>
          </a:r>
        </a:p>
        <a:p>
          <a:pPr algn="r"/>
          <a:r>
            <a:rPr lang="en-US" sz="1600"/>
            <a:t>Docket No. 19-057-32</a:t>
          </a:r>
        </a:p>
        <a:p>
          <a:pPr algn="r"/>
          <a:r>
            <a:rPr lang="en-US" sz="1600"/>
            <a:t>DEU</a:t>
          </a:r>
          <a:r>
            <a:rPr lang="en-US" sz="1600" baseline="0"/>
            <a:t> Exhibit 1.06</a:t>
          </a:r>
        </a:p>
        <a:p>
          <a:pPr algn="r"/>
          <a:r>
            <a:rPr lang="en-US" sz="1600" baseline="0"/>
            <a:t>Page 1 of 2</a:t>
          </a:r>
          <a:endParaRPr lang="en-US" sz="12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stin Summers (Services - 6)" id="{2B78D9F3-3E01-4BA6-997B-1DD868D43B43}" userId="S::austin.summers@dominionenergy.com::d15aaef1-4551-4c2e-81e3-5fc70502f952" providerId="AD"/>
</personList>
</file>

<file path=xl/tables/table1.xml><?xml version="1.0" encoding="utf-8"?>
<table xmlns="http://schemas.openxmlformats.org/spreadsheetml/2006/main" id="3" name="Loan34" displayName="Loan34" ref="B9:H29" totalsRowShown="0" dataDxfId="6" tableBorderDxfId="5" dataCellStyle="Currency">
  <autoFilter ref="B9:H29"/>
  <tableColumns count="7">
    <tableColumn id="1" name="Column1">
      <calculatedColumnFormula>IFERROR(IF(Loan_Not_Paid*Values_Entered,Payment_Number,""), "")</calculatedColumnFormula>
    </tableColumn>
    <tableColumn id="2" name="Payment_x000a_Date" dataCellStyle="Date">
      <calculatedColumnFormula>IFERROR(IF(Loan_Not_Paid*Values_Entered,Payment_Date,""), "")</calculatedColumnFormula>
    </tableColumn>
    <tableColumn id="3" name="Beginning_x000a_Balance" dataDxfId="4" dataCellStyle="Currency">
      <calculatedColumnFormula>IFERROR(IF(Loan_Not_Paid*Values_Entered,Beginning_Balance,""), "")</calculatedColumnFormula>
    </tableColumn>
    <tableColumn id="4" name="Payment" dataDxfId="3" dataCellStyle="Currency">
      <calculatedColumnFormula>#REF!</calculatedColumnFormula>
    </tableColumn>
    <tableColumn id="5" name="Principal" dataDxfId="2" dataCellStyle="Currency">
      <calculatedColumnFormula>E10-G10</calculatedColumnFormula>
    </tableColumn>
    <tableColumn id="6" name="Interest" dataDxfId="1" dataCellStyle="Currency">
      <calculatedColumnFormula>D10*($E$4/1)</calculatedColumnFormula>
    </tableColumn>
    <tableColumn id="7" name="Ending_x000a_Balance" dataDxfId="0" dataCellStyle="Currency">
      <calculatedColumnFormula>D10-E10+G10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7" dT="2019-11-26T03:39:09.03" personId="{2B78D9F3-3E01-4BA6-997B-1DD868D43B43}" id="{6E4C4F0F-E3B3-4A52-A136-21264971C25B}">
    <text>Base DNG + inf tracker - tax reform surcredit in 2nd tracker filing of 2019.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view="pageLayout" topLeftCell="A22" zoomScale="60" zoomScaleNormal="100" zoomScalePageLayoutView="60" workbookViewId="0">
      <selection activeCell="J37" sqref="J37"/>
    </sheetView>
  </sheetViews>
  <sheetFormatPr defaultRowHeight="15" x14ac:dyDescent="0.25"/>
  <cols>
    <col min="2" max="2" width="9.85546875" bestFit="1" customWidth="1"/>
    <col min="3" max="3" width="11.42578125" bestFit="1" customWidth="1"/>
    <col min="4" max="4" width="13" customWidth="1"/>
    <col min="5" max="5" width="14.5703125" customWidth="1"/>
    <col min="7" max="7" width="20" customWidth="1"/>
    <col min="9" max="9" width="11" bestFit="1" customWidth="1"/>
    <col min="11" max="11" width="4.85546875" customWidth="1"/>
    <col min="13" max="17" width="13.28515625" customWidth="1"/>
  </cols>
  <sheetData>
    <row r="1" spans="1:17" x14ac:dyDescent="0.25">
      <c r="M1" s="29" t="s">
        <v>43</v>
      </c>
      <c r="N1" s="29"/>
      <c r="O1" s="29"/>
      <c r="P1" s="29"/>
    </row>
    <row r="2" spans="1:17" s="26" customFormat="1" ht="45" x14ac:dyDescent="0.25">
      <c r="A2" s="27" t="s">
        <v>8</v>
      </c>
      <c r="B2" s="27" t="s">
        <v>9</v>
      </c>
      <c r="C2" s="27" t="s">
        <v>10</v>
      </c>
      <c r="D2" s="27" t="s">
        <v>11</v>
      </c>
      <c r="E2" s="27" t="s">
        <v>50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M2" s="27" t="s">
        <v>17</v>
      </c>
      <c r="N2" s="27" t="s">
        <v>18</v>
      </c>
      <c r="O2" s="27" t="s">
        <v>19</v>
      </c>
      <c r="P2" s="27" t="s">
        <v>20</v>
      </c>
      <c r="Q2" s="28" t="s">
        <v>51</v>
      </c>
    </row>
    <row r="3" spans="1:17" x14ac:dyDescent="0.25">
      <c r="A3" t="s">
        <v>21</v>
      </c>
      <c r="B3">
        <v>6164.651499999999</v>
      </c>
      <c r="C3" s="18">
        <f>B3/$B$15</f>
        <v>0.18625</v>
      </c>
      <c r="D3">
        <v>14.9</v>
      </c>
      <c r="E3">
        <f t="shared" ref="E3:E14" si="0">D3*340</f>
        <v>5066</v>
      </c>
      <c r="F3">
        <f t="shared" ref="F3:F14" si="1">B3-E3</f>
        <v>1098.651499999999</v>
      </c>
      <c r="G3">
        <f>F3/20</f>
        <v>54.93257499999995</v>
      </c>
      <c r="H3">
        <f>G3-45</f>
        <v>9.9325749999999502</v>
      </c>
      <c r="I3">
        <f>H3*20</f>
        <v>198.651499999999</v>
      </c>
      <c r="J3">
        <f>45*20</f>
        <v>900</v>
      </c>
      <c r="M3">
        <v>0</v>
      </c>
      <c r="N3">
        <v>0</v>
      </c>
      <c r="O3">
        <f>J3+E3</f>
        <v>5966</v>
      </c>
      <c r="P3">
        <f>I3</f>
        <v>198.651499999999</v>
      </c>
      <c r="Q3" s="20">
        <f>M3*$P$17+N3*$P$18+O3*$P$19+P3*$P$20</f>
        <v>15604.484193984998</v>
      </c>
    </row>
    <row r="4" spans="1:17" x14ac:dyDescent="0.25">
      <c r="A4" t="s">
        <v>22</v>
      </c>
      <c r="B4">
        <v>5171.6874999999991</v>
      </c>
      <c r="C4" s="18">
        <f t="shared" ref="C4:C14" si="2">B4/$B$15</f>
        <v>0.15625</v>
      </c>
      <c r="D4">
        <v>12.5</v>
      </c>
      <c r="E4">
        <f t="shared" si="0"/>
        <v>4250</v>
      </c>
      <c r="F4">
        <f t="shared" si="1"/>
        <v>921.68749999999909</v>
      </c>
      <c r="G4">
        <f t="shared" ref="G4:G14" si="3">F4/20</f>
        <v>46.084374999999952</v>
      </c>
      <c r="H4">
        <f t="shared" ref="H4" si="4">G4-45</f>
        <v>1.0843749999999517</v>
      </c>
      <c r="I4">
        <f t="shared" ref="I4:I14" si="5">H4*20</f>
        <v>21.687499999999034</v>
      </c>
      <c r="J4">
        <f>45*20</f>
        <v>900</v>
      </c>
      <c r="M4">
        <v>0</v>
      </c>
      <c r="N4">
        <v>0</v>
      </c>
      <c r="O4">
        <f>J4+E4</f>
        <v>5150</v>
      </c>
      <c r="P4">
        <f>I4</f>
        <v>21.687499999999034</v>
      </c>
      <c r="Q4" s="20">
        <f t="shared" ref="Q4:Q14" si="6">M4*$P$17+N4*$P$18+O4*$P$19+P4*$P$20</f>
        <v>13259.422095624997</v>
      </c>
    </row>
    <row r="5" spans="1:17" x14ac:dyDescent="0.25">
      <c r="A5" t="s">
        <v>23</v>
      </c>
      <c r="B5">
        <v>4178.7234999999991</v>
      </c>
      <c r="C5" s="18">
        <f t="shared" si="2"/>
        <v>0.12625</v>
      </c>
      <c r="D5">
        <v>10.1</v>
      </c>
      <c r="E5">
        <f t="shared" si="0"/>
        <v>3434</v>
      </c>
      <c r="F5">
        <f t="shared" si="1"/>
        <v>744.72349999999915</v>
      </c>
      <c r="G5">
        <f t="shared" si="3"/>
        <v>37.23617499999996</v>
      </c>
      <c r="H5">
        <v>0</v>
      </c>
      <c r="I5">
        <f t="shared" si="5"/>
        <v>0</v>
      </c>
      <c r="J5">
        <f t="shared" ref="J5:J14" si="7">G5*20</f>
        <v>744.72349999999915</v>
      </c>
      <c r="M5">
        <v>0</v>
      </c>
      <c r="N5">
        <v>0</v>
      </c>
      <c r="O5">
        <f>J5+E5</f>
        <v>4178.7234999999991</v>
      </c>
      <c r="P5">
        <v>0</v>
      </c>
      <c r="Q5" s="20">
        <f t="shared" si="6"/>
        <v>10733.970628919997</v>
      </c>
    </row>
    <row r="6" spans="1:17" x14ac:dyDescent="0.25">
      <c r="A6" t="s">
        <v>24</v>
      </c>
      <c r="B6">
        <v>3434.0004999999996</v>
      </c>
      <c r="C6" s="18">
        <f t="shared" si="2"/>
        <v>0.10375000000000001</v>
      </c>
      <c r="D6">
        <v>8.3000000000000007</v>
      </c>
      <c r="E6">
        <f t="shared" si="0"/>
        <v>2822.0000000000005</v>
      </c>
      <c r="F6">
        <f t="shared" si="1"/>
        <v>612.00049999999919</v>
      </c>
      <c r="G6">
        <f t="shared" si="3"/>
        <v>30.60002499999996</v>
      </c>
      <c r="H6">
        <v>0</v>
      </c>
      <c r="I6">
        <f t="shared" si="5"/>
        <v>0</v>
      </c>
      <c r="J6">
        <f t="shared" si="7"/>
        <v>612.00049999999919</v>
      </c>
      <c r="M6">
        <f t="shared" ref="M6:M12" si="8">J6+E6</f>
        <v>3434.0004999999996</v>
      </c>
      <c r="N6">
        <v>0</v>
      </c>
      <c r="O6">
        <v>0</v>
      </c>
      <c r="P6">
        <v>0</v>
      </c>
      <c r="Q6" s="20">
        <f t="shared" si="6"/>
        <v>6516.4967088199992</v>
      </c>
    </row>
    <row r="7" spans="1:17" x14ac:dyDescent="0.25">
      <c r="A7" t="s">
        <v>25</v>
      </c>
      <c r="B7">
        <v>1820.434</v>
      </c>
      <c r="C7" s="18">
        <f t="shared" si="2"/>
        <v>5.5000000000000007E-2</v>
      </c>
      <c r="D7">
        <v>4.4000000000000004</v>
      </c>
      <c r="E7">
        <f t="shared" si="0"/>
        <v>1496.0000000000002</v>
      </c>
      <c r="F7">
        <f t="shared" si="1"/>
        <v>324.43399999999974</v>
      </c>
      <c r="G7">
        <f t="shared" si="3"/>
        <v>16.221699999999988</v>
      </c>
      <c r="H7">
        <v>0</v>
      </c>
      <c r="I7">
        <f t="shared" si="5"/>
        <v>0</v>
      </c>
      <c r="J7">
        <f t="shared" si="7"/>
        <v>324.43399999999974</v>
      </c>
      <c r="L7" s="25"/>
      <c r="M7">
        <f t="shared" si="8"/>
        <v>1820.434</v>
      </c>
      <c r="N7">
        <v>0</v>
      </c>
      <c r="O7">
        <v>0</v>
      </c>
      <c r="P7">
        <v>0</v>
      </c>
      <c r="Q7" s="20">
        <f>M7*$P$17+N7*$P$18+O7*$P$19+P7*$P$20</f>
        <v>3454.52837576</v>
      </c>
    </row>
    <row r="8" spans="1:17" x14ac:dyDescent="0.25">
      <c r="A8" t="s">
        <v>26</v>
      </c>
      <c r="B8">
        <v>1282.5784999999998</v>
      </c>
      <c r="C8" s="18">
        <f t="shared" si="2"/>
        <v>3.875E-2</v>
      </c>
      <c r="D8">
        <v>3.1</v>
      </c>
      <c r="E8">
        <f t="shared" si="0"/>
        <v>1054</v>
      </c>
      <c r="F8">
        <f t="shared" si="1"/>
        <v>228.57849999999985</v>
      </c>
      <c r="G8">
        <f t="shared" si="3"/>
        <v>11.428924999999992</v>
      </c>
      <c r="H8">
        <v>0</v>
      </c>
      <c r="I8">
        <f t="shared" si="5"/>
        <v>0</v>
      </c>
      <c r="J8">
        <f t="shared" si="7"/>
        <v>228.57849999999985</v>
      </c>
      <c r="M8">
        <f t="shared" si="8"/>
        <v>1282.5784999999998</v>
      </c>
      <c r="N8">
        <v>0</v>
      </c>
      <c r="O8">
        <v>0</v>
      </c>
      <c r="P8">
        <v>0</v>
      </c>
      <c r="Q8" s="20">
        <f t="shared" si="6"/>
        <v>2433.8722647399995</v>
      </c>
    </row>
    <row r="9" spans="1:17" x14ac:dyDescent="0.25">
      <c r="A9" t="s">
        <v>27</v>
      </c>
      <c r="B9">
        <v>827.46999999999991</v>
      </c>
      <c r="C9" s="18">
        <f t="shared" si="2"/>
        <v>2.5000000000000001E-2</v>
      </c>
      <c r="D9">
        <v>2</v>
      </c>
      <c r="E9">
        <f t="shared" si="0"/>
        <v>680</v>
      </c>
      <c r="F9">
        <f t="shared" si="1"/>
        <v>147.46999999999991</v>
      </c>
      <c r="G9">
        <f t="shared" si="3"/>
        <v>7.3734999999999955</v>
      </c>
      <c r="H9">
        <v>0</v>
      </c>
      <c r="I9">
        <f t="shared" si="5"/>
        <v>0</v>
      </c>
      <c r="J9">
        <f t="shared" si="7"/>
        <v>147.46999999999991</v>
      </c>
      <c r="M9">
        <f t="shared" si="8"/>
        <v>827.46999999999991</v>
      </c>
      <c r="N9">
        <v>0</v>
      </c>
      <c r="O9">
        <v>0</v>
      </c>
      <c r="P9">
        <v>0</v>
      </c>
      <c r="Q9" s="20">
        <f t="shared" si="6"/>
        <v>1570.2401707999998</v>
      </c>
    </row>
    <row r="10" spans="1:17" x14ac:dyDescent="0.25">
      <c r="A10" t="s">
        <v>28</v>
      </c>
      <c r="B10">
        <v>744.72299999999984</v>
      </c>
      <c r="C10" s="18">
        <f t="shared" si="2"/>
        <v>2.2499999999999999E-2</v>
      </c>
      <c r="D10">
        <v>1.8</v>
      </c>
      <c r="E10">
        <f t="shared" si="0"/>
        <v>612</v>
      </c>
      <c r="F10">
        <f t="shared" si="1"/>
        <v>132.72299999999984</v>
      </c>
      <c r="G10">
        <f t="shared" si="3"/>
        <v>6.6361499999999918</v>
      </c>
      <c r="H10">
        <v>0</v>
      </c>
      <c r="I10">
        <f t="shared" si="5"/>
        <v>0</v>
      </c>
      <c r="J10">
        <f t="shared" si="7"/>
        <v>132.72299999999984</v>
      </c>
      <c r="M10">
        <f t="shared" si="8"/>
        <v>744.72299999999984</v>
      </c>
      <c r="N10">
        <v>0</v>
      </c>
      <c r="O10">
        <v>0</v>
      </c>
      <c r="P10">
        <v>0</v>
      </c>
      <c r="Q10" s="20">
        <f t="shared" si="6"/>
        <v>1413.2161537199997</v>
      </c>
    </row>
    <row r="11" spans="1:17" x14ac:dyDescent="0.25">
      <c r="A11" t="s">
        <v>29</v>
      </c>
      <c r="B11">
        <v>827.46999999999991</v>
      </c>
      <c r="C11" s="18">
        <f t="shared" si="2"/>
        <v>2.5000000000000001E-2</v>
      </c>
      <c r="D11">
        <v>2</v>
      </c>
      <c r="E11">
        <f t="shared" si="0"/>
        <v>680</v>
      </c>
      <c r="F11">
        <f t="shared" si="1"/>
        <v>147.46999999999991</v>
      </c>
      <c r="G11">
        <f t="shared" si="3"/>
        <v>7.3734999999999955</v>
      </c>
      <c r="H11">
        <v>0</v>
      </c>
      <c r="I11">
        <f t="shared" si="5"/>
        <v>0</v>
      </c>
      <c r="J11">
        <f t="shared" si="7"/>
        <v>147.46999999999991</v>
      </c>
      <c r="M11">
        <f t="shared" si="8"/>
        <v>827.46999999999991</v>
      </c>
      <c r="N11">
        <v>0</v>
      </c>
      <c r="O11">
        <v>0</v>
      </c>
      <c r="P11">
        <v>0</v>
      </c>
      <c r="Q11" s="20">
        <f t="shared" si="6"/>
        <v>1570.2401707999998</v>
      </c>
    </row>
    <row r="12" spans="1:17" x14ac:dyDescent="0.25">
      <c r="A12" t="s">
        <v>30</v>
      </c>
      <c r="B12">
        <v>1282.5784999999998</v>
      </c>
      <c r="C12" s="18">
        <f t="shared" si="2"/>
        <v>3.875E-2</v>
      </c>
      <c r="D12">
        <v>3.1</v>
      </c>
      <c r="E12">
        <f t="shared" si="0"/>
        <v>1054</v>
      </c>
      <c r="F12">
        <f t="shared" si="1"/>
        <v>228.57849999999985</v>
      </c>
      <c r="G12">
        <f t="shared" si="3"/>
        <v>11.428924999999992</v>
      </c>
      <c r="H12">
        <v>0</v>
      </c>
      <c r="I12">
        <f t="shared" si="5"/>
        <v>0</v>
      </c>
      <c r="J12">
        <f t="shared" si="7"/>
        <v>228.57849999999985</v>
      </c>
      <c r="M12">
        <f t="shared" si="8"/>
        <v>1282.5784999999998</v>
      </c>
      <c r="N12">
        <v>0</v>
      </c>
      <c r="O12">
        <v>0</v>
      </c>
      <c r="P12">
        <v>0</v>
      </c>
      <c r="Q12" s="20">
        <f t="shared" si="6"/>
        <v>2433.8722647399995</v>
      </c>
    </row>
    <row r="13" spans="1:17" x14ac:dyDescent="0.25">
      <c r="A13" t="s">
        <v>31</v>
      </c>
      <c r="B13">
        <v>2606.5304999999998</v>
      </c>
      <c r="C13" s="18">
        <f t="shared" si="2"/>
        <v>7.8750000000000001E-2</v>
      </c>
      <c r="D13">
        <v>6.3</v>
      </c>
      <c r="E13">
        <f t="shared" si="0"/>
        <v>2142</v>
      </c>
      <c r="F13">
        <f t="shared" si="1"/>
        <v>464.53049999999985</v>
      </c>
      <c r="G13">
        <f t="shared" si="3"/>
        <v>23.226524999999992</v>
      </c>
      <c r="H13">
        <v>0</v>
      </c>
      <c r="I13">
        <f t="shared" si="5"/>
        <v>0</v>
      </c>
      <c r="J13">
        <f t="shared" si="7"/>
        <v>464.53049999999985</v>
      </c>
      <c r="M13">
        <v>0</v>
      </c>
      <c r="N13">
        <v>0</v>
      </c>
      <c r="O13">
        <f>J13+E13</f>
        <v>2606.5304999999998</v>
      </c>
      <c r="P13">
        <f>I13</f>
        <v>0</v>
      </c>
      <c r="Q13" s="20">
        <f t="shared" si="6"/>
        <v>6695.4470259599993</v>
      </c>
    </row>
    <row r="14" spans="1:17" x14ac:dyDescent="0.25">
      <c r="A14" t="s">
        <v>32</v>
      </c>
      <c r="B14">
        <v>4757.9524999999994</v>
      </c>
      <c r="C14" s="18">
        <f t="shared" si="2"/>
        <v>0.14374999999999999</v>
      </c>
      <c r="D14">
        <v>11.5</v>
      </c>
      <c r="E14">
        <f t="shared" si="0"/>
        <v>3910</v>
      </c>
      <c r="F14">
        <f t="shared" si="1"/>
        <v>847.95249999999942</v>
      </c>
      <c r="G14">
        <f t="shared" si="3"/>
        <v>42.397624999999969</v>
      </c>
      <c r="H14">
        <v>0</v>
      </c>
      <c r="I14">
        <f t="shared" si="5"/>
        <v>0</v>
      </c>
      <c r="J14">
        <f t="shared" si="7"/>
        <v>847.95249999999942</v>
      </c>
      <c r="M14">
        <v>0</v>
      </c>
      <c r="N14">
        <v>0</v>
      </c>
      <c r="O14">
        <f>J14+E14</f>
        <v>4757.9524999999994</v>
      </c>
      <c r="P14">
        <f>I14</f>
        <v>0</v>
      </c>
      <c r="Q14" s="20">
        <f t="shared" si="6"/>
        <v>12221.847745799998</v>
      </c>
    </row>
    <row r="15" spans="1:17" x14ac:dyDescent="0.25">
      <c r="B15">
        <f>SUM(B3:B14)</f>
        <v>33098.799999999996</v>
      </c>
      <c r="G15">
        <f>SUM(G3:G14)</f>
        <v>294.93999999999971</v>
      </c>
      <c r="J15">
        <f>SUM(J3:J14)</f>
        <v>5678.4609999999966</v>
      </c>
      <c r="P15" t="s">
        <v>45</v>
      </c>
      <c r="Q15" s="21">
        <f>SUM(Q3:Q14)</f>
        <v>77907.637799669988</v>
      </c>
    </row>
    <row r="16" spans="1:17" x14ac:dyDescent="0.25">
      <c r="N16" t="s">
        <v>44</v>
      </c>
    </row>
    <row r="17" spans="1:16" x14ac:dyDescent="0.25">
      <c r="N17" t="s">
        <v>33</v>
      </c>
      <c r="P17" s="24">
        <f>1.7267+0.27907-0.10813</f>
        <v>1.89764</v>
      </c>
    </row>
    <row r="18" spans="1:16" x14ac:dyDescent="0.25">
      <c r="A18" s="19" t="s">
        <v>34</v>
      </c>
      <c r="N18" t="s">
        <v>35</v>
      </c>
      <c r="P18" s="24">
        <f>0.7267+0.11734-0.10813</f>
        <v>0.73591000000000006</v>
      </c>
    </row>
    <row r="19" spans="1:16" x14ac:dyDescent="0.25">
      <c r="A19" t="s">
        <v>36</v>
      </c>
      <c r="N19" t="s">
        <v>37</v>
      </c>
      <c r="P19" s="24">
        <f>2.34949+0.36645-0.14722</f>
        <v>2.5687199999999999</v>
      </c>
    </row>
    <row r="20" spans="1:16" x14ac:dyDescent="0.25">
      <c r="A20" t="s">
        <v>38</v>
      </c>
      <c r="N20" t="s">
        <v>39</v>
      </c>
      <c r="P20" s="24">
        <f>1.34949+0.20472-0.14722</f>
        <v>1.4069900000000002</v>
      </c>
    </row>
    <row r="21" spans="1:16" x14ac:dyDescent="0.25">
      <c r="A21" t="s">
        <v>40</v>
      </c>
    </row>
    <row r="22" spans="1:16" x14ac:dyDescent="0.25">
      <c r="A22" t="s">
        <v>41</v>
      </c>
    </row>
    <row r="23" spans="1:16" x14ac:dyDescent="0.25">
      <c r="A23" t="s">
        <v>42</v>
      </c>
    </row>
    <row r="27" spans="1:16" x14ac:dyDescent="0.25">
      <c r="E27" s="18"/>
    </row>
    <row r="28" spans="1:16" x14ac:dyDescent="0.25">
      <c r="E28" s="18"/>
    </row>
    <row r="29" spans="1:16" x14ac:dyDescent="0.25">
      <c r="E29" s="18"/>
    </row>
    <row r="30" spans="1:16" x14ac:dyDescent="0.25">
      <c r="E30" s="18"/>
    </row>
    <row r="31" spans="1:16" x14ac:dyDescent="0.25">
      <c r="E31" s="18"/>
    </row>
    <row r="32" spans="1:16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</sheetData>
  <mergeCells count="1">
    <mergeCell ref="M1:P1"/>
  </mergeCells>
  <pageMargins left="0.7" right="0.45" top="0.75" bottom="0.75" header="0.3" footer="0.3"/>
  <pageSetup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view="pageLayout" topLeftCell="A2" zoomScaleNormal="100" workbookViewId="0">
      <selection activeCell="B6" sqref="B6:D6"/>
    </sheetView>
  </sheetViews>
  <sheetFormatPr defaultColWidth="9.140625" defaultRowHeight="15" x14ac:dyDescent="0.25"/>
  <cols>
    <col min="1" max="1" width="3" style="3" customWidth="1"/>
    <col min="2" max="2" width="6.5703125" style="3" customWidth="1"/>
    <col min="3" max="3" width="15.5703125" style="3" customWidth="1"/>
    <col min="4" max="4" width="19" style="3" customWidth="1"/>
    <col min="5" max="5" width="16.7109375" style="3" customWidth="1"/>
    <col min="6" max="6" width="15.5703125" style="4" customWidth="1"/>
    <col min="7" max="7" width="21.140625" style="4" customWidth="1"/>
    <col min="8" max="8" width="15.5703125" style="4" customWidth="1"/>
    <col min="9" max="9" width="3" style="3" customWidth="1"/>
    <col min="10" max="16384" width="9.140625" style="3"/>
  </cols>
  <sheetData>
    <row r="1" spans="2:13" ht="30" customHeight="1" x14ac:dyDescent="0.35">
      <c r="B1" s="1" t="s">
        <v>48</v>
      </c>
      <c r="C1" s="2"/>
      <c r="D1" s="2"/>
      <c r="E1" s="2"/>
      <c r="F1" s="1"/>
      <c r="G1" s="1"/>
      <c r="H1" s="1"/>
    </row>
    <row r="2" spans="2:13" ht="30" customHeight="1" x14ac:dyDescent="0.25">
      <c r="B2" s="32" t="s">
        <v>0</v>
      </c>
      <c r="C2" s="32"/>
      <c r="D2" s="32"/>
      <c r="E2" s="32"/>
    </row>
    <row r="3" spans="2:13" x14ac:dyDescent="0.25">
      <c r="B3" s="33" t="s">
        <v>52</v>
      </c>
      <c r="C3" s="33"/>
      <c r="D3" s="34"/>
      <c r="E3" s="23">
        <v>743586.31250134925</v>
      </c>
    </row>
    <row r="4" spans="2:13" x14ac:dyDescent="0.25">
      <c r="B4" s="30" t="s">
        <v>1</v>
      </c>
      <c r="C4" s="30"/>
      <c r="D4" s="31"/>
      <c r="E4" s="5">
        <v>9.3299999999999994E-2</v>
      </c>
    </row>
    <row r="5" spans="2:13" x14ac:dyDescent="0.25">
      <c r="B5" s="30" t="s">
        <v>53</v>
      </c>
      <c r="C5" s="30"/>
      <c r="D5" s="31"/>
      <c r="E5" s="6">
        <v>44470</v>
      </c>
    </row>
    <row r="6" spans="2:13" x14ac:dyDescent="0.25">
      <c r="B6" s="30" t="s">
        <v>46</v>
      </c>
      <c r="C6" s="30"/>
      <c r="D6" s="31"/>
      <c r="E6" s="22">
        <v>1</v>
      </c>
      <c r="H6" s="3"/>
    </row>
    <row r="7" spans="2:13" x14ac:dyDescent="0.25">
      <c r="B7" s="30" t="s">
        <v>47</v>
      </c>
      <c r="C7" s="30"/>
      <c r="D7" s="31"/>
      <c r="E7" s="22">
        <v>0.01</v>
      </c>
      <c r="H7" s="3"/>
    </row>
    <row r="8" spans="2:13" ht="65.25" customHeight="1" x14ac:dyDescent="0.25">
      <c r="B8" s="7"/>
      <c r="C8" s="8"/>
      <c r="D8" s="8"/>
      <c r="E8" s="9"/>
    </row>
    <row r="9" spans="2:13" ht="62.25" customHeight="1" x14ac:dyDescent="0.25">
      <c r="B9" s="10" t="s">
        <v>49</v>
      </c>
      <c r="C9" s="10" t="s">
        <v>2</v>
      </c>
      <c r="D9" s="10" t="s">
        <v>3</v>
      </c>
      <c r="E9" s="10" t="s">
        <v>4</v>
      </c>
      <c r="F9" s="11" t="s">
        <v>5</v>
      </c>
      <c r="G9" s="11" t="s">
        <v>6</v>
      </c>
      <c r="H9" s="11" t="s">
        <v>7</v>
      </c>
    </row>
    <row r="10" spans="2:13" x14ac:dyDescent="0.25">
      <c r="B10" s="12" t="str">
        <f>IFERROR(IF(Loan_Not_Paid*Values_Entered,Payment_Number,""), "")</f>
        <v/>
      </c>
      <c r="C10" s="13">
        <v>44866</v>
      </c>
      <c r="D10" s="14">
        <f>E3</f>
        <v>743586.31250134925</v>
      </c>
      <c r="E10" s="21">
        <f>'DNG Block Out'!Q15*E6</f>
        <v>77907.637799669988</v>
      </c>
      <c r="F10" s="15">
        <f t="shared" ref="F10:F25" si="0">E10-G10</f>
        <v>8531.03484329411</v>
      </c>
      <c r="G10" s="15">
        <f t="shared" ref="G10:G25" si="1">D10*($E$4/1)</f>
        <v>69376.602956375878</v>
      </c>
      <c r="H10" s="15">
        <f t="shared" ref="H10:H25" si="2">D10-E10+G10</f>
        <v>735055.27765805519</v>
      </c>
    </row>
    <row r="11" spans="2:13" x14ac:dyDescent="0.25">
      <c r="B11" s="12" t="str">
        <f>IFERROR(IF(Loan_Not_Paid*Values_Entered,Payment_Number,""), "")</f>
        <v/>
      </c>
      <c r="C11" s="13">
        <v>45231</v>
      </c>
      <c r="D11" s="14">
        <f>H10</f>
        <v>735055.27765805519</v>
      </c>
      <c r="E11" s="21">
        <f>E10*(1+$E$7)</f>
        <v>78686.714177666683</v>
      </c>
      <c r="F11" s="15">
        <f t="shared" si="0"/>
        <v>10106.056772170137</v>
      </c>
      <c r="G11" s="15">
        <f t="shared" si="1"/>
        <v>68580.657405496546</v>
      </c>
      <c r="H11" s="15">
        <f t="shared" si="2"/>
        <v>724949.22088588506</v>
      </c>
    </row>
    <row r="12" spans="2:13" x14ac:dyDescent="0.25">
      <c r="B12" s="12" t="str">
        <f>IFERROR(IF(Loan_Not_Paid*Values_Entered,Payment_Number,""), "")</f>
        <v/>
      </c>
      <c r="C12" s="13">
        <v>45597</v>
      </c>
      <c r="D12" s="14">
        <f t="shared" ref="D12:D27" si="3">H11</f>
        <v>724949.22088588506</v>
      </c>
      <c r="E12" s="21">
        <f t="shared" ref="E12:E29" si="4">E11*(1+$E$7)</f>
        <v>79473.581319443358</v>
      </c>
      <c r="F12" s="15">
        <f t="shared" si="0"/>
        <v>11835.819010790292</v>
      </c>
      <c r="G12" s="15">
        <f t="shared" si="1"/>
        <v>67637.762308653066</v>
      </c>
      <c r="H12" s="15">
        <f t="shared" si="2"/>
        <v>713113.40187509486</v>
      </c>
    </row>
    <row r="13" spans="2:13" x14ac:dyDescent="0.25">
      <c r="B13" s="12" t="str">
        <f>IFERROR(IF(Loan_Not_Paid*Values_Entered,Payment_Number,""), "")</f>
        <v/>
      </c>
      <c r="C13" s="13">
        <v>45962</v>
      </c>
      <c r="D13" s="14">
        <f t="shared" si="3"/>
        <v>713113.40187509486</v>
      </c>
      <c r="E13" s="21">
        <f t="shared" si="4"/>
        <v>80268.317132637792</v>
      </c>
      <c r="F13" s="15">
        <f t="shared" si="0"/>
        <v>13734.836737691439</v>
      </c>
      <c r="G13" s="15">
        <f t="shared" si="1"/>
        <v>66533.480394946353</v>
      </c>
      <c r="H13" s="15">
        <f t="shared" si="2"/>
        <v>699378.56513740332</v>
      </c>
      <c r="M13" s="3">
        <v>49.3</v>
      </c>
    </row>
    <row r="14" spans="2:13" x14ac:dyDescent="0.25">
      <c r="B14" s="3" t="str">
        <f>IFERROR(IF(Loan_Not_Paid*Values_Entered,Payment_Number,""), "")</f>
        <v/>
      </c>
      <c r="C14" s="13">
        <v>42675</v>
      </c>
      <c r="D14" s="14">
        <f t="shared" si="3"/>
        <v>699378.56513740332</v>
      </c>
      <c r="E14" s="21">
        <f t="shared" si="4"/>
        <v>81071.000303964174</v>
      </c>
      <c r="F14" s="17">
        <f t="shared" si="0"/>
        <v>15818.980176644451</v>
      </c>
      <c r="G14" s="17">
        <f t="shared" si="1"/>
        <v>65252.020127319724</v>
      </c>
      <c r="H14" s="17">
        <f t="shared" si="2"/>
        <v>683559.58496075892</v>
      </c>
      <c r="M14" s="3">
        <v>40.92</v>
      </c>
    </row>
    <row r="15" spans="2:13" x14ac:dyDescent="0.25">
      <c r="B15" s="3" t="str">
        <f>IFERROR(IF(Loan_Not_Paid*Values_Entered,Payment_Number,""), "")</f>
        <v/>
      </c>
      <c r="C15" s="13">
        <v>46692</v>
      </c>
      <c r="D15" s="14">
        <f t="shared" si="3"/>
        <v>683559.58496075892</v>
      </c>
      <c r="E15" s="21">
        <f t="shared" si="4"/>
        <v>81881.710307003814</v>
      </c>
      <c r="F15" s="17">
        <f t="shared" si="0"/>
        <v>18105.601030165009</v>
      </c>
      <c r="G15" s="17">
        <f t="shared" si="1"/>
        <v>63776.109276838804</v>
      </c>
      <c r="H15" s="17">
        <f t="shared" si="2"/>
        <v>665453.98393059394</v>
      </c>
      <c r="M15" s="3">
        <v>32.81</v>
      </c>
    </row>
    <row r="16" spans="2:13" x14ac:dyDescent="0.25">
      <c r="B16" s="3" t="str">
        <f>IFERROR(IF(Loan_Not_Paid*Values_Entered,Payment_Number,""), "")</f>
        <v/>
      </c>
      <c r="C16" s="13">
        <v>47058</v>
      </c>
      <c r="D16" s="14">
        <f t="shared" si="3"/>
        <v>665453.98393059394</v>
      </c>
      <c r="E16" s="21">
        <f t="shared" si="4"/>
        <v>82700.527410073846</v>
      </c>
      <c r="F16" s="17">
        <f t="shared" si="0"/>
        <v>20613.670709349433</v>
      </c>
      <c r="G16" s="17">
        <f t="shared" si="1"/>
        <v>62086.856700724413</v>
      </c>
      <c r="H16" s="17">
        <f t="shared" si="2"/>
        <v>644840.31322124461</v>
      </c>
      <c r="M16" s="3">
        <v>20.7</v>
      </c>
    </row>
    <row r="17" spans="2:13" x14ac:dyDescent="0.25">
      <c r="B17" s="3" t="str">
        <f>IFERROR(IF(Loan_Not_Paid*Values_Entered,Payment_Number,""), "")</f>
        <v/>
      </c>
      <c r="C17" s="13">
        <v>47423</v>
      </c>
      <c r="D17" s="14">
        <f t="shared" si="3"/>
        <v>644840.31322124461</v>
      </c>
      <c r="E17" s="21">
        <f t="shared" si="4"/>
        <v>83527.532684174585</v>
      </c>
      <c r="F17" s="17">
        <f t="shared" si="0"/>
        <v>23363.93146063247</v>
      </c>
      <c r="G17" s="17">
        <f t="shared" si="1"/>
        <v>60163.601223542115</v>
      </c>
      <c r="H17" s="17">
        <f t="shared" si="2"/>
        <v>621476.38176061213</v>
      </c>
      <c r="M17" s="3">
        <v>13.64</v>
      </c>
    </row>
    <row r="18" spans="2:13" x14ac:dyDescent="0.25">
      <c r="B18" s="3" t="str">
        <f>IFERROR(IF(Loan_Not_Paid*Values_Entered,Payment_Number,""), "")</f>
        <v/>
      </c>
      <c r="C18" s="13">
        <v>47788</v>
      </c>
      <c r="D18" s="14">
        <f t="shared" si="3"/>
        <v>621476.38176061213</v>
      </c>
      <c r="E18" s="21">
        <f t="shared" si="4"/>
        <v>84362.808011016328</v>
      </c>
      <c r="F18" s="17">
        <f t="shared" si="0"/>
        <v>26379.061592751219</v>
      </c>
      <c r="G18" s="17">
        <f t="shared" si="1"/>
        <v>57983.746418265109</v>
      </c>
      <c r="H18" s="17">
        <f t="shared" si="2"/>
        <v>595097.32016786095</v>
      </c>
      <c r="M18" s="3">
        <v>11.62</v>
      </c>
    </row>
    <row r="19" spans="2:13" x14ac:dyDescent="0.25">
      <c r="B19" s="3" t="str">
        <f>IFERROR(IF(Loan_Not_Paid*Values_Entered,Payment_Number,""), "")</f>
        <v/>
      </c>
      <c r="C19" s="13">
        <v>48153</v>
      </c>
      <c r="D19" s="14">
        <f t="shared" si="3"/>
        <v>595097.32016786095</v>
      </c>
      <c r="E19" s="21">
        <f t="shared" si="4"/>
        <v>85206.436091126496</v>
      </c>
      <c r="F19" s="17">
        <f t="shared" si="0"/>
        <v>29683.856119465076</v>
      </c>
      <c r="G19" s="17">
        <f t="shared" si="1"/>
        <v>55522.57997166142</v>
      </c>
      <c r="H19" s="17">
        <f t="shared" si="2"/>
        <v>565413.46404839586</v>
      </c>
      <c r="M19" s="3">
        <v>11.08</v>
      </c>
    </row>
    <row r="20" spans="2:13" x14ac:dyDescent="0.25">
      <c r="B20" s="3" t="str">
        <f>IFERROR(IF(Loan_Not_Paid*Values_Entered,Payment_Number,""), "")</f>
        <v/>
      </c>
      <c r="C20" s="13">
        <v>48519</v>
      </c>
      <c r="D20" s="14">
        <f t="shared" si="3"/>
        <v>565413.46404839586</v>
      </c>
      <c r="E20" s="21">
        <f t="shared" si="4"/>
        <v>86058.500452037755</v>
      </c>
      <c r="F20" s="17">
        <f t="shared" si="0"/>
        <v>33305.424256322425</v>
      </c>
      <c r="G20" s="17">
        <f t="shared" si="1"/>
        <v>52753.07619571533</v>
      </c>
      <c r="H20" s="17">
        <f t="shared" si="2"/>
        <v>532108.03979207342</v>
      </c>
      <c r="M20" s="3">
        <v>11.05</v>
      </c>
    </row>
    <row r="21" spans="2:13" x14ac:dyDescent="0.25">
      <c r="B21" s="3" t="str">
        <f>IFERROR(IF(Loan_Not_Paid*Values_Entered,Payment_Number,""), "")</f>
        <v/>
      </c>
      <c r="C21" s="13">
        <v>48884</v>
      </c>
      <c r="D21" s="14">
        <f t="shared" si="3"/>
        <v>532108.03979207342</v>
      </c>
      <c r="E21" s="21">
        <f t="shared" si="4"/>
        <v>86919.085456558139</v>
      </c>
      <c r="F21" s="17">
        <f t="shared" si="0"/>
        <v>37273.405343957689</v>
      </c>
      <c r="G21" s="17">
        <f t="shared" si="1"/>
        <v>49645.68011260045</v>
      </c>
      <c r="H21" s="17">
        <f t="shared" si="2"/>
        <v>494834.63444811571</v>
      </c>
      <c r="M21" s="3">
        <v>12.79</v>
      </c>
    </row>
    <row r="22" spans="2:13" x14ac:dyDescent="0.25">
      <c r="B22" s="3" t="str">
        <f>IFERROR(IF(Loan_Not_Paid*Values_Entered,Payment_Number,""), "")</f>
        <v/>
      </c>
      <c r="C22" s="13">
        <v>49249</v>
      </c>
      <c r="D22" s="14">
        <f t="shared" si="3"/>
        <v>494834.63444811571</v>
      </c>
      <c r="E22" s="21">
        <f t="shared" si="4"/>
        <v>87788.276311123715</v>
      </c>
      <c r="F22" s="17">
        <f t="shared" si="0"/>
        <v>41620.204917114519</v>
      </c>
      <c r="G22" s="17">
        <f t="shared" si="1"/>
        <v>46168.071394009196</v>
      </c>
      <c r="H22" s="17">
        <f t="shared" si="2"/>
        <v>453214.42953100114</v>
      </c>
      <c r="M22" s="3">
        <v>17.149999999999999</v>
      </c>
    </row>
    <row r="23" spans="2:13" x14ac:dyDescent="0.25">
      <c r="B23" s="3" t="str">
        <f>IFERROR(IF(Loan_Not_Paid*Values_Entered,Payment_Number,""), "")</f>
        <v/>
      </c>
      <c r="C23" s="13">
        <v>49614</v>
      </c>
      <c r="D23" s="14">
        <f t="shared" si="3"/>
        <v>453214.42953100114</v>
      </c>
      <c r="E23" s="21">
        <f t="shared" si="4"/>
        <v>88666.159074234951</v>
      </c>
      <c r="F23" s="17">
        <f t="shared" si="0"/>
        <v>46381.252798992551</v>
      </c>
      <c r="G23" s="17">
        <f t="shared" si="1"/>
        <v>42284.9062752424</v>
      </c>
      <c r="H23" s="17">
        <f t="shared" si="2"/>
        <v>406833.17673200858</v>
      </c>
      <c r="M23" s="3">
        <v>31.67</v>
      </c>
    </row>
    <row r="24" spans="2:13" x14ac:dyDescent="0.25">
      <c r="C24" s="13">
        <v>49980</v>
      </c>
      <c r="D24" s="14">
        <f t="shared" si="3"/>
        <v>406833.17673200858</v>
      </c>
      <c r="E24" s="21">
        <f t="shared" si="4"/>
        <v>89552.820664977306</v>
      </c>
      <c r="F24" s="17">
        <f t="shared" si="0"/>
        <v>51595.285275880909</v>
      </c>
      <c r="G24" s="17">
        <f t="shared" si="1"/>
        <v>37957.535389096396</v>
      </c>
      <c r="H24" s="17">
        <f t="shared" si="2"/>
        <v>355237.89145612769</v>
      </c>
      <c r="M24" s="3">
        <v>44.33</v>
      </c>
    </row>
    <row r="25" spans="2:13" x14ac:dyDescent="0.25">
      <c r="B25" s="3" t="str">
        <f>IFERROR(IF(Loan_Not_Paid*Values_Entered,Payment_Number,""), "")</f>
        <v/>
      </c>
      <c r="C25" s="13">
        <v>50345</v>
      </c>
      <c r="D25" s="14">
        <f t="shared" si="3"/>
        <v>355237.89145612769</v>
      </c>
      <c r="E25" s="21">
        <f t="shared" si="4"/>
        <v>90448.34887162708</v>
      </c>
      <c r="F25" s="17">
        <f t="shared" si="0"/>
        <v>57304.653598770368</v>
      </c>
      <c r="G25" s="17">
        <f t="shared" si="1"/>
        <v>33143.695272856712</v>
      </c>
      <c r="H25" s="17">
        <f t="shared" si="2"/>
        <v>297933.23785735737</v>
      </c>
      <c r="M25" s="3">
        <f>SUM(M13:M24)</f>
        <v>297.06</v>
      </c>
    </row>
    <row r="26" spans="2:13" x14ac:dyDescent="0.25">
      <c r="B26" s="3" t="str">
        <f>IFERROR(IF(Loan_Not_Paid*Values_Entered,Payment_Number,""), "")</f>
        <v/>
      </c>
      <c r="C26" s="13">
        <v>50710</v>
      </c>
      <c r="D26" s="14">
        <f t="shared" si="3"/>
        <v>297933.23785735737</v>
      </c>
      <c r="E26" s="21">
        <f t="shared" si="4"/>
        <v>91352.832360343353</v>
      </c>
      <c r="F26" s="17">
        <f t="shared" ref="F26:F27" si="5">E26-G26</f>
        <v>63555.661268251912</v>
      </c>
      <c r="G26" s="17">
        <f t="shared" ref="G26:G27" si="6">D26*($E$4/1)</f>
        <v>27797.171092091441</v>
      </c>
      <c r="H26" s="17">
        <f t="shared" ref="H26:H27" si="7">D26-E26+G26</f>
        <v>234377.57658910545</v>
      </c>
    </row>
    <row r="27" spans="2:13" x14ac:dyDescent="0.25">
      <c r="B27" s="3" t="str">
        <f>IFERROR(IF(Loan_Not_Paid*Values_Entered,Payment_Number,""), "")</f>
        <v/>
      </c>
      <c r="C27" s="13">
        <v>51075</v>
      </c>
      <c r="D27" s="14">
        <f t="shared" si="3"/>
        <v>234377.57658910545</v>
      </c>
      <c r="E27" s="21">
        <f t="shared" si="4"/>
        <v>92266.360683946783</v>
      </c>
      <c r="F27" s="17">
        <f t="shared" si="5"/>
        <v>70398.932788183243</v>
      </c>
      <c r="G27" s="17">
        <f t="shared" si="6"/>
        <v>21867.427895763536</v>
      </c>
      <c r="H27" s="17">
        <f t="shared" si="7"/>
        <v>163978.6438009222</v>
      </c>
    </row>
    <row r="28" spans="2:13" x14ac:dyDescent="0.25">
      <c r="B28" s="3" t="str">
        <f>IFERROR(IF(Loan_Not_Paid*Values_Entered,Payment_Number,""), "")</f>
        <v/>
      </c>
      <c r="C28" s="13">
        <v>51441</v>
      </c>
      <c r="D28" s="14">
        <f t="shared" ref="D28:D29" si="8">H27</f>
        <v>163978.6438009222</v>
      </c>
      <c r="E28" s="21">
        <f t="shared" si="4"/>
        <v>93189.024290786256</v>
      </c>
      <c r="F28" s="17">
        <f t="shared" ref="F28:F29" si="9">E28-G28</f>
        <v>77889.816824160211</v>
      </c>
      <c r="G28" s="17">
        <f t="shared" ref="G28:G29" si="10">D28*($E$4/1)</f>
        <v>15299.207466626041</v>
      </c>
      <c r="H28" s="17">
        <f t="shared" ref="H28" si="11">D28-E28+G28</f>
        <v>86088.826976761993</v>
      </c>
    </row>
    <row r="29" spans="2:13" x14ac:dyDescent="0.25">
      <c r="B29" s="3" t="str">
        <f>IFERROR(IF(Loan_Not_Paid*Values_Entered,Payment_Number,""), "")</f>
        <v/>
      </c>
      <c r="C29" s="13">
        <v>51806</v>
      </c>
      <c r="D29" s="14">
        <f t="shared" si="8"/>
        <v>86088.826976761993</v>
      </c>
      <c r="E29" s="21">
        <f t="shared" si="4"/>
        <v>94120.914533694115</v>
      </c>
      <c r="F29" s="17">
        <f t="shared" si="9"/>
        <v>86088.826976762226</v>
      </c>
      <c r="G29" s="17">
        <f t="shared" si="10"/>
        <v>8032.0875569318932</v>
      </c>
      <c r="H29" s="17">
        <f>D29-E29+G29</f>
        <v>-2.2828317014500499E-10</v>
      </c>
    </row>
    <row r="30" spans="2:13" x14ac:dyDescent="0.25">
      <c r="B30" s="3" t="str">
        <f>IFERROR(IF(Loan_Not_Paid*Values_Entered,Payment_Number,""), "")</f>
        <v/>
      </c>
      <c r="C30" s="13"/>
      <c r="D30" s="14"/>
      <c r="E30" s="16"/>
      <c r="F30" s="17"/>
      <c r="G30" s="17"/>
      <c r="H30" s="17"/>
    </row>
    <row r="31" spans="2:13" x14ac:dyDescent="0.25">
      <c r="B31" s="3" t="str">
        <f>IFERROR(IF(Loan_Not_Paid*Values_Entered,Payment_Number,""), "")</f>
        <v/>
      </c>
      <c r="C31" s="13"/>
      <c r="D31" s="14"/>
      <c r="E31" s="16"/>
      <c r="F31" s="17"/>
      <c r="G31" s="17"/>
      <c r="H31" s="17"/>
    </row>
    <row r="32" spans="2:13" x14ac:dyDescent="0.25">
      <c r="B32" s="3" t="str">
        <f>IFERROR(IF(Loan_Not_Paid*Values_Entered,Payment_Number,""), "")</f>
        <v/>
      </c>
      <c r="C32" s="13"/>
      <c r="D32" s="14"/>
      <c r="E32" s="16"/>
      <c r="F32" s="17"/>
      <c r="G32" s="17"/>
      <c r="H32" s="17"/>
    </row>
    <row r="33" spans="2:8" x14ac:dyDescent="0.25">
      <c r="B33" s="3" t="str">
        <f>IFERROR(IF(Loan_Not_Paid*Values_Entered,Payment_Number,""), "")</f>
        <v/>
      </c>
      <c r="C33" s="13"/>
      <c r="D33" s="14"/>
      <c r="E33" s="16"/>
      <c r="F33" s="17"/>
      <c r="G33" s="17"/>
      <c r="H33" s="17"/>
    </row>
    <row r="34" spans="2:8" x14ac:dyDescent="0.25">
      <c r="C34" s="13"/>
      <c r="D34" s="14"/>
      <c r="E34" s="16"/>
      <c r="F34" s="17"/>
      <c r="G34" s="17"/>
      <c r="H34" s="17"/>
    </row>
    <row r="35" spans="2:8" x14ac:dyDescent="0.25">
      <c r="C35" s="13"/>
      <c r="D35" s="14"/>
      <c r="E35" s="16"/>
      <c r="F35" s="17"/>
      <c r="G35" s="17"/>
      <c r="H35" s="17"/>
    </row>
    <row r="36" spans="2:8" x14ac:dyDescent="0.25">
      <c r="C36" s="13"/>
      <c r="D36" s="14"/>
      <c r="E36" s="16"/>
      <c r="F36" s="17"/>
      <c r="G36" s="17"/>
      <c r="H36" s="17"/>
    </row>
    <row r="37" spans="2:8" x14ac:dyDescent="0.25">
      <c r="C37" s="13"/>
      <c r="D37" s="14"/>
      <c r="E37" s="16"/>
      <c r="F37" s="17"/>
      <c r="G37" s="17"/>
      <c r="H37" s="17"/>
    </row>
    <row r="38" spans="2:8" x14ac:dyDescent="0.25">
      <c r="C38" s="13"/>
      <c r="D38" s="14"/>
      <c r="E38" s="16"/>
      <c r="F38" s="17"/>
      <c r="G38" s="17"/>
      <c r="H38" s="17"/>
    </row>
    <row r="39" spans="2:8" x14ac:dyDescent="0.25">
      <c r="C39" s="13"/>
      <c r="D39" s="14"/>
      <c r="E39" s="16"/>
      <c r="F39" s="17"/>
      <c r="G39" s="17"/>
      <c r="H39" s="17"/>
    </row>
    <row r="40" spans="2:8" x14ac:dyDescent="0.25">
      <c r="C40" s="13"/>
      <c r="D40" s="14"/>
      <c r="E40" s="16"/>
      <c r="F40" s="17"/>
      <c r="G40" s="17"/>
      <c r="H40" s="17"/>
    </row>
    <row r="41" spans="2:8" x14ac:dyDescent="0.25">
      <c r="C41" s="13"/>
      <c r="D41" s="14"/>
      <c r="E41" s="16"/>
      <c r="F41" s="17"/>
      <c r="G41" s="17"/>
      <c r="H41" s="17"/>
    </row>
    <row r="42" spans="2:8" x14ac:dyDescent="0.25">
      <c r="C42" s="13"/>
      <c r="D42" s="14"/>
      <c r="E42" s="16"/>
      <c r="F42" s="17"/>
      <c r="G42" s="17"/>
      <c r="H42" s="17"/>
    </row>
    <row r="43" spans="2:8" x14ac:dyDescent="0.25">
      <c r="C43" s="13"/>
      <c r="D43" s="14"/>
      <c r="E43" s="16"/>
      <c r="F43" s="17"/>
      <c r="G43" s="17"/>
      <c r="H43" s="17"/>
    </row>
    <row r="44" spans="2:8" x14ac:dyDescent="0.25">
      <c r="C44" s="13"/>
      <c r="D44" s="14"/>
      <c r="E44" s="16"/>
      <c r="F44" s="17"/>
      <c r="G44" s="17"/>
      <c r="H44" s="17"/>
    </row>
    <row r="45" spans="2:8" x14ac:dyDescent="0.25">
      <c r="C45" s="13"/>
      <c r="D45" s="14"/>
      <c r="E45" s="16"/>
      <c r="F45" s="17"/>
      <c r="G45" s="17"/>
      <c r="H45" s="17"/>
    </row>
    <row r="46" spans="2:8" x14ac:dyDescent="0.25">
      <c r="C46" s="13"/>
      <c r="D46" s="14"/>
      <c r="E46" s="16"/>
      <c r="F46" s="17"/>
      <c r="G46" s="17"/>
      <c r="H46" s="17"/>
    </row>
    <row r="47" spans="2:8" x14ac:dyDescent="0.25">
      <c r="C47" s="13"/>
      <c r="D47" s="14"/>
      <c r="E47" s="16"/>
      <c r="F47" s="17"/>
      <c r="G47" s="17"/>
      <c r="H47" s="17"/>
    </row>
    <row r="48" spans="2:8" x14ac:dyDescent="0.25">
      <c r="C48" s="13"/>
      <c r="D48" s="14"/>
      <c r="E48" s="16"/>
      <c r="F48" s="17"/>
      <c r="G48" s="17"/>
      <c r="H48" s="17"/>
    </row>
  </sheetData>
  <mergeCells count="6">
    <mergeCell ref="B7:D7"/>
    <mergeCell ref="B2:E2"/>
    <mergeCell ref="B3:D3"/>
    <mergeCell ref="B4:D4"/>
    <mergeCell ref="B5:D5"/>
    <mergeCell ref="B6:D6"/>
  </mergeCells>
  <conditionalFormatting sqref="C10:E29">
    <cfRule type="expression" dxfId="10" priority="1" stopIfTrue="1">
      <formula>NOT(Loan_Not_Paid)</formula>
    </cfRule>
    <cfRule type="expression" dxfId="9" priority="2" stopIfTrue="1">
      <formula>IF(ROW(C10)=Last_Row,TRUE,FALSE)</formula>
    </cfRule>
  </conditionalFormatting>
  <conditionalFormatting sqref="B10:B29">
    <cfRule type="expression" dxfId="8" priority="3" stopIfTrue="1">
      <formula>NOT(Loan_Not_Paid)</formula>
    </cfRule>
    <cfRule type="expression" dxfId="7" priority="4" stopIfTrue="1">
      <formula>IF(ROW(B10)=Last_Row,TRUE,FALSE)</formula>
    </cfRule>
  </conditionalFormatting>
  <dataValidations count="16">
    <dataValidation allowBlank="1" showInputMessage="1" showErrorMessage="1" prompt="Create a loan repayment schedule using this Loan calculator and amortization worksheet. Total interest and total payments are automatically calculated" sqref="A1"/>
    <dataValidation allowBlank="1" showInputMessage="1" showErrorMessage="1" prompt="Title of this worksheet is in this cell. Enter Loan values in cells E3 through E6. Loan summary in cells E8 through E11 and Loan table are automatically updated" sqref="B1"/>
    <dataValidation allowBlank="1" showInputMessage="1" showErrorMessage="1" prompt="Enter Loan amount in cell at right" sqref="B3:D3"/>
    <dataValidation allowBlank="1" showInputMessage="1" showErrorMessage="1" prompt="Enter Loan amount in this cell" sqref="E3"/>
    <dataValidation allowBlank="1" showInputMessage="1" showErrorMessage="1" prompt="Enter Annual interest rate in cell at right" sqref="B4:D4"/>
    <dataValidation allowBlank="1" showInputMessage="1" showErrorMessage="1" prompt="Enter Start date of loan in cell at right" sqref="B5:D7"/>
    <dataValidation allowBlank="1" showInputMessage="1" showErrorMessage="1" prompt="Enter Start date of loan in this cell" sqref="E5"/>
    <dataValidation allowBlank="1" showInputMessage="1" showErrorMessage="1" prompt="Enter values in cells E3 through E6 for each description in column B. Values in cells E8 through E11 are automatically calculated" sqref="B2"/>
    <dataValidation allowBlank="1" showInputMessage="1" showErrorMessage="1" prompt="Payment Number is automatically updated in this column under this heading" sqref="B9"/>
    <dataValidation allowBlank="1" showInputMessage="1" showErrorMessage="1" prompt="Payment Date is automatically updated in this column under this heading" sqref="C9"/>
    <dataValidation allowBlank="1" showInputMessage="1" showErrorMessage="1" prompt="Beginning Balance is automatically calculated in this column under this heading" sqref="D9"/>
    <dataValidation allowBlank="1" showInputMessage="1" showErrorMessage="1" prompt="Payment amount is automatically calculated in this column under this heading" sqref="E9"/>
    <dataValidation allowBlank="1" showInputMessage="1" showErrorMessage="1" prompt="Principal amount is automatically updated in this column under this heading" sqref="F9"/>
    <dataValidation allowBlank="1" showInputMessage="1" showErrorMessage="1" prompt="Interest amount is automatically updated in this column under this heading" sqref="G9"/>
    <dataValidation allowBlank="1" showInputMessage="1" showErrorMessage="1" prompt="Ending Balance is automatically updated in this column under this heading" sqref="H9"/>
    <dataValidation allowBlank="1" showInputMessage="1" showErrorMessage="1" prompt="Enter Annual interest rate in this cell" sqref="E4"/>
  </dataValidations>
  <pageMargins left="0.7" right="0.7" top="0.75" bottom="0.75" header="0.3" footer="0.3"/>
  <pageSetup scale="59" orientation="portrait" r:id="rId1"/>
  <headerFooter>
    <oddHeader>&amp;RDominion Energy Utah
Docket No. 19-057-32
DEU Exhibit 1.06
Page 2 of 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DNG Block Out</vt:lpstr>
      <vt:lpstr>Yearly Amortization</vt:lpstr>
      <vt:lpstr>'Yearly Amortization'!Print_Area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maddie1</dc:creator>
  <cp:lastModifiedBy>Fred Nass</cp:lastModifiedBy>
  <cp:lastPrinted>2019-12-02T20:04:57Z</cp:lastPrinted>
  <dcterms:created xsi:type="dcterms:W3CDTF">2019-11-13T21:33:06Z</dcterms:created>
  <dcterms:modified xsi:type="dcterms:W3CDTF">2019-12-04T15:30:53Z</dcterms:modified>
</cp:coreProperties>
</file>