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1505" windowHeight="9015" activeTab="0"/>
  </bookViews>
  <sheets>
    <sheet name="Total" sheetId="1" r:id="rId1"/>
    <sheet name="Incremental" sheetId="2" r:id="rId2"/>
    <sheet name="Capacity" sheetId="3" r:id="rId3"/>
    <sheet name="Energy" sheetId="4" r:id="rId4"/>
  </sheets>
  <definedNames>
    <definedName name="Discount_Rate">'Total'!$I$32</definedName>
    <definedName name="_xlnm.Print_Area" localSheetId="2">'Capacity'!$A$1:$M$37</definedName>
    <definedName name="_xlnm.Print_Area" localSheetId="3">'Energy'!$A$1:$H$37</definedName>
    <definedName name="_xlnm.Print_Area" localSheetId="1">'Incremental'!$A$1:$I$38</definedName>
    <definedName name="_xlnm.Print_Area" localSheetId="0">'Total'!$A$1:$G$38</definedName>
    <definedName name="RevenueSum">"GRID Thermal Revenue!R2C1:R4C2"</definedName>
  </definedNames>
  <calcPr fullCalcOnLoad="1"/>
</workbook>
</file>

<file path=xl/sharedStrings.xml><?xml version="1.0" encoding="utf-8"?>
<sst xmlns="http://schemas.openxmlformats.org/spreadsheetml/2006/main" count="48" uniqueCount="42">
  <si>
    <t>Year</t>
  </si>
  <si>
    <t>Discount Rate</t>
  </si>
  <si>
    <t xml:space="preserve">Official Price </t>
  </si>
  <si>
    <t>All Other</t>
  </si>
  <si>
    <t>Changes</t>
  </si>
  <si>
    <t>Utah Quarterly Compliance Filing</t>
  </si>
  <si>
    <t>$/kW-Year</t>
  </si>
  <si>
    <t xml:space="preserve">(1)   Capacity costs are allocated assuming an 85% capacity factor. </t>
  </si>
  <si>
    <t>(2)   Studies are sequential.  The order of the studies would effect the price impact.</t>
  </si>
  <si>
    <t>(4)   Discount Rate - Company Official Discount Rate</t>
  </si>
  <si>
    <t>Appendix C</t>
  </si>
  <si>
    <t>(2)   Discount Rate - Company Official Discount Rate</t>
  </si>
  <si>
    <t>(1)   Studies are sequential.  The order of the studies would effect the price impact.</t>
  </si>
  <si>
    <t>Total</t>
  </si>
  <si>
    <t>Change</t>
  </si>
  <si>
    <t>2009 Q2</t>
  </si>
  <si>
    <t>Load Forecast</t>
  </si>
  <si>
    <t>Difference</t>
  </si>
  <si>
    <t>Total Avoided Cost Prices $/MWH (1) (2)</t>
  </si>
  <si>
    <t>Avoided Cost Impact of Changing Assumptions $/MWH (1) (2)</t>
  </si>
  <si>
    <t>$/MWH @ 85% Capacity Factor (1)</t>
  </si>
  <si>
    <t>GRID Calculated Energy Avoided Cost Prices $/MWH (1)</t>
  </si>
  <si>
    <t>As Filed</t>
  </si>
  <si>
    <t>Forecast 1209 (3)</t>
  </si>
  <si>
    <t>(3)   Offical Price Forecast Dated December 31, 2009</t>
  </si>
  <si>
    <t>2009 Q4</t>
  </si>
  <si>
    <t>Capacity Avoided Cost Prices (3)</t>
  </si>
  <si>
    <t>Step Study between 2009 Q2 and 2009 Q4 Compliance Filing</t>
  </si>
  <si>
    <t>(2)   Offical Price Forecast Dated December 31, 2009</t>
  </si>
  <si>
    <t>(3)   Discount Rate - Company Official Discount Rate</t>
  </si>
  <si>
    <t>(3)   Cost change is primarily related to including fixed pipeline costs</t>
  </si>
  <si>
    <t>Commission Order</t>
  </si>
  <si>
    <t>(4)</t>
  </si>
  <si>
    <t>Other</t>
  </si>
  <si>
    <t>Commission</t>
  </si>
  <si>
    <t>Order (5)</t>
  </si>
  <si>
    <t>(4)   Commission Order in Docket 09-035-T14 - Exclude Enviromental Tax</t>
  </si>
  <si>
    <t>2009 Q2 (4)</t>
  </si>
  <si>
    <t>Check Totals</t>
  </si>
  <si>
    <t>Dated October 2009</t>
  </si>
  <si>
    <t>(5)   Commission Order in Docket 09-035-T14 - Include Pipeline Transportation Costs - Exclude Enviromental Tax</t>
  </si>
  <si>
    <t>(4)   Commission Order in Docket 09-035-T14 - Include Pipeline Transportation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</si>
</sst>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_);_(* \(#,##0.00\);_(* &quot;-&quot;_);_(@_)"/>
    <numFmt numFmtId="166" formatCode="_(* #,##0_);[Red]_(* \(#,##0\);_(* &quot;-&quot;_);_(@_)"/>
    <numFmt numFmtId="167" formatCode="_(&quot;$&quot;* #,##0.00_);[Red]_(&quot;$&quot;* \(#,##0.00\);_(&quot;$&quot;* &quot;-&quot;?_);_(@_)"/>
    <numFmt numFmtId="168" formatCode="_(* #,##0.00_);[Red]_(* \(#,##0.00\);_(* &quot;-&quot;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>
      <protection locked="0"/>
    </xf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166" fontId="0" fillId="0" borderId="0" xfId="0" applyAlignment="1">
      <alignment/>
    </xf>
    <xf numFmtId="166" fontId="4" fillId="0" borderId="0" xfId="0" applyFont="1" applyAlignment="1">
      <alignment/>
    </xf>
    <xf numFmtId="166" fontId="3" fillId="0" borderId="1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6" fontId="4" fillId="0" borderId="0" xfId="0" applyFont="1" applyFill="1" applyAlignment="1">
      <alignment/>
    </xf>
    <xf numFmtId="7" fontId="4" fillId="0" borderId="11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1" fontId="0" fillId="0" borderId="0" xfId="55" applyNumberFormat="1" applyFill="1" applyAlignment="1" applyProtection="1">
      <alignment horizontal="center"/>
      <protection locked="0"/>
    </xf>
    <xf numFmtId="166" fontId="3" fillId="0" borderId="0" xfId="0" applyFont="1" applyAlignment="1">
      <alignment horizontal="centerContinuous"/>
    </xf>
    <xf numFmtId="166" fontId="3" fillId="0" borderId="12" xfId="0" applyFont="1" applyBorder="1" applyAlignment="1">
      <alignment/>
    </xf>
    <xf numFmtId="166" fontId="3" fillId="0" borderId="13" xfId="0" applyFont="1" applyBorder="1" applyAlignment="1">
      <alignment horizontal="center"/>
    </xf>
    <xf numFmtId="166" fontId="3" fillId="0" borderId="14" xfId="0" applyFont="1" applyBorder="1" applyAlignment="1">
      <alignment horizontal="center"/>
    </xf>
    <xf numFmtId="10" fontId="4" fillId="0" borderId="0" xfId="0" applyNumberFormat="1" applyFont="1" applyAlignment="1">
      <alignment/>
    </xf>
    <xf numFmtId="166" fontId="4" fillId="0" borderId="0" xfId="0" applyFont="1" applyAlignment="1" quotePrefix="1">
      <alignment/>
    </xf>
    <xf numFmtId="166" fontId="4" fillId="0" borderId="0" xfId="0" applyFont="1" applyAlignment="1">
      <alignment horizontal="centerContinuous"/>
    </xf>
    <xf numFmtId="166" fontId="3" fillId="0" borderId="12" xfId="0" applyFont="1" applyBorder="1" applyAlignment="1">
      <alignment horizontal="centerContinuous"/>
    </xf>
    <xf numFmtId="166" fontId="3" fillId="0" borderId="14" xfId="0" applyFont="1" applyBorder="1" applyAlignment="1">
      <alignment horizontal="centerContinuous"/>
    </xf>
    <xf numFmtId="7" fontId="4" fillId="0" borderId="0" xfId="0" applyNumberFormat="1" applyFont="1" applyAlignment="1">
      <alignment/>
    </xf>
    <xf numFmtId="166" fontId="4" fillId="0" borderId="0" xfId="0" applyFont="1" applyAlignment="1">
      <alignment horizontal="center"/>
    </xf>
    <xf numFmtId="166" fontId="3" fillId="0" borderId="11" xfId="0" applyFont="1" applyBorder="1" applyAlignment="1">
      <alignment horizontal="center"/>
    </xf>
    <xf numFmtId="166" fontId="3" fillId="0" borderId="15" xfId="0" applyFont="1" applyBorder="1" applyAlignment="1">
      <alignment horizontal="center"/>
    </xf>
    <xf numFmtId="166" fontId="6" fillId="0" borderId="10" xfId="0" applyFont="1" applyBorder="1" applyAlignment="1">
      <alignment horizontal="center"/>
    </xf>
    <xf numFmtId="16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7" fontId="4" fillId="0" borderId="0" xfId="0" applyNumberFormat="1" applyFont="1" applyAlignment="1">
      <alignment horizontal="center"/>
    </xf>
    <xf numFmtId="164" fontId="4" fillId="0" borderId="0" xfId="58" applyNumberFormat="1" applyFont="1" applyAlignment="1">
      <alignment/>
    </xf>
    <xf numFmtId="166" fontId="3" fillId="0" borderId="10" xfId="0" applyFont="1" applyBorder="1" applyAlignment="1" quotePrefix="1">
      <alignment horizontal="center"/>
    </xf>
    <xf numFmtId="166" fontId="3" fillId="0" borderId="11" xfId="0" applyFont="1" applyBorder="1" applyAlignment="1" quotePrefix="1">
      <alignment horizontal="center"/>
    </xf>
    <xf numFmtId="168" fontId="4" fillId="0" borderId="0" xfId="0" applyNumberFormat="1" applyFont="1" applyAlignment="1">
      <alignment/>
    </xf>
    <xf numFmtId="166" fontId="3" fillId="0" borderId="15" xfId="0" applyFont="1" applyBorder="1" applyAlignment="1">
      <alignment horizontal="centerContinuous"/>
    </xf>
    <xf numFmtId="166" fontId="3" fillId="0" borderId="16" xfId="0" applyFont="1" applyBorder="1" applyAlignment="1">
      <alignment horizontal="centerContinuous"/>
    </xf>
    <xf numFmtId="166" fontId="4" fillId="0" borderId="17" xfId="0" applyFont="1" applyBorder="1" applyAlignment="1">
      <alignment horizontal="centerContinuous"/>
    </xf>
    <xf numFmtId="166" fontId="4" fillId="0" borderId="13" xfId="0" applyFont="1" applyBorder="1" applyAlignment="1">
      <alignment horizontal="centerContinuous"/>
    </xf>
    <xf numFmtId="166" fontId="4" fillId="0" borderId="18" xfId="0" applyFont="1" applyBorder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-INF-10-15-04-TEMPLA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P37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C7" sqref="C7"/>
    </sheetView>
  </sheetViews>
  <sheetFormatPr defaultColWidth="9.140625" defaultRowHeight="12.75"/>
  <cols>
    <col min="1" max="1" width="1.8515625" style="1" customWidth="1"/>
    <col min="2" max="2" width="20.421875" style="1" customWidth="1"/>
    <col min="3" max="6" width="24.421875" style="1" customWidth="1"/>
    <col min="7" max="8" width="3.8515625" style="1" customWidth="1"/>
    <col min="9" max="9" width="8.57421875" style="1" customWidth="1"/>
    <col min="10" max="14" width="9.140625" style="1" customWidth="1"/>
    <col min="15" max="15" width="10.28125" style="1" customWidth="1"/>
    <col min="16" max="16384" width="9.140625" style="1" customWidth="1"/>
  </cols>
  <sheetData>
    <row r="1" spans="2:6" ht="15.75">
      <c r="B1" s="8" t="s">
        <v>10</v>
      </c>
      <c r="C1" s="8"/>
      <c r="D1" s="8"/>
      <c r="E1" s="8"/>
      <c r="F1" s="8"/>
    </row>
    <row r="2" spans="2:6" ht="8.25" customHeight="1">
      <c r="B2" s="8"/>
      <c r="C2" s="8"/>
      <c r="D2" s="8"/>
      <c r="E2" s="8"/>
      <c r="F2" s="8"/>
    </row>
    <row r="3" spans="2:6" ht="15.75">
      <c r="B3" s="8" t="s">
        <v>5</v>
      </c>
      <c r="C3" s="8"/>
      <c r="D3" s="8"/>
      <c r="E3" s="8"/>
      <c r="F3" s="8"/>
    </row>
    <row r="4" spans="2:6" ht="15.75">
      <c r="B4" s="8" t="s">
        <v>27</v>
      </c>
      <c r="C4" s="8"/>
      <c r="D4" s="8"/>
      <c r="E4" s="8"/>
      <c r="F4" s="8"/>
    </row>
    <row r="5" spans="2:6" ht="15.75">
      <c r="B5" s="8" t="s">
        <v>18</v>
      </c>
      <c r="C5" s="8"/>
      <c r="D5" s="8"/>
      <c r="E5" s="8"/>
      <c r="F5" s="8"/>
    </row>
    <row r="6" spans="2:6" ht="15.75">
      <c r="B6" s="8"/>
      <c r="C6" s="8"/>
      <c r="D6" s="8"/>
      <c r="E6" s="8"/>
      <c r="F6" s="8"/>
    </row>
    <row r="7" spans="2:6" ht="15.75">
      <c r="B7" s="9"/>
      <c r="C7" s="11" t="s">
        <v>15</v>
      </c>
      <c r="D7" s="11" t="s">
        <v>16</v>
      </c>
      <c r="E7" s="11" t="s">
        <v>2</v>
      </c>
      <c r="F7" s="11" t="s">
        <v>25</v>
      </c>
    </row>
    <row r="8" spans="2:6" ht="15.75">
      <c r="B8" s="10" t="s">
        <v>0</v>
      </c>
      <c r="C8" s="2" t="s">
        <v>22</v>
      </c>
      <c r="D8" s="21" t="s">
        <v>39</v>
      </c>
      <c r="E8" s="2" t="s">
        <v>23</v>
      </c>
      <c r="F8" s="2" t="s">
        <v>22</v>
      </c>
    </row>
    <row r="9" ht="4.5" customHeight="1"/>
    <row r="10" spans="2:6" ht="15.75">
      <c r="B10" s="3">
        <v>2010</v>
      </c>
      <c r="C10" s="6">
        <f>Capacity!$I10+Energy!C10</f>
        <v>39.58872768938073</v>
      </c>
      <c r="D10" s="6">
        <f>Capacity!$I10+Energy!D10</f>
        <v>37.30233198552261</v>
      </c>
      <c r="E10" s="6">
        <f>Capacity!$I10+Energy!E10+Capacity!K10</f>
        <v>38.120937902731214</v>
      </c>
      <c r="F10" s="6">
        <f>Capacity!$G10+Energy!G10</f>
        <v>39.18107842312792</v>
      </c>
    </row>
    <row r="11" spans="2:6" ht="15.75">
      <c r="B11" s="3">
        <f aca="true" t="shared" si="0" ref="B11:B29">B10+1</f>
        <v>2011</v>
      </c>
      <c r="C11" s="6">
        <f>Capacity!$I11+Energy!C11</f>
        <v>46.80745547004494</v>
      </c>
      <c r="D11" s="6">
        <f>Capacity!$I11+Energy!D11</f>
        <v>44.40557187183362</v>
      </c>
      <c r="E11" s="6">
        <f>Capacity!$I11+Energy!E11+Capacity!K11</f>
        <v>42.755333322988704</v>
      </c>
      <c r="F11" s="6">
        <f>Capacity!$G11+Energy!G11</f>
        <v>42.243758052189506</v>
      </c>
    </row>
    <row r="12" spans="2:6" ht="15.75">
      <c r="B12" s="3">
        <f t="shared" si="0"/>
        <v>2012</v>
      </c>
      <c r="C12" s="6">
        <f>Capacity!$I12+Energy!C12</f>
        <v>49.20763734060128</v>
      </c>
      <c r="D12" s="6">
        <f>Capacity!$I12+Energy!D12</f>
        <v>47.48011921356736</v>
      </c>
      <c r="E12" s="6">
        <f>Capacity!$I12+Energy!E12+Capacity!K12</f>
        <v>45.04833529071437</v>
      </c>
      <c r="F12" s="6">
        <f>Capacity!$G12+Energy!G12</f>
        <v>45.01245302007672</v>
      </c>
    </row>
    <row r="13" spans="2:16" ht="15.75">
      <c r="B13" s="3">
        <f t="shared" si="0"/>
        <v>2013</v>
      </c>
      <c r="C13" s="6">
        <f>Capacity!$I13+Energy!C13</f>
        <v>53.693075420359634</v>
      </c>
      <c r="D13" s="6">
        <f>Capacity!$I13+Energy!D13</f>
        <v>52.498146341931005</v>
      </c>
      <c r="E13" s="6">
        <f>Capacity!$I13+Energy!E13+Capacity!K13</f>
        <v>50.5412016005097</v>
      </c>
      <c r="F13" s="6">
        <f>Capacity!$G13+Energy!G13</f>
        <v>49.47259187793156</v>
      </c>
      <c r="P13" s="7"/>
    </row>
    <row r="14" spans="2:6" ht="15.75">
      <c r="B14" s="3">
        <f t="shared" si="0"/>
        <v>2014</v>
      </c>
      <c r="C14" s="6">
        <f>Capacity!$I14+Energy!C14</f>
        <v>55.51252385499849</v>
      </c>
      <c r="D14" s="6">
        <f>Capacity!$I14+Energy!D14</f>
        <v>55.12736390239573</v>
      </c>
      <c r="E14" s="6">
        <f>Capacity!$I14+Energy!E14+Capacity!K14</f>
        <v>54.762392970059835</v>
      </c>
      <c r="F14" s="6">
        <f>Capacity!$G14+Energy!G14</f>
        <v>53.26490916662049</v>
      </c>
    </row>
    <row r="15" spans="2:6" ht="15.75">
      <c r="B15" s="3">
        <f t="shared" si="0"/>
        <v>2015</v>
      </c>
      <c r="C15" s="6">
        <f>Capacity!$I15+Energy!C15</f>
        <v>61.37502145697901</v>
      </c>
      <c r="D15" s="6">
        <f>Capacity!$I15+Energy!D15</f>
        <v>60.990248450838834</v>
      </c>
      <c r="E15" s="6">
        <f>Capacity!$I15+Energy!E15+Capacity!K15</f>
        <v>60.13982744488669</v>
      </c>
      <c r="F15" s="6">
        <f>Capacity!$G15+Energy!G15</f>
        <v>59.5057564261522</v>
      </c>
    </row>
    <row r="16" spans="2:6" ht="15.75">
      <c r="B16" s="3">
        <f t="shared" si="0"/>
        <v>2016</v>
      </c>
      <c r="C16" s="6">
        <f>Capacity!$I16+Energy!C16</f>
        <v>63.09234638648963</v>
      </c>
      <c r="D16" s="6">
        <f>Capacity!$I16+Energy!D16</f>
        <v>62.91262139092878</v>
      </c>
      <c r="E16" s="6">
        <f>Capacity!$I16+Energy!E16+Capacity!K16</f>
        <v>64.00341936444339</v>
      </c>
      <c r="F16" s="6">
        <f>Capacity!$G16+Energy!G16</f>
        <v>63.54174302632468</v>
      </c>
    </row>
    <row r="17" spans="2:6" ht="15.75">
      <c r="B17" s="3">
        <f t="shared" si="0"/>
        <v>2017</v>
      </c>
      <c r="C17" s="6">
        <f>Capacity!$I17+Energy!C17</f>
        <v>64.68125670701858</v>
      </c>
      <c r="D17" s="6">
        <f>Capacity!$I17+Energy!D17</f>
        <v>64.51479187801708</v>
      </c>
      <c r="E17" s="6">
        <f>Capacity!$I17+Energy!E17+Capacity!K17</f>
        <v>68.4982872250514</v>
      </c>
      <c r="F17" s="6">
        <f>Capacity!$G17+Energy!G17</f>
        <v>67.79510571858702</v>
      </c>
    </row>
    <row r="18" spans="2:6" ht="15.75">
      <c r="B18" s="3">
        <f t="shared" si="0"/>
        <v>2018</v>
      </c>
      <c r="C18" s="6">
        <f>Capacity!$I18+Energy!C18</f>
        <v>65.1853760679657</v>
      </c>
      <c r="D18" s="6">
        <f>Capacity!$I18+Energy!D18</f>
        <v>65.12167760747184</v>
      </c>
      <c r="E18" s="6">
        <f>Capacity!$I18+Energy!E18+Capacity!K18</f>
        <v>70.62918350385581</v>
      </c>
      <c r="F18" s="6">
        <f>Capacity!$G18+Energy!G18</f>
        <v>69.91288359565773</v>
      </c>
    </row>
    <row r="19" spans="2:6" ht="15.75">
      <c r="B19" s="3">
        <f t="shared" si="0"/>
        <v>2019</v>
      </c>
      <c r="C19" s="6">
        <f>Capacity!$I19+Energy!C19</f>
        <v>67.66121448853261</v>
      </c>
      <c r="D19" s="6">
        <f>Capacity!$I19+Energy!D19</f>
        <v>67.48825248423256</v>
      </c>
      <c r="E19" s="6">
        <f>Capacity!$I19+Energy!E19+Capacity!K19</f>
        <v>70.3337436065591</v>
      </c>
      <c r="F19" s="6">
        <f>Capacity!$G19+Energy!G19</f>
        <v>69.28833382267725</v>
      </c>
    </row>
    <row r="20" spans="2:6" ht="15.75">
      <c r="B20" s="3">
        <f t="shared" si="0"/>
        <v>2020</v>
      </c>
      <c r="C20" s="6">
        <f>Capacity!$I20+Energy!C20</f>
        <v>70.01474378221886</v>
      </c>
      <c r="D20" s="6">
        <f>Capacity!$I20+Energy!D20</f>
        <v>69.86604207698007</v>
      </c>
      <c r="E20" s="6">
        <f>Capacity!$I20+Energy!E20+Capacity!K20</f>
        <v>71.31220786508487</v>
      </c>
      <c r="F20" s="6">
        <f>Capacity!$G20+Energy!G20</f>
        <v>70.06585262438034</v>
      </c>
    </row>
    <row r="21" spans="2:6" ht="15.75">
      <c r="B21" s="3">
        <f t="shared" si="0"/>
        <v>2021</v>
      </c>
      <c r="C21" s="6">
        <f>Capacity!$I21+Energy!C21</f>
        <v>73.26168482659514</v>
      </c>
      <c r="D21" s="6">
        <f>Capacity!$I21+Energy!D21</f>
        <v>73.19137879095383</v>
      </c>
      <c r="E21" s="6">
        <f>Capacity!$I21+Energy!E21+Capacity!K21</f>
        <v>75.18658440003048</v>
      </c>
      <c r="F21" s="6">
        <f>Capacity!$G21+Energy!G21</f>
        <v>73.94852407260092</v>
      </c>
    </row>
    <row r="22" spans="2:6" ht="15.75">
      <c r="B22" s="3">
        <f t="shared" si="0"/>
        <v>2022</v>
      </c>
      <c r="C22" s="6">
        <f>Capacity!$I22+Energy!C22</f>
        <v>73.04610915577067</v>
      </c>
      <c r="D22" s="6">
        <f>Capacity!$I22+Energy!D22</f>
        <v>73.01577521479803</v>
      </c>
      <c r="E22" s="6">
        <f>Capacity!$I22+Energy!E22+Capacity!K22</f>
        <v>79.16863282297494</v>
      </c>
      <c r="F22" s="6">
        <f>Capacity!$G22+Energy!G22</f>
        <v>77.90284411731828</v>
      </c>
    </row>
    <row r="23" spans="2:6" ht="15.75">
      <c r="B23" s="3">
        <f t="shared" si="0"/>
        <v>2023</v>
      </c>
      <c r="C23" s="6">
        <f>Capacity!$I23+Energy!C23</f>
        <v>74.35253211506028</v>
      </c>
      <c r="D23" s="6">
        <f>Capacity!$I23+Energy!D23</f>
        <v>74.3532692023956</v>
      </c>
      <c r="E23" s="6">
        <f>Capacity!$I23+Energy!E23+Capacity!K23</f>
        <v>76.78123730908128</v>
      </c>
      <c r="F23" s="6">
        <f>Capacity!$G23+Energy!G23</f>
        <v>75.50501580145149</v>
      </c>
    </row>
    <row r="24" spans="2:6" ht="15.75">
      <c r="B24" s="3">
        <f t="shared" si="0"/>
        <v>2024</v>
      </c>
      <c r="C24" s="6">
        <f>Capacity!$I24+Energy!C24</f>
        <v>69.88899801516868</v>
      </c>
      <c r="D24" s="6">
        <f>Capacity!$I24+Energy!D24</f>
        <v>69.93458901941719</v>
      </c>
      <c r="E24" s="6">
        <f>Capacity!$I24+Energy!E24+Capacity!K24</f>
        <v>76.32227933279398</v>
      </c>
      <c r="F24" s="6">
        <f>Capacity!$G24+Energy!G24</f>
        <v>75.22387328499643</v>
      </c>
    </row>
    <row r="25" spans="2:6" ht="15.75">
      <c r="B25" s="3">
        <f t="shared" si="0"/>
        <v>2025</v>
      </c>
      <c r="C25" s="6">
        <f>Capacity!$I25+Energy!C25</f>
        <v>72.53564264846534</v>
      </c>
      <c r="D25" s="6">
        <f>Capacity!$I25+Energy!D25</f>
        <v>72.60533623137663</v>
      </c>
      <c r="E25" s="6">
        <f>Capacity!$I25+Energy!E25+Capacity!K25</f>
        <v>79.62367075029395</v>
      </c>
      <c r="F25" s="6">
        <f>Capacity!$G25+Energy!G25</f>
        <v>78.4155176194808</v>
      </c>
    </row>
    <row r="26" spans="2:6" ht="15.75">
      <c r="B26" s="3">
        <f t="shared" si="0"/>
        <v>2026</v>
      </c>
      <c r="C26" s="6">
        <f>Capacity!$I26+Energy!C26</f>
        <v>76.23956275334625</v>
      </c>
      <c r="D26" s="6">
        <f>Capacity!$I26+Energy!D26</f>
        <v>76.29847401816613</v>
      </c>
      <c r="E26" s="6">
        <f>Capacity!$I26+Energy!E26+Capacity!K26</f>
        <v>81.54578698294003</v>
      </c>
      <c r="F26" s="6">
        <f>Capacity!$G26+Energy!G26</f>
        <v>80.6273112901316</v>
      </c>
    </row>
    <row r="27" spans="2:6" ht="15.75">
      <c r="B27" s="3">
        <f t="shared" si="0"/>
        <v>2027</v>
      </c>
      <c r="C27" s="6">
        <f>Capacity!$I27+Energy!C27</f>
        <v>77.32465232314945</v>
      </c>
      <c r="D27" s="6">
        <f>Capacity!$I27+Energy!D27</f>
        <v>77.26919304231876</v>
      </c>
      <c r="E27" s="6">
        <f>Capacity!$I27+Energy!E27+Capacity!K27</f>
        <v>81.34588671831555</v>
      </c>
      <c r="F27" s="6">
        <f>Capacity!$G27+Energy!G27</f>
        <v>79.97673884757494</v>
      </c>
    </row>
    <row r="28" spans="2:6" ht="15.75">
      <c r="B28" s="3">
        <f t="shared" si="0"/>
        <v>2028</v>
      </c>
      <c r="C28" s="6">
        <f>Capacity!$I28+Energy!C28</f>
        <v>79.44645688207837</v>
      </c>
      <c r="D28" s="6">
        <f>Capacity!$I28+Energy!D28</f>
        <v>79.48698061757823</v>
      </c>
      <c r="E28" s="6">
        <f>Capacity!$I28+Energy!E28+Capacity!K28</f>
        <v>83.34516088490504</v>
      </c>
      <c r="F28" s="6">
        <f>Capacity!$G28+Energy!G28</f>
        <v>81.78359587354484</v>
      </c>
    </row>
    <row r="29" spans="2:6" ht="15.75">
      <c r="B29" s="3">
        <f t="shared" si="0"/>
        <v>2029</v>
      </c>
      <c r="C29" s="6">
        <f>Capacity!$I29+Energy!C29</f>
        <v>81.26810274149689</v>
      </c>
      <c r="D29" s="6">
        <f>Capacity!$I29+Energy!D29</f>
        <v>81.46079995447847</v>
      </c>
      <c r="E29" s="6">
        <f>Capacity!$I29+Energy!E29+Capacity!K29</f>
        <v>86.13877482978025</v>
      </c>
      <c r="F29" s="6">
        <f>Capacity!$G29+Energy!G29</f>
        <v>84.73916112297282</v>
      </c>
    </row>
    <row r="31" spans="2:9" ht="15">
      <c r="B31" s="4" t="str">
        <f>"20-Year Nominal Levelized Payment at "&amp;TEXT(Discount_Rate,"0.00%")&amp;" Discount Rate (4)"</f>
        <v>20-Year Nominal Levelized Payment at 7.17% Discount Rate (4)</v>
      </c>
      <c r="I31" s="18" t="s">
        <v>1</v>
      </c>
    </row>
    <row r="32" spans="2:10" ht="15">
      <c r="B32" s="13" t="str">
        <f>B10&amp;" - "&amp;B29</f>
        <v>2010 - 2029</v>
      </c>
      <c r="C32" s="5">
        <f>-PMT(Discount_Rate,COUNT(C10:C29),NPV(Discount_Rate,C10:C29))</f>
        <v>61.360736535761404</v>
      </c>
      <c r="D32" s="5">
        <f>-PMT(Discount_Rate,COUNT(D10:D29),NPV(Discount_Rate,D10:D29))</f>
        <v>60.65306275633198</v>
      </c>
      <c r="E32" s="5">
        <f>-PMT(Discount_Rate,COUNT(E10:E29),NPV(Discount_Rate,E10:E29))</f>
        <v>62.27196948086826</v>
      </c>
      <c r="F32" s="5">
        <f>-PMT(Discount_Rate,COUNT(F10:F29),NPV(Discount_Rate,F10:F29))</f>
        <v>61.53337731352567</v>
      </c>
      <c r="I32" s="12">
        <v>0.0717</v>
      </c>
      <c r="J32" s="17"/>
    </row>
    <row r="33" spans="4:6" ht="15">
      <c r="D33" s="23"/>
      <c r="F33" s="17"/>
    </row>
    <row r="34" ht="15">
      <c r="B34" s="1" t="s">
        <v>7</v>
      </c>
    </row>
    <row r="35" ht="15">
      <c r="B35" s="13" t="s">
        <v>8</v>
      </c>
    </row>
    <row r="36" ht="15">
      <c r="B36" s="1" t="s">
        <v>24</v>
      </c>
    </row>
    <row r="37" ht="15">
      <c r="B37" s="1" t="s">
        <v>9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91" r:id="rId1"/>
  <headerFooter alignWithMargins="0">
    <oddFooter>&amp;L&amp;8NPC    &amp;F   (&amp;A)&amp;C&amp;8Page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K38"/>
  <sheetViews>
    <sheetView zoomScale="70" zoomScaleNormal="70" zoomScalePageLayoutView="0" workbookViewId="0" topLeftCell="A1">
      <pane xSplit="2" ySplit="6" topLeftCell="C7" activePane="bottomRight" state="frozen"/>
      <selection pane="topLeft" activeCell="M21" sqref="M21"/>
      <selection pane="topRight" activeCell="M21" sqref="M21"/>
      <selection pane="bottomLeft" activeCell="M21" sqref="M21"/>
      <selection pane="bottomRight" activeCell="C7" sqref="C7"/>
    </sheetView>
  </sheetViews>
  <sheetFormatPr defaultColWidth="9.140625" defaultRowHeight="12.75"/>
  <cols>
    <col min="1" max="1" width="1.8515625" style="1" customWidth="1"/>
    <col min="2" max="2" width="20.421875" style="1" customWidth="1"/>
    <col min="3" max="6" width="21.00390625" style="1" customWidth="1"/>
    <col min="7" max="7" width="1.8515625" style="1" customWidth="1"/>
    <col min="8" max="8" width="11.28125" style="1" bestFit="1" customWidth="1"/>
    <col min="9" max="9" width="3.8515625" style="1" customWidth="1"/>
    <col min="10" max="11" width="9.140625" style="1" hidden="1" customWidth="1"/>
    <col min="12" max="16384" width="9.140625" style="1" customWidth="1"/>
  </cols>
  <sheetData>
    <row r="1" spans="2:8" ht="15.75">
      <c r="B1" s="8" t="str">
        <f>Total!B1</f>
        <v>Appendix C</v>
      </c>
      <c r="C1" s="8"/>
      <c r="D1" s="8"/>
      <c r="E1" s="8"/>
      <c r="F1" s="8"/>
      <c r="G1" s="8"/>
      <c r="H1" s="8"/>
    </row>
    <row r="2" spans="2:8" ht="8.25" customHeight="1">
      <c r="B2" s="8"/>
      <c r="C2" s="8"/>
      <c r="D2" s="8"/>
      <c r="E2" s="8"/>
      <c r="F2" s="8"/>
      <c r="G2" s="8"/>
      <c r="H2" s="8"/>
    </row>
    <row r="3" spans="2:8" ht="15.75">
      <c r="B3" s="8" t="str">
        <f>Total!B3</f>
        <v>Utah Quarterly Compliance Filing</v>
      </c>
      <c r="C3" s="8"/>
      <c r="D3" s="8"/>
      <c r="E3" s="8"/>
      <c r="F3" s="8"/>
      <c r="G3" s="8"/>
      <c r="H3" s="8"/>
    </row>
    <row r="4" spans="2:8" ht="15.75">
      <c r="B4" s="8" t="str">
        <f>Total!B4</f>
        <v>Step Study between 2009 Q2 and 2009 Q4 Compliance Filing</v>
      </c>
      <c r="C4" s="8"/>
      <c r="D4" s="8"/>
      <c r="E4" s="8"/>
      <c r="F4" s="8"/>
      <c r="G4" s="8"/>
      <c r="H4" s="8"/>
    </row>
    <row r="5" spans="2:8" ht="15.75">
      <c r="B5" s="8" t="s">
        <v>19</v>
      </c>
      <c r="C5" s="8"/>
      <c r="D5" s="8"/>
      <c r="E5" s="8"/>
      <c r="F5" s="8"/>
      <c r="G5" s="8"/>
      <c r="H5" s="8"/>
    </row>
    <row r="6" spans="2:8" ht="15.75">
      <c r="B6" s="8"/>
      <c r="C6" s="8"/>
      <c r="D6" s="8"/>
      <c r="E6" s="8"/>
      <c r="F6" s="8"/>
      <c r="G6" s="8"/>
      <c r="H6" s="8"/>
    </row>
    <row r="7" spans="2:11" ht="15.75">
      <c r="B7" s="9"/>
      <c r="C7" s="11" t="str">
        <f>Total!D7</f>
        <v>Load Forecast</v>
      </c>
      <c r="D7" s="11" t="str">
        <f>Total!E7</f>
        <v>Official Price </v>
      </c>
      <c r="E7" s="11" t="s">
        <v>34</v>
      </c>
      <c r="F7" s="11" t="s">
        <v>3</v>
      </c>
      <c r="G7" s="8"/>
      <c r="H7" s="11" t="s">
        <v>13</v>
      </c>
      <c r="J7" s="15" t="s">
        <v>38</v>
      </c>
      <c r="K7" s="31"/>
    </row>
    <row r="8" spans="2:11" ht="15.75">
      <c r="B8" s="10" t="s">
        <v>0</v>
      </c>
      <c r="C8" s="21" t="str">
        <f>Total!D8</f>
        <v>Dated October 2009</v>
      </c>
      <c r="D8" s="2" t="str">
        <f>Total!E8</f>
        <v>Forecast 1209 (3)</v>
      </c>
      <c r="E8" s="2" t="s">
        <v>35</v>
      </c>
      <c r="F8" s="2" t="s">
        <v>4</v>
      </c>
      <c r="G8" s="8"/>
      <c r="H8" s="2" t="s">
        <v>14</v>
      </c>
      <c r="J8" s="32"/>
      <c r="K8" s="33"/>
    </row>
    <row r="9" ht="4.5" customHeight="1">
      <c r="G9" s="8"/>
    </row>
    <row r="10" spans="2:11" ht="15.75">
      <c r="B10" s="3">
        <f>Total!B10</f>
        <v>2010</v>
      </c>
      <c r="C10" s="24">
        <f>Energy!D10-Energy!C10</f>
        <v>-2.286395703858119</v>
      </c>
      <c r="D10" s="24">
        <f>Energy!E10-Energy!D10+Capacity!K10</f>
        <v>0.8186059172086004</v>
      </c>
      <c r="E10" s="24">
        <f>Capacity!L10+Energy!G10-Energy!F10</f>
        <v>0.005051357666076228</v>
      </c>
      <c r="F10" s="24">
        <f>Total!F10-Total!E10-E10</f>
        <v>1.0550891627306314</v>
      </c>
      <c r="G10" s="8"/>
      <c r="H10" s="6">
        <f>SUM(C10:F10)</f>
        <v>-0.40764926625281106</v>
      </c>
      <c r="J10" s="28">
        <f>Total!F10-Total!C10</f>
        <v>-0.40764926625281106</v>
      </c>
      <c r="K10" s="28">
        <f>ROUND(H10-J10,4)</f>
        <v>0</v>
      </c>
    </row>
    <row r="11" spans="2:11" ht="15.75">
      <c r="B11" s="3">
        <f aca="true" t="shared" si="0" ref="B11:B29">B10+1</f>
        <v>2011</v>
      </c>
      <c r="C11" s="24">
        <f>Energy!D11-Energy!C11</f>
        <v>-2.4018835982113202</v>
      </c>
      <c r="D11" s="24">
        <f>Energy!E11-Energy!D11+Capacity!K11</f>
        <v>-1.6502385488449178</v>
      </c>
      <c r="E11" s="24">
        <f>Capacity!L11+Energy!G11-Energy!F11</f>
        <v>0</v>
      </c>
      <c r="F11" s="24">
        <f>Total!F11-Total!E11-E11</f>
        <v>-0.5115752707991987</v>
      </c>
      <c r="G11" s="8"/>
      <c r="H11" s="6">
        <f aca="true" t="shared" si="1" ref="H11:H29">SUM(C11:F11)</f>
        <v>-4.563697417855437</v>
      </c>
      <c r="J11" s="28">
        <f>Total!F11-Total!C11</f>
        <v>-4.563697417855437</v>
      </c>
      <c r="K11" s="28">
        <f aca="true" t="shared" si="2" ref="K11:K29">ROUND(H11-J11,4)</f>
        <v>0</v>
      </c>
    </row>
    <row r="12" spans="2:11" ht="15.75">
      <c r="B12" s="3">
        <f t="shared" si="0"/>
        <v>2012</v>
      </c>
      <c r="C12" s="24">
        <f>Energy!D12-Energy!C12</f>
        <v>-1.7275181270339175</v>
      </c>
      <c r="D12" s="24">
        <f>Energy!E12-Energy!D12+Capacity!K12</f>
        <v>-2.4317839228529934</v>
      </c>
      <c r="E12" s="24">
        <f>Capacity!L12+Energy!G12-Energy!F12</f>
        <v>0</v>
      </c>
      <c r="F12" s="24">
        <f>Total!F12-Total!E12-E12</f>
        <v>-0.03588227063765004</v>
      </c>
      <c r="G12" s="8"/>
      <c r="H12" s="6">
        <f t="shared" si="1"/>
        <v>-4.195184320524561</v>
      </c>
      <c r="J12" s="28">
        <f>Total!F12-Total!C12</f>
        <v>-4.195184320524561</v>
      </c>
      <c r="K12" s="28">
        <f t="shared" si="2"/>
        <v>0</v>
      </c>
    </row>
    <row r="13" spans="2:11" ht="15.75">
      <c r="B13" s="3">
        <f t="shared" si="0"/>
        <v>2013</v>
      </c>
      <c r="C13" s="24">
        <f>Energy!D13-Energy!C13</f>
        <v>-1.194929078428629</v>
      </c>
      <c r="D13" s="24">
        <f>Energy!E13-Energy!D13+Capacity!K13</f>
        <v>-1.956944741421303</v>
      </c>
      <c r="E13" s="24">
        <f>Capacity!L13+Energy!G13-Energy!F13</f>
        <v>-1.3724000801812224</v>
      </c>
      <c r="F13" s="24">
        <f>Total!F13-Total!E13-E13</f>
        <v>0.30379035760308426</v>
      </c>
      <c r="G13" s="8"/>
      <c r="H13" s="6">
        <f t="shared" si="1"/>
        <v>-4.22048354242807</v>
      </c>
      <c r="J13" s="28">
        <f>Total!F13-Total!C13</f>
        <v>-4.22048354242807</v>
      </c>
      <c r="K13" s="28">
        <f t="shared" si="2"/>
        <v>0</v>
      </c>
    </row>
    <row r="14" spans="2:11" ht="15.75">
      <c r="B14" s="3">
        <f t="shared" si="0"/>
        <v>2014</v>
      </c>
      <c r="C14" s="24">
        <f>Energy!D14-Energy!C14</f>
        <v>-0.3851599526027698</v>
      </c>
      <c r="D14" s="24">
        <f>Energy!E14-Energy!D14+Capacity!K14</f>
        <v>-0.36497093233588984</v>
      </c>
      <c r="E14" s="24">
        <f>Capacity!L14+Energy!G14-Energy!F14</f>
        <v>-0.8121034437088568</v>
      </c>
      <c r="F14" s="24">
        <f>Total!F14-Total!E14-E14</f>
        <v>-0.6853803597304875</v>
      </c>
      <c r="G14" s="8"/>
      <c r="H14" s="6">
        <f t="shared" si="1"/>
        <v>-2.247614688378004</v>
      </c>
      <c r="J14" s="28">
        <f>Total!F14-Total!C14</f>
        <v>-2.2476146883780004</v>
      </c>
      <c r="K14" s="28">
        <f t="shared" si="2"/>
        <v>0</v>
      </c>
    </row>
    <row r="15" spans="2:11" ht="15.75">
      <c r="B15" s="3">
        <f t="shared" si="0"/>
        <v>2015</v>
      </c>
      <c r="C15" s="24">
        <f>Energy!D15-Energy!C15</f>
        <v>-0.38477300614017196</v>
      </c>
      <c r="D15" s="24">
        <f>Energy!E15-Energy!D15+Capacity!K15</f>
        <v>-0.8504210059521462</v>
      </c>
      <c r="E15" s="24">
        <f>Capacity!L15+Energy!G15-Energy!F15</f>
        <v>-0.20475687659745745</v>
      </c>
      <c r="F15" s="24">
        <f>Total!F15-Total!E15-E15</f>
        <v>-0.4293141421370308</v>
      </c>
      <c r="G15" s="8"/>
      <c r="H15" s="6">
        <f t="shared" si="1"/>
        <v>-1.8692650308268064</v>
      </c>
      <c r="J15" s="28">
        <f>Total!F15-Total!C15</f>
        <v>-1.86926503082681</v>
      </c>
      <c r="K15" s="28">
        <f t="shared" si="2"/>
        <v>0</v>
      </c>
    </row>
    <row r="16" spans="2:11" ht="15.75">
      <c r="B16" s="3">
        <f t="shared" si="0"/>
        <v>2016</v>
      </c>
      <c r="C16" s="24">
        <f>Energy!D16-Energy!C16</f>
        <v>-0.17972499556085353</v>
      </c>
      <c r="D16" s="24">
        <f>Energy!E16-Energy!D16+Capacity!K16</f>
        <v>1.0907979735146043</v>
      </c>
      <c r="E16" s="24">
        <f>Capacity!L16+Energy!G16-Energy!F16</f>
        <v>-0.3441952045757617</v>
      </c>
      <c r="F16" s="24">
        <f>Total!F16-Total!E16-E16</f>
        <v>-0.11748113354294532</v>
      </c>
      <c r="G16" s="8"/>
      <c r="H16" s="6">
        <f t="shared" si="1"/>
        <v>0.44939663983504374</v>
      </c>
      <c r="J16" s="28">
        <f>Total!F16-Total!C16</f>
        <v>0.44939663983505085</v>
      </c>
      <c r="K16" s="28">
        <f t="shared" si="2"/>
        <v>0</v>
      </c>
    </row>
    <row r="17" spans="2:11" ht="15.75">
      <c r="B17" s="3">
        <f t="shared" si="0"/>
        <v>2017</v>
      </c>
      <c r="C17" s="24">
        <f>Energy!D17-Energy!C17</f>
        <v>-0.16646482900149806</v>
      </c>
      <c r="D17" s="24">
        <f>Energy!E17-Energy!D17+Capacity!K17</f>
        <v>3.983495347034328</v>
      </c>
      <c r="E17" s="24">
        <f>Capacity!L17+Energy!G17-Energy!F17</f>
        <v>-0.18905478624176908</v>
      </c>
      <c r="F17" s="24">
        <f>Total!F17-Total!E17-E17</f>
        <v>-0.5141267202226061</v>
      </c>
      <c r="G17" s="8"/>
      <c r="H17" s="6">
        <f t="shared" si="1"/>
        <v>3.1138490115684547</v>
      </c>
      <c r="J17" s="28">
        <f>Total!F17-Total!C17</f>
        <v>3.1138490115684476</v>
      </c>
      <c r="K17" s="28">
        <f t="shared" si="2"/>
        <v>0</v>
      </c>
    </row>
    <row r="18" spans="2:11" ht="15.75">
      <c r="B18" s="3">
        <f t="shared" si="0"/>
        <v>2018</v>
      </c>
      <c r="C18" s="24">
        <f>Energy!D18-Energy!C18</f>
        <v>-0.06369846049386041</v>
      </c>
      <c r="D18" s="24">
        <f>Energy!E18-Energy!D18+Capacity!K18</f>
        <v>5.507505896383982</v>
      </c>
      <c r="E18" s="24">
        <f>Capacity!L18+Energy!G18-Energy!F18</f>
        <v>-0.08369668648295203</v>
      </c>
      <c r="F18" s="24">
        <f>Total!F18-Total!E18-E18</f>
        <v>-0.6326032217151294</v>
      </c>
      <c r="G18" s="8"/>
      <c r="H18" s="6">
        <f t="shared" si="1"/>
        <v>4.72750752769204</v>
      </c>
      <c r="J18" s="28">
        <f>Total!F18-Total!C18</f>
        <v>4.727507527692026</v>
      </c>
      <c r="K18" s="28">
        <f t="shared" si="2"/>
        <v>0</v>
      </c>
    </row>
    <row r="19" spans="2:11" ht="15.75">
      <c r="B19" s="3">
        <f t="shared" si="0"/>
        <v>2019</v>
      </c>
      <c r="C19" s="24">
        <f>Energy!D19-Energy!C19</f>
        <v>-0.1729620043000466</v>
      </c>
      <c r="D19" s="24">
        <f>Energy!E19-Energy!D19+Capacity!K19</f>
        <v>2.845491122326539</v>
      </c>
      <c r="E19" s="24">
        <f>Capacity!L19+Energy!G19-Energy!F19</f>
        <v>-0.09621451212665022</v>
      </c>
      <c r="F19" s="24">
        <f>Total!F19-Total!E19-E19</f>
        <v>-0.949195271755201</v>
      </c>
      <c r="G19" s="8"/>
      <c r="H19" s="6">
        <f t="shared" si="1"/>
        <v>1.6271193341446413</v>
      </c>
      <c r="J19" s="28">
        <f>Total!F19-Total!C19</f>
        <v>1.6271193341446377</v>
      </c>
      <c r="K19" s="28">
        <f t="shared" si="2"/>
        <v>0</v>
      </c>
    </row>
    <row r="20" spans="2:11" ht="15.75">
      <c r="B20" s="3">
        <f t="shared" si="0"/>
        <v>2020</v>
      </c>
      <c r="C20" s="24">
        <f>Energy!D20-Energy!C20</f>
        <v>-0.14870170523879978</v>
      </c>
      <c r="D20" s="24">
        <f>Energy!E20-Energy!D20+Capacity!K20</f>
        <v>1.446165788104814</v>
      </c>
      <c r="E20" s="24">
        <f>Capacity!L20+Energy!G20-Energy!F20</f>
        <v>-0.04166143065780403</v>
      </c>
      <c r="F20" s="24">
        <f>Total!F20-Total!E20-E20</f>
        <v>-1.2046938100467273</v>
      </c>
      <c r="G20" s="8"/>
      <c r="H20" s="6">
        <f t="shared" si="1"/>
        <v>0.051108842161482926</v>
      </c>
      <c r="J20" s="28">
        <f>Total!F20-Total!C20</f>
        <v>0.051108842161482926</v>
      </c>
      <c r="K20" s="28">
        <f t="shared" si="2"/>
        <v>0</v>
      </c>
    </row>
    <row r="21" spans="2:11" ht="15.75">
      <c r="B21" s="3">
        <f t="shared" si="0"/>
        <v>2021</v>
      </c>
      <c r="C21" s="24">
        <f>Energy!D21-Energy!C21</f>
        <v>-0.070306035641309</v>
      </c>
      <c r="D21" s="24">
        <f>Energy!E21-Energy!D21+Capacity!K21</f>
        <v>1.9952056090766455</v>
      </c>
      <c r="E21" s="24">
        <f>Capacity!L21+Energy!G21-Energy!F21</f>
        <v>0.06299016369736421</v>
      </c>
      <c r="F21" s="24">
        <f>Total!F21-Total!E21-E21</f>
        <v>-1.3010504911269294</v>
      </c>
      <c r="G21" s="8"/>
      <c r="H21" s="6">
        <f t="shared" si="1"/>
        <v>0.6868392460057713</v>
      </c>
      <c r="J21" s="28">
        <f>Total!F21-Total!C21</f>
        <v>0.6868392460057748</v>
      </c>
      <c r="K21" s="28">
        <f t="shared" si="2"/>
        <v>0</v>
      </c>
    </row>
    <row r="22" spans="2:11" ht="15.75">
      <c r="B22" s="3">
        <f t="shared" si="0"/>
        <v>2022</v>
      </c>
      <c r="C22" s="24">
        <f>Energy!D22-Energy!C22</f>
        <v>-0.030333940972639084</v>
      </c>
      <c r="D22" s="24">
        <f>Energy!E22-Energy!D22+Capacity!K22</f>
        <v>6.152857608176912</v>
      </c>
      <c r="E22" s="24">
        <f>Capacity!L22+Energy!G22-Energy!F22</f>
        <v>0.08477831701761573</v>
      </c>
      <c r="F22" s="24">
        <f>Total!F22-Total!E22-E22</f>
        <v>-1.3505670226742765</v>
      </c>
      <c r="G22" s="8"/>
      <c r="H22" s="6">
        <f t="shared" si="1"/>
        <v>4.8567349615476125</v>
      </c>
      <c r="J22" s="28">
        <f>Total!F22-Total!C22</f>
        <v>4.856734961547616</v>
      </c>
      <c r="K22" s="28">
        <f t="shared" si="2"/>
        <v>0</v>
      </c>
    </row>
    <row r="23" spans="2:11" ht="15.75">
      <c r="B23" s="3">
        <f t="shared" si="0"/>
        <v>2023</v>
      </c>
      <c r="C23" s="24">
        <f>Energy!D23-Energy!C23</f>
        <v>0.0007370873353025331</v>
      </c>
      <c r="D23" s="24">
        <f>Energy!E23-Energy!D23+Capacity!K23</f>
        <v>2.427968106685693</v>
      </c>
      <c r="E23" s="24">
        <f>Capacity!L23+Energy!G23-Energy!F23</f>
        <v>0.10808948430424437</v>
      </c>
      <c r="F23" s="24">
        <f>Total!F23-Total!E23-E23</f>
        <v>-1.3843109919340293</v>
      </c>
      <c r="G23" s="8"/>
      <c r="H23" s="6">
        <f t="shared" si="1"/>
        <v>1.1524836863912107</v>
      </c>
      <c r="J23" s="28">
        <f>Total!F23-Total!C23</f>
        <v>1.1524836863912071</v>
      </c>
      <c r="K23" s="28">
        <f t="shared" si="2"/>
        <v>0</v>
      </c>
    </row>
    <row r="24" spans="2:11" ht="15.75">
      <c r="B24" s="3">
        <f t="shared" si="0"/>
        <v>2024</v>
      </c>
      <c r="C24" s="24">
        <f>Energy!D24-Energy!C24</f>
        <v>0.045591004248514366</v>
      </c>
      <c r="D24" s="24">
        <f>Energy!E24-Energy!D24+Capacity!K24</f>
        <v>6.38769031337679</v>
      </c>
      <c r="E24" s="24">
        <f>Capacity!L24+Energy!G24-Energy!F24</f>
        <v>0.06669535865579235</v>
      </c>
      <c r="F24" s="24">
        <f>Total!F24-Total!E24-E24</f>
        <v>-1.1651014064533456</v>
      </c>
      <c r="G24" s="8"/>
      <c r="H24" s="6">
        <f t="shared" si="1"/>
        <v>5.3348752698277515</v>
      </c>
      <c r="J24" s="28">
        <f>Total!F24-Total!C24</f>
        <v>5.334875269827748</v>
      </c>
      <c r="K24" s="28">
        <f t="shared" si="2"/>
        <v>0</v>
      </c>
    </row>
    <row r="25" spans="2:11" ht="15.75">
      <c r="B25" s="3">
        <f t="shared" si="0"/>
        <v>2025</v>
      </c>
      <c r="C25" s="24">
        <f>Energy!D25-Energy!C25</f>
        <v>0.06969358291127747</v>
      </c>
      <c r="D25" s="24">
        <f>Energy!E25-Energy!D25+Capacity!K25</f>
        <v>7.018334518917335</v>
      </c>
      <c r="E25" s="24">
        <f>Capacity!L25+Energy!G25-Energy!F25</f>
        <v>0.16368071757074887</v>
      </c>
      <c r="F25" s="24">
        <f>Total!F25-Total!E25-E25</f>
        <v>-1.3718338483839077</v>
      </c>
      <c r="G25" s="8"/>
      <c r="H25" s="6">
        <f t="shared" si="1"/>
        <v>5.879874971015454</v>
      </c>
      <c r="J25" s="28">
        <f>Total!F25-Total!C25</f>
        <v>5.879874971015454</v>
      </c>
      <c r="K25" s="28">
        <f t="shared" si="2"/>
        <v>0</v>
      </c>
    </row>
    <row r="26" spans="2:11" ht="15.75">
      <c r="B26" s="3">
        <f t="shared" si="0"/>
        <v>2026</v>
      </c>
      <c r="C26" s="24">
        <f>Energy!D26-Energy!C26</f>
        <v>0.05891126481987641</v>
      </c>
      <c r="D26" s="24">
        <f>Energy!E26-Energy!D26+Capacity!K26</f>
        <v>5.247312964773901</v>
      </c>
      <c r="E26" s="24">
        <f>Capacity!L26+Energy!G26-Energy!F26</f>
        <v>0.30219432986542216</v>
      </c>
      <c r="F26" s="24">
        <f>Total!F26-Total!E26-E26</f>
        <v>-1.2206700226738505</v>
      </c>
      <c r="G26" s="8"/>
      <c r="H26" s="6">
        <f t="shared" si="1"/>
        <v>4.387748536785349</v>
      </c>
      <c r="J26" s="28">
        <f>Total!F26-Total!C26</f>
        <v>4.387748536785352</v>
      </c>
      <c r="K26" s="28">
        <f t="shared" si="2"/>
        <v>0</v>
      </c>
    </row>
    <row r="27" spans="2:11" ht="15.75">
      <c r="B27" s="3">
        <f t="shared" si="0"/>
        <v>2027</v>
      </c>
      <c r="C27" s="24">
        <f>Energy!D27-Energy!C27</f>
        <v>-0.05545928083068219</v>
      </c>
      <c r="D27" s="24">
        <f>Energy!E27-Energy!D27+Capacity!K27</f>
        <v>4.076693675996776</v>
      </c>
      <c r="E27" s="24">
        <f>Capacity!L27+Energy!G27-Energy!F27</f>
        <v>0.14029428642802344</v>
      </c>
      <c r="F27" s="24">
        <f>Total!F27-Total!E27-E27</f>
        <v>-1.5094421571686425</v>
      </c>
      <c r="G27" s="8"/>
      <c r="H27" s="6">
        <f t="shared" si="1"/>
        <v>2.6520865244254743</v>
      </c>
      <c r="J27" s="28">
        <f>Total!F27-Total!C27</f>
        <v>2.652086524425485</v>
      </c>
      <c r="K27" s="28">
        <f t="shared" si="2"/>
        <v>0</v>
      </c>
    </row>
    <row r="28" spans="2:11" ht="15.75">
      <c r="B28" s="3">
        <f t="shared" si="0"/>
        <v>2028</v>
      </c>
      <c r="C28" s="24">
        <f>Energy!D28-Energy!C28</f>
        <v>0.040523735499860436</v>
      </c>
      <c r="D28" s="24">
        <f>Energy!E28-Energy!D28+Capacity!K28</f>
        <v>3.8581802673268086</v>
      </c>
      <c r="E28" s="24">
        <f>Capacity!L28+Energy!G28-Energy!F28</f>
        <v>0.1622008799806096</v>
      </c>
      <c r="F28" s="24">
        <f>Total!F28-Total!E28-E28</f>
        <v>-1.7237658913408112</v>
      </c>
      <c r="G28" s="8"/>
      <c r="H28" s="6">
        <f t="shared" si="1"/>
        <v>2.3371389914664675</v>
      </c>
      <c r="J28" s="28">
        <f>Total!F28-Total!C28</f>
        <v>2.3371389914664746</v>
      </c>
      <c r="K28" s="28">
        <f t="shared" si="2"/>
        <v>0</v>
      </c>
    </row>
    <row r="29" spans="2:11" ht="15.75">
      <c r="B29" s="3">
        <f t="shared" si="0"/>
        <v>2029</v>
      </c>
      <c r="C29" s="24">
        <f>Energy!D29-Energy!C29</f>
        <v>0.19269721298157805</v>
      </c>
      <c r="D29" s="24">
        <f>Energy!E29-Energy!D29+Capacity!K29</f>
        <v>4.6779748753017785</v>
      </c>
      <c r="E29" s="24">
        <f>Capacity!L29+Energy!G29-Energy!F29</f>
        <v>0.18624821842713857</v>
      </c>
      <c r="F29" s="24">
        <f>Total!F29-Total!E29-E29</f>
        <v>-1.5858619252345676</v>
      </c>
      <c r="G29" s="8"/>
      <c r="H29" s="6">
        <f t="shared" si="1"/>
        <v>3.4710583814759275</v>
      </c>
      <c r="J29" s="28">
        <f>Total!F29-Total!C29</f>
        <v>3.4710583814759275</v>
      </c>
      <c r="K29" s="28">
        <f t="shared" si="2"/>
        <v>0</v>
      </c>
    </row>
    <row r="30" ht="15.75">
      <c r="G30" s="8"/>
    </row>
    <row r="31" spans="2:7" ht="15.75">
      <c r="B31" s="4" t="str">
        <f>Total!B31</f>
        <v>20-Year Nominal Levelized Payment at 7.17% Discount Rate (4)</v>
      </c>
      <c r="C31" s="4"/>
      <c r="G31" s="8"/>
    </row>
    <row r="32" spans="2:10" ht="15.75">
      <c r="B32" s="13" t="str">
        <f>B10&amp;" - "&amp;B29</f>
        <v>2010 - 2029</v>
      </c>
      <c r="C32" s="5">
        <f>-PMT(Discount_Rate,COUNT(C10:C29),NPV(Discount_Rate,C10:C29))</f>
        <v>-0.7076737794294031</v>
      </c>
      <c r="D32" s="5">
        <f>-PMT(Discount_Rate,COUNT(D10:D29),NPV(Discount_Rate,D10:D29))</f>
        <v>1.6189067245362772</v>
      </c>
      <c r="E32" s="5">
        <f>-PMT(Discount_Rate,COUNT(E10:E29),NPV(Discount_Rate,E10:E29))</f>
        <v>-0.1696886711385552</v>
      </c>
      <c r="F32" s="5">
        <f>-PMT(Discount_Rate,COUNT(F10:F29),NPV(Discount_Rate,F10:F29))</f>
        <v>-0.5689034962040355</v>
      </c>
      <c r="G32" s="8"/>
      <c r="H32" s="5">
        <f>-PMT(Discount_Rate,COUNT(H10:H29),NPV(Discount_Rate,H10:H29))</f>
        <v>0.1726407777642835</v>
      </c>
      <c r="J32" s="5">
        <f>-PMT(Discount_Rate,COUNT(J10:J29),NPV(Discount_Rate,J10:J29))</f>
        <v>0.17264077776428277</v>
      </c>
    </row>
    <row r="33" ht="15.75">
      <c r="G33" s="8"/>
    </row>
    <row r="34" ht="15">
      <c r="B34" s="1" t="str">
        <f>Total!B34</f>
        <v>(1)   Capacity costs are allocated assuming an 85% capacity factor. </v>
      </c>
    </row>
    <row r="35" spans="2:3" ht="15">
      <c r="B35" s="1" t="str">
        <f>Total!B35</f>
        <v>(2)   Studies are sequential.  The order of the studies would effect the price impact.</v>
      </c>
      <c r="C35" s="13"/>
    </row>
    <row r="36" ht="15">
      <c r="B36" s="1" t="str">
        <f>Total!B36</f>
        <v>(3)   Offical Price Forecast Dated December 31, 2009</v>
      </c>
    </row>
    <row r="37" ht="15">
      <c r="B37" s="1" t="str">
        <f>Total!B37</f>
        <v>(4)   Discount Rate - Company Official Discount Rate</v>
      </c>
    </row>
    <row r="38" ht="15">
      <c r="B38" s="1" t="s">
        <v>40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90" r:id="rId1"/>
  <headerFooter alignWithMargins="0">
    <oddFooter>&amp;L&amp;8NPC    &amp;F   (&amp;A)&amp;C&amp;8Page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L37"/>
  <sheetViews>
    <sheetView zoomScale="70" zoomScaleNormal="70" zoomScalePageLayoutView="0" workbookViewId="0" topLeftCell="A1">
      <pane xSplit="2" ySplit="6" topLeftCell="C7" activePane="bottomRight" state="frozen"/>
      <selection pane="topLeft" activeCell="M21" sqref="M21"/>
      <selection pane="topRight" activeCell="M21" sqref="M21"/>
      <selection pane="bottomLeft" activeCell="M21" sqref="M21"/>
      <selection pane="bottomRight" activeCell="C7" sqref="C7"/>
    </sheetView>
  </sheetViews>
  <sheetFormatPr defaultColWidth="9.140625" defaultRowHeight="12.75"/>
  <cols>
    <col min="1" max="1" width="1.8515625" style="1" customWidth="1"/>
    <col min="2" max="2" width="20.421875" style="1" customWidth="1"/>
    <col min="3" max="3" width="11.421875" style="1" bestFit="1" customWidth="1"/>
    <col min="4" max="4" width="14.8515625" style="1" bestFit="1" customWidth="1"/>
    <col min="5" max="5" width="11.421875" style="1" bestFit="1" customWidth="1"/>
    <col min="6" max="6" width="2.57421875" style="1" customWidth="1"/>
    <col min="7" max="9" width="13.421875" style="1" customWidth="1"/>
    <col min="10" max="10" width="2.57421875" style="1" customWidth="1"/>
    <col min="11" max="12" width="10.8515625" style="1" customWidth="1"/>
    <col min="13" max="13" width="3.8515625" style="1" customWidth="1"/>
    <col min="14" max="16384" width="9.140625" style="1" customWidth="1"/>
  </cols>
  <sheetData>
    <row r="1" spans="2:12" ht="15.75">
      <c r="B1" s="8" t="str">
        <f>Total!B1</f>
        <v>Appendix C</v>
      </c>
      <c r="C1" s="8"/>
      <c r="D1" s="8"/>
      <c r="E1" s="8"/>
      <c r="F1" s="14"/>
      <c r="G1" s="8"/>
      <c r="H1" s="8"/>
      <c r="I1" s="8"/>
      <c r="J1" s="14"/>
      <c r="K1" s="8"/>
      <c r="L1" s="8"/>
    </row>
    <row r="2" spans="2:12" ht="8.25" customHeight="1">
      <c r="B2" s="8"/>
      <c r="C2" s="8"/>
      <c r="D2" s="8"/>
      <c r="E2" s="8"/>
      <c r="F2" s="14"/>
      <c r="G2" s="8"/>
      <c r="H2" s="8"/>
      <c r="I2" s="8"/>
      <c r="J2" s="14"/>
      <c r="K2" s="8"/>
      <c r="L2" s="8"/>
    </row>
    <row r="3" spans="2:12" ht="15.75">
      <c r="B3" s="8" t="str">
        <f>Total!B3</f>
        <v>Utah Quarterly Compliance Filing</v>
      </c>
      <c r="C3" s="8"/>
      <c r="D3" s="8"/>
      <c r="E3" s="8"/>
      <c r="F3" s="14"/>
      <c r="G3" s="8"/>
      <c r="H3" s="8"/>
      <c r="I3" s="8"/>
      <c r="J3" s="14"/>
      <c r="K3" s="8"/>
      <c r="L3" s="8"/>
    </row>
    <row r="4" spans="2:12" ht="15.75">
      <c r="B4" s="8" t="str">
        <f>Total!B4</f>
        <v>Step Study between 2009 Q2 and 2009 Q4 Compliance Filing</v>
      </c>
      <c r="C4" s="8"/>
      <c r="D4" s="8"/>
      <c r="E4" s="8"/>
      <c r="F4" s="14"/>
      <c r="G4" s="8"/>
      <c r="H4" s="8"/>
      <c r="I4" s="8"/>
      <c r="J4" s="14"/>
      <c r="K4" s="8"/>
      <c r="L4" s="8"/>
    </row>
    <row r="5" spans="2:12" ht="15.75">
      <c r="B5" s="8" t="s">
        <v>26</v>
      </c>
      <c r="C5" s="8"/>
      <c r="D5" s="8"/>
      <c r="E5" s="8"/>
      <c r="F5" s="14"/>
      <c r="G5" s="8"/>
      <c r="H5" s="8"/>
      <c r="I5" s="8"/>
      <c r="J5" s="14"/>
      <c r="K5" s="8"/>
      <c r="L5" s="8"/>
    </row>
    <row r="6" spans="2:12" ht="15.75">
      <c r="B6" s="8"/>
      <c r="C6" s="8"/>
      <c r="D6" s="8"/>
      <c r="E6" s="8"/>
      <c r="G6" s="8"/>
      <c r="H6" s="8"/>
      <c r="I6" s="8"/>
      <c r="K6" s="8"/>
      <c r="L6" s="8"/>
    </row>
    <row r="7" spans="2:12" ht="15.75">
      <c r="B7" s="9"/>
      <c r="C7" s="15" t="s">
        <v>6</v>
      </c>
      <c r="D7" s="16"/>
      <c r="E7" s="16"/>
      <c r="G7" s="15" t="s">
        <v>20</v>
      </c>
      <c r="H7" s="16"/>
      <c r="I7" s="16"/>
      <c r="K7" s="29" t="s">
        <v>17</v>
      </c>
      <c r="L7" s="30"/>
    </row>
    <row r="8" spans="2:12" ht="15.75">
      <c r="B8" s="10" t="s">
        <v>0</v>
      </c>
      <c r="C8" s="19" t="str">
        <f>Total!F7</f>
        <v>2009 Q4</v>
      </c>
      <c r="D8" s="27" t="s">
        <v>37</v>
      </c>
      <c r="E8" s="19" t="str">
        <f>Total!C7</f>
        <v>2009 Q2</v>
      </c>
      <c r="G8" s="20" t="str">
        <f>C8</f>
        <v>2009 Q4</v>
      </c>
      <c r="H8" s="19" t="str">
        <f>D8</f>
        <v>2009 Q2 (4)</v>
      </c>
      <c r="I8" s="19" t="str">
        <f>E8</f>
        <v>2009 Q2</v>
      </c>
      <c r="K8" s="19" t="s">
        <v>33</v>
      </c>
      <c r="L8" s="27" t="s">
        <v>32</v>
      </c>
    </row>
    <row r="9" ht="4.5" customHeight="1"/>
    <row r="10" spans="2:12" ht="15.75">
      <c r="B10" s="3">
        <f>Total!B10</f>
        <v>2010</v>
      </c>
      <c r="C10" s="6">
        <v>0</v>
      </c>
      <c r="D10" s="6">
        <v>0</v>
      </c>
      <c r="E10" s="6">
        <v>0</v>
      </c>
      <c r="G10" s="6">
        <f>Capacity!C10*1000/(8760*0.85)</f>
        <v>0</v>
      </c>
      <c r="H10" s="6">
        <f>Capacity!D10*1000/(8760*0.85)</f>
        <v>0</v>
      </c>
      <c r="I10" s="6">
        <f>Capacity!E10*1000/(8760*0.85)</f>
        <v>0</v>
      </c>
      <c r="K10" s="6">
        <f>G10-H10</f>
        <v>0</v>
      </c>
      <c r="L10" s="6">
        <f>H10-I10</f>
        <v>0</v>
      </c>
    </row>
    <row r="11" spans="2:12" ht="15.75">
      <c r="B11" s="3">
        <f aca="true" t="shared" si="0" ref="B11:B29">B10+1</f>
        <v>2011</v>
      </c>
      <c r="C11" s="6">
        <v>0</v>
      </c>
      <c r="D11" s="6">
        <v>0</v>
      </c>
      <c r="E11" s="6">
        <v>0</v>
      </c>
      <c r="G11" s="6">
        <f>Capacity!C11*1000/(8760*0.85)</f>
        <v>0</v>
      </c>
      <c r="H11" s="6">
        <f>Capacity!D11*1000/(8760*0.85)</f>
        <v>0</v>
      </c>
      <c r="I11" s="6">
        <f>Capacity!E11*1000/(8760*0.85)</f>
        <v>0</v>
      </c>
      <c r="K11" s="6">
        <f aca="true" t="shared" si="1" ref="K11:L29">G11-H11</f>
        <v>0</v>
      </c>
      <c r="L11" s="6">
        <f t="shared" si="1"/>
        <v>0</v>
      </c>
    </row>
    <row r="12" spans="2:12" ht="15.75">
      <c r="B12" s="3">
        <f t="shared" si="0"/>
        <v>2012</v>
      </c>
      <c r="C12" s="6">
        <v>0</v>
      </c>
      <c r="D12" s="6">
        <v>0</v>
      </c>
      <c r="E12" s="6">
        <v>0</v>
      </c>
      <c r="G12" s="6">
        <f>Capacity!C12*1000/(8760*0.85)</f>
        <v>0</v>
      </c>
      <c r="H12" s="6">
        <f>Capacity!D12*1000/(8760*0.85)</f>
        <v>0</v>
      </c>
      <c r="I12" s="6">
        <f>Capacity!E12*1000/(8760*0.85)</f>
        <v>0</v>
      </c>
      <c r="K12" s="6">
        <f t="shared" si="1"/>
        <v>0</v>
      </c>
      <c r="L12" s="6">
        <f t="shared" si="1"/>
        <v>0</v>
      </c>
    </row>
    <row r="13" spans="2:12" ht="15.75">
      <c r="B13" s="3">
        <f t="shared" si="0"/>
        <v>2013</v>
      </c>
      <c r="C13" s="6">
        <v>0</v>
      </c>
      <c r="D13" s="6">
        <v>0</v>
      </c>
      <c r="E13" s="6">
        <v>0</v>
      </c>
      <c r="G13" s="6">
        <f>Capacity!C13*1000/(8760*0.85)</f>
        <v>0</v>
      </c>
      <c r="H13" s="6">
        <f>Capacity!D13*1000/(8760*0.85)</f>
        <v>0</v>
      </c>
      <c r="I13" s="6">
        <f>Capacity!E13*1000/(8760*0.85)</f>
        <v>0</v>
      </c>
      <c r="K13" s="6">
        <f t="shared" si="1"/>
        <v>0</v>
      </c>
      <c r="L13" s="6">
        <f t="shared" si="1"/>
        <v>0</v>
      </c>
    </row>
    <row r="14" spans="2:12" ht="15.75">
      <c r="B14" s="3">
        <f t="shared" si="0"/>
        <v>2014</v>
      </c>
      <c r="C14" s="6">
        <v>94.59916666666665</v>
      </c>
      <c r="D14" s="6">
        <v>94.48833333333333</v>
      </c>
      <c r="E14" s="6">
        <v>77.25083333333333</v>
      </c>
      <c r="G14" s="6">
        <f>Capacity!C14*1000/(8760*0.85)</f>
        <v>12.704696033664604</v>
      </c>
      <c r="H14" s="6">
        <f>Capacity!D14*1000/(8760*0.85)</f>
        <v>12.689811084251051</v>
      </c>
      <c r="I14" s="6">
        <f>Capacity!E14*1000/(8760*0.85)</f>
        <v>10.374809741248097</v>
      </c>
      <c r="K14" s="6">
        <f t="shared" si="1"/>
        <v>0.014884949413552562</v>
      </c>
      <c r="L14" s="6">
        <f t="shared" si="1"/>
        <v>2.3150013430029546</v>
      </c>
    </row>
    <row r="15" spans="2:12" ht="15.75">
      <c r="B15" s="3">
        <f t="shared" si="0"/>
        <v>2015</v>
      </c>
      <c r="C15" s="6">
        <v>165.03</v>
      </c>
      <c r="D15" s="6">
        <v>165.05</v>
      </c>
      <c r="E15" s="6">
        <v>134.96</v>
      </c>
      <c r="G15" s="6">
        <f>Capacity!C15*1000/(8760*0.85)</f>
        <v>22.16357775987107</v>
      </c>
      <c r="H15" s="6">
        <f>Capacity!D15*1000/(8760*0.85)</f>
        <v>22.166263765780286</v>
      </c>
      <c r="I15" s="6">
        <f>Capacity!E15*1000/(8760*0.85)</f>
        <v>18.125167875369325</v>
      </c>
      <c r="K15" s="6">
        <f t="shared" si="1"/>
        <v>-0.0026860059092150834</v>
      </c>
      <c r="L15" s="6">
        <f t="shared" si="1"/>
        <v>4.041095890410961</v>
      </c>
    </row>
    <row r="16" spans="2:12" ht="15.75">
      <c r="B16" s="3">
        <f t="shared" si="0"/>
        <v>2016</v>
      </c>
      <c r="C16" s="6">
        <v>167.94</v>
      </c>
      <c r="D16" s="6">
        <v>168.21</v>
      </c>
      <c r="E16" s="6">
        <v>137.53</v>
      </c>
      <c r="G16" s="6">
        <f>Capacity!C16*1000/(8760*0.85)</f>
        <v>22.554391619661562</v>
      </c>
      <c r="H16" s="6">
        <f>Capacity!D16*1000/(8760*0.85)</f>
        <v>22.59065269943594</v>
      </c>
      <c r="I16" s="6">
        <f>Capacity!E16*1000/(8760*0.85)</f>
        <v>18.470319634703195</v>
      </c>
      <c r="K16" s="6">
        <f t="shared" si="1"/>
        <v>-0.03626107977437698</v>
      </c>
      <c r="L16" s="6">
        <f t="shared" si="1"/>
        <v>4.120333064732744</v>
      </c>
    </row>
    <row r="17" spans="2:12" ht="15.75">
      <c r="B17" s="3">
        <f t="shared" si="0"/>
        <v>2017</v>
      </c>
      <c r="C17" s="6">
        <v>170.92</v>
      </c>
      <c r="D17" s="6">
        <v>171.42</v>
      </c>
      <c r="E17" s="6">
        <v>140.15</v>
      </c>
      <c r="G17" s="6">
        <f>Capacity!C17*1000/(8760*0.85)</f>
        <v>22.9546065001343</v>
      </c>
      <c r="H17" s="6">
        <f>Capacity!D17*1000/(8760*0.85)</f>
        <v>23.021756647864624</v>
      </c>
      <c r="I17" s="6">
        <f>Capacity!E17*1000/(8760*0.85)</f>
        <v>18.8221864088101</v>
      </c>
      <c r="K17" s="6">
        <f t="shared" si="1"/>
        <v>-0.0671501477303238</v>
      </c>
      <c r="L17" s="6">
        <f t="shared" si="1"/>
        <v>4.199570239054523</v>
      </c>
    </row>
    <row r="18" spans="2:12" ht="15.75">
      <c r="B18" s="3">
        <f t="shared" si="0"/>
        <v>2018</v>
      </c>
      <c r="C18" s="6">
        <v>173.94</v>
      </c>
      <c r="D18" s="6">
        <v>174.71</v>
      </c>
      <c r="E18" s="6">
        <v>142.81</v>
      </c>
      <c r="G18" s="6">
        <f>Capacity!C18*1000/(8760*0.85)</f>
        <v>23.36019339242546</v>
      </c>
      <c r="H18" s="6">
        <f>Capacity!D18*1000/(8760*0.85)</f>
        <v>23.463604619930162</v>
      </c>
      <c r="I18" s="6">
        <f>Capacity!E18*1000/(8760*0.85)</f>
        <v>19.17942519473543</v>
      </c>
      <c r="K18" s="6">
        <f t="shared" si="1"/>
        <v>-0.10341122750470078</v>
      </c>
      <c r="L18" s="6">
        <f t="shared" si="1"/>
        <v>4.284179425194733</v>
      </c>
    </row>
    <row r="19" spans="2:12" ht="15.75">
      <c r="B19" s="3">
        <f t="shared" si="0"/>
        <v>2019</v>
      </c>
      <c r="C19" s="6">
        <v>177.02</v>
      </c>
      <c r="D19" s="6">
        <v>178.05</v>
      </c>
      <c r="E19" s="6">
        <v>145.52</v>
      </c>
      <c r="G19" s="6">
        <f>Capacity!C19*1000/(8760*0.85)</f>
        <v>23.773838302444265</v>
      </c>
      <c r="H19" s="6">
        <f>Capacity!D19*1000/(8760*0.85)</f>
        <v>23.912167606768733</v>
      </c>
      <c r="I19" s="6">
        <f>Capacity!E19*1000/(8760*0.85)</f>
        <v>19.54337899543379</v>
      </c>
      <c r="K19" s="6">
        <f t="shared" si="1"/>
        <v>-0.13832930432446844</v>
      </c>
      <c r="L19" s="6">
        <f t="shared" si="1"/>
        <v>4.368788611334942</v>
      </c>
    </row>
    <row r="20" spans="2:12" ht="15.75">
      <c r="B20" s="3">
        <f t="shared" si="0"/>
        <v>2020</v>
      </c>
      <c r="C20" s="6">
        <v>180.16</v>
      </c>
      <c r="D20" s="6">
        <v>181.43</v>
      </c>
      <c r="E20" s="6">
        <v>148.32</v>
      </c>
      <c r="G20" s="6">
        <f>Capacity!C20*1000/(8760*0.85)</f>
        <v>24.195541230190706</v>
      </c>
      <c r="H20" s="6">
        <f>Capacity!D20*1000/(8760*0.85)</f>
        <v>24.36610260542573</v>
      </c>
      <c r="I20" s="6">
        <f>Capacity!E20*1000/(8760*0.85)</f>
        <v>19.91941982272361</v>
      </c>
      <c r="K20" s="6">
        <f t="shared" si="1"/>
        <v>-0.17056137523502457</v>
      </c>
      <c r="L20" s="6">
        <f t="shared" si="1"/>
        <v>4.446682782702119</v>
      </c>
    </row>
    <row r="21" spans="2:12" ht="15.75">
      <c r="B21" s="3">
        <f t="shared" si="0"/>
        <v>2021</v>
      </c>
      <c r="C21" s="6">
        <v>183.36</v>
      </c>
      <c r="D21" s="6">
        <v>184.92</v>
      </c>
      <c r="E21" s="6">
        <v>151.18</v>
      </c>
      <c r="G21" s="6">
        <f>Capacity!C21*1000/(8760*0.85)</f>
        <v>24.625302175664785</v>
      </c>
      <c r="H21" s="6">
        <f>Capacity!D21*1000/(8760*0.85)</f>
        <v>24.834810636583402</v>
      </c>
      <c r="I21" s="6">
        <f>Capacity!E21*1000/(8760*0.85)</f>
        <v>20.30351866774107</v>
      </c>
      <c r="K21" s="6">
        <f t="shared" si="1"/>
        <v>-0.20950846091861663</v>
      </c>
      <c r="L21" s="6">
        <f t="shared" si="1"/>
        <v>4.531291968842332</v>
      </c>
    </row>
    <row r="22" spans="2:12" ht="15.75">
      <c r="B22" s="3">
        <f t="shared" si="0"/>
        <v>2022</v>
      </c>
      <c r="C22" s="6">
        <v>186.6</v>
      </c>
      <c r="D22" s="6">
        <v>188.45</v>
      </c>
      <c r="E22" s="6">
        <v>154.07</v>
      </c>
      <c r="G22" s="6">
        <f>Capacity!C22*1000/(8760*0.85)</f>
        <v>25.06043513295729</v>
      </c>
      <c r="H22" s="6">
        <f>Capacity!D22*1000/(8760*0.85)</f>
        <v>25.308890679559497</v>
      </c>
      <c r="I22" s="6">
        <f>Capacity!E22*1000/(8760*0.85)</f>
        <v>20.69164652162235</v>
      </c>
      <c r="K22" s="6">
        <f t="shared" si="1"/>
        <v>-0.24845554660220515</v>
      </c>
      <c r="L22" s="6">
        <f t="shared" si="1"/>
        <v>4.617244157937147</v>
      </c>
    </row>
    <row r="23" spans="2:12" ht="15.75">
      <c r="B23" s="3">
        <f t="shared" si="0"/>
        <v>2023</v>
      </c>
      <c r="C23" s="6">
        <v>189.92</v>
      </c>
      <c r="D23" s="6">
        <v>192.02</v>
      </c>
      <c r="E23" s="6">
        <v>157.01</v>
      </c>
      <c r="G23" s="6">
        <f>Capacity!C23*1000/(8760*0.85)</f>
        <v>25.50631211388665</v>
      </c>
      <c r="H23" s="6">
        <f>Capacity!D23*1000/(8760*0.85)</f>
        <v>25.788342734354014</v>
      </c>
      <c r="I23" s="6">
        <f>Capacity!E23*1000/(8760*0.85)</f>
        <v>21.086489390276657</v>
      </c>
      <c r="K23" s="6">
        <f t="shared" si="1"/>
        <v>-0.2820306204673635</v>
      </c>
      <c r="L23" s="6">
        <f t="shared" si="1"/>
        <v>4.701853344077357</v>
      </c>
    </row>
    <row r="24" spans="2:12" ht="15.75">
      <c r="B24" s="3">
        <f t="shared" si="0"/>
        <v>2024</v>
      </c>
      <c r="C24" s="6">
        <v>193.28</v>
      </c>
      <c r="D24" s="6">
        <v>195.7</v>
      </c>
      <c r="E24" s="6">
        <v>160.01</v>
      </c>
      <c r="G24" s="6">
        <f>Capacity!C24*1000/(8760*0.85)</f>
        <v>25.957561106634433</v>
      </c>
      <c r="H24" s="6">
        <f>Capacity!D24*1000/(8760*0.85)</f>
        <v>26.28256782164921</v>
      </c>
      <c r="I24" s="6">
        <f>Capacity!E24*1000/(8760*0.85)</f>
        <v>21.489390276658607</v>
      </c>
      <c r="K24" s="6">
        <f t="shared" si="1"/>
        <v>-0.3250067150147764</v>
      </c>
      <c r="L24" s="6">
        <f t="shared" si="1"/>
        <v>4.793177544990602</v>
      </c>
    </row>
    <row r="25" spans="2:12" ht="15.75">
      <c r="B25" s="3">
        <f t="shared" si="0"/>
        <v>2025</v>
      </c>
      <c r="C25" s="6">
        <v>196.68</v>
      </c>
      <c r="D25" s="6">
        <v>199.42</v>
      </c>
      <c r="E25" s="6">
        <v>163.06</v>
      </c>
      <c r="G25" s="6">
        <f>Capacity!C25*1000/(8760*0.85)</f>
        <v>26.414182111200645</v>
      </c>
      <c r="H25" s="6">
        <f>Capacity!D25*1000/(8760*0.85)</f>
        <v>26.782164920762824</v>
      </c>
      <c r="I25" s="6">
        <f>Capacity!E25*1000/(8760*0.85)</f>
        <v>21.89900617781359</v>
      </c>
      <c r="K25" s="6">
        <f t="shared" si="1"/>
        <v>-0.36798280956217866</v>
      </c>
      <c r="L25" s="6">
        <f t="shared" si="1"/>
        <v>4.8831587429492345</v>
      </c>
    </row>
    <row r="26" spans="2:12" ht="15.75">
      <c r="B26" s="3">
        <f t="shared" si="0"/>
        <v>2026</v>
      </c>
      <c r="C26" s="6">
        <v>200.18</v>
      </c>
      <c r="D26" s="6">
        <v>203.23</v>
      </c>
      <c r="E26" s="6">
        <v>166.14</v>
      </c>
      <c r="G26" s="6">
        <f>Capacity!C26*1000/(8760*0.85)</f>
        <v>26.88423314531292</v>
      </c>
      <c r="H26" s="6">
        <f>Capacity!D26*1000/(8760*0.85)</f>
        <v>27.2938490464679</v>
      </c>
      <c r="I26" s="6">
        <f>Capacity!E26*1000/(8760*0.85)</f>
        <v>22.312651087832393</v>
      </c>
      <c r="K26" s="6">
        <f t="shared" si="1"/>
        <v>-0.40961590115498225</v>
      </c>
      <c r="L26" s="6">
        <f t="shared" si="1"/>
        <v>4.981197958635509</v>
      </c>
    </row>
    <row r="27" spans="2:12" ht="15.75">
      <c r="B27" s="3">
        <f t="shared" si="0"/>
        <v>2027</v>
      </c>
      <c r="C27" s="6">
        <v>203.72</v>
      </c>
      <c r="D27" s="6">
        <v>207.11</v>
      </c>
      <c r="E27" s="6">
        <v>169.3</v>
      </c>
      <c r="G27" s="6">
        <f>Capacity!C27*1000/(8760*0.85)</f>
        <v>27.35965619124362</v>
      </c>
      <c r="H27" s="6">
        <f>Capacity!D27*1000/(8760*0.85)</f>
        <v>27.814934192855226</v>
      </c>
      <c r="I27" s="6">
        <f>Capacity!E27*1000/(8760*0.85)</f>
        <v>22.73704002148805</v>
      </c>
      <c r="K27" s="6">
        <f t="shared" si="1"/>
        <v>-0.4552780016116067</v>
      </c>
      <c r="L27" s="6">
        <f t="shared" si="1"/>
        <v>5.077894171367177</v>
      </c>
    </row>
    <row r="28" spans="2:12" ht="15.75">
      <c r="B28" s="3">
        <f t="shared" si="0"/>
        <v>2028</v>
      </c>
      <c r="C28" s="6">
        <v>207.35</v>
      </c>
      <c r="D28" s="6">
        <v>211.08</v>
      </c>
      <c r="E28" s="6">
        <v>172.55</v>
      </c>
      <c r="G28" s="6">
        <f>Capacity!C28*1000/(8760*0.85)</f>
        <v>27.84716626376578</v>
      </c>
      <c r="H28" s="6">
        <f>Capacity!D28*1000/(8760*0.85)</f>
        <v>28.348106365834006</v>
      </c>
      <c r="I28" s="6">
        <f>Capacity!E28*1000/(8760*0.85)</f>
        <v>23.17351598173516</v>
      </c>
      <c r="K28" s="6">
        <f t="shared" si="1"/>
        <v>-0.5009401020682276</v>
      </c>
      <c r="L28" s="6">
        <f t="shared" si="1"/>
        <v>5.174590384098845</v>
      </c>
    </row>
    <row r="29" spans="2:12" ht="15.75">
      <c r="B29" s="3">
        <f t="shared" si="0"/>
        <v>2029</v>
      </c>
      <c r="C29" s="6">
        <v>211.03</v>
      </c>
      <c r="D29" s="6">
        <v>215.11</v>
      </c>
      <c r="E29" s="6">
        <v>175.86</v>
      </c>
      <c r="G29" s="6">
        <f>Capacity!C29*1000/(8760*0.85)</f>
        <v>28.341391351060974</v>
      </c>
      <c r="H29" s="6">
        <f>Capacity!D29*1000/(8760*0.85)</f>
        <v>28.889336556540425</v>
      </c>
      <c r="I29" s="6">
        <f>Capacity!E29*1000/(8760*0.85)</f>
        <v>23.61804995970991</v>
      </c>
      <c r="K29" s="6">
        <f t="shared" si="1"/>
        <v>-0.5479452054794507</v>
      </c>
      <c r="L29" s="6">
        <f t="shared" si="1"/>
        <v>5.271286596830514</v>
      </c>
    </row>
    <row r="30" spans="2:7" ht="15.75">
      <c r="B30" s="3"/>
      <c r="C30" s="6"/>
      <c r="G30" s="6"/>
    </row>
    <row r="31" spans="2:5" ht="15">
      <c r="B31" s="4" t="str">
        <f>"20-Year Nominal Levelized Payment at "&amp;TEXT(Discount_Rate,"0.00%")&amp;" Discount Rate (2)"</f>
        <v>20-Year Nominal Levelized Payment at 7.17% Discount Rate (2)</v>
      </c>
      <c r="D31" s="4"/>
      <c r="E31" s="4"/>
    </row>
    <row r="32" spans="2:12" ht="15">
      <c r="B32" s="13" t="str">
        <f>+B10&amp;" - "&amp;B29</f>
        <v>2010 - 2029</v>
      </c>
      <c r="C32" s="5">
        <f>-PMT(Discount_Rate,COUNT(C10:C29),NPV(Discount_Rate,C10:C29))</f>
        <v>117.95559320240417</v>
      </c>
      <c r="D32" s="5">
        <f>-PMT(Discount_Rate,COUNT(D10:D29),NPV(Discount_Rate,D10:D29))</f>
        <v>118.89631817108143</v>
      </c>
      <c r="E32" s="5">
        <f>-PMT(Discount_Rate,COUNT(E10:E29),NPV(Discount_Rate,E10:E29))</f>
        <v>97.20315335092062</v>
      </c>
      <c r="G32" s="5">
        <f>-PMT(Discount_Rate,COUNT(G10:G29),NPV(Discount_Rate,G10:G29))</f>
        <v>15.841471018319117</v>
      </c>
      <c r="H32" s="5">
        <f>-PMT(Discount_Rate,COUNT(H10:H29),NPV(Discount_Rate,H10:H29))</f>
        <v>15.967810659559687</v>
      </c>
      <c r="I32" s="5">
        <f>-PMT(Discount_Rate,COUNT(I10:I29),NPV(Discount_Rate,I10:I29))</f>
        <v>13.054412214735512</v>
      </c>
      <c r="K32" s="5">
        <f>-PMT(Discount_Rate,COUNT(K10:K29),NPV(Discount_Rate,K10:K29))</f>
        <v>-0.12633964124056124</v>
      </c>
      <c r="L32" s="5">
        <f>-PMT(Discount_Rate,COUNT(L10:L29),NPV(Discount_Rate,L10:L29))</f>
        <v>2.913398444824177</v>
      </c>
    </row>
    <row r="34" ht="15">
      <c r="B34" s="1" t="s">
        <v>7</v>
      </c>
    </row>
    <row r="35" ht="15">
      <c r="B35" s="1" t="s">
        <v>11</v>
      </c>
    </row>
    <row r="36" ht="15">
      <c r="B36" s="1" t="s">
        <v>30</v>
      </c>
    </row>
    <row r="37" ht="15">
      <c r="B37" s="1" t="s">
        <v>41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91" r:id="rId1"/>
  <headerFooter alignWithMargins="0">
    <oddFooter>&amp;L&amp;8NPC    &amp;F   (&amp;A)&amp;C&amp;8Page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K37"/>
  <sheetViews>
    <sheetView zoomScale="70" zoomScaleNormal="70" zoomScalePageLayoutView="0" workbookViewId="0" topLeftCell="A1">
      <pane xSplit="2" ySplit="6" topLeftCell="C7" activePane="bottomRight" state="frozen"/>
      <selection pane="topLeft" activeCell="M21" sqref="M21"/>
      <selection pane="topRight" activeCell="M21" sqref="M21"/>
      <selection pane="bottomLeft" activeCell="M21" sqref="M21"/>
      <selection pane="bottomRight" activeCell="C7" sqref="C7"/>
    </sheetView>
  </sheetViews>
  <sheetFormatPr defaultColWidth="9.140625" defaultRowHeight="12.75"/>
  <cols>
    <col min="1" max="1" width="1.8515625" style="1" customWidth="1"/>
    <col min="2" max="2" width="20.421875" style="1" customWidth="1"/>
    <col min="3" max="5" width="24.421875" style="1" customWidth="1"/>
    <col min="6" max="6" width="23.57421875" style="1" customWidth="1"/>
    <col min="7" max="7" width="24.421875" style="1" customWidth="1"/>
    <col min="8" max="8" width="3.8515625" style="1" customWidth="1"/>
    <col min="9" max="16384" width="9.140625" style="1" customWidth="1"/>
  </cols>
  <sheetData>
    <row r="1" spans="2:7" ht="15.75">
      <c r="B1" s="8" t="str">
        <f>Total!B1</f>
        <v>Appendix C</v>
      </c>
      <c r="C1" s="8"/>
      <c r="D1" s="8"/>
      <c r="E1" s="8"/>
      <c r="F1" s="8"/>
      <c r="G1" s="8"/>
    </row>
    <row r="2" spans="2:7" ht="8.25" customHeight="1">
      <c r="B2" s="8"/>
      <c r="C2" s="8"/>
      <c r="D2" s="8"/>
      <c r="E2" s="8"/>
      <c r="F2" s="8"/>
      <c r="G2" s="8"/>
    </row>
    <row r="3" spans="2:7" ht="15.75">
      <c r="B3" s="8" t="str">
        <f>Total!B3</f>
        <v>Utah Quarterly Compliance Filing</v>
      </c>
      <c r="C3" s="8"/>
      <c r="D3" s="8"/>
      <c r="E3" s="8"/>
      <c r="F3" s="8"/>
      <c r="G3" s="8"/>
    </row>
    <row r="4" spans="2:7" ht="15.75">
      <c r="B4" s="8" t="str">
        <f>Total!B4</f>
        <v>Step Study between 2009 Q2 and 2009 Q4 Compliance Filing</v>
      </c>
      <c r="C4" s="8"/>
      <c r="D4" s="8"/>
      <c r="E4" s="8"/>
      <c r="F4" s="8"/>
      <c r="G4" s="8"/>
    </row>
    <row r="5" spans="2:7" ht="15.75">
      <c r="B5" s="8" t="s">
        <v>21</v>
      </c>
      <c r="C5" s="8"/>
      <c r="D5" s="8"/>
      <c r="E5" s="8"/>
      <c r="F5" s="8"/>
      <c r="G5" s="8"/>
    </row>
    <row r="6" spans="2:7" ht="15.75">
      <c r="B6" s="8"/>
      <c r="C6" s="8"/>
      <c r="D6" s="8"/>
      <c r="E6" s="8"/>
      <c r="F6" s="8"/>
      <c r="G6" s="8"/>
    </row>
    <row r="7" spans="2:7" ht="15.75">
      <c r="B7" s="9"/>
      <c r="C7" s="11" t="str">
        <f>Total!C7</f>
        <v>2009 Q2</v>
      </c>
      <c r="D7" s="11" t="str">
        <f>Total!D7</f>
        <v>Load Forecast</v>
      </c>
      <c r="E7" s="11" t="str">
        <f>Total!E7</f>
        <v>Official Price </v>
      </c>
      <c r="F7" s="11" t="s">
        <v>31</v>
      </c>
      <c r="G7" s="11" t="str">
        <f>Total!F7</f>
        <v>2009 Q4</v>
      </c>
    </row>
    <row r="8" spans="2:7" ht="15.75">
      <c r="B8" s="10" t="s">
        <v>0</v>
      </c>
      <c r="C8" s="2" t="str">
        <f>Total!C8</f>
        <v>As Filed</v>
      </c>
      <c r="D8" s="21" t="str">
        <f>Total!D8</f>
        <v>Dated October 2009</v>
      </c>
      <c r="E8" s="2" t="str">
        <f>Total!E8</f>
        <v>Forecast 1209 (3)</v>
      </c>
      <c r="F8" s="26" t="s">
        <v>32</v>
      </c>
      <c r="G8" s="2" t="str">
        <f>Total!F8</f>
        <v>As Filed</v>
      </c>
    </row>
    <row r="9" ht="4.5" customHeight="1"/>
    <row r="10" spans="2:7" ht="15.75">
      <c r="B10" s="3">
        <f>Total!B10</f>
        <v>2010</v>
      </c>
      <c r="C10" s="6">
        <v>39.58872768938073</v>
      </c>
      <c r="D10" s="6">
        <v>37.30233198552261</v>
      </c>
      <c r="E10" s="6">
        <v>38.120937902731214</v>
      </c>
      <c r="F10" s="6">
        <v>39.176027065461845</v>
      </c>
      <c r="G10" s="6">
        <v>39.18107842312792</v>
      </c>
    </row>
    <row r="11" spans="2:11" ht="15.75">
      <c r="B11" s="3">
        <f aca="true" t="shared" si="0" ref="B11:B29">B10+1</f>
        <v>2011</v>
      </c>
      <c r="C11" s="6">
        <v>46.80745547004494</v>
      </c>
      <c r="D11" s="6">
        <v>44.40557187183362</v>
      </c>
      <c r="E11" s="6">
        <v>42.755333322988704</v>
      </c>
      <c r="F11" s="6">
        <v>42.243758052189506</v>
      </c>
      <c r="G11" s="6">
        <v>42.243758052189506</v>
      </c>
      <c r="I11" s="25"/>
      <c r="J11" s="25"/>
      <c r="K11" s="25"/>
    </row>
    <row r="12" spans="2:11" ht="15.75">
      <c r="B12" s="3">
        <f t="shared" si="0"/>
        <v>2012</v>
      </c>
      <c r="C12" s="6">
        <v>49.20763734060128</v>
      </c>
      <c r="D12" s="6">
        <v>47.48011921356736</v>
      </c>
      <c r="E12" s="6">
        <v>45.04833529071437</v>
      </c>
      <c r="F12" s="6">
        <v>45.01245302007672</v>
      </c>
      <c r="G12" s="6">
        <v>45.01245302007672</v>
      </c>
      <c r="I12" s="25"/>
      <c r="J12" s="25"/>
      <c r="K12" s="25"/>
    </row>
    <row r="13" spans="2:11" ht="15.75">
      <c r="B13" s="3">
        <f t="shared" si="0"/>
        <v>2013</v>
      </c>
      <c r="C13" s="6">
        <v>53.693075420359634</v>
      </c>
      <c r="D13" s="6">
        <v>52.498146341931005</v>
      </c>
      <c r="E13" s="6">
        <v>50.5412016005097</v>
      </c>
      <c r="F13" s="6">
        <v>50.844991958112786</v>
      </c>
      <c r="G13" s="6">
        <v>49.47259187793156</v>
      </c>
      <c r="I13" s="25"/>
      <c r="J13" s="25"/>
      <c r="K13" s="25"/>
    </row>
    <row r="14" spans="2:11" ht="15.75">
      <c r="B14" s="3">
        <f t="shared" si="0"/>
        <v>2014</v>
      </c>
      <c r="C14" s="6">
        <v>45.1377141137504</v>
      </c>
      <c r="D14" s="6">
        <v>44.75255416114763</v>
      </c>
      <c r="E14" s="6">
        <v>44.372698279398186</v>
      </c>
      <c r="F14" s="6">
        <v>43.6873179196677</v>
      </c>
      <c r="G14" s="6">
        <v>40.56021313295589</v>
      </c>
      <c r="I14" s="25"/>
      <c r="J14" s="25"/>
      <c r="K14" s="25"/>
    </row>
    <row r="15" spans="2:11" ht="15.75">
      <c r="B15" s="3">
        <f t="shared" si="0"/>
        <v>2015</v>
      </c>
      <c r="C15" s="6">
        <v>43.249853581609685</v>
      </c>
      <c r="D15" s="6">
        <v>42.86508057546951</v>
      </c>
      <c r="E15" s="6">
        <v>42.01734557542658</v>
      </c>
      <c r="F15" s="6">
        <v>41.58803143328956</v>
      </c>
      <c r="G15" s="6">
        <v>37.342178666281136</v>
      </c>
      <c r="I15" s="25"/>
      <c r="J15" s="25"/>
      <c r="K15" s="25"/>
    </row>
    <row r="16" spans="2:11" ht="15.75">
      <c r="B16" s="3">
        <f t="shared" si="0"/>
        <v>2016</v>
      </c>
      <c r="C16" s="6">
        <v>44.622026751786436</v>
      </c>
      <c r="D16" s="6">
        <v>44.44230175622558</v>
      </c>
      <c r="E16" s="6">
        <v>45.56936080951456</v>
      </c>
      <c r="F16" s="6">
        <v>45.45187967597163</v>
      </c>
      <c r="G16" s="6">
        <v>40.98735140666312</v>
      </c>
      <c r="I16" s="25"/>
      <c r="J16" s="25"/>
      <c r="K16" s="25"/>
    </row>
    <row r="17" spans="2:11" ht="15.75">
      <c r="B17" s="3">
        <f t="shared" si="0"/>
        <v>2017</v>
      </c>
      <c r="C17" s="6">
        <v>45.85907029820848</v>
      </c>
      <c r="D17" s="6">
        <v>45.69260546920698</v>
      </c>
      <c r="E17" s="6">
        <v>49.74325096397163</v>
      </c>
      <c r="F17" s="6">
        <v>49.22912424374901</v>
      </c>
      <c r="G17" s="6">
        <v>44.84049921845272</v>
      </c>
      <c r="I17" s="25"/>
      <c r="J17" s="25"/>
      <c r="K17" s="25"/>
    </row>
    <row r="18" spans="2:11" ht="15.75">
      <c r="B18" s="3">
        <f t="shared" si="0"/>
        <v>2018</v>
      </c>
      <c r="C18" s="6">
        <v>46.00595087323027</v>
      </c>
      <c r="D18" s="6">
        <v>45.94225241273641</v>
      </c>
      <c r="E18" s="6">
        <v>51.55316953662509</v>
      </c>
      <c r="F18" s="6">
        <v>50.92056631490996</v>
      </c>
      <c r="G18" s="6">
        <v>46.552690203232274</v>
      </c>
      <c r="I18" s="25"/>
      <c r="J18" s="25"/>
      <c r="K18" s="25"/>
    </row>
    <row r="19" spans="2:11" ht="15.75">
      <c r="B19" s="3">
        <f t="shared" si="0"/>
        <v>2019</v>
      </c>
      <c r="C19" s="6">
        <v>48.117835493098816</v>
      </c>
      <c r="D19" s="6">
        <v>47.94487348879877</v>
      </c>
      <c r="E19" s="6">
        <v>50.92869391544978</v>
      </c>
      <c r="F19" s="6">
        <v>49.97949864369457</v>
      </c>
      <c r="G19" s="6">
        <v>45.51449552023298</v>
      </c>
      <c r="I19" s="25"/>
      <c r="J19" s="25"/>
      <c r="K19" s="25"/>
    </row>
    <row r="20" spans="2:11" ht="15.75">
      <c r="B20" s="3">
        <f t="shared" si="0"/>
        <v>2020</v>
      </c>
      <c r="C20" s="6">
        <v>50.09532395949525</v>
      </c>
      <c r="D20" s="6">
        <v>49.946622254256454</v>
      </c>
      <c r="E20" s="6">
        <v>51.56334941759629</v>
      </c>
      <c r="F20" s="6">
        <v>50.35865560754955</v>
      </c>
      <c r="G20" s="6">
        <v>45.87031139418963</v>
      </c>
      <c r="I20" s="25"/>
      <c r="J20" s="25"/>
      <c r="K20" s="25"/>
    </row>
    <row r="21" spans="2:11" ht="15.75">
      <c r="B21" s="3">
        <f t="shared" si="0"/>
        <v>2021</v>
      </c>
      <c r="C21" s="6">
        <v>52.95816615885407</v>
      </c>
      <c r="D21" s="6">
        <v>52.88786012321276</v>
      </c>
      <c r="E21" s="6">
        <v>55.09257419320802</v>
      </c>
      <c r="F21" s="6">
        <v>53.7915237020811</v>
      </c>
      <c r="G21" s="6">
        <v>49.32322189693613</v>
      </c>
      <c r="I21" s="25"/>
      <c r="J21" s="25"/>
      <c r="K21" s="25"/>
    </row>
    <row r="22" spans="2:11" ht="15.75">
      <c r="B22" s="3">
        <f t="shared" si="0"/>
        <v>2022</v>
      </c>
      <c r="C22" s="6">
        <v>52.35446263414832</v>
      </c>
      <c r="D22" s="6">
        <v>52.32412869317568</v>
      </c>
      <c r="E22" s="6">
        <v>58.7254418479548</v>
      </c>
      <c r="F22" s="6">
        <v>57.37487482528052</v>
      </c>
      <c r="G22" s="6">
        <v>52.842408984360986</v>
      </c>
      <c r="I22" s="25"/>
      <c r="J22" s="25"/>
      <c r="K22" s="25"/>
    </row>
    <row r="23" spans="2:11" ht="15.75">
      <c r="B23" s="3">
        <f t="shared" si="0"/>
        <v>2023</v>
      </c>
      <c r="C23" s="6">
        <v>53.26604272478363</v>
      </c>
      <c r="D23" s="6">
        <v>53.26677981211893</v>
      </c>
      <c r="E23" s="6">
        <v>55.97677853927199</v>
      </c>
      <c r="F23" s="6">
        <v>54.592467547337954</v>
      </c>
      <c r="G23" s="6">
        <v>49.99870368756484</v>
      </c>
      <c r="I23" s="25"/>
      <c r="J23" s="25"/>
      <c r="K23" s="25"/>
    </row>
    <row r="24" spans="2:11" ht="15.75">
      <c r="B24" s="3">
        <f t="shared" si="0"/>
        <v>2024</v>
      </c>
      <c r="C24" s="6">
        <v>48.39960773851007</v>
      </c>
      <c r="D24" s="6">
        <v>48.445198742758585</v>
      </c>
      <c r="E24" s="6">
        <v>55.15789577115015</v>
      </c>
      <c r="F24" s="6">
        <v>53.992794364696806</v>
      </c>
      <c r="G24" s="6">
        <v>49.26631217836199</v>
      </c>
      <c r="I24" s="25"/>
      <c r="J24" s="25"/>
      <c r="K24" s="25"/>
    </row>
    <row r="25" spans="2:11" ht="15.75">
      <c r="B25" s="3">
        <f t="shared" si="0"/>
        <v>2025</v>
      </c>
      <c r="C25" s="6">
        <v>50.63663647065176</v>
      </c>
      <c r="D25" s="6">
        <v>50.706330053563036</v>
      </c>
      <c r="E25" s="6">
        <v>58.09264738204255</v>
      </c>
      <c r="F25" s="6">
        <v>56.72081353365863</v>
      </c>
      <c r="G25" s="6">
        <v>52.00133550828014</v>
      </c>
      <c r="I25" s="25"/>
      <c r="J25" s="25"/>
      <c r="K25" s="25"/>
    </row>
    <row r="26" spans="2:11" ht="15.75">
      <c r="B26" s="3">
        <f t="shared" si="0"/>
        <v>2026</v>
      </c>
      <c r="C26" s="6">
        <v>53.926911665513856</v>
      </c>
      <c r="D26" s="6">
        <v>53.98582293033373</v>
      </c>
      <c r="E26" s="6">
        <v>59.642751796262615</v>
      </c>
      <c r="F26" s="6">
        <v>58.422081773588765</v>
      </c>
      <c r="G26" s="6">
        <v>53.74307814481868</v>
      </c>
      <c r="I26" s="25"/>
      <c r="J26" s="25"/>
      <c r="K26" s="25"/>
    </row>
    <row r="27" spans="2:11" ht="15.75">
      <c r="B27" s="3">
        <f t="shared" si="0"/>
        <v>2027</v>
      </c>
      <c r="C27" s="6">
        <v>54.5876123016614</v>
      </c>
      <c r="D27" s="6">
        <v>54.53215302083072</v>
      </c>
      <c r="E27" s="6">
        <v>59.0641246984391</v>
      </c>
      <c r="F27" s="6">
        <v>57.554682541270466</v>
      </c>
      <c r="G27" s="6">
        <v>52.61708265633131</v>
      </c>
      <c r="I27" s="25"/>
      <c r="J27" s="25"/>
      <c r="K27" s="25"/>
    </row>
    <row r="28" spans="2:11" ht="15.75">
      <c r="B28" s="3">
        <f t="shared" si="0"/>
        <v>2028</v>
      </c>
      <c r="C28" s="6">
        <v>56.27294090034321</v>
      </c>
      <c r="D28" s="6">
        <v>56.31346463584307</v>
      </c>
      <c r="E28" s="6">
        <v>60.672585005238105</v>
      </c>
      <c r="F28" s="6">
        <v>58.948819113897294</v>
      </c>
      <c r="G28" s="6">
        <v>53.936429609779054</v>
      </c>
      <c r="I28" s="25"/>
      <c r="J28" s="25"/>
      <c r="K28" s="25"/>
    </row>
    <row r="29" spans="2:11" ht="15.75">
      <c r="B29" s="3">
        <f t="shared" si="0"/>
        <v>2029</v>
      </c>
      <c r="C29" s="6">
        <v>57.65005278178698</v>
      </c>
      <c r="D29" s="6">
        <v>57.84274999476856</v>
      </c>
      <c r="E29" s="6">
        <v>63.06867007554979</v>
      </c>
      <c r="F29" s="6">
        <v>61.48280815031522</v>
      </c>
      <c r="G29" s="6">
        <v>56.39776977191185</v>
      </c>
      <c r="I29" s="25"/>
      <c r="J29" s="25"/>
      <c r="K29" s="25"/>
    </row>
    <row r="31" ht="15">
      <c r="B31" s="4" t="str">
        <f>"20-Year Nominal Levelized Payment at "&amp;TEXT(Discount_Rate,"0.00%")&amp;" Discount Rate (3)"</f>
        <v>20-Year Nominal Levelized Payment at 7.17% Discount Rate (3)</v>
      </c>
    </row>
    <row r="32" spans="2:7" ht="15">
      <c r="B32" s="13" t="str">
        <f>+B10&amp;" - "&amp;B29</f>
        <v>2010 - 2029</v>
      </c>
      <c r="C32" s="5">
        <f>-PMT(Discount_Rate,COUNT(C10:C29),NPV(Discount_Rate,C10:C29))</f>
        <v>48.306324321025876</v>
      </c>
      <c r="D32" s="5">
        <f>-PMT(Discount_Rate,COUNT(D10:D29),NPV(Discount_Rate,D10:D29))</f>
        <v>47.59865054159648</v>
      </c>
      <c r="E32" s="5">
        <f>-PMT(Discount_Rate,COUNT(E10:E29),NPV(Discount_Rate,E10:E29))</f>
        <v>49.34389690737331</v>
      </c>
      <c r="F32" s="5">
        <f>-PMT(Discount_Rate,COUNT(F10:F29),NPV(Discount_Rate,F10:F29))</f>
        <v>48.77499341116927</v>
      </c>
      <c r="G32" s="5">
        <f>-PMT(Discount_Rate,COUNT(G10:G29),NPV(Discount_Rate,G10:G29))</f>
        <v>45.69190629520653</v>
      </c>
    </row>
    <row r="33" ht="15">
      <c r="D33" s="22"/>
    </row>
    <row r="34" ht="15">
      <c r="B34" s="13" t="s">
        <v>12</v>
      </c>
    </row>
    <row r="35" ht="15">
      <c r="B35" s="1" t="s">
        <v>28</v>
      </c>
    </row>
    <row r="36" ht="15">
      <c r="B36" s="1" t="s">
        <v>29</v>
      </c>
    </row>
    <row r="37" ht="15">
      <c r="B37" s="1" t="s">
        <v>36</v>
      </c>
    </row>
  </sheetData>
  <sheetProtection/>
  <printOptions horizontalCentered="1"/>
  <pageMargins left="0.25" right="0.25" top="0.75" bottom="0.75" header="0.3" footer="0.2"/>
  <pageSetup fitToHeight="1" fitToWidth="1" horizontalDpi="600" verticalDpi="600" orientation="landscape" scale="91" r:id="rId1"/>
  <headerFooter alignWithMargins="0">
    <oddFooter>&amp;L&amp;8NPC    &amp;F   (&amp;A)&amp;C&amp;8Page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Farmer</dc:creator>
  <cp:keywords/>
  <dc:description/>
  <cp:lastModifiedBy>tb</cp:lastModifiedBy>
  <cp:lastPrinted>2010-02-24T16:34:05Z</cp:lastPrinted>
  <dcterms:created xsi:type="dcterms:W3CDTF">2006-07-10T20:43:15Z</dcterms:created>
  <dcterms:modified xsi:type="dcterms:W3CDTF">2010-03-15T21:31:27Z</dcterms:modified>
  <cp:category/>
  <cp:version/>
  <cp:contentType/>
  <cp:contentStatus/>
</cp:coreProperties>
</file>