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620" windowHeight="9540" activeTab="0"/>
  </bookViews>
  <sheets>
    <sheet name="Appendix B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definedNames>
    <definedName name="_xlnm.Print_Area" localSheetId="0">'Appendix B'!$A$1:$F$38</definedName>
    <definedName name="_xlnm.Print_Area" localSheetId="1">'Table 1'!$A$1:$H$45</definedName>
    <definedName name="_xlnm.Print_Area" localSheetId="2">'Table 2'!$B$10:$Q$34</definedName>
    <definedName name="_xlnm.Print_Area" localSheetId="3">'Table 3'!$B$10:$Q$34</definedName>
    <definedName name="_xlnm.Print_Area" localSheetId="4">'Table 4'!$B$1:$K$91</definedName>
    <definedName name="_xlnm.Print_Area" localSheetId="5">'Table 5'!$A$1:$D$36</definedName>
    <definedName name="_xlnm.Print_Titles" localSheetId="2">'Table 2'!$1:$9</definedName>
    <definedName name="_xlnm.Print_Titles" localSheetId="3">'Table 3'!$1:$9</definedName>
    <definedName name="_xlnm.Print_Titles" localSheetId="4">'Table 4'!$1:$7</definedName>
  </definedNames>
  <calcPr fullCalcOnLoad="1"/>
</workbook>
</file>

<file path=xl/comments6.xml><?xml version="1.0" encoding="utf-8"?>
<comments xmlns="http://schemas.openxmlformats.org/spreadsheetml/2006/main">
  <authors>
    <author>PacifiCorp</author>
  </authors>
  <commentList>
    <comment ref="G5" authorId="0">
      <text>
        <r>
          <rPr>
            <b/>
            <sz val="8"/>
            <rFont val="Tahoma"/>
            <family val="2"/>
          </rPr>
          <t>PacifiCorp:</t>
        </r>
        <r>
          <rPr>
            <sz val="8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<sst xmlns="http://schemas.openxmlformats.org/spreadsheetml/2006/main" count="170" uniqueCount="121">
  <si>
    <t>Year</t>
  </si>
  <si>
    <t>Energy Cost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</si>
  <si>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</si>
  <si>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</si>
  <si>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</si>
  <si>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</si>
  <si>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</si>
  <si>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</si>
  <si>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</si>
  <si>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</si>
  <si>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</si>
  <si>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</si>
  <si>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</si>
  <si>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</si>
  <si>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</si>
  <si>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</si>
  <si>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</si>
  <si>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</si>
  <si>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</si>
  <si>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</si>
  <si>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</si>
  <si>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</si>
  <si>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</si>
  <si>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</si>
  <si>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</si>
  <si>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</si>
  <si>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</si>
  <si>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</si>
  <si>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</si>
  <si>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</si>
  <si>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</si>
  <si>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</si>
  <si>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</si>
  <si>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</si>
  <si>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</si>
  <si>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</si>
  <si>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</si>
  <si>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</si>
  <si>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</si>
  <si>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</si>
  <si>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</si>
  <si>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(2)   'Energy Only' is the GRID calculated costs and includes some capacity costs.</t>
  </si>
  <si>
    <t>Fuel Cost</t>
  </si>
  <si>
    <t>$/MMBtu</t>
  </si>
  <si>
    <t>(g)</t>
  </si>
  <si>
    <t>(h)</t>
  </si>
  <si>
    <t>Energy Only</t>
  </si>
  <si>
    <t>IRP Resource</t>
  </si>
  <si>
    <t>No</t>
  </si>
  <si>
    <t>Cap Energy Prices (Yes / No)</t>
  </si>
  <si>
    <t>Denotes months with capped energy prices</t>
  </si>
  <si>
    <t>Energy Price escalated at</t>
  </si>
  <si>
    <t>Energy Only costs are calculated by GRID and are capped at the IRP Resource Energy Cost</t>
  </si>
  <si>
    <t>IRP Resource Energy Costs are provided for comparison purposes only.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</si>
  <si>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</si>
  <si>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</si>
  <si>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</si>
  <si>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</si>
  <si>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</si>
  <si>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</si>
  <si>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</si>
  <si>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</si>
  <si>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</si>
  <si>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r>
      <t>$/MWh</t>
    </r>
    <r>
      <rPr>
        <vertAlign val="superscript"/>
        <sz val="9"/>
        <rFont val="Times New Roman"/>
        <family val="1"/>
      </rPr>
      <t xml:space="preserve"> (2) (3)</t>
    </r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</si>
  <si>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</si>
  <si>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</si>
  <si>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</si>
  <si>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</si>
  <si>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</si>
  <si>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</si>
  <si>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</si>
  <si>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</si>
  <si>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</si>
  <si>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</si>
  <si>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</si>
  <si>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</si>
  <si>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</si>
  <si>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</si>
  <si>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</si>
  <si>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>East Side</t>
  </si>
  <si>
    <t>East Side Natural Gas</t>
  </si>
  <si>
    <t xml:space="preserve">  MW Plant capacity</t>
  </si>
  <si>
    <t xml:space="preserve">  Fixed O&amp;M plus on-going capital cost</t>
  </si>
  <si>
    <t xml:space="preserve">  Heat Rate in btu/kWh</t>
  </si>
  <si>
    <t xml:space="preserve">  Payment Factor</t>
  </si>
  <si>
    <t xml:space="preserve">  Capacity Factor</t>
  </si>
  <si>
    <t xml:space="preserve">  Plant capacity cost</t>
  </si>
  <si>
    <t xml:space="preserve">  Energy Weighted Capacity Factor</t>
  </si>
  <si>
    <t>CCCT (Wet "F" 2x1) *</t>
  </si>
  <si>
    <t>CCCT Duct Firing (Wet "F" 2x1)</t>
  </si>
  <si>
    <t>2008 IRP Resource Cost</t>
  </si>
  <si>
    <t>CCCT (Wet "F" 2x1)  - East Side Resource (4500')</t>
  </si>
  <si>
    <t>Avoided Energy Costs - Unscheduled or Non-dispatch hours($/MWh)</t>
  </si>
  <si>
    <t>20 Year Levelized Prices (Nominal) @ 7.17% Discount Rate (1) (3)</t>
  </si>
  <si>
    <t xml:space="preserve">  Variable O&amp;M Costs in $/MWh includes Fixed Pipeline Costs (See Below)</t>
  </si>
  <si>
    <t xml:space="preserve">  Fixed Pipeline Costs in $/MWH</t>
  </si>
  <si>
    <t>Official Discount Rate (December 2009)</t>
  </si>
  <si>
    <t>(1)   Discount Rate - Company Official Discount Rate</t>
  </si>
  <si>
    <t>(4)</t>
  </si>
  <si>
    <t>Price (5)</t>
  </si>
  <si>
    <t>Plant Costs 2008 IRP Update - [Modeled in PAR]</t>
  </si>
  <si>
    <t>East</t>
  </si>
  <si>
    <t>Avoided Cost Prices $/MWh</t>
  </si>
  <si>
    <t>Avoided Cost at</t>
  </si>
  <si>
    <t>Difference</t>
  </si>
  <si>
    <t>(2)   Total Avoided Costs with Capacity included at an 85% capacity factor</t>
  </si>
  <si>
    <t>(5) Capacity payment for 2015 is 7/12 of annual.  CCCT start 6/1/2014.</t>
  </si>
  <si>
    <t xml:space="preserve">Partial Displacement of East Side 607 MW CCCT (Wet "F" 2x1) </t>
  </si>
  <si>
    <t xml:space="preserve">Adjust Capacity payment for Partial Displacement </t>
  </si>
  <si>
    <t>Total Resource Energy Cost</t>
  </si>
  <si>
    <t>Total Resource Costs</t>
  </si>
  <si>
    <t>Utah 2010.Q2 Compliance Filing - 100 MW and 85% Capacity Factor</t>
  </si>
  <si>
    <t>2010.Q1 Compliance</t>
  </si>
  <si>
    <t>Filing</t>
  </si>
  <si>
    <r>
      <t>20-Year Levelized Prices (Nominal) @ 7.17% Discount Rate</t>
    </r>
    <r>
      <rPr>
        <vertAlign val="superscript"/>
        <sz val="10"/>
        <rFont val="Times New Roman"/>
        <family val="1"/>
      </rPr>
      <t xml:space="preserve"> (1) (3)</t>
    </r>
  </si>
  <si>
    <t xml:space="preserve">      Avoided Costs calculated monthly are  $61.52/MWH</t>
  </si>
  <si>
    <t>$61.54 (6)</t>
  </si>
  <si>
    <t xml:space="preserve">     Avoided Costs calculated monthly are  $61.52/MWH</t>
  </si>
  <si>
    <t>(6) Avoided Costs calculated annually starting January 2011</t>
  </si>
  <si>
    <t>Company Official Inflation Forecast Dated 2010 June</t>
  </si>
  <si>
    <t>(5)  2030 Avoided Costs were estimated based on 2010.Q2 prices.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</si>
</sst>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&quot;$&quot;#,##0.000_);[Red]\(&quot;$&quot;#,##0.000\)"/>
    <numFmt numFmtId="170" formatCode="_(* #,##0.000_);_(* \(#,##0.000\);_(* &quot;-&quot;_);_(@_)"/>
    <numFmt numFmtId="171" formatCode="_(&quot;$&quot;* #,##0_);_(&quot;$&quot;* \(#,##0\);_(&quot;$&quot;* &quot;-&quot;??_);_(@_)"/>
    <numFmt numFmtId="172" formatCode="mmm\ yyyy&quot;   &quot;"/>
    <numFmt numFmtId="173" formatCode="_(* #,##0_);[Red]_(* \(#,##0\);_(* &quot;-&quot;_);_(@_)"/>
    <numFmt numFmtId="174" formatCode="_(* #,##0.00_);[Red]_(* \(#,##0.00\);_(* &quot;-&quot;_);_(@_)"/>
  </numFmts>
  <fonts count="5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  <family val="0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9"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>
      <protection locked="0"/>
    </xf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167" fontId="2" fillId="0" borderId="0">
      <alignment/>
      <protection/>
    </xf>
    <xf numFmtId="167" fontId="2" fillId="0" borderId="0">
      <alignment/>
      <protection/>
    </xf>
    <xf numFmtId="41" fontId="0" fillId="0" borderId="0">
      <alignment/>
      <protection/>
    </xf>
    <xf numFmtId="0" fontId="2" fillId="0" borderId="0">
      <alignment/>
      <protection/>
    </xf>
    <xf numFmtId="173" fontId="0" fillId="0" borderId="0">
      <alignment/>
      <protection/>
    </xf>
    <xf numFmtId="0" fontId="2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7" borderId="8" applyNumberFormat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5">
    <xf numFmtId="173" fontId="0" fillId="0" borderId="0" xfId="0" applyAlignment="1">
      <alignment/>
    </xf>
    <xf numFmtId="173" fontId="4" fillId="0" borderId="0" xfId="0" applyFont="1" applyFill="1" applyAlignment="1">
      <alignment horizontal="centerContinuous"/>
    </xf>
    <xf numFmtId="173" fontId="6" fillId="0" borderId="0" xfId="0" applyFont="1" applyFill="1" applyBorder="1" applyAlignment="1" quotePrefix="1">
      <alignment horizontal="center"/>
    </xf>
    <xf numFmtId="173" fontId="0" fillId="0" borderId="0" xfId="0" applyFont="1" applyFill="1" applyAlignment="1">
      <alignment/>
    </xf>
    <xf numFmtId="173" fontId="0" fillId="0" borderId="10" xfId="0" applyFont="1" applyFill="1" applyBorder="1" applyAlignment="1">
      <alignment horizontal="center"/>
    </xf>
    <xf numFmtId="173" fontId="10" fillId="0" borderId="0" xfId="0" applyFont="1" applyFill="1" applyAlignment="1">
      <alignment horizontal="centerContinuous"/>
    </xf>
    <xf numFmtId="173" fontId="0" fillId="0" borderId="0" xfId="0" applyFont="1" applyFill="1" applyAlignment="1">
      <alignment/>
    </xf>
    <xf numFmtId="173" fontId="5" fillId="0" borderId="0" xfId="0" applyFont="1" applyFill="1" applyAlignment="1">
      <alignment horizontal="centerContinuous"/>
    </xf>
    <xf numFmtId="173" fontId="0" fillId="0" borderId="0" xfId="0" applyFont="1" applyFill="1" applyBorder="1" applyAlignment="1">
      <alignment/>
    </xf>
    <xf numFmtId="173" fontId="0" fillId="0" borderId="0" xfId="0" applyFont="1" applyFill="1" applyAlignment="1">
      <alignment horizontal="center"/>
    </xf>
    <xf numFmtId="8" fontId="0" fillId="0" borderId="0" xfId="0" applyNumberFormat="1" applyFont="1" applyFill="1" applyAlignment="1">
      <alignment/>
    </xf>
    <xf numFmtId="8" fontId="0" fillId="0" borderId="11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3" fontId="8" fillId="0" borderId="0" xfId="0" applyFont="1" applyFill="1" applyAlignment="1">
      <alignment/>
    </xf>
    <xf numFmtId="173" fontId="0" fillId="0" borderId="0" xfId="0" applyFont="1" applyFill="1" applyAlignment="1">
      <alignment/>
    </xf>
    <xf numFmtId="173" fontId="0" fillId="0" borderId="0" xfId="0" applyFont="1" applyFill="1" applyBorder="1" applyAlignment="1" quotePrefix="1">
      <alignment horizontal="center"/>
    </xf>
    <xf numFmtId="173" fontId="8" fillId="0" borderId="0" xfId="0" applyFont="1" applyFill="1" applyAlignment="1">
      <alignment horizontal="centerContinuous"/>
    </xf>
    <xf numFmtId="173" fontId="9" fillId="0" borderId="0" xfId="0" applyFont="1" applyFill="1" applyAlignment="1">
      <alignment/>
    </xf>
    <xf numFmtId="173" fontId="0" fillId="0" borderId="0" xfId="0" applyFont="1" applyFill="1" applyAlignment="1" quotePrefix="1">
      <alignment/>
    </xf>
    <xf numFmtId="173" fontId="3" fillId="0" borderId="0" xfId="0" applyFont="1" applyFill="1" applyBorder="1" applyAlignment="1">
      <alignment horizontal="left"/>
    </xf>
    <xf numFmtId="8" fontId="0" fillId="0" borderId="10" xfId="0" applyNumberFormat="1" applyFont="1" applyFill="1" applyBorder="1" applyAlignment="1">
      <alignment horizontal="center"/>
    </xf>
    <xf numFmtId="173" fontId="9" fillId="0" borderId="0" xfId="0" applyFont="1" applyFill="1" applyAlignment="1">
      <alignment horizontal="centerContinuous"/>
    </xf>
    <xf numFmtId="173" fontId="4" fillId="0" borderId="0" xfId="0" applyFont="1" applyFill="1" applyBorder="1" applyAlignment="1">
      <alignment horizontal="centerContinuous"/>
    </xf>
    <xf numFmtId="173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3" fontId="0" fillId="0" borderId="0" xfId="0" applyFont="1" applyFill="1" applyBorder="1" applyAlignment="1" quotePrefix="1">
      <alignment/>
    </xf>
    <xf numFmtId="173" fontId="0" fillId="0" borderId="0" xfId="0" applyFont="1" applyFill="1" applyBorder="1" applyAlignment="1">
      <alignment horizontal="left"/>
    </xf>
    <xf numFmtId="164" fontId="0" fillId="0" borderId="0" xfId="0" applyNumberFormat="1" applyFont="1" applyFill="1" applyAlignment="1">
      <alignment/>
    </xf>
    <xf numFmtId="173" fontId="0" fillId="0" borderId="12" xfId="0" applyFont="1" applyFill="1" applyBorder="1" applyAlignment="1">
      <alignment horizontal="centerContinuous"/>
    </xf>
    <xf numFmtId="173" fontId="0" fillId="0" borderId="13" xfId="0" applyFont="1" applyFill="1" applyBorder="1" applyAlignment="1">
      <alignment horizontal="centerContinuous"/>
    </xf>
    <xf numFmtId="173" fontId="0" fillId="0" borderId="14" xfId="0" applyFont="1" applyFill="1" applyBorder="1" applyAlignment="1">
      <alignment/>
    </xf>
    <xf numFmtId="173" fontId="0" fillId="0" borderId="15" xfId="0" applyFont="1" applyFill="1" applyBorder="1" applyAlignment="1">
      <alignment horizontal="center"/>
    </xf>
    <xf numFmtId="173" fontId="0" fillId="0" borderId="0" xfId="0" applyFont="1" applyFill="1" applyBorder="1" applyAlignment="1" quotePrefix="1">
      <alignment horizontal="center"/>
    </xf>
    <xf numFmtId="173" fontId="0" fillId="0" borderId="16" xfId="0" applyFont="1" applyFill="1" applyBorder="1" applyAlignment="1">
      <alignment horizontal="centerContinuous"/>
    </xf>
    <xf numFmtId="173" fontId="0" fillId="0" borderId="14" xfId="0" applyFont="1" applyFill="1" applyBorder="1" applyAlignment="1">
      <alignment horizontal="centerContinuous"/>
    </xf>
    <xf numFmtId="173" fontId="0" fillId="0" borderId="17" xfId="0" applyFont="1" applyFill="1" applyBorder="1" applyAlignment="1">
      <alignment horizontal="centerContinuous"/>
    </xf>
    <xf numFmtId="173" fontId="0" fillId="0" borderId="18" xfId="0" applyFont="1" applyFill="1" applyBorder="1" applyAlignment="1">
      <alignment horizontal="centerContinuous"/>
    </xf>
    <xf numFmtId="173" fontId="0" fillId="0" borderId="17" xfId="0" applyFont="1" applyFill="1" applyBorder="1" applyAlignment="1">
      <alignment horizontal="center"/>
    </xf>
    <xf numFmtId="173" fontId="0" fillId="0" borderId="19" xfId="0" applyFont="1" applyFill="1" applyBorder="1" applyAlignment="1">
      <alignment horizontal="center"/>
    </xf>
    <xf numFmtId="173" fontId="0" fillId="0" borderId="14" xfId="0" applyFont="1" applyFill="1" applyBorder="1" applyAlignment="1" quotePrefix="1">
      <alignment horizontal="centerContinuous"/>
    </xf>
    <xf numFmtId="173" fontId="0" fillId="0" borderId="12" xfId="0" applyFont="1" applyFill="1" applyBorder="1" applyAlignment="1">
      <alignment horizontal="center"/>
    </xf>
    <xf numFmtId="173" fontId="0" fillId="0" borderId="20" xfId="0" applyFont="1" applyFill="1" applyBorder="1" applyAlignment="1">
      <alignment horizontal="center"/>
    </xf>
    <xf numFmtId="173" fontId="0" fillId="0" borderId="13" xfId="0" applyFont="1" applyFill="1" applyBorder="1" applyAlignment="1">
      <alignment horizontal="center"/>
    </xf>
    <xf numFmtId="173" fontId="0" fillId="0" borderId="11" xfId="0" applyFont="1" applyFill="1" applyBorder="1" applyAlignment="1">
      <alignment horizontal="centerContinuous"/>
    </xf>
    <xf numFmtId="43" fontId="0" fillId="0" borderId="0" xfId="42" applyFont="1" applyFill="1" applyAlignment="1">
      <alignment/>
    </xf>
    <xf numFmtId="0" fontId="0" fillId="0" borderId="0" xfId="62" applyFont="1" applyFill="1" applyBorder="1" applyAlignment="1">
      <alignment horizontal="center"/>
      <protection/>
    </xf>
    <xf numFmtId="173" fontId="0" fillId="0" borderId="0" xfId="0" applyFont="1" applyFill="1" applyAlignment="1">
      <alignment horizontal="centerContinuous"/>
    </xf>
    <xf numFmtId="8" fontId="0" fillId="0" borderId="0" xfId="0" applyNumberFormat="1" applyFont="1" applyFill="1" applyBorder="1" applyAlignment="1">
      <alignment/>
    </xf>
    <xf numFmtId="173" fontId="0" fillId="0" borderId="0" xfId="0" applyFont="1" applyFill="1" applyBorder="1" applyAlignment="1">
      <alignment horizontal="center"/>
    </xf>
    <xf numFmtId="8" fontId="0" fillId="0" borderId="18" xfId="0" applyNumberFormat="1" applyFont="1" applyFill="1" applyBorder="1" applyAlignment="1">
      <alignment horizontal="center"/>
    </xf>
    <xf numFmtId="8" fontId="0" fillId="0" borderId="21" xfId="0" applyNumberFormat="1" applyFont="1" applyFill="1" applyBorder="1" applyAlignment="1">
      <alignment horizontal="center"/>
    </xf>
    <xf numFmtId="8" fontId="0" fillId="0" borderId="22" xfId="0" applyNumberFormat="1" applyFont="1" applyFill="1" applyBorder="1" applyAlignment="1">
      <alignment horizontal="center"/>
    </xf>
    <xf numFmtId="173" fontId="0" fillId="0" borderId="0" xfId="0" applyFont="1" applyFill="1" applyAlignment="1">
      <alignment horizontal="left"/>
    </xf>
    <xf numFmtId="173" fontId="0" fillId="0" borderId="0" xfId="0" applyFont="1" applyFill="1" applyBorder="1" applyAlignment="1">
      <alignment horizontal="centerContinuous"/>
    </xf>
    <xf numFmtId="168" fontId="0" fillId="0" borderId="0" xfId="0" applyNumberFormat="1" applyFont="1" applyFill="1" applyAlignment="1">
      <alignment/>
    </xf>
    <xf numFmtId="173" fontId="0" fillId="0" borderId="16" xfId="0" applyFont="1" applyFill="1" applyBorder="1" applyAlignment="1">
      <alignment horizontal="centerContinuous"/>
    </xf>
    <xf numFmtId="173" fontId="0" fillId="0" borderId="13" xfId="0" applyFont="1" applyFill="1" applyBorder="1" applyAlignment="1">
      <alignment horizontal="centerContinuous"/>
    </xf>
    <xf numFmtId="173" fontId="0" fillId="0" borderId="17" xfId="0" applyFont="1" applyFill="1" applyBorder="1" applyAlignment="1">
      <alignment horizontal="centerContinuous"/>
    </xf>
    <xf numFmtId="173" fontId="0" fillId="0" borderId="11" xfId="0" applyFont="1" applyFill="1" applyBorder="1" applyAlignment="1">
      <alignment horizontal="centerContinuous"/>
    </xf>
    <xf numFmtId="173" fontId="0" fillId="0" borderId="18" xfId="0" applyFont="1" applyFill="1" applyBorder="1" applyAlignment="1">
      <alignment horizontal="centerContinuous"/>
    </xf>
    <xf numFmtId="8" fontId="0" fillId="0" borderId="23" xfId="42" applyNumberFormat="1" applyFont="1" applyFill="1" applyBorder="1" applyAlignment="1">
      <alignment horizontal="center"/>
    </xf>
    <xf numFmtId="8" fontId="0" fillId="0" borderId="24" xfId="0" applyNumberFormat="1" applyFont="1" applyFill="1" applyBorder="1" applyAlignment="1">
      <alignment horizontal="center"/>
    </xf>
    <xf numFmtId="8" fontId="0" fillId="0" borderId="17" xfId="0" applyNumberFormat="1" applyFont="1" applyFill="1" applyBorder="1" applyAlignment="1">
      <alignment horizontal="center"/>
    </xf>
    <xf numFmtId="8" fontId="0" fillId="0" borderId="14" xfId="42" applyNumberFormat="1" applyFont="1" applyFill="1" applyBorder="1" applyAlignment="1">
      <alignment horizontal="center"/>
    </xf>
    <xf numFmtId="173" fontId="0" fillId="32" borderId="0" xfId="0" applyFont="1" applyFill="1" applyAlignment="1">
      <alignment/>
    </xf>
    <xf numFmtId="173" fontId="0" fillId="0" borderId="17" xfId="0" applyFont="1" applyFill="1" applyBorder="1" applyAlignment="1">
      <alignment horizontal="center"/>
    </xf>
    <xf numFmtId="173" fontId="0" fillId="0" borderId="14" xfId="0" applyFont="1" applyFill="1" applyBorder="1" applyAlignment="1">
      <alignment horizontal="centerContinuous"/>
    </xf>
    <xf numFmtId="173" fontId="0" fillId="0" borderId="14" xfId="0" applyFont="1" applyFill="1" applyBorder="1" applyAlignment="1" quotePrefix="1">
      <alignment horizontal="centerContinuous"/>
    </xf>
    <xf numFmtId="173" fontId="0" fillId="0" borderId="12" xfId="0" applyFont="1" applyFill="1" applyBorder="1" applyAlignment="1">
      <alignment horizontal="centerContinuous"/>
    </xf>
    <xf numFmtId="173" fontId="0" fillId="0" borderId="14" xfId="0" applyFont="1" applyFill="1" applyBorder="1" applyAlignment="1">
      <alignment/>
    </xf>
    <xf numFmtId="173" fontId="0" fillId="0" borderId="19" xfId="0" applyFont="1" applyFill="1" applyBorder="1" applyAlignment="1">
      <alignment horizontal="center"/>
    </xf>
    <xf numFmtId="173" fontId="0" fillId="0" borderId="12" xfId="0" applyFont="1" applyFill="1" applyBorder="1" applyAlignment="1">
      <alignment horizontal="center"/>
    </xf>
    <xf numFmtId="173" fontId="0" fillId="0" borderId="20" xfId="0" applyFont="1" applyFill="1" applyBorder="1" applyAlignment="1">
      <alignment horizontal="center"/>
    </xf>
    <xf numFmtId="173" fontId="0" fillId="0" borderId="13" xfId="0" applyFont="1" applyFill="1" applyBorder="1" applyAlignment="1">
      <alignment horizontal="center"/>
    </xf>
    <xf numFmtId="173" fontId="0" fillId="0" borderId="10" xfId="0" applyFont="1" applyFill="1" applyBorder="1" applyAlignment="1">
      <alignment horizontal="center"/>
    </xf>
    <xf numFmtId="173" fontId="0" fillId="0" borderId="15" xfId="0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8" fontId="0" fillId="0" borderId="23" xfId="0" applyNumberFormat="1" applyFont="1" applyFill="1" applyBorder="1" applyAlignment="1">
      <alignment/>
    </xf>
    <xf numFmtId="8" fontId="0" fillId="0" borderId="15" xfId="0" applyNumberFormat="1" applyFont="1" applyFill="1" applyBorder="1" applyAlignment="1">
      <alignment/>
    </xf>
    <xf numFmtId="173" fontId="13" fillId="32" borderId="0" xfId="0" applyFont="1" applyFill="1" applyAlignment="1">
      <alignment/>
    </xf>
    <xf numFmtId="10" fontId="0" fillId="0" borderId="0" xfId="0" applyNumberFormat="1" applyAlignment="1">
      <alignment/>
    </xf>
    <xf numFmtId="173" fontId="0" fillId="0" borderId="0" xfId="0" applyAlignment="1">
      <alignment horizontal="center"/>
    </xf>
    <xf numFmtId="173" fontId="3" fillId="0" borderId="0" xfId="0" applyFont="1" applyFill="1" applyAlignment="1">
      <alignment horizontal="right"/>
    </xf>
    <xf numFmtId="173" fontId="3" fillId="0" borderId="14" xfId="0" applyFont="1" applyFill="1" applyBorder="1" applyAlignment="1">
      <alignment horizontal="center"/>
    </xf>
    <xf numFmtId="173" fontId="3" fillId="0" borderId="14" xfId="0" applyFont="1" applyFill="1" applyBorder="1" applyAlignment="1">
      <alignment horizontal="center" wrapText="1"/>
    </xf>
    <xf numFmtId="173" fontId="3" fillId="0" borderId="14" xfId="0" applyFont="1" applyFill="1" applyBorder="1" applyAlignment="1">
      <alignment horizontal="centerContinuous" wrapText="1"/>
    </xf>
    <xf numFmtId="173" fontId="10" fillId="0" borderId="15" xfId="0" applyFont="1" applyFill="1" applyBorder="1" applyAlignment="1">
      <alignment horizontal="centerContinuous"/>
    </xf>
    <xf numFmtId="173" fontId="14" fillId="0" borderId="15" xfId="0" applyFont="1" applyFill="1" applyBorder="1" applyAlignment="1" quotePrefix="1">
      <alignment horizontal="center" wrapText="1"/>
    </xf>
    <xf numFmtId="173" fontId="14" fillId="0" borderId="15" xfId="0" applyFont="1" applyFill="1" applyBorder="1" applyAlignment="1">
      <alignment horizontal="center" wrapText="1"/>
    </xf>
    <xf numFmtId="173" fontId="3" fillId="0" borderId="0" xfId="0" applyFont="1" applyFill="1" applyAlignment="1">
      <alignment horizontal="centerContinuous"/>
    </xf>
    <xf numFmtId="169" fontId="0" fillId="0" borderId="0" xfId="0" applyNumberFormat="1" applyFont="1" applyFill="1" applyBorder="1" applyAlignment="1">
      <alignment/>
    </xf>
    <xf numFmtId="171" fontId="0" fillId="0" borderId="0" xfId="44" applyNumberFormat="1" applyFont="1" applyFill="1" applyAlignment="1">
      <alignment/>
    </xf>
    <xf numFmtId="173" fontId="3" fillId="0" borderId="14" xfId="0" applyFont="1" applyFill="1" applyBorder="1" applyAlignment="1">
      <alignment/>
    </xf>
    <xf numFmtId="173" fontId="3" fillId="0" borderId="23" xfId="0" applyFont="1" applyFill="1" applyBorder="1" applyAlignment="1">
      <alignment horizontal="center"/>
    </xf>
    <xf numFmtId="173" fontId="3" fillId="0" borderId="15" xfId="0" applyFont="1" applyFill="1" applyBorder="1" applyAlignment="1">
      <alignment/>
    </xf>
    <xf numFmtId="173" fontId="3" fillId="0" borderId="15" xfId="0" applyFont="1" applyFill="1" applyBorder="1" applyAlignment="1">
      <alignment horizontal="center"/>
    </xf>
    <xf numFmtId="8" fontId="1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73" fontId="3" fillId="0" borderId="20" xfId="0" applyFont="1" applyFill="1" applyBorder="1" applyAlignment="1">
      <alignment horizontal="centerContinuous"/>
    </xf>
    <xf numFmtId="0" fontId="0" fillId="0" borderId="0" xfId="0" applyNumberFormat="1" applyFont="1" applyFill="1" applyAlignment="1">
      <alignment/>
    </xf>
    <xf numFmtId="6" fontId="0" fillId="0" borderId="0" xfId="44" applyNumberFormat="1" applyFont="1" applyFill="1" applyAlignment="1">
      <alignment/>
    </xf>
    <xf numFmtId="8" fontId="0" fillId="0" borderId="0" xfId="44" applyNumberFormat="1" applyFont="1" applyFill="1" applyAlignment="1">
      <alignment/>
    </xf>
    <xf numFmtId="173" fontId="5" fillId="0" borderId="16" xfId="0" applyFont="1" applyFill="1" applyBorder="1" applyAlignment="1">
      <alignment horizontal="centerContinuous"/>
    </xf>
    <xf numFmtId="167" fontId="0" fillId="0" borderId="0" xfId="65" applyNumberFormat="1" applyFont="1" applyFill="1" applyAlignment="1">
      <alignment/>
    </xf>
    <xf numFmtId="173" fontId="16" fillId="33" borderId="0" xfId="0" applyFont="1" applyFill="1" applyAlignment="1">
      <alignment horizontal="centerContinuous"/>
    </xf>
    <xf numFmtId="173" fontId="17" fillId="33" borderId="0" xfId="0" applyFont="1" applyFill="1" applyAlignment="1">
      <alignment horizontal="centerContinuous"/>
    </xf>
    <xf numFmtId="14" fontId="18" fillId="33" borderId="0" xfId="0" applyNumberFormat="1" applyFont="1" applyFill="1" applyBorder="1" applyAlignment="1">
      <alignment horizontal="centerContinuous" vertical="center"/>
    </xf>
    <xf numFmtId="173" fontId="2" fillId="33" borderId="0" xfId="0" applyFont="1" applyFill="1" applyBorder="1" applyAlignment="1">
      <alignment horizontal="centerContinuous" wrapText="1"/>
    </xf>
    <xf numFmtId="173" fontId="19" fillId="33" borderId="0" xfId="0" applyFont="1" applyFill="1" applyBorder="1" applyAlignment="1">
      <alignment horizontal="centerContinuous"/>
    </xf>
    <xf numFmtId="172" fontId="16" fillId="33" borderId="0" xfId="42" applyNumberFormat="1" applyFont="1" applyFill="1" applyAlignment="1">
      <alignment horizontal="centerContinuous"/>
    </xf>
    <xf numFmtId="173" fontId="16" fillId="0" borderId="0" xfId="0" applyFont="1" applyFill="1" applyBorder="1" applyAlignment="1">
      <alignment/>
    </xf>
    <xf numFmtId="173" fontId="0" fillId="0" borderId="0" xfId="0" applyFill="1" applyBorder="1" applyAlignment="1">
      <alignment/>
    </xf>
    <xf numFmtId="173" fontId="0" fillId="0" borderId="0" xfId="0" applyFill="1" applyBorder="1" applyAlignment="1">
      <alignment horizontal="center"/>
    </xf>
    <xf numFmtId="173" fontId="19" fillId="0" borderId="0" xfId="0" applyFont="1" applyFill="1" applyBorder="1" applyAlignment="1">
      <alignment wrapText="1"/>
    </xf>
    <xf numFmtId="173" fontId="16" fillId="0" borderId="0" xfId="0" applyFont="1" applyFill="1" applyBorder="1" applyAlignment="1">
      <alignment horizontal="center"/>
    </xf>
    <xf numFmtId="173" fontId="17" fillId="33" borderId="0" xfId="0" applyFont="1" applyFill="1" applyBorder="1" applyAlignment="1">
      <alignment horizontal="center"/>
    </xf>
    <xf numFmtId="14" fontId="20" fillId="34" borderId="16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8" fontId="0" fillId="0" borderId="19" xfId="0" applyNumberFormat="1" applyFont="1" applyFill="1" applyBorder="1" applyAlignment="1">
      <alignment horizontal="center"/>
    </xf>
    <xf numFmtId="8" fontId="0" fillId="0" borderId="15" xfId="42" applyNumberFormat="1" applyFont="1" applyFill="1" applyBorder="1" applyAlignment="1">
      <alignment horizontal="center"/>
    </xf>
    <xf numFmtId="173" fontId="3" fillId="0" borderId="16" xfId="0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173" fontId="3" fillId="0" borderId="16" xfId="0" applyFont="1" applyFill="1" applyBorder="1" applyAlignment="1">
      <alignment horizontal="centerContinuous"/>
    </xf>
    <xf numFmtId="164" fontId="0" fillId="0" borderId="0" xfId="0" applyNumberFormat="1" applyFont="1" applyFill="1" applyAlignment="1">
      <alignment horizontal="center"/>
    </xf>
    <xf numFmtId="173" fontId="23" fillId="0" borderId="0" xfId="0" applyFont="1" applyFill="1" applyAlignment="1">
      <alignment/>
    </xf>
    <xf numFmtId="167" fontId="23" fillId="0" borderId="0" xfId="65" applyNumberFormat="1" applyFont="1" applyFill="1" applyAlignment="1">
      <alignment/>
    </xf>
    <xf numFmtId="43" fontId="23" fillId="0" borderId="0" xfId="44" applyNumberFormat="1" applyFont="1" applyFill="1" applyAlignment="1">
      <alignment/>
    </xf>
    <xf numFmtId="164" fontId="2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73" fontId="0" fillId="0" borderId="20" xfId="0" applyFont="1" applyFill="1" applyBorder="1" applyAlignment="1">
      <alignment horizontal="centerContinuous"/>
    </xf>
    <xf numFmtId="9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6" fontId="23" fillId="0" borderId="0" xfId="44" applyNumberFormat="1" applyFont="1" applyFill="1" applyAlignment="1">
      <alignment/>
    </xf>
    <xf numFmtId="8" fontId="23" fillId="0" borderId="0" xfId="44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 horizontal="center"/>
    </xf>
    <xf numFmtId="173" fontId="3" fillId="0" borderId="0" xfId="0" applyFont="1" applyFill="1" applyBorder="1" applyAlignment="1">
      <alignment horizontal="center"/>
    </xf>
    <xf numFmtId="173" fontId="0" fillId="35" borderId="25" xfId="0" applyFont="1" applyFill="1" applyBorder="1" applyAlignment="1">
      <alignment/>
    </xf>
    <xf numFmtId="173" fontId="24" fillId="0" borderId="26" xfId="0" applyFont="1" applyBorder="1" applyAlignment="1">
      <alignment horizontal="center"/>
    </xf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165" fontId="0" fillId="0" borderId="27" xfId="0" applyNumberFormat="1" applyFont="1" applyFill="1" applyBorder="1" applyAlignment="1">
      <alignment horizontal="center"/>
    </xf>
    <xf numFmtId="8" fontId="0" fillId="0" borderId="27" xfId="0" applyNumberFormat="1" applyFont="1" applyFill="1" applyBorder="1" applyAlignment="1">
      <alignment horizontal="right"/>
    </xf>
    <xf numFmtId="8" fontId="0" fillId="0" borderId="27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73" fontId="3" fillId="0" borderId="28" xfId="0" applyFont="1" applyFill="1" applyBorder="1" applyAlignment="1">
      <alignment horizontal="centerContinuous"/>
    </xf>
    <xf numFmtId="173" fontId="3" fillId="0" borderId="29" xfId="0" applyFont="1" applyFill="1" applyBorder="1" applyAlignment="1">
      <alignment horizontal="centerContinuous"/>
    </xf>
    <xf numFmtId="173" fontId="3" fillId="0" borderId="30" xfId="0" applyFont="1" applyFill="1" applyBorder="1" applyAlignment="1">
      <alignment horizontal="centerContinuous"/>
    </xf>
    <xf numFmtId="173" fontId="0" fillId="0" borderId="31" xfId="0" applyFont="1" applyFill="1" applyBorder="1" applyAlignment="1">
      <alignment horizontal="centerContinuous"/>
    </xf>
    <xf numFmtId="43" fontId="0" fillId="0" borderId="0" xfId="44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1" fontId="2" fillId="0" borderId="0" xfId="60" applyNumberFormat="1" applyFill="1" applyAlignment="1" applyProtection="1">
      <alignment horizontal="center"/>
      <protection locked="0"/>
    </xf>
    <xf numFmtId="167" fontId="0" fillId="0" borderId="0" xfId="65" applyNumberFormat="1" applyFont="1" applyFill="1" applyAlignment="1">
      <alignment/>
    </xf>
    <xf numFmtId="43" fontId="0" fillId="0" borderId="0" xfId="0" applyNumberFormat="1" applyFont="1" applyFill="1" applyAlignment="1">
      <alignment horizontal="centerContinuous"/>
    </xf>
    <xf numFmtId="173" fontId="3" fillId="0" borderId="28" xfId="59" applyFont="1" applyFill="1" applyBorder="1" applyAlignment="1">
      <alignment horizontal="centerContinuous"/>
      <protection/>
    </xf>
    <xf numFmtId="173" fontId="3" fillId="0" borderId="12" xfId="59" applyFont="1" applyFill="1" applyBorder="1" applyAlignment="1">
      <alignment horizontal="centerContinuous"/>
      <protection/>
    </xf>
    <xf numFmtId="41" fontId="0" fillId="0" borderId="0" xfId="57" applyFont="1" applyFill="1">
      <alignment/>
      <protection/>
    </xf>
    <xf numFmtId="173" fontId="25" fillId="0" borderId="0" xfId="59" applyFont="1" applyFill="1" applyBorder="1">
      <alignment/>
      <protection/>
    </xf>
    <xf numFmtId="2" fontId="0" fillId="0" borderId="11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 quotePrefix="1">
      <alignment horizontal="center"/>
    </xf>
    <xf numFmtId="172" fontId="16" fillId="0" borderId="0" xfId="42" applyNumberFormat="1" applyFont="1" applyFill="1" applyAlignment="1">
      <alignment horizontal="centerContinuous"/>
    </xf>
    <xf numFmtId="173" fontId="16" fillId="0" borderId="0" xfId="0" applyFont="1" applyFill="1" applyAlignment="1">
      <alignment horizontal="centerContinuous"/>
    </xf>
    <xf numFmtId="173" fontId="0" fillId="0" borderId="0" xfId="0" applyFont="1" applyFill="1" applyBorder="1" applyAlignment="1">
      <alignment horizontal="left" indent="1"/>
    </xf>
    <xf numFmtId="173" fontId="0" fillId="0" borderId="0" xfId="0" applyFont="1" applyFill="1" applyAlignment="1">
      <alignment horizontal="left" indent="1"/>
    </xf>
    <xf numFmtId="167" fontId="0" fillId="36" borderId="0" xfId="65" applyNumberFormat="1" applyFont="1" applyFill="1" applyAlignment="1">
      <alignment/>
    </xf>
    <xf numFmtId="10" fontId="0" fillId="0" borderId="0" xfId="65" applyNumberFormat="1" applyFont="1" applyFill="1" applyAlignment="1">
      <alignment/>
    </xf>
    <xf numFmtId="173" fontId="0" fillId="0" borderId="0" xfId="59" applyFont="1" applyFill="1">
      <alignment/>
      <protection/>
    </xf>
    <xf numFmtId="173" fontId="0" fillId="0" borderId="0" xfId="0" applyFill="1" applyAlignment="1">
      <alignment/>
    </xf>
    <xf numFmtId="43" fontId="0" fillId="0" borderId="0" xfId="42" applyFont="1" applyFill="1" applyAlignment="1">
      <alignment/>
    </xf>
    <xf numFmtId="8" fontId="0" fillId="0" borderId="11" xfId="0" applyNumberFormat="1" applyFont="1" applyFill="1" applyBorder="1" applyAlignment="1" quotePrefix="1">
      <alignment horizontal="center"/>
    </xf>
    <xf numFmtId="174" fontId="0" fillId="0" borderId="0" xfId="0" applyNumberFormat="1" applyFont="1" applyFill="1" applyAlignment="1">
      <alignment/>
    </xf>
    <xf numFmtId="173" fontId="0" fillId="0" borderId="0" xfId="0" applyFont="1" applyFill="1" applyAlignment="1" quotePrefix="1">
      <alignment/>
    </xf>
    <xf numFmtId="167" fontId="0" fillId="0" borderId="0" xfId="65" applyNumberFormat="1" applyFont="1" applyFill="1" applyAlignment="1">
      <alignment horizontal="center"/>
    </xf>
    <xf numFmtId="41" fontId="4" fillId="0" borderId="0" xfId="61" applyFont="1" applyFill="1" applyAlignment="1">
      <alignment horizontal="centerContinuous"/>
      <protection/>
    </xf>
    <xf numFmtId="41" fontId="10" fillId="0" borderId="0" xfId="61" applyFont="1" applyFill="1" applyAlignment="1">
      <alignment horizontal="centerContinuous"/>
      <protection/>
    </xf>
    <xf numFmtId="41" fontId="0" fillId="0" borderId="0" xfId="61" applyFont="1" applyFill="1" applyAlignment="1">
      <alignment horizontal="centerContinuous"/>
      <protection/>
    </xf>
    <xf numFmtId="2" fontId="0" fillId="0" borderId="0" xfId="61" applyNumberFormat="1" applyFont="1" applyFill="1" applyAlignment="1">
      <alignment horizontal="center"/>
      <protection/>
    </xf>
    <xf numFmtId="41" fontId="0" fillId="0" borderId="0" xfId="61" applyFont="1" applyFill="1" applyBorder="1">
      <alignment/>
      <protection/>
    </xf>
    <xf numFmtId="41" fontId="0" fillId="0" borderId="0" xfId="61">
      <alignment/>
      <protection/>
    </xf>
    <xf numFmtId="41" fontId="5" fillId="0" borderId="0" xfId="61" applyFont="1" applyFill="1" applyAlignment="1">
      <alignment horizontal="centerContinuous"/>
      <protection/>
    </xf>
    <xf numFmtId="41" fontId="0" fillId="0" borderId="0" xfId="61" applyFont="1" applyFill="1">
      <alignment/>
      <protection/>
    </xf>
    <xf numFmtId="41" fontId="0" fillId="0" borderId="0" xfId="61" applyFont="1" applyFill="1" applyAlignment="1">
      <alignment horizontal="center"/>
      <protection/>
    </xf>
    <xf numFmtId="17" fontId="0" fillId="0" borderId="0" xfId="61" applyNumberFormat="1" applyFont="1" applyFill="1" applyAlignment="1">
      <alignment horizontal="center"/>
      <protection/>
    </xf>
    <xf numFmtId="9" fontId="0" fillId="0" borderId="0" xfId="65" applyFont="1" applyFill="1" applyAlignment="1">
      <alignment horizontal="center"/>
    </xf>
    <xf numFmtId="41" fontId="0" fillId="0" borderId="0" xfId="61" applyFont="1" applyFill="1" applyBorder="1" applyAlignment="1">
      <alignment horizontal="center"/>
      <protection/>
    </xf>
    <xf numFmtId="41" fontId="0" fillId="0" borderId="0" xfId="61" applyFont="1" applyFill="1" applyBorder="1" applyAlignment="1">
      <alignment horizontal="centerContinuous"/>
      <protection/>
    </xf>
    <xf numFmtId="1" fontId="0" fillId="0" borderId="17" xfId="61" applyNumberFormat="1" applyFont="1" applyFill="1" applyBorder="1" applyAlignment="1">
      <alignment horizontal="center"/>
      <protection/>
    </xf>
    <xf numFmtId="8" fontId="0" fillId="0" borderId="11" xfId="61" applyNumberFormat="1" applyFont="1" applyFill="1" applyBorder="1" applyAlignment="1">
      <alignment horizontal="center"/>
      <protection/>
    </xf>
    <xf numFmtId="8" fontId="0" fillId="0" borderId="18" xfId="61" applyNumberFormat="1" applyFont="1" applyFill="1" applyBorder="1" applyAlignment="1">
      <alignment horizontal="center"/>
      <protection/>
    </xf>
    <xf numFmtId="2" fontId="0" fillId="0" borderId="0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8" fontId="0" fillId="0" borderId="0" xfId="61" applyNumberFormat="1" applyFont="1" applyFill="1" applyBorder="1" applyAlignment="1">
      <alignment horizontal="center"/>
      <protection/>
    </xf>
    <xf numFmtId="8" fontId="0" fillId="0" borderId="21" xfId="61" applyNumberFormat="1" applyFont="1" applyFill="1" applyBorder="1" applyAlignment="1">
      <alignment horizontal="center"/>
      <protection/>
    </xf>
    <xf numFmtId="0" fontId="0" fillId="0" borderId="19" xfId="61" applyNumberFormat="1" applyFont="1" applyFill="1" applyBorder="1" applyAlignment="1">
      <alignment horizontal="center"/>
      <protection/>
    </xf>
    <xf numFmtId="8" fontId="0" fillId="0" borderId="10" xfId="61" applyNumberFormat="1" applyFont="1" applyFill="1" applyBorder="1" applyAlignment="1">
      <alignment horizontal="center"/>
      <protection/>
    </xf>
    <xf numFmtId="8" fontId="0" fillId="0" borderId="22" xfId="61" applyNumberFormat="1" applyFont="1" applyFill="1" applyBorder="1" applyAlignment="1">
      <alignment horizontal="center"/>
      <protection/>
    </xf>
    <xf numFmtId="0" fontId="0" fillId="0" borderId="0" xfId="61" applyNumberFormat="1" applyFont="1" applyFill="1" applyAlignment="1">
      <alignment horizontal="left"/>
      <protection/>
    </xf>
    <xf numFmtId="41" fontId="0" fillId="0" borderId="0" xfId="61" applyFont="1" applyFill="1" applyAlignment="1">
      <alignment horizontal="left" indent="1"/>
      <protection/>
    </xf>
    <xf numFmtId="39" fontId="0" fillId="0" borderId="0" xfId="58" applyNumberFormat="1" applyFont="1" applyFill="1" applyBorder="1" applyAlignment="1" quotePrefix="1">
      <alignment horizontal="center"/>
      <protection/>
    </xf>
    <xf numFmtId="39" fontId="0" fillId="0" borderId="0" xfId="61" applyNumberFormat="1" applyFont="1" applyFill="1" applyBorder="1" applyAlignment="1">
      <alignment horizontal="center"/>
      <protection/>
    </xf>
    <xf numFmtId="8" fontId="0" fillId="0" borderId="0" xfId="61" applyNumberFormat="1" applyFont="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RR AC Study - Utah Valley - 53 MW 90 CF (2.28.2005)" xfId="57"/>
    <cellStyle name="Normal_Exhibit GND-1 - 5.24.2005" xfId="58"/>
    <cellStyle name="Normal_OR AC Sch 37 - AC  Study (Gold) _2009 06 19" xfId="59"/>
    <cellStyle name="Normal_T-INF-10-15-04-TEMPLATE" xfId="60"/>
    <cellStyle name="Normal_UT 2008.Q2 - Compliance - Appendix B - AC Study_2008 08 05" xfId="61"/>
    <cellStyle name="Normal_UT AC 2004 - AC Study (As Ordered by Commission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">
    <dxf>
      <font>
        <b/>
        <i/>
      </font>
      <fill>
        <patternFill>
          <bgColor indexed="42"/>
        </patternFill>
      </fill>
    </dxf>
    <dxf>
      <font>
        <b/>
        <i/>
      </font>
      <fill>
        <patternFill>
          <bgColor indexed="42"/>
        </patternFill>
      </fill>
    </dxf>
    <dxf>
      <font>
        <b/>
        <i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.83203125" style="194" customWidth="1"/>
    <col min="2" max="2" width="19.16015625" style="194" customWidth="1"/>
    <col min="3" max="5" width="21.66015625" style="194" customWidth="1"/>
    <col min="6" max="6" width="3" style="194" customWidth="1"/>
    <col min="7" max="7" width="9.33203125" style="194" hidden="1" customWidth="1"/>
    <col min="8" max="8" width="9.33203125" style="192" customWidth="1"/>
    <col min="9" max="16384" width="9.33203125" style="192" customWidth="1"/>
  </cols>
  <sheetData>
    <row r="1" spans="2:7" ht="15.75">
      <c r="B1" s="187" t="s">
        <v>78</v>
      </c>
      <c r="C1" s="188"/>
      <c r="D1" s="188"/>
      <c r="E1" s="189"/>
      <c r="F1" s="190"/>
      <c r="G1" s="191"/>
    </row>
    <row r="2" spans="2:7" ht="6.75" customHeight="1">
      <c r="B2" s="187"/>
      <c r="C2" s="188"/>
      <c r="D2" s="188"/>
      <c r="E2" s="189"/>
      <c r="F2" s="190"/>
      <c r="G2" s="191"/>
    </row>
    <row r="3" spans="2:7" ht="15.75">
      <c r="B3" s="193" t="s">
        <v>102</v>
      </c>
      <c r="C3" s="193"/>
      <c r="D3" s="193"/>
      <c r="E3" s="187"/>
      <c r="F3" s="190"/>
      <c r="G3" s="191"/>
    </row>
    <row r="4" spans="2:7" ht="15.75">
      <c r="B4" s="7" t="str">
        <f>'Table 1'!B5</f>
        <v>Utah 2010.Q2 Compliance Filing - 100 MW and 85% Capacity Factor</v>
      </c>
      <c r="C4" s="193"/>
      <c r="D4" s="193"/>
      <c r="E4" s="187"/>
      <c r="F4" s="190"/>
      <c r="G4" s="191"/>
    </row>
    <row r="5" spans="3:7" ht="12.75">
      <c r="C5" s="195"/>
      <c r="F5" s="190"/>
      <c r="G5" s="191"/>
    </row>
    <row r="6" spans="2:7" ht="12.75">
      <c r="B6" s="195" t="s">
        <v>0</v>
      </c>
      <c r="C6" s="196" t="s">
        <v>103</v>
      </c>
      <c r="D6" s="196" t="s">
        <v>112</v>
      </c>
      <c r="E6" s="197" t="s">
        <v>104</v>
      </c>
      <c r="F6" s="190"/>
      <c r="G6" s="191"/>
    </row>
    <row r="7" spans="2:7" ht="12.75">
      <c r="B7" s="195"/>
      <c r="C7" s="46" t="str">
        <f>TEXT('Table 1'!G9,"0.0%")&amp;" CF"</f>
        <v>85.0% CF</v>
      </c>
      <c r="D7" s="189" t="s">
        <v>113</v>
      </c>
      <c r="E7" s="198"/>
      <c r="F7" s="190"/>
      <c r="G7" s="199"/>
    </row>
    <row r="8" spans="2:7" ht="12.75">
      <c r="B8" s="200">
        <f>'Table 1'!B13</f>
        <v>2011</v>
      </c>
      <c r="C8" s="201">
        <f>'Table 1'!G13</f>
        <v>35.33745276430136</v>
      </c>
      <c r="D8" s="201">
        <v>35.20385370129766</v>
      </c>
      <c r="E8" s="202">
        <f aca="true" t="shared" si="0" ref="E8:E27">C8-D8</f>
        <v>0.13359906300370028</v>
      </c>
      <c r="F8" s="190"/>
      <c r="G8" s="203"/>
    </row>
    <row r="9" spans="2:7" ht="12.75">
      <c r="B9" s="204">
        <f aca="true" t="shared" si="1" ref="B9:B27">B8+1</f>
        <v>2012</v>
      </c>
      <c r="C9" s="205">
        <f>'Table 1'!G14</f>
        <v>38.65860812436769</v>
      </c>
      <c r="D9" s="205">
        <v>40.87572112340603</v>
      </c>
      <c r="E9" s="206">
        <f t="shared" si="0"/>
        <v>-2.217112999038342</v>
      </c>
      <c r="F9" s="190"/>
      <c r="G9" s="203"/>
    </row>
    <row r="10" spans="2:7" ht="12.75">
      <c r="B10" s="204">
        <f t="shared" si="1"/>
        <v>2013</v>
      </c>
      <c r="C10" s="205">
        <f>'Table 1'!G15</f>
        <v>41.42815854643838</v>
      </c>
      <c r="D10" s="205">
        <v>43.96793693440902</v>
      </c>
      <c r="E10" s="206">
        <f t="shared" si="0"/>
        <v>-2.5397783879706353</v>
      </c>
      <c r="F10" s="190"/>
      <c r="G10" s="203"/>
    </row>
    <row r="11" spans="2:7" ht="12.75">
      <c r="B11" s="204">
        <f t="shared" si="1"/>
        <v>2014</v>
      </c>
      <c r="C11" s="205">
        <f>'Table 1'!G16</f>
        <v>43.702945249269156</v>
      </c>
      <c r="D11" s="205">
        <v>46.4346642238075</v>
      </c>
      <c r="E11" s="206">
        <f t="shared" si="0"/>
        <v>-2.731718974538346</v>
      </c>
      <c r="F11" s="190"/>
      <c r="G11" s="203"/>
    </row>
    <row r="12" spans="2:7" ht="12.75">
      <c r="B12" s="204">
        <f t="shared" si="1"/>
        <v>2015</v>
      </c>
      <c r="C12" s="205">
        <f>'Table 1'!G17</f>
        <v>51.49423943611491</v>
      </c>
      <c r="D12" s="205">
        <v>53.104557318275646</v>
      </c>
      <c r="E12" s="206">
        <f t="shared" si="0"/>
        <v>-1.6103178821607358</v>
      </c>
      <c r="F12" s="190"/>
      <c r="G12" s="203"/>
    </row>
    <row r="13" spans="2:7" ht="12.75">
      <c r="B13" s="204">
        <f t="shared" si="1"/>
        <v>2016</v>
      </c>
      <c r="C13" s="205">
        <f>'Table 1'!G18</f>
        <v>58.99994507917803</v>
      </c>
      <c r="D13" s="205">
        <v>62.3175294519021</v>
      </c>
      <c r="E13" s="206">
        <f t="shared" si="0"/>
        <v>-3.3175843727240633</v>
      </c>
      <c r="F13" s="190"/>
      <c r="G13" s="203"/>
    </row>
    <row r="14" spans="2:7" ht="12.75">
      <c r="B14" s="204">
        <f t="shared" si="1"/>
        <v>2017</v>
      </c>
      <c r="C14" s="205">
        <f>'Table 1'!G19</f>
        <v>62.19941594668279</v>
      </c>
      <c r="D14" s="205">
        <v>66.2961569129547</v>
      </c>
      <c r="E14" s="206">
        <f t="shared" si="0"/>
        <v>-4.096740966271909</v>
      </c>
      <c r="F14" s="190"/>
      <c r="G14" s="203"/>
    </row>
    <row r="15" spans="2:7" ht="12.75">
      <c r="B15" s="204">
        <f t="shared" si="1"/>
        <v>2018</v>
      </c>
      <c r="C15" s="205">
        <f>'Table 1'!G20</f>
        <v>64.99106856375502</v>
      </c>
      <c r="D15" s="205">
        <v>70.13504405001339</v>
      </c>
      <c r="E15" s="206">
        <f t="shared" si="0"/>
        <v>-5.14397548625837</v>
      </c>
      <c r="F15" s="190"/>
      <c r="G15" s="203"/>
    </row>
    <row r="16" spans="2:7" ht="12.75">
      <c r="B16" s="204">
        <f t="shared" si="1"/>
        <v>2019</v>
      </c>
      <c r="C16" s="205">
        <f>'Table 1'!G21</f>
        <v>68.44679269012622</v>
      </c>
      <c r="D16" s="205">
        <v>70.95757212993013</v>
      </c>
      <c r="E16" s="206">
        <f t="shared" si="0"/>
        <v>-2.510779439803912</v>
      </c>
      <c r="F16" s="190"/>
      <c r="G16" s="203"/>
    </row>
    <row r="17" spans="2:7" ht="12.75">
      <c r="B17" s="204">
        <f t="shared" si="1"/>
        <v>2020</v>
      </c>
      <c r="C17" s="205">
        <f>'Table 1'!G22</f>
        <v>71.53269958550854</v>
      </c>
      <c r="D17" s="205">
        <v>71.54589211396278</v>
      </c>
      <c r="E17" s="206">
        <f t="shared" si="0"/>
        <v>-0.01319252845424046</v>
      </c>
      <c r="F17" s="190"/>
      <c r="G17" s="203"/>
    </row>
    <row r="18" spans="2:7" ht="12.75">
      <c r="B18" s="204">
        <f t="shared" si="1"/>
        <v>2021</v>
      </c>
      <c r="C18" s="205">
        <f>'Table 1'!G23</f>
        <v>77.48395424596944</v>
      </c>
      <c r="D18" s="205">
        <v>75.71398507773131</v>
      </c>
      <c r="E18" s="206">
        <f t="shared" si="0"/>
        <v>1.7699691682381342</v>
      </c>
      <c r="F18" s="190"/>
      <c r="G18" s="203"/>
    </row>
    <row r="19" spans="2:7" ht="12.75">
      <c r="B19" s="204">
        <f t="shared" si="1"/>
        <v>2022</v>
      </c>
      <c r="C19" s="205">
        <f>'Table 1'!G24</f>
        <v>82.18590013350241</v>
      </c>
      <c r="D19" s="205">
        <v>79.23654746798952</v>
      </c>
      <c r="E19" s="206">
        <f t="shared" si="0"/>
        <v>2.9493526655128903</v>
      </c>
      <c r="F19" s="190"/>
      <c r="G19" s="203"/>
    </row>
    <row r="20" spans="2:7" ht="12.75">
      <c r="B20" s="204">
        <f t="shared" si="1"/>
        <v>2023</v>
      </c>
      <c r="C20" s="205">
        <f>'Table 1'!G25</f>
        <v>81.94828296137254</v>
      </c>
      <c r="D20" s="205">
        <v>76.61021532433126</v>
      </c>
      <c r="E20" s="206">
        <f t="shared" si="0"/>
        <v>5.338067637041277</v>
      </c>
      <c r="F20" s="190"/>
      <c r="G20" s="203"/>
    </row>
    <row r="21" spans="2:7" ht="12.75">
      <c r="B21" s="204">
        <f t="shared" si="1"/>
        <v>2024</v>
      </c>
      <c r="C21" s="205">
        <f>'Table 1'!G26</f>
        <v>75.64189033995332</v>
      </c>
      <c r="D21" s="205">
        <v>76.13510145055463</v>
      </c>
      <c r="E21" s="206">
        <f t="shared" si="0"/>
        <v>-0.4932111106013082</v>
      </c>
      <c r="F21" s="190"/>
      <c r="G21" s="203"/>
    </row>
    <row r="22" spans="2:7" ht="12.75">
      <c r="B22" s="204">
        <f t="shared" si="1"/>
        <v>2025</v>
      </c>
      <c r="C22" s="205">
        <f>'Table 1'!G27</f>
        <v>77.96861103785609</v>
      </c>
      <c r="D22" s="205">
        <v>79.62743649607292</v>
      </c>
      <c r="E22" s="206">
        <f t="shared" si="0"/>
        <v>-1.6588254582168247</v>
      </c>
      <c r="F22" s="190"/>
      <c r="G22" s="203"/>
    </row>
    <row r="23" spans="2:7" ht="12.75">
      <c r="B23" s="204">
        <f t="shared" si="1"/>
        <v>2026</v>
      </c>
      <c r="C23" s="205">
        <f>'Table 1'!G28</f>
        <v>81.81999126246566</v>
      </c>
      <c r="D23" s="205">
        <v>81.68432286282597</v>
      </c>
      <c r="E23" s="206">
        <f t="shared" si="0"/>
        <v>0.13566839963969812</v>
      </c>
      <c r="F23" s="190"/>
      <c r="G23" s="203"/>
    </row>
    <row r="24" spans="2:7" ht="12.75">
      <c r="B24" s="204">
        <f t="shared" si="1"/>
        <v>2027</v>
      </c>
      <c r="C24" s="205">
        <f>'Table 1'!G29</f>
        <v>83.65010939317743</v>
      </c>
      <c r="D24" s="205">
        <v>81.00702859789246</v>
      </c>
      <c r="E24" s="206">
        <f t="shared" si="0"/>
        <v>2.6430807952849733</v>
      </c>
      <c r="F24" s="190"/>
      <c r="G24" s="203"/>
    </row>
    <row r="25" spans="2:7" ht="12.75">
      <c r="B25" s="204">
        <f t="shared" si="1"/>
        <v>2028</v>
      </c>
      <c r="C25" s="205">
        <f>'Table 1'!G30</f>
        <v>86.24022034433726</v>
      </c>
      <c r="D25" s="205">
        <v>82.9848627066816</v>
      </c>
      <c r="E25" s="206">
        <f t="shared" si="0"/>
        <v>3.2553576376556634</v>
      </c>
      <c r="F25" s="190"/>
      <c r="G25" s="203"/>
    </row>
    <row r="26" spans="2:7" ht="12.75">
      <c r="B26" s="204">
        <f t="shared" si="1"/>
        <v>2029</v>
      </c>
      <c r="C26" s="205">
        <f>'Table 1'!G31</f>
        <v>88.98135447650691</v>
      </c>
      <c r="D26" s="205">
        <v>85.8110339756312</v>
      </c>
      <c r="E26" s="206">
        <f t="shared" si="0"/>
        <v>3.170320500875704</v>
      </c>
      <c r="F26" s="203"/>
      <c r="G26" s="203"/>
    </row>
    <row r="27" spans="2:7" ht="12.75">
      <c r="B27" s="207">
        <f t="shared" si="1"/>
        <v>2030</v>
      </c>
      <c r="C27" s="208">
        <f>'Table 1'!G32</f>
        <v>93.86757142650826</v>
      </c>
      <c r="D27" s="208">
        <f>D26*(C27/C26)</f>
        <v>90.52315969203141</v>
      </c>
      <c r="E27" s="209">
        <f t="shared" si="0"/>
        <v>3.34441173447685</v>
      </c>
      <c r="F27" s="203"/>
      <c r="G27" s="203"/>
    </row>
    <row r="28" spans="4:7" ht="12.75">
      <c r="D28" s="195"/>
      <c r="F28" s="190"/>
      <c r="G28" s="194" t="str">
        <f>'Table 1'!I33</f>
        <v>Official Discount Rate (December 2009)</v>
      </c>
    </row>
    <row r="29" spans="2:7" ht="15.75">
      <c r="B29" s="210" t="s">
        <v>114</v>
      </c>
      <c r="D29" s="195"/>
      <c r="G29" s="179">
        <f>'Table 1'!I34</f>
        <v>0.0717</v>
      </c>
    </row>
    <row r="30" spans="2:6" ht="12.75">
      <c r="B30" s="211" t="s">
        <v>64</v>
      </c>
      <c r="C30" s="205" t="str">
        <f>TEXT(-PMT($G$29,COUNT(C8:C27),NPV($G$29,C8:C27)),"$00.00")&amp;" (4)"</f>
        <v>$61.54 (4)</v>
      </c>
      <c r="D30" s="205" t="str">
        <f>TEXT(-PMT($G$29,COUNT(D8:D27),NPV($G$29,D8:D27)),"$00.00")&amp;" (5)"</f>
        <v>$62.42 (5)</v>
      </c>
      <c r="E30" s="205">
        <f>-PMT($G$29,COUNT(E8:E27),NPV($G$29,E8:E27))</f>
        <v>-0.871382367384534</v>
      </c>
      <c r="F30" s="190"/>
    </row>
    <row r="31" spans="4:6" ht="12.75">
      <c r="D31" s="205"/>
      <c r="F31" s="190"/>
    </row>
    <row r="32" spans="2:6" ht="12.75">
      <c r="B32" s="194" t="s">
        <v>34</v>
      </c>
      <c r="C32" s="212"/>
      <c r="D32" s="213"/>
      <c r="E32" s="213"/>
      <c r="F32" s="190"/>
    </row>
    <row r="33" spans="2:6" ht="12.75">
      <c r="B33" s="45" t="s">
        <v>97</v>
      </c>
      <c r="D33" s="190"/>
      <c r="E33" s="190"/>
      <c r="F33" s="190"/>
    </row>
    <row r="34" spans="2:6" ht="12.75">
      <c r="B34" s="194" t="s">
        <v>105</v>
      </c>
      <c r="F34" s="190"/>
    </row>
    <row r="35" ht="12.75">
      <c r="B35" s="6" t="str">
        <f>"(3)   20 Year NPC is "&amp;TEXT(B8,"???0")&amp;" - "&amp;TEXT(B27,"???0")</f>
        <v>(3)   20 Year NPC is 2011 - 2030</v>
      </c>
    </row>
    <row r="36" ht="12.75">
      <c r="B36" s="19" t="str">
        <f>"(4)  Avoided Costs calculated annually"</f>
        <v>(4)  Avoided Costs calculated annually</v>
      </c>
    </row>
    <row r="37" ht="12.75">
      <c r="B37" s="19" t="s">
        <v>115</v>
      </c>
    </row>
    <row r="38" ht="12.75">
      <c r="B38" s="6" t="s">
        <v>120</v>
      </c>
    </row>
    <row r="41" spans="3:5" ht="12.75">
      <c r="C41" s="214"/>
      <c r="D41" s="214"/>
      <c r="E41" s="214"/>
    </row>
  </sheetData>
  <sheetProtection/>
  <printOptions horizontalCentered="1"/>
  <pageMargins left="0.25" right="0.25" top="0.75" bottom="0.75" header="0.3" footer="0.2"/>
  <pageSetup fitToHeight="1" fitToWidth="1" horizontalDpi="600" verticalDpi="600" orientation="portrait" r:id="rId1"/>
  <headerFooter alignWithMargins="0">
    <oddFooter>&amp;L&amp;8NPC    &amp;F   (&amp;A)&amp;C&amp;8Page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.75"/>
  <cols>
    <col min="1" max="1" width="2.83203125" style="6" customWidth="1"/>
    <col min="2" max="2" width="10.83203125" style="6" customWidth="1"/>
    <col min="3" max="3" width="18.83203125" style="6" customWidth="1"/>
    <col min="4" max="4" width="3.1601562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3.83203125" style="6" customWidth="1"/>
    <col min="9" max="9" width="9.33203125" style="6" hidden="1" customWidth="1"/>
    <col min="10" max="10" width="9.33203125" style="0" customWidth="1"/>
  </cols>
  <sheetData>
    <row r="1" spans="2:9" ht="15.75">
      <c r="B1" s="1" t="s">
        <v>78</v>
      </c>
      <c r="C1" s="5"/>
      <c r="D1" s="5"/>
      <c r="E1" s="5"/>
      <c r="F1" s="5"/>
      <c r="G1" s="47"/>
      <c r="H1" s="143"/>
      <c r="I1" s="8"/>
    </row>
    <row r="2" spans="2:9" ht="15.75">
      <c r="B2" s="1"/>
      <c r="C2" s="5"/>
      <c r="D2" s="5"/>
      <c r="E2" s="5"/>
      <c r="G2" s="47"/>
      <c r="H2" s="143"/>
      <c r="I2" s="8"/>
    </row>
    <row r="3" spans="2:9" ht="15.75">
      <c r="B3" s="1" t="s">
        <v>39</v>
      </c>
      <c r="C3" s="5"/>
      <c r="D3" s="5"/>
      <c r="E3" s="5"/>
      <c r="F3" s="5"/>
      <c r="G3" s="47"/>
      <c r="H3" s="143"/>
      <c r="I3" s="8"/>
    </row>
    <row r="4" spans="2:9" ht="15.75">
      <c r="B4" s="7" t="s">
        <v>36</v>
      </c>
      <c r="C4" s="7"/>
      <c r="D4" s="7"/>
      <c r="E4" s="7"/>
      <c r="F4" s="7"/>
      <c r="G4" s="1"/>
      <c r="H4" s="143"/>
      <c r="I4" s="8"/>
    </row>
    <row r="5" spans="2:9" ht="15.75">
      <c r="B5" s="7" t="s">
        <v>111</v>
      </c>
      <c r="C5" s="7"/>
      <c r="D5" s="7"/>
      <c r="E5" s="7"/>
      <c r="F5" s="7"/>
      <c r="G5" s="1"/>
      <c r="H5" s="143"/>
      <c r="I5" s="8"/>
    </row>
    <row r="6" spans="2:9" ht="14.25">
      <c r="B6" s="7" t="s">
        <v>107</v>
      </c>
      <c r="C6" s="7"/>
      <c r="D6" s="7"/>
      <c r="E6" s="7"/>
      <c r="F6" s="7"/>
      <c r="G6" s="47"/>
      <c r="H6" s="143"/>
      <c r="I6" s="8"/>
    </row>
    <row r="7" spans="3:9" ht="12.75">
      <c r="C7" s="10"/>
      <c r="D7" s="10"/>
      <c r="H7" s="143"/>
      <c r="I7" t="s">
        <v>108</v>
      </c>
    </row>
    <row r="8" spans="5:9" ht="12.75">
      <c r="E8" s="49"/>
      <c r="F8" s="146"/>
      <c r="G8" s="9" t="s">
        <v>32</v>
      </c>
      <c r="H8" s="143"/>
      <c r="I8" s="178">
        <v>1</v>
      </c>
    </row>
    <row r="9" spans="3:9" ht="12.75">
      <c r="C9" s="9" t="s">
        <v>7</v>
      </c>
      <c r="D9" s="9"/>
      <c r="E9" s="49" t="s">
        <v>37</v>
      </c>
      <c r="F9" s="146"/>
      <c r="G9" s="186">
        <v>0.85</v>
      </c>
      <c r="H9" s="143"/>
      <c r="I9"/>
    </row>
    <row r="10" spans="2:9" ht="12.75">
      <c r="B10" s="9" t="s">
        <v>0</v>
      </c>
      <c r="C10" s="9" t="s">
        <v>99</v>
      </c>
      <c r="D10" s="9"/>
      <c r="E10" s="49" t="s">
        <v>38</v>
      </c>
      <c r="F10" s="146"/>
      <c r="G10" s="49" t="s">
        <v>33</v>
      </c>
      <c r="H10" s="143"/>
      <c r="I10"/>
    </row>
    <row r="11" spans="2:9" ht="13.5">
      <c r="B11" s="9"/>
      <c r="C11" s="9" t="s">
        <v>35</v>
      </c>
      <c r="D11" s="9"/>
      <c r="E11" s="46" t="s">
        <v>63</v>
      </c>
      <c r="F11" s="146"/>
      <c r="G11" s="49" t="s">
        <v>64</v>
      </c>
      <c r="H11" s="143"/>
      <c r="I11"/>
    </row>
    <row r="12" spans="2:9" ht="12.75">
      <c r="B12" s="9"/>
      <c r="C12" s="16"/>
      <c r="D12" s="49"/>
      <c r="E12" s="49"/>
      <c r="F12" s="49"/>
      <c r="H12" s="143"/>
      <c r="I12"/>
    </row>
    <row r="13" spans="2:9" ht="12.75">
      <c r="B13" s="78">
        <f>'Table 2'!B12</f>
        <v>2011</v>
      </c>
      <c r="C13" s="11">
        <f>IF(VLOOKUP(B13,'Table 4'!$B$11:$K$41,9,FALSE)&lt;&gt;0,VLOOKUP(B13,'Table 4'!$B$11:$K$41,7,FALSE),0)*$I$8*IF(B13=2015,7/12,1)</f>
        <v>0</v>
      </c>
      <c r="D13" s="183" t="s">
        <v>98</v>
      </c>
      <c r="E13" s="11">
        <f>'Table 2'!C12</f>
        <v>35.33745276430136</v>
      </c>
      <c r="F13" s="171"/>
      <c r="G13" s="50">
        <f aca="true" t="shared" si="0" ref="G13:G32">(C13*1000/(8760*$G$9)+E13)</f>
        <v>35.33745276430136</v>
      </c>
      <c r="H13" s="143"/>
      <c r="I13"/>
    </row>
    <row r="14" spans="2:9" ht="12.75">
      <c r="B14" s="79">
        <f aca="true" t="shared" si="1" ref="B14:B32">B13+1</f>
        <v>2012</v>
      </c>
      <c r="C14" s="12">
        <f>IF(VLOOKUP(B14,'Table 4'!$B$11:$K$41,9,FALSE)&lt;&gt;0,VLOOKUP(B14,'Table 4'!$B$11:$K$41,7,FALSE),0)*$I$8*IF(B14=2015,7/12,1)</f>
        <v>0</v>
      </c>
      <c r="D14" s="173">
        <f>IF(B14=2015,"(5)","")</f>
      </c>
      <c r="E14" s="12">
        <f>'Table 2'!C13</f>
        <v>38.65860812436769</v>
      </c>
      <c r="F14" s="144"/>
      <c r="G14" s="51">
        <f t="shared" si="0"/>
        <v>38.65860812436769</v>
      </c>
      <c r="H14" s="143"/>
      <c r="I14"/>
    </row>
    <row r="15" spans="2:9" ht="12.75">
      <c r="B15" s="79">
        <f t="shared" si="1"/>
        <v>2013</v>
      </c>
      <c r="C15" s="12">
        <f>IF(VLOOKUP(B15,'Table 4'!$B$11:$K$41,9,FALSE)&lt;&gt;0,VLOOKUP(B15,'Table 4'!$B$11:$K$41,7,FALSE),0)*$I$8*IF(B15=2015,7/12,1)</f>
        <v>0</v>
      </c>
      <c r="D15" s="173">
        <f>IF(B15=2015,"(5)","")</f>
      </c>
      <c r="E15" s="12">
        <f>'Table 2'!C14</f>
        <v>41.42815854643838</v>
      </c>
      <c r="F15" s="144"/>
      <c r="G15" s="51">
        <f t="shared" si="0"/>
        <v>41.42815854643838</v>
      </c>
      <c r="H15" s="143"/>
      <c r="I15"/>
    </row>
    <row r="16" spans="2:9" ht="12.75">
      <c r="B16" s="79">
        <f t="shared" si="1"/>
        <v>2014</v>
      </c>
      <c r="C16" s="12">
        <f>IF(VLOOKUP(B16,'Table 4'!$B$11:$K$41,9,FALSE)&lt;&gt;0,VLOOKUP(B16,'Table 4'!$B$11:$K$41,7,FALSE),0)*$I$8*IF(B16=2015,7/12,1)</f>
        <v>0</v>
      </c>
      <c r="D16" s="173">
        <f aca="true" t="shared" si="2" ref="D16:D25">IF(B16=2015,"(5)","")</f>
      </c>
      <c r="E16" s="12">
        <f>'Table 2'!C15</f>
        <v>43.702945249269156</v>
      </c>
      <c r="F16" s="144"/>
      <c r="G16" s="51">
        <f t="shared" si="0"/>
        <v>43.702945249269156</v>
      </c>
      <c r="H16" s="143"/>
      <c r="I16"/>
    </row>
    <row r="17" spans="2:9" ht="12.75">
      <c r="B17" s="79">
        <f t="shared" si="1"/>
        <v>2015</v>
      </c>
      <c r="C17" s="12">
        <f>IF(VLOOKUP(B17,'Table 4'!$B$11:$K$41,9,FALSE)&lt;&gt;0,VLOOKUP(B17,'Table 4'!$B$11:$K$41,7,FALSE),0)*$I$8*IF(B17=2015,7/12,1)</f>
        <v>92.94250000000001</v>
      </c>
      <c r="D17" s="173" t="str">
        <f t="shared" si="2"/>
        <v>(5)</v>
      </c>
      <c r="E17" s="12">
        <f>'Table 2'!C16</f>
        <v>39.01203422526344</v>
      </c>
      <c r="F17" s="144"/>
      <c r="G17" s="51">
        <f t="shared" si="0"/>
        <v>51.49423943611491</v>
      </c>
      <c r="H17" s="143"/>
      <c r="I17"/>
    </row>
    <row r="18" spans="2:9" ht="12.75">
      <c r="B18" s="79">
        <f t="shared" si="1"/>
        <v>2016</v>
      </c>
      <c r="C18" s="12">
        <f>IF(VLOOKUP(B18,'Table 4'!$B$11:$K$41,9,FALSE)&lt;&gt;0,VLOOKUP(B18,'Table 4'!$B$11:$K$41,7,FALSE),0)*$I$8*IF(B18=2015,7/12,1)</f>
        <v>162.53</v>
      </c>
      <c r="D18" s="173">
        <f t="shared" si="2"/>
      </c>
      <c r="E18" s="12">
        <f>'Table 2'!C17</f>
        <v>37.172118057958585</v>
      </c>
      <c r="F18" s="144"/>
      <c r="G18" s="51">
        <f t="shared" si="0"/>
        <v>58.99994507917803</v>
      </c>
      <c r="H18" s="143"/>
      <c r="I18"/>
    </row>
    <row r="19" spans="2:9" ht="12.75">
      <c r="B19" s="79">
        <f t="shared" si="1"/>
        <v>2017</v>
      </c>
      <c r="C19" s="12">
        <f>IF(VLOOKUP(B19,'Table 4'!$B$11:$K$41,9,FALSE)&lt;&gt;0,VLOOKUP(B19,'Table 4'!$B$11:$K$41,7,FALSE),0)*$I$8*IF(B19=2015,7/12,1)</f>
        <v>165.78</v>
      </c>
      <c r="D19" s="173">
        <f t="shared" si="2"/>
      </c>
      <c r="E19" s="12">
        <f>'Table 2'!C18</f>
        <v>39.935112965216234</v>
      </c>
      <c r="F19" s="144"/>
      <c r="G19" s="51">
        <f t="shared" si="0"/>
        <v>62.19941594668279</v>
      </c>
      <c r="H19" s="143"/>
      <c r="I19"/>
    </row>
    <row r="20" spans="2:9" ht="12.75">
      <c r="B20" s="79">
        <f t="shared" si="1"/>
        <v>2018</v>
      </c>
      <c r="C20" s="12">
        <f>IF(VLOOKUP(B20,'Table 4'!$B$11:$K$41,9,FALSE)&lt;&gt;0,VLOOKUP(B20,'Table 4'!$B$11:$K$41,7,FALSE),0)*$I$8*IF(B20=2015,7/12,1)</f>
        <v>169.12</v>
      </c>
      <c r="D20" s="173">
        <f t="shared" si="2"/>
      </c>
      <c r="E20" s="12">
        <f>'Table 2'!C19</f>
        <v>42.27820259544989</v>
      </c>
      <c r="F20" s="144"/>
      <c r="G20" s="51">
        <f t="shared" si="0"/>
        <v>64.99106856375502</v>
      </c>
      <c r="H20" s="143"/>
      <c r="I20"/>
    </row>
    <row r="21" spans="2:9" ht="12.75">
      <c r="B21" s="79">
        <f t="shared" si="1"/>
        <v>2019</v>
      </c>
      <c r="C21" s="12">
        <f>IF(VLOOKUP(B21,'Table 4'!$B$11:$K$41,9,FALSE)&lt;&gt;0,VLOOKUP(B21,'Table 4'!$B$11:$K$41,7,FALSE),0)*$I$8*IF(B21=2015,7/12,1)</f>
        <v>172.34</v>
      </c>
      <c r="D21" s="173">
        <f t="shared" si="2"/>
      </c>
      <c r="E21" s="12">
        <f>'Table 2'!C20</f>
        <v>45.30147977043779</v>
      </c>
      <c r="F21" s="144"/>
      <c r="G21" s="51">
        <f>(C21*1000/(8760*$G$9)+E21)</f>
        <v>68.44679269012622</v>
      </c>
      <c r="H21" s="143"/>
      <c r="I21"/>
    </row>
    <row r="22" spans="2:9" ht="12.75">
      <c r="B22" s="79">
        <f t="shared" si="1"/>
        <v>2020</v>
      </c>
      <c r="C22" s="12">
        <f>IF(VLOOKUP(B22,'Table 4'!$B$11:$K$41,9,FALSE)&lt;&gt;0,VLOOKUP(B22,'Table 4'!$B$11:$K$41,7,FALSE),0)*$I$8*IF(B22=2015,7/12,1)</f>
        <v>175.61</v>
      </c>
      <c r="D22" s="173">
        <f t="shared" si="2"/>
      </c>
      <c r="E22" s="12">
        <f>'Table 2'!C21</f>
        <v>47.94822469966379</v>
      </c>
      <c r="F22" s="144"/>
      <c r="G22" s="51">
        <f t="shared" si="0"/>
        <v>71.53269958550854</v>
      </c>
      <c r="H22" s="143"/>
      <c r="I22"/>
    </row>
    <row r="23" spans="2:9" ht="12.75">
      <c r="B23" s="79">
        <f t="shared" si="1"/>
        <v>2021</v>
      </c>
      <c r="C23" s="12">
        <f>IF(VLOOKUP(B23,'Table 4'!$B$11:$K$41,9,FALSE)&lt;&gt;0,VLOOKUP(B23,'Table 4'!$B$11:$K$41,7,FALSE),0)*$I$8*IF(B23=2015,7/12,1)</f>
        <v>178.78</v>
      </c>
      <c r="D23" s="173">
        <f t="shared" si="2"/>
      </c>
      <c r="E23" s="12">
        <f>'Table 2'!C22</f>
        <v>53.473747423514425</v>
      </c>
      <c r="F23" s="144"/>
      <c r="G23" s="51">
        <f t="shared" si="0"/>
        <v>77.48395424596944</v>
      </c>
      <c r="H23" s="143"/>
      <c r="I23"/>
    </row>
    <row r="24" spans="2:9" ht="12.75">
      <c r="B24" s="79">
        <f t="shared" si="1"/>
        <v>2022</v>
      </c>
      <c r="C24" s="12">
        <f>IF(VLOOKUP(B24,'Table 4'!$B$11:$K$41,9,FALSE)&lt;&gt;0,VLOOKUP(B24,'Table 4'!$B$11:$K$41,7,FALSE),0)*$I$8*IF(B24=2015,7/12,1)</f>
        <v>182.01</v>
      </c>
      <c r="D24" s="173">
        <f t="shared" si="2"/>
      </c>
      <c r="E24" s="12">
        <f>'Table 2'!C23</f>
        <v>57.74190335670951</v>
      </c>
      <c r="F24" s="144"/>
      <c r="G24" s="51">
        <f t="shared" si="0"/>
        <v>82.18590013350241</v>
      </c>
      <c r="H24" s="143"/>
      <c r="I24"/>
    </row>
    <row r="25" spans="2:9" ht="12.75">
      <c r="B25" s="79">
        <f t="shared" si="1"/>
        <v>2023</v>
      </c>
      <c r="C25" s="12">
        <f>IF(VLOOKUP(B25,'Table 4'!$B$11:$K$41,9,FALSE)&lt;&gt;0,VLOOKUP(B25,'Table 4'!$B$11:$K$41,7,FALSE),0)*$I$8*IF(B25=2015,7/12,1)</f>
        <v>185.27</v>
      </c>
      <c r="D25" s="173">
        <f t="shared" si="2"/>
      </c>
      <c r="E25" s="12">
        <f>'Table 2'!C24</f>
        <v>57.06646722137792</v>
      </c>
      <c r="F25" s="144"/>
      <c r="G25" s="51">
        <f t="shared" si="0"/>
        <v>81.94828296137254</v>
      </c>
      <c r="H25" s="143"/>
      <c r="I25"/>
    </row>
    <row r="26" spans="2:9" ht="12.75">
      <c r="B26" s="79">
        <f t="shared" si="1"/>
        <v>2024</v>
      </c>
      <c r="C26" s="12">
        <f>IF(VLOOKUP(B26,'Table 4'!$B$11:$K$41,9,FALSE)&lt;&gt;0,VLOOKUP(B26,'Table 4'!$B$11:$K$41,7,FALSE),0)*$I$8*IF(B26=2015,7/12,1)</f>
        <v>188.62</v>
      </c>
      <c r="D26" s="12"/>
      <c r="E26" s="12">
        <f>'Table 2'!C25</f>
        <v>50.31016861016551</v>
      </c>
      <c r="F26" s="144"/>
      <c r="G26" s="51">
        <f t="shared" si="0"/>
        <v>75.64189033995332</v>
      </c>
      <c r="H26" s="143"/>
      <c r="I26"/>
    </row>
    <row r="27" spans="2:9" ht="12.75">
      <c r="B27" s="79">
        <f t="shared" si="1"/>
        <v>2025</v>
      </c>
      <c r="C27" s="12">
        <f>IF(VLOOKUP(B27,'Table 4'!$B$11:$K$41,9,FALSE)&lt;&gt;0,VLOOKUP(B27,'Table 4'!$B$11:$K$41,7,FALSE),0)*$I$8*IF(B27=2015,7/12,1)</f>
        <v>192.02</v>
      </c>
      <c r="D27" s="12"/>
      <c r="E27" s="12">
        <f>'Table 2'!C26</f>
        <v>52.180268303502075</v>
      </c>
      <c r="F27" s="144"/>
      <c r="G27" s="51">
        <f t="shared" si="0"/>
        <v>77.96861103785609</v>
      </c>
      <c r="H27" s="143"/>
      <c r="I27"/>
    </row>
    <row r="28" spans="2:9" ht="12.75">
      <c r="B28" s="79">
        <f t="shared" si="1"/>
        <v>2026</v>
      </c>
      <c r="C28" s="12">
        <f>IF(VLOOKUP(B28,'Table 4'!$B$11:$K$41,9,FALSE)&lt;&gt;0,VLOOKUP(B28,'Table 4'!$B$11:$K$41,7,FALSE),0)*$I$8*IF(B28=2015,7/12,1)</f>
        <v>195.46</v>
      </c>
      <c r="D28" s="12"/>
      <c r="E28" s="12">
        <f>'Table 2'!C27</f>
        <v>55.569655511727014</v>
      </c>
      <c r="F28" s="144"/>
      <c r="G28" s="51">
        <f t="shared" si="0"/>
        <v>81.81999126246566</v>
      </c>
      <c r="H28" s="143"/>
      <c r="I28"/>
    </row>
    <row r="29" spans="2:9" ht="12.75">
      <c r="B29" s="79">
        <f t="shared" si="1"/>
        <v>2027</v>
      </c>
      <c r="C29" s="12">
        <f>IF(VLOOKUP(B29,'Table 4'!$B$11:$K$41,9,FALSE)&lt;&gt;0,VLOOKUP(B29,'Table 4'!$B$11:$K$41,7,FALSE),0)*$I$8*IF(B29=2015,7/12,1)</f>
        <v>198.98</v>
      </c>
      <c r="D29" s="12"/>
      <c r="E29" s="12">
        <f>'Table 2'!C28</f>
        <v>56.92703660241729</v>
      </c>
      <c r="F29" s="144"/>
      <c r="G29" s="51">
        <f t="shared" si="0"/>
        <v>83.65010939317743</v>
      </c>
      <c r="H29" s="143"/>
      <c r="I29"/>
    </row>
    <row r="30" spans="2:9" ht="12.75">
      <c r="B30" s="79">
        <f t="shared" si="1"/>
        <v>2028</v>
      </c>
      <c r="C30" s="12">
        <f>IF(VLOOKUP(B30,'Table 4'!$B$11:$K$41,9,FALSE)&lt;&gt;0,VLOOKUP(B30,'Table 4'!$B$11:$K$41,7,FALSE),0)*$I$8*IF(B30=2015,7/12,1)</f>
        <v>202.55</v>
      </c>
      <c r="D30" s="12"/>
      <c r="E30" s="12">
        <f>'Table 2'!C29</f>
        <v>59.0376954987826</v>
      </c>
      <c r="F30" s="144"/>
      <c r="G30" s="51">
        <f t="shared" si="0"/>
        <v>86.24022034433726</v>
      </c>
      <c r="H30" s="143"/>
      <c r="I30"/>
    </row>
    <row r="31" spans="2:9" ht="12.75">
      <c r="B31" s="79">
        <f t="shared" si="1"/>
        <v>2029</v>
      </c>
      <c r="C31" s="12">
        <f>IF(VLOOKUP(B31,'Table 4'!$B$11:$K$41,9,FALSE)&lt;&gt;0,VLOOKUP(B31,'Table 4'!$B$11:$K$41,7,FALSE),0)*$I$8*IF(B31=2015,7/12,1)</f>
        <v>206.22</v>
      </c>
      <c r="D31" s="12"/>
      <c r="E31" s="12">
        <f>'Table 2'!C30</f>
        <v>61.285947546611666</v>
      </c>
      <c r="F31" s="144"/>
      <c r="G31" s="51">
        <f t="shared" si="0"/>
        <v>88.98135447650691</v>
      </c>
      <c r="H31" s="143"/>
      <c r="I31"/>
    </row>
    <row r="32" spans="2:9" ht="12.75">
      <c r="B32" s="80">
        <f t="shared" si="1"/>
        <v>2030</v>
      </c>
      <c r="C32" s="21">
        <f>IF(VLOOKUP(B32,'Table 4'!$B$11:$K$41,9,FALSE)&lt;&gt;0,VLOOKUP(B32,'Table 4'!$B$11:$K$41,7,FALSE),0)*$I$8*IF(B32=2015,7/12,1)</f>
        <v>209.93</v>
      </c>
      <c r="D32" s="21"/>
      <c r="E32" s="21">
        <f>'Table 2'!C31</f>
        <v>65.673910400454</v>
      </c>
      <c r="F32" s="172"/>
      <c r="G32" s="52">
        <f t="shared" si="0"/>
        <v>93.86757142650826</v>
      </c>
      <c r="H32" s="143"/>
      <c r="I32"/>
    </row>
    <row r="33" spans="4:9" ht="12.75">
      <c r="D33" s="12"/>
      <c r="F33" s="144"/>
      <c r="H33" s="143"/>
      <c r="I33" s="181" t="s">
        <v>96</v>
      </c>
    </row>
    <row r="34" spans="2:9" ht="12.75">
      <c r="B34" s="53" t="s">
        <v>93</v>
      </c>
      <c r="E34" s="8"/>
      <c r="I34" s="179">
        <v>0.0717</v>
      </c>
    </row>
    <row r="35" spans="2:8" ht="12.75">
      <c r="B35" s="176" t="s">
        <v>9</v>
      </c>
      <c r="C35" s="12">
        <f>-PMT($I$34,COUNT(C13:C32),NPV($I$34,C13:C32))</f>
        <v>116.88919826903812</v>
      </c>
      <c r="D35" s="12"/>
      <c r="H35" s="143"/>
    </row>
    <row r="36" spans="2:8" ht="12.75">
      <c r="B36" s="177" t="s">
        <v>64</v>
      </c>
      <c r="E36" s="12">
        <f>-PMT($I$34,COUNT(E13:E32),NPV($I$34,E13:E32))</f>
        <v>45.84576337147123</v>
      </c>
      <c r="G36" s="12" t="s">
        <v>116</v>
      </c>
      <c r="H36" s="143"/>
    </row>
    <row r="37" spans="6:8" ht="12.75">
      <c r="F37" s="145"/>
      <c r="H37" s="143"/>
    </row>
    <row r="38" spans="2:8" ht="12.75">
      <c r="B38" s="6" t="s">
        <v>34</v>
      </c>
      <c r="E38" s="145"/>
      <c r="G38" s="145"/>
      <c r="H38" s="143"/>
    </row>
    <row r="39" spans="2:8" ht="12.75">
      <c r="B39" s="182" t="s">
        <v>97</v>
      </c>
      <c r="E39" s="143"/>
      <c r="F39" s="145"/>
      <c r="G39" s="143"/>
      <c r="H39" s="143"/>
    </row>
    <row r="40" spans="2:8" ht="12.75">
      <c r="B40" s="6" t="s">
        <v>41</v>
      </c>
      <c r="F40" s="145"/>
      <c r="H40" s="143"/>
    </row>
    <row r="41" ht="12.75">
      <c r="B41" s="6" t="str">
        <f>"(3)   20 Year NPC is "&amp;TEXT(B13,"???0")&amp;" - "&amp;TEXT(B32,"???0")</f>
        <v>(3)   20 Year NPC is 2011 - 2030</v>
      </c>
    </row>
    <row r="42" ht="12.75">
      <c r="B42" s="185" t="str">
        <f>"(4) Capacity Payment is adjusted by "&amp;TEXT(I8,"0.0%")&amp;" Capacity Contribution."</f>
        <v>(4) Capacity Payment is adjusted by 100.0% Capacity Contribution.</v>
      </c>
    </row>
    <row r="43" spans="2:6" ht="12.75">
      <c r="B43" s="19" t="s">
        <v>106</v>
      </c>
      <c r="F43" s="143"/>
    </row>
    <row r="44" spans="2:7" ht="12.75">
      <c r="B44" s="19" t="s">
        <v>118</v>
      </c>
      <c r="C44" s="10"/>
      <c r="D44" s="10"/>
      <c r="E44" s="10"/>
      <c r="G44" s="10"/>
    </row>
    <row r="45" ht="12.75">
      <c r="B45" s="19" t="s">
        <v>117</v>
      </c>
    </row>
    <row r="46" ht="12.75">
      <c r="F46" s="10"/>
    </row>
  </sheetData>
  <sheetProtection/>
  <printOptions horizontalCentered="1"/>
  <pageMargins left="0.25" right="0.25" top="0.75" bottom="0.75" header="0.3" footer="0.2"/>
  <pageSetup fitToHeight="1" fitToWidth="1" horizontalDpi="600" verticalDpi="600" orientation="portrait" r:id="rId1"/>
  <headerFooter alignWithMargins="0">
    <oddFooter>&amp;L&amp;8NPC    &amp;F   (&amp;A)&amp;C&amp;8Page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.75"/>
  <cols>
    <col min="1" max="1" width="2.83203125" style="6" customWidth="1"/>
    <col min="2" max="2" width="7" style="6" customWidth="1"/>
    <col min="3" max="12" width="9.33203125" style="6" customWidth="1"/>
    <col min="13" max="13" width="9.33203125" style="8" customWidth="1"/>
    <col min="14" max="15" width="9.33203125" style="6" customWidth="1"/>
    <col min="16" max="16" width="1.66796875" style="6" customWidth="1"/>
    <col min="17" max="17" width="14.83203125" style="6" customWidth="1"/>
    <col min="18" max="16384" width="9.33203125" style="6" customWidth="1"/>
  </cols>
  <sheetData>
    <row r="1" spans="2:17" s="14" customFormat="1" ht="15.75">
      <c r="B1" s="1" t="s">
        <v>78</v>
      </c>
      <c r="C1" s="1"/>
      <c r="D1" s="1"/>
      <c r="E1" s="1"/>
      <c r="F1" s="1"/>
      <c r="G1" s="17"/>
      <c r="H1" s="1"/>
      <c r="I1" s="1"/>
      <c r="J1" s="1"/>
      <c r="K1" s="1"/>
      <c r="L1" s="22"/>
      <c r="M1" s="23"/>
      <c r="N1" s="23"/>
      <c r="O1" s="23"/>
      <c r="P1" s="23"/>
      <c r="Q1" s="23"/>
    </row>
    <row r="2" spans="2:17" s="14" customFormat="1" ht="15.75">
      <c r="B2" s="1"/>
      <c r="C2" s="1"/>
      <c r="D2" s="1"/>
      <c r="E2" s="1"/>
      <c r="F2" s="1"/>
      <c r="G2" s="17"/>
      <c r="H2" s="1"/>
      <c r="I2" s="1"/>
      <c r="J2" s="1"/>
      <c r="K2" s="1"/>
      <c r="L2" s="22"/>
      <c r="M2" s="23"/>
      <c r="N2" s="23"/>
      <c r="O2" s="23"/>
      <c r="P2" s="23"/>
      <c r="Q2" s="23"/>
    </row>
    <row r="3" spans="2:17" s="14" customFormat="1" ht="15.75">
      <c r="B3" s="1" t="str">
        <f>"Table "&amp;RIGHT('Table 1'!B3,1)+1</f>
        <v>Table 2</v>
      </c>
      <c r="C3" s="1"/>
      <c r="D3" s="1"/>
      <c r="E3" s="1"/>
      <c r="F3" s="1"/>
      <c r="G3" s="17"/>
      <c r="H3" s="1"/>
      <c r="I3" s="1"/>
      <c r="J3" s="1"/>
      <c r="K3" s="1"/>
      <c r="L3" s="22"/>
      <c r="M3" s="23"/>
      <c r="N3" s="23"/>
      <c r="O3" s="23"/>
      <c r="P3" s="23"/>
      <c r="Q3" s="23"/>
    </row>
    <row r="4" spans="2:17" s="18" customFormat="1" ht="15">
      <c r="B4" s="7" t="s">
        <v>65</v>
      </c>
      <c r="C4" s="7"/>
      <c r="D4" s="7"/>
      <c r="E4" s="7"/>
      <c r="F4" s="7"/>
      <c r="G4" s="7"/>
      <c r="H4" s="7"/>
      <c r="I4" s="7"/>
      <c r="J4" s="7"/>
      <c r="K4" s="7"/>
      <c r="L4" s="7"/>
      <c r="M4" s="24"/>
      <c r="N4" s="24"/>
      <c r="O4" s="24"/>
      <c r="P4" s="24"/>
      <c r="Q4" s="24"/>
    </row>
    <row r="5" spans="2:17" s="18" customFormat="1" ht="15">
      <c r="B5" s="7" t="str">
        <f>'Table 1'!$B$5</f>
        <v>Utah 2010.Q2 Compliance Filing - 100 MW and 85% Capacity Factor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8" customFormat="1" ht="15">
      <c r="B6" s="7" t="str">
        <f>'Table 1'!$B$6</f>
        <v>Partial Displacement of East Side 607 MW CCCT (Wet "F" 2x1) </v>
      </c>
      <c r="C6" s="7"/>
      <c r="D6" s="7"/>
      <c r="E6" s="7"/>
      <c r="F6" s="7"/>
      <c r="G6" s="7"/>
      <c r="H6" s="7"/>
      <c r="I6" s="7"/>
      <c r="J6" s="7"/>
      <c r="K6" s="7"/>
      <c r="L6" s="7"/>
      <c r="M6" s="24"/>
      <c r="N6" s="24"/>
      <c r="O6" s="24"/>
      <c r="P6" s="24"/>
      <c r="Q6" s="24"/>
    </row>
    <row r="7" spans="4:13" s="3" customFormat="1" ht="12.75">
      <c r="D7" s="33"/>
      <c r="E7" s="33"/>
      <c r="F7" s="33"/>
      <c r="G7" s="13"/>
      <c r="H7" s="13"/>
      <c r="I7" s="13"/>
      <c r="J7" s="13"/>
      <c r="K7" s="13"/>
      <c r="L7" s="13"/>
      <c r="M7" s="25"/>
    </row>
    <row r="8" spans="2:17" s="3" customFormat="1" ht="12.75">
      <c r="B8" s="38" t="s">
        <v>0</v>
      </c>
      <c r="C8" s="38"/>
      <c r="D8" s="35" t="s">
        <v>29</v>
      </c>
      <c r="E8" s="40"/>
      <c r="F8" s="40"/>
      <c r="G8" s="35"/>
      <c r="H8" s="35"/>
      <c r="I8" s="30" t="s">
        <v>30</v>
      </c>
      <c r="J8" s="34"/>
      <c r="K8" s="34"/>
      <c r="L8" s="29"/>
      <c r="M8" s="36" t="s">
        <v>29</v>
      </c>
      <c r="N8" s="44"/>
      <c r="O8" s="37"/>
      <c r="Q8" s="31" t="s">
        <v>47</v>
      </c>
    </row>
    <row r="9" spans="2:17" s="3" customFormat="1" ht="12.75">
      <c r="B9" s="39"/>
      <c r="C9" s="39" t="s">
        <v>40</v>
      </c>
      <c r="D9" s="41" t="s">
        <v>17</v>
      </c>
      <c r="E9" s="42" t="s">
        <v>18</v>
      </c>
      <c r="F9" s="42" t="s">
        <v>19</v>
      </c>
      <c r="G9" s="42" t="s">
        <v>20</v>
      </c>
      <c r="H9" s="43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41" t="s">
        <v>26</v>
      </c>
      <c r="N9" s="42" t="s">
        <v>27</v>
      </c>
      <c r="O9" s="43" t="s">
        <v>28</v>
      </c>
      <c r="Q9" s="32" t="s">
        <v>1</v>
      </c>
    </row>
    <row r="10" spans="2:15" ht="12.75" customHeight="1">
      <c r="B10" s="9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</row>
    <row r="11" spans="2:17" ht="12.75" customHeight="1">
      <c r="B11" s="20" t="s">
        <v>46</v>
      </c>
      <c r="C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8"/>
      <c r="Q11" s="9"/>
    </row>
    <row r="12" spans="2:17" ht="12.75" customHeight="1">
      <c r="B12" s="78">
        <v>2011</v>
      </c>
      <c r="C12" s="77">
        <v>35.33745276430136</v>
      </c>
      <c r="D12" s="11">
        <v>36.97554294442325</v>
      </c>
      <c r="E12" s="11">
        <v>35.94571172221738</v>
      </c>
      <c r="F12" s="11">
        <v>35.295866734801706</v>
      </c>
      <c r="G12" s="11">
        <v>31.348750840864977</v>
      </c>
      <c r="H12" s="50">
        <v>26.5308650319233</v>
      </c>
      <c r="I12" s="63">
        <v>25.31098778754351</v>
      </c>
      <c r="J12" s="11">
        <v>41.81906926175609</v>
      </c>
      <c r="K12" s="11">
        <v>42.35331754499904</v>
      </c>
      <c r="L12" s="50">
        <v>35.5021076544776</v>
      </c>
      <c r="M12" s="63">
        <v>35.356097520050895</v>
      </c>
      <c r="N12" s="11">
        <v>37.7207113217263</v>
      </c>
      <c r="O12" s="50">
        <v>39.57935717525662</v>
      </c>
      <c r="Q12" s="64">
        <f>VLOOKUP(B12,'Table 4'!$B$11:$K$41,9,FALSE)</f>
        <v>0</v>
      </c>
    </row>
    <row r="13" spans="2:17" ht="12.75" customHeight="1">
      <c r="B13" s="79">
        <f>B12+1</f>
        <v>2012</v>
      </c>
      <c r="C13" s="81">
        <v>38.65860812436769</v>
      </c>
      <c r="D13" s="12">
        <v>40.54368522488156</v>
      </c>
      <c r="E13" s="12">
        <v>40.03036699247237</v>
      </c>
      <c r="F13" s="12">
        <v>37.868205606582784</v>
      </c>
      <c r="G13" s="12">
        <v>35.16070859736014</v>
      </c>
      <c r="H13" s="51">
        <v>30.307185754186552</v>
      </c>
      <c r="I13" s="62">
        <v>28.8478651063451</v>
      </c>
      <c r="J13" s="12">
        <v>46.970894976522466</v>
      </c>
      <c r="K13" s="12">
        <v>45.25957215121375</v>
      </c>
      <c r="L13" s="51">
        <v>40.51430996344857</v>
      </c>
      <c r="M13" s="62">
        <v>36.88894369777488</v>
      </c>
      <c r="N13" s="12">
        <v>39.97225692782843</v>
      </c>
      <c r="O13" s="51">
        <v>41.300729133593066</v>
      </c>
      <c r="Q13" s="61">
        <f>VLOOKUP(B13,'Table 4'!$B$11:$K$41,9,FALSE)</f>
        <v>0</v>
      </c>
    </row>
    <row r="14" spans="2:17" ht="12.75" customHeight="1">
      <c r="B14" s="79">
        <f aca="true" t="shared" si="0" ref="B14:B31">B13+1</f>
        <v>2013</v>
      </c>
      <c r="C14" s="81">
        <v>41.42815854643838</v>
      </c>
      <c r="D14" s="12">
        <v>42.587794561415045</v>
      </c>
      <c r="E14" s="12">
        <v>41.65635501212109</v>
      </c>
      <c r="F14" s="12">
        <v>39.55976806676097</v>
      </c>
      <c r="G14" s="12">
        <v>36.102148335916205</v>
      </c>
      <c r="H14" s="51">
        <v>31.172786480985266</v>
      </c>
      <c r="I14" s="62">
        <v>29.728102894304136</v>
      </c>
      <c r="J14" s="12">
        <v>51.512133066501804</v>
      </c>
      <c r="K14" s="12">
        <v>51.752715560407914</v>
      </c>
      <c r="L14" s="51">
        <v>48.463309095863714</v>
      </c>
      <c r="M14" s="62">
        <v>38.63300206264567</v>
      </c>
      <c r="N14" s="12">
        <v>42.36196286589005</v>
      </c>
      <c r="O14" s="51">
        <v>43.33774321261866</v>
      </c>
      <c r="Q14" s="61">
        <f>VLOOKUP(B14,'Table 4'!$B$11:$K$41,9,FALSE)</f>
        <v>0</v>
      </c>
    </row>
    <row r="15" spans="2:17" ht="12.75" customHeight="1">
      <c r="B15" s="79">
        <f t="shared" si="0"/>
        <v>2014</v>
      </c>
      <c r="C15" s="81">
        <v>43.702945249269156</v>
      </c>
      <c r="D15" s="12">
        <v>44.06028011778392</v>
      </c>
      <c r="E15" s="12">
        <v>43.8811789382703</v>
      </c>
      <c r="F15" s="12">
        <v>40.41431877752607</v>
      </c>
      <c r="G15" s="12">
        <v>37.776052708398865</v>
      </c>
      <c r="H15" s="51">
        <v>34.51044683349139</v>
      </c>
      <c r="I15" s="62">
        <v>33.826529555342894</v>
      </c>
      <c r="J15" s="12">
        <v>52.2585311375794</v>
      </c>
      <c r="K15" s="12">
        <v>53.10400343437047</v>
      </c>
      <c r="L15" s="51">
        <v>53.045383909916374</v>
      </c>
      <c r="M15" s="62">
        <v>41.981797625836286</v>
      </c>
      <c r="N15" s="12">
        <v>43.957997772031845</v>
      </c>
      <c r="O15" s="51">
        <v>45.435882955379334</v>
      </c>
      <c r="Q15" s="61">
        <f>VLOOKUP(B15,'Table 4'!$B$11:$K$41,9,FALSE)</f>
        <v>0</v>
      </c>
    </row>
    <row r="16" spans="2:17" ht="12.75" customHeight="1">
      <c r="B16" s="79">
        <f t="shared" si="0"/>
        <v>2015</v>
      </c>
      <c r="C16" s="81">
        <v>39.01203422526344</v>
      </c>
      <c r="D16" s="12">
        <v>48.37499882352599</v>
      </c>
      <c r="E16" s="12">
        <v>47.722377725822604</v>
      </c>
      <c r="F16" s="12">
        <v>46.06413611581291</v>
      </c>
      <c r="G16" s="12">
        <v>40.95762242810423</v>
      </c>
      <c r="H16" s="51">
        <v>37.906911912065645</v>
      </c>
      <c r="I16" s="62">
        <v>32.54327591985245</v>
      </c>
      <c r="J16" s="12">
        <v>33.415323285499305</v>
      </c>
      <c r="K16" s="12">
        <v>35.97025366383855</v>
      </c>
      <c r="L16" s="51">
        <v>34.61773771838279</v>
      </c>
      <c r="M16" s="62">
        <v>37.079060051075594</v>
      </c>
      <c r="N16" s="12">
        <v>38.0891608227132</v>
      </c>
      <c r="O16" s="51">
        <v>35.92905838129633</v>
      </c>
      <c r="Q16" s="61">
        <f>VLOOKUP(B16,'Table 4'!$B$11:$K$41,9,FALSE)</f>
        <v>42.46</v>
      </c>
    </row>
    <row r="17" spans="2:17" ht="12.75" customHeight="1">
      <c r="B17" s="79">
        <f t="shared" si="0"/>
        <v>2016</v>
      </c>
      <c r="C17" s="81">
        <v>37.172118057958585</v>
      </c>
      <c r="D17" s="12">
        <v>37.89980048421938</v>
      </c>
      <c r="E17" s="12">
        <v>38.16905606693693</v>
      </c>
      <c r="F17" s="12">
        <v>38.801250179159084</v>
      </c>
      <c r="G17" s="12">
        <v>34.15612259624246</v>
      </c>
      <c r="H17" s="51">
        <v>36.03556405455534</v>
      </c>
      <c r="I17" s="62">
        <v>33.81230116225536</v>
      </c>
      <c r="J17" s="12">
        <v>36.84361626850058</v>
      </c>
      <c r="K17" s="12">
        <v>38.55371094212539</v>
      </c>
      <c r="L17" s="51">
        <v>36.0685217897387</v>
      </c>
      <c r="M17" s="62">
        <v>38.66899539761217</v>
      </c>
      <c r="N17" s="12">
        <v>38.021184843137036</v>
      </c>
      <c r="O17" s="51">
        <v>38.88572949739144</v>
      </c>
      <c r="Q17" s="61">
        <f>VLOOKUP(B17,'Table 4'!$B$11:$K$41,9,FALSE)</f>
        <v>45.39</v>
      </c>
    </row>
    <row r="18" spans="2:17" ht="12.75" customHeight="1">
      <c r="B18" s="79">
        <f t="shared" si="0"/>
        <v>2017</v>
      </c>
      <c r="C18" s="81">
        <v>39.935112965216234</v>
      </c>
      <c r="D18" s="12">
        <v>38.74027626027956</v>
      </c>
      <c r="E18" s="12">
        <v>38.08393353746463</v>
      </c>
      <c r="F18" s="12">
        <v>42.46732039389582</v>
      </c>
      <c r="G18" s="12">
        <v>39.49166184738571</v>
      </c>
      <c r="H18" s="51">
        <v>39.00241989595209</v>
      </c>
      <c r="I18" s="62">
        <v>37.880865955065474</v>
      </c>
      <c r="J18" s="12">
        <v>38.07985841587591</v>
      </c>
      <c r="K18" s="12">
        <v>40.9603479561975</v>
      </c>
      <c r="L18" s="51">
        <v>40.08556038039207</v>
      </c>
      <c r="M18" s="62">
        <v>42.703543857684636</v>
      </c>
      <c r="N18" s="12">
        <v>41.70043546552362</v>
      </c>
      <c r="O18" s="51">
        <v>39.827213342821224</v>
      </c>
      <c r="Q18" s="61">
        <f>VLOOKUP(B18,'Table 4'!$B$11:$K$41,9,FALSE)</f>
        <v>48.33</v>
      </c>
    </row>
    <row r="19" spans="2:17" ht="12.75" customHeight="1">
      <c r="B19" s="79">
        <f t="shared" si="0"/>
        <v>2018</v>
      </c>
      <c r="C19" s="81">
        <v>42.27820259544989</v>
      </c>
      <c r="D19" s="12">
        <v>40.72158388472448</v>
      </c>
      <c r="E19" s="12">
        <v>39.3280757620795</v>
      </c>
      <c r="F19" s="12">
        <v>45.35779381204988</v>
      </c>
      <c r="G19" s="12">
        <v>41.71207955114349</v>
      </c>
      <c r="H19" s="51">
        <v>42.273386320524075</v>
      </c>
      <c r="I19" s="62">
        <v>40.178599073202925</v>
      </c>
      <c r="J19" s="12">
        <v>42.341468900063234</v>
      </c>
      <c r="K19" s="12">
        <v>41.15962536891217</v>
      </c>
      <c r="L19" s="51">
        <v>41.04946107869347</v>
      </c>
      <c r="M19" s="62">
        <v>44.619081308539066</v>
      </c>
      <c r="N19" s="12">
        <v>44.11937904689534</v>
      </c>
      <c r="O19" s="51">
        <v>44.12616567947512</v>
      </c>
      <c r="Q19" s="61">
        <f>VLOOKUP(B19,'Table 4'!$B$11:$K$41,9,FALSE)</f>
        <v>49.69</v>
      </c>
    </row>
    <row r="20" spans="2:17" ht="12.75" customHeight="1">
      <c r="B20" s="79">
        <f t="shared" si="0"/>
        <v>2019</v>
      </c>
      <c r="C20" s="81">
        <v>45.30147977043779</v>
      </c>
      <c r="D20" s="12">
        <v>43.341836794782</v>
      </c>
      <c r="E20" s="12">
        <v>44.38437838795535</v>
      </c>
      <c r="F20" s="12">
        <v>48.75051801391488</v>
      </c>
      <c r="G20" s="12">
        <v>44.56165834450936</v>
      </c>
      <c r="H20" s="51">
        <v>46.159475105312865</v>
      </c>
      <c r="I20" s="62">
        <v>43.318789865849844</v>
      </c>
      <c r="J20" s="12">
        <v>45.287072025933156</v>
      </c>
      <c r="K20" s="12">
        <v>44.718215209898844</v>
      </c>
      <c r="L20" s="51">
        <v>44.177923988546034</v>
      </c>
      <c r="M20" s="62">
        <v>46.70255605975575</v>
      </c>
      <c r="N20" s="12">
        <v>46.01861418088229</v>
      </c>
      <c r="O20" s="51">
        <v>46.00703420825467</v>
      </c>
      <c r="Q20" s="61">
        <f>VLOOKUP(B20,'Table 4'!$B$11:$K$41,9,FALSE)</f>
        <v>52.34</v>
      </c>
    </row>
    <row r="21" spans="2:17" ht="12.75" customHeight="1">
      <c r="B21" s="79">
        <f t="shared" si="0"/>
        <v>2020</v>
      </c>
      <c r="C21" s="82">
        <v>47.94822469966379</v>
      </c>
      <c r="D21" s="12">
        <v>45.12957732052478</v>
      </c>
      <c r="E21" s="12">
        <v>46.69801201242362</v>
      </c>
      <c r="F21" s="12">
        <v>47.93620771189126</v>
      </c>
      <c r="G21" s="12">
        <v>50.57645800195975</v>
      </c>
      <c r="H21" s="51">
        <v>45.91182037080997</v>
      </c>
      <c r="I21" s="62">
        <v>46.499308077941336</v>
      </c>
      <c r="J21" s="12">
        <v>49.49689071347241</v>
      </c>
      <c r="K21" s="12">
        <v>48.20047947201056</v>
      </c>
      <c r="L21" s="51">
        <v>46.5221680207682</v>
      </c>
      <c r="M21" s="62">
        <v>50.11084068486777</v>
      </c>
      <c r="N21" s="12">
        <v>49.61657682042496</v>
      </c>
      <c r="O21" s="51">
        <v>48.64555676138567</v>
      </c>
      <c r="Q21" s="61">
        <f>VLOOKUP(B21,'Table 4'!$B$11:$K$41,9,FALSE)</f>
        <v>55.78</v>
      </c>
    </row>
    <row r="22" spans="2:17" ht="12.75" customHeight="1">
      <c r="B22" s="124">
        <f t="shared" si="0"/>
        <v>2021</v>
      </c>
      <c r="C22" s="81">
        <v>53.473747423514425</v>
      </c>
      <c r="D22" s="11">
        <v>49.992251654885884</v>
      </c>
      <c r="E22" s="11">
        <v>50.404699326855464</v>
      </c>
      <c r="F22" s="11">
        <v>54.344651232352554</v>
      </c>
      <c r="G22" s="11">
        <v>53.81883603104579</v>
      </c>
      <c r="H22" s="50">
        <v>54.15279008696995</v>
      </c>
      <c r="I22" s="63">
        <v>51.85007728120909</v>
      </c>
      <c r="J22" s="11">
        <v>55.37939408882029</v>
      </c>
      <c r="K22" s="11">
        <v>52.76995610958277</v>
      </c>
      <c r="L22" s="50">
        <v>52.11743049449391</v>
      </c>
      <c r="M22" s="63">
        <v>57.138124882510425</v>
      </c>
      <c r="N22" s="11">
        <v>55.29770452924803</v>
      </c>
      <c r="O22" s="50">
        <v>54.095889311036416</v>
      </c>
      <c r="Q22" s="64">
        <f>VLOOKUP(B22,'Table 4'!$B$11:$K$41,9,FALSE)</f>
        <v>60.22</v>
      </c>
    </row>
    <row r="23" spans="2:17" ht="12.75" customHeight="1">
      <c r="B23" s="79">
        <f t="shared" si="0"/>
        <v>2022</v>
      </c>
      <c r="C23" s="81">
        <v>57.74190335670951</v>
      </c>
      <c r="D23" s="12">
        <v>52.897753679000225</v>
      </c>
      <c r="E23" s="12">
        <v>54.594171768451936</v>
      </c>
      <c r="F23" s="12">
        <v>59.6463549092346</v>
      </c>
      <c r="G23" s="12">
        <v>58.190988136356566</v>
      </c>
      <c r="H23" s="51">
        <v>57.765003066682915</v>
      </c>
      <c r="I23" s="62">
        <v>56.902492048202774</v>
      </c>
      <c r="J23" s="12">
        <v>59.96459941460994</v>
      </c>
      <c r="K23" s="12">
        <v>56.69568920003169</v>
      </c>
      <c r="L23" s="51">
        <v>56.60511691290812</v>
      </c>
      <c r="M23" s="62">
        <v>62.318308242093266</v>
      </c>
      <c r="N23" s="12">
        <v>58.080987153757434</v>
      </c>
      <c r="O23" s="51">
        <v>58.89843304143025</v>
      </c>
      <c r="Q23" s="61">
        <f>VLOOKUP(B23,'Table 4'!$B$11:$K$41,9,FALSE)</f>
        <v>64.94</v>
      </c>
    </row>
    <row r="24" spans="2:17" ht="12.75" customHeight="1">
      <c r="B24" s="79">
        <f t="shared" si="0"/>
        <v>2023</v>
      </c>
      <c r="C24" s="81">
        <v>57.06646722137792</v>
      </c>
      <c r="D24" s="12">
        <v>57.667351126028045</v>
      </c>
      <c r="E24" s="12">
        <v>57.25157756433934</v>
      </c>
      <c r="F24" s="12">
        <v>60.2795832991765</v>
      </c>
      <c r="G24" s="12">
        <v>55.84998213660191</v>
      </c>
      <c r="H24" s="51">
        <v>57.80203029822928</v>
      </c>
      <c r="I24" s="62">
        <v>57.49225706527728</v>
      </c>
      <c r="J24" s="12">
        <v>60.42752144686845</v>
      </c>
      <c r="K24" s="12">
        <v>56.798073851675795</v>
      </c>
      <c r="L24" s="51">
        <v>55.379890212419085</v>
      </c>
      <c r="M24" s="62">
        <v>56.849128659045036</v>
      </c>
      <c r="N24" s="12">
        <v>54.67417922352848</v>
      </c>
      <c r="O24" s="51">
        <v>54.18686308886839</v>
      </c>
      <c r="Q24" s="61">
        <f>VLOOKUP(B24,'Table 4'!$B$11:$K$41,9,FALSE)</f>
        <v>64.58</v>
      </c>
    </row>
    <row r="25" spans="2:17" ht="12.75" customHeight="1">
      <c r="B25" s="79">
        <f t="shared" si="0"/>
        <v>2024</v>
      </c>
      <c r="C25" s="81">
        <v>50.31016861016551</v>
      </c>
      <c r="D25" s="12">
        <v>47.85000486722019</v>
      </c>
      <c r="E25" s="12">
        <v>47.33362009888458</v>
      </c>
      <c r="F25" s="12">
        <v>55.364204676154294</v>
      </c>
      <c r="G25" s="12">
        <v>50.54982892066922</v>
      </c>
      <c r="H25" s="51">
        <v>50.90197988693885</v>
      </c>
      <c r="I25" s="62">
        <v>51.301215792157095</v>
      </c>
      <c r="J25" s="12">
        <v>51.16880157488875</v>
      </c>
      <c r="K25" s="12">
        <v>49.064587509645776</v>
      </c>
      <c r="L25" s="51">
        <v>48.0358587998366</v>
      </c>
      <c r="M25" s="62">
        <v>51.12853104206277</v>
      </c>
      <c r="N25" s="12">
        <v>50.448799603431446</v>
      </c>
      <c r="O25" s="51">
        <v>50.35336253889881</v>
      </c>
      <c r="Q25" s="61">
        <f>VLOOKUP(B25,'Table 4'!$B$11:$K$41,9,FALSE)</f>
        <v>57.42</v>
      </c>
    </row>
    <row r="26" spans="2:17" ht="12.75" customHeight="1">
      <c r="B26" s="79">
        <f t="shared" si="0"/>
        <v>2025</v>
      </c>
      <c r="C26" s="81">
        <v>52.180268303502075</v>
      </c>
      <c r="D26" s="12">
        <v>49.25923497723033</v>
      </c>
      <c r="E26" s="12">
        <v>49.38100139303263</v>
      </c>
      <c r="F26" s="12">
        <v>59.37387519639544</v>
      </c>
      <c r="G26" s="12">
        <v>51.14558653466355</v>
      </c>
      <c r="H26" s="51">
        <v>52.64526347210613</v>
      </c>
      <c r="I26" s="62">
        <v>52.4369774653597</v>
      </c>
      <c r="J26" s="12">
        <v>53.5685343265345</v>
      </c>
      <c r="K26" s="12">
        <v>50.53848216318815</v>
      </c>
      <c r="L26" s="51">
        <v>48.72851043889092</v>
      </c>
      <c r="M26" s="62">
        <v>52.874077912396</v>
      </c>
      <c r="N26" s="12">
        <v>53.09050433104578</v>
      </c>
      <c r="O26" s="51">
        <v>52.74319416745734</v>
      </c>
      <c r="Q26" s="61">
        <f>VLOOKUP(B26,'Table 4'!$B$11:$K$41,9,FALSE)</f>
        <v>59.5</v>
      </c>
    </row>
    <row r="27" spans="2:17" ht="12.75" customHeight="1">
      <c r="B27" s="79">
        <f t="shared" si="0"/>
        <v>2026</v>
      </c>
      <c r="C27" s="81">
        <v>55.569655511727014</v>
      </c>
      <c r="D27" s="12">
        <v>53.006527397218456</v>
      </c>
      <c r="E27" s="12">
        <v>53.88068142682105</v>
      </c>
      <c r="F27" s="12">
        <v>56.43978115705223</v>
      </c>
      <c r="G27" s="12">
        <v>58.21937312287638</v>
      </c>
      <c r="H27" s="51">
        <v>55.99231803715983</v>
      </c>
      <c r="I27" s="62">
        <v>54.48121667973746</v>
      </c>
      <c r="J27" s="12">
        <v>57.83484480075732</v>
      </c>
      <c r="K27" s="12">
        <v>54.312151444970546</v>
      </c>
      <c r="L27" s="51">
        <v>52.56462493414973</v>
      </c>
      <c r="M27" s="62">
        <v>56.981181497154154</v>
      </c>
      <c r="N27" s="12">
        <v>57.800678274837</v>
      </c>
      <c r="O27" s="51">
        <v>55.18443410056988</v>
      </c>
      <c r="Q27" s="61">
        <f>VLOOKUP(B27,'Table 4'!$B$11:$K$41,9,FALSE)</f>
        <v>63.37</v>
      </c>
    </row>
    <row r="28" spans="2:17" ht="12.75" customHeight="1">
      <c r="B28" s="79">
        <f t="shared" si="0"/>
        <v>2027</v>
      </c>
      <c r="C28" s="81">
        <v>56.92703660241729</v>
      </c>
      <c r="D28" s="12">
        <v>55.022860268659414</v>
      </c>
      <c r="E28" s="12">
        <v>56.48241707352916</v>
      </c>
      <c r="F28" s="12">
        <v>57.422044056450396</v>
      </c>
      <c r="G28" s="12">
        <v>59.500700274346016</v>
      </c>
      <c r="H28" s="51">
        <v>56.85928161290299</v>
      </c>
      <c r="I28" s="62">
        <v>56.33401230228736</v>
      </c>
      <c r="J28" s="12">
        <v>58.79978123292242</v>
      </c>
      <c r="K28" s="12">
        <v>55.16007851518026</v>
      </c>
      <c r="L28" s="51">
        <v>53.86900550212443</v>
      </c>
      <c r="M28" s="62">
        <v>59.19201119718466</v>
      </c>
      <c r="N28" s="12">
        <v>58.379943337091824</v>
      </c>
      <c r="O28" s="51">
        <v>56.07138954728069</v>
      </c>
      <c r="Q28" s="61">
        <f>VLOOKUP(B28,'Table 4'!$B$11:$K$41,9,FALSE)</f>
        <v>65.01</v>
      </c>
    </row>
    <row r="29" spans="2:17" ht="12.75" customHeight="1">
      <c r="B29" s="79">
        <f t="shared" si="0"/>
        <v>2028</v>
      </c>
      <c r="C29" s="81">
        <v>59.0376954987826</v>
      </c>
      <c r="D29" s="12">
        <v>55.223403344245405</v>
      </c>
      <c r="E29" s="12">
        <v>57.27772262035148</v>
      </c>
      <c r="F29" s="12">
        <v>60.11402002057175</v>
      </c>
      <c r="G29" s="12">
        <v>62.342698756700344</v>
      </c>
      <c r="H29" s="51">
        <v>59.78847326533863</v>
      </c>
      <c r="I29" s="62">
        <v>59.7353205537572</v>
      </c>
      <c r="J29" s="12">
        <v>61.0567486432649</v>
      </c>
      <c r="K29" s="12">
        <v>57.22362197090428</v>
      </c>
      <c r="L29" s="51">
        <v>56.25533545800673</v>
      </c>
      <c r="M29" s="62">
        <v>60.76035920809636</v>
      </c>
      <c r="N29" s="12">
        <v>60.43511488055384</v>
      </c>
      <c r="O29" s="51">
        <v>58.210422163504276</v>
      </c>
      <c r="Q29" s="61">
        <f>VLOOKUP(B29,'Table 4'!$B$11:$K$41,9,FALSE)</f>
        <v>67.45</v>
      </c>
    </row>
    <row r="30" spans="2:17" ht="12.75" customHeight="1">
      <c r="B30" s="79">
        <f t="shared" si="0"/>
        <v>2029</v>
      </c>
      <c r="C30" s="81">
        <v>61.285947546611666</v>
      </c>
      <c r="D30" s="12">
        <v>59.444838154175045</v>
      </c>
      <c r="E30" s="12">
        <v>58.37710684943965</v>
      </c>
      <c r="F30" s="12">
        <v>63.59490650224486</v>
      </c>
      <c r="G30" s="12">
        <v>64.60176301307149</v>
      </c>
      <c r="H30" s="51">
        <v>60.20217747438386</v>
      </c>
      <c r="I30" s="62">
        <v>61.40055825637252</v>
      </c>
      <c r="J30" s="12">
        <v>62.90237341350502</v>
      </c>
      <c r="K30" s="12">
        <v>59.19746315860243</v>
      </c>
      <c r="L30" s="51">
        <v>58.2958919509807</v>
      </c>
      <c r="M30" s="62">
        <v>62.746828550284114</v>
      </c>
      <c r="N30" s="12">
        <v>63.6364795382355</v>
      </c>
      <c r="O30" s="51">
        <v>60.83951210064801</v>
      </c>
      <c r="Q30" s="61">
        <f>VLOOKUP(B30,'Table 4'!$B$11:$K$41,9,FALSE)</f>
        <v>69.74</v>
      </c>
    </row>
    <row r="31" spans="2:17" ht="12.75" customHeight="1">
      <c r="B31" s="80">
        <f t="shared" si="0"/>
        <v>2030</v>
      </c>
      <c r="C31" s="82">
        <v>65.673910400454</v>
      </c>
      <c r="D31" s="21">
        <v>61.25745488504097</v>
      </c>
      <c r="E31" s="21">
        <v>60.51685624037105</v>
      </c>
      <c r="F31" s="21">
        <v>66.49575481566917</v>
      </c>
      <c r="G31" s="21">
        <v>68.7681585573517</v>
      </c>
      <c r="H31" s="52">
        <v>64.37538362160127</v>
      </c>
      <c r="I31" s="125">
        <v>66.79394034967362</v>
      </c>
      <c r="J31" s="21">
        <v>67.29613453668367</v>
      </c>
      <c r="K31" s="21">
        <v>64.82061283792086</v>
      </c>
      <c r="L31" s="52">
        <v>62.33741731699386</v>
      </c>
      <c r="M31" s="125">
        <v>67.31589940528207</v>
      </c>
      <c r="N31" s="21">
        <v>70.4275760460796</v>
      </c>
      <c r="O31" s="52">
        <v>67.36432613432973</v>
      </c>
      <c r="Q31" s="126">
        <f>VLOOKUP(B31,'Table 4'!$B$11:$K$41,9,FALSE)</f>
        <v>74.25</v>
      </c>
    </row>
    <row r="32" spans="4:13" ht="12.75" customHeight="1">
      <c r="D32" s="19"/>
      <c r="E32" s="19"/>
      <c r="F32" s="19"/>
      <c r="M32" s="27"/>
    </row>
    <row r="33" spans="2:3" ht="12.75">
      <c r="B33" s="15"/>
      <c r="C33" s="6" t="s">
        <v>53</v>
      </c>
    </row>
    <row r="34" ht="12.75">
      <c r="C34" s="15"/>
    </row>
    <row r="36" ht="12.75" hidden="1">
      <c r="D36" s="9" t="s">
        <v>49</v>
      </c>
    </row>
    <row r="37" spans="3:4" ht="12.75" hidden="1">
      <c r="C37" s="55"/>
      <c r="D37" s="65" t="s">
        <v>48</v>
      </c>
    </row>
    <row r="38" ht="12.75" hidden="1"/>
    <row r="39" ht="12.75" hidden="1"/>
    <row r="40" ht="12.75" hidden="1"/>
    <row r="41" ht="12.75" hidden="1"/>
    <row r="42" ht="12.75" hidden="1"/>
    <row r="43" ht="12.75" hidden="1">
      <c r="F43" s="85" t="s">
        <v>51</v>
      </c>
    </row>
    <row r="44" ht="12.75" hidden="1">
      <c r="F44" s="84">
        <v>0.019</v>
      </c>
    </row>
    <row r="46" ht="12.75">
      <c r="C46" s="184"/>
    </row>
    <row r="47" ht="12.75">
      <c r="C47" s="184"/>
    </row>
    <row r="48" ht="12.75">
      <c r="C48" s="184"/>
    </row>
    <row r="49" ht="12.75">
      <c r="C49" s="184"/>
    </row>
    <row r="50" ht="12.75">
      <c r="C50" s="184"/>
    </row>
    <row r="51" ht="12.75">
      <c r="C51" s="184"/>
    </row>
    <row r="52" ht="12.75">
      <c r="C52" s="184"/>
    </row>
  </sheetData>
  <sheetProtection/>
  <conditionalFormatting sqref="C17:O31">
    <cfRule type="cellIs" priority="1" dxfId="2" operator="equal" stopIfTrue="1">
      <formula>$Q17</formula>
    </cfRule>
  </conditionalFormatting>
  <printOptions horizontalCentered="1"/>
  <pageMargins left="0.25" right="0.25" top="0.75" bottom="0.75" header="0.3" footer="0.2"/>
  <pageSetup fitToHeight="1" fitToWidth="1" horizontalDpi="600" verticalDpi="600" orientation="landscape" r:id="rId1"/>
  <headerFooter alignWithMargins="0">
    <oddFooter>&amp;L&amp;8NPC    &amp;F   (&amp;A)&amp;C&amp;8Page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.75"/>
  <cols>
    <col min="1" max="1" width="2.83203125" style="6" customWidth="1"/>
    <col min="2" max="2" width="7" style="6" customWidth="1"/>
    <col min="3" max="12" width="9.33203125" style="6" customWidth="1"/>
    <col min="13" max="13" width="9.33203125" style="8" customWidth="1"/>
    <col min="14" max="15" width="9.33203125" style="6" customWidth="1"/>
    <col min="16" max="16" width="1.66796875" style="6" customWidth="1"/>
    <col min="17" max="17" width="14.83203125" style="6" customWidth="1"/>
    <col min="18" max="16384" width="9.33203125" style="6" customWidth="1"/>
  </cols>
  <sheetData>
    <row r="1" spans="2:17" s="14" customFormat="1" ht="15.75">
      <c r="B1" s="1" t="s">
        <v>78</v>
      </c>
      <c r="C1" s="1"/>
      <c r="D1" s="1"/>
      <c r="E1" s="1"/>
      <c r="F1" s="1"/>
      <c r="G1" s="17"/>
      <c r="H1" s="1"/>
      <c r="I1" s="1"/>
      <c r="J1" s="1"/>
      <c r="K1" s="1"/>
      <c r="L1" s="22"/>
      <c r="M1" s="23"/>
      <c r="N1" s="23"/>
      <c r="O1" s="23"/>
      <c r="P1" s="23"/>
      <c r="Q1" s="23"/>
    </row>
    <row r="2" spans="2:17" s="14" customFormat="1" ht="15.75">
      <c r="B2" s="1"/>
      <c r="C2" s="1"/>
      <c r="D2" s="1"/>
      <c r="E2" s="1"/>
      <c r="F2" s="1"/>
      <c r="G2" s="17"/>
      <c r="H2" s="1"/>
      <c r="I2" s="1"/>
      <c r="J2" s="1"/>
      <c r="K2" s="1"/>
      <c r="L2" s="22"/>
      <c r="M2" s="23"/>
      <c r="N2" s="23"/>
      <c r="O2" s="23"/>
      <c r="P2" s="23"/>
      <c r="Q2" s="23"/>
    </row>
    <row r="3" spans="2:17" s="14" customFormat="1" ht="15.75">
      <c r="B3" s="1" t="str">
        <f>"Table "&amp;RIGHT('Table 2'!B3,1)+1</f>
        <v>Table 3</v>
      </c>
      <c r="C3" s="1"/>
      <c r="D3" s="1"/>
      <c r="E3" s="1"/>
      <c r="F3" s="1"/>
      <c r="G3" s="17"/>
      <c r="H3" s="1"/>
      <c r="I3" s="1"/>
      <c r="J3" s="1"/>
      <c r="K3" s="1"/>
      <c r="L3" s="22"/>
      <c r="M3" s="23"/>
      <c r="N3" s="23"/>
      <c r="O3" s="23"/>
      <c r="P3" s="23"/>
      <c r="Q3" s="23"/>
    </row>
    <row r="4" spans="2:17" s="18" customFormat="1" ht="15">
      <c r="B4" s="7" t="s">
        <v>92</v>
      </c>
      <c r="C4" s="7"/>
      <c r="D4" s="7"/>
      <c r="E4" s="7"/>
      <c r="F4" s="7"/>
      <c r="G4" s="7"/>
      <c r="H4" s="7"/>
      <c r="I4" s="7"/>
      <c r="J4" s="7"/>
      <c r="K4" s="7"/>
      <c r="L4" s="7"/>
      <c r="M4" s="24"/>
      <c r="N4" s="24"/>
      <c r="O4" s="24"/>
      <c r="P4" s="24"/>
      <c r="Q4" s="24"/>
    </row>
    <row r="5" spans="2:17" s="18" customFormat="1" ht="15">
      <c r="B5" s="7" t="str">
        <f>'Table 1'!$B$5</f>
        <v>Utah 2010.Q2 Compliance Filing - 100 MW and 85% Capacity Factor</v>
      </c>
      <c r="C5" s="7"/>
      <c r="D5" s="7"/>
      <c r="E5" s="7"/>
      <c r="F5" s="7"/>
      <c r="G5" s="7"/>
      <c r="H5" s="7"/>
      <c r="I5" s="7"/>
      <c r="J5" s="7"/>
      <c r="K5" s="7"/>
      <c r="L5" s="7"/>
      <c r="M5" s="24"/>
      <c r="N5" s="24"/>
      <c r="O5" s="24"/>
      <c r="P5" s="24"/>
      <c r="Q5" s="24"/>
    </row>
    <row r="6" spans="2:17" s="18" customFormat="1" ht="15">
      <c r="B6" s="7" t="str">
        <f>'Table 1'!$B$6</f>
        <v>Partial Displacement of East Side 607 MW CCCT (Wet "F" 2x1) </v>
      </c>
      <c r="C6" s="7"/>
      <c r="D6" s="7"/>
      <c r="E6" s="7"/>
      <c r="F6" s="7"/>
      <c r="G6" s="7"/>
      <c r="H6" s="7"/>
      <c r="I6" s="7"/>
      <c r="J6" s="7"/>
      <c r="K6" s="7"/>
      <c r="L6" s="7"/>
      <c r="M6" s="24"/>
      <c r="N6" s="24"/>
      <c r="O6" s="24"/>
      <c r="P6" s="24"/>
      <c r="Q6" s="24"/>
    </row>
    <row r="7" spans="4:13" ht="12.75">
      <c r="D7" s="16"/>
      <c r="E7" s="16"/>
      <c r="F7" s="16"/>
      <c r="G7" s="13"/>
      <c r="H7" s="13"/>
      <c r="I7" s="13"/>
      <c r="J7" s="13"/>
      <c r="K7" s="13"/>
      <c r="L7" s="13"/>
      <c r="M7" s="25"/>
    </row>
    <row r="8" spans="2:17" ht="12.75">
      <c r="B8" s="66" t="s">
        <v>0</v>
      </c>
      <c r="C8" s="66"/>
      <c r="D8" s="67" t="s">
        <v>29</v>
      </c>
      <c r="E8" s="68"/>
      <c r="F8" s="68"/>
      <c r="G8" s="67"/>
      <c r="H8" s="67"/>
      <c r="I8" s="57" t="s">
        <v>30</v>
      </c>
      <c r="J8" s="56"/>
      <c r="K8" s="56"/>
      <c r="L8" s="69"/>
      <c r="M8" s="58" t="s">
        <v>29</v>
      </c>
      <c r="N8" s="59"/>
      <c r="O8" s="60"/>
      <c r="Q8" s="70" t="s">
        <v>47</v>
      </c>
    </row>
    <row r="9" spans="2:17" ht="12.75">
      <c r="B9" s="71"/>
      <c r="C9" s="71" t="s">
        <v>40</v>
      </c>
      <c r="D9" s="72" t="s">
        <v>17</v>
      </c>
      <c r="E9" s="73" t="s">
        <v>18</v>
      </c>
      <c r="F9" s="73" t="s">
        <v>19</v>
      </c>
      <c r="G9" s="73" t="s">
        <v>20</v>
      </c>
      <c r="H9" s="74" t="s">
        <v>21</v>
      </c>
      <c r="I9" s="75" t="s">
        <v>22</v>
      </c>
      <c r="J9" s="75" t="s">
        <v>23</v>
      </c>
      <c r="K9" s="75" t="s">
        <v>24</v>
      </c>
      <c r="L9" s="75" t="s">
        <v>25</v>
      </c>
      <c r="M9" s="72" t="s">
        <v>26</v>
      </c>
      <c r="N9" s="73" t="s">
        <v>27</v>
      </c>
      <c r="O9" s="74" t="s">
        <v>28</v>
      </c>
      <c r="Q9" s="76" t="s">
        <v>1</v>
      </c>
    </row>
    <row r="10" spans="2:15" ht="12.75" customHeight="1">
      <c r="B10" s="9"/>
      <c r="C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8"/>
    </row>
    <row r="11" spans="2:17" ht="12.75" customHeight="1">
      <c r="B11" s="20" t="s">
        <v>46</v>
      </c>
      <c r="C11" s="20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8"/>
      <c r="Q11" s="9"/>
    </row>
    <row r="12" spans="2:17" ht="12.75" customHeight="1">
      <c r="B12" s="78">
        <f>'Table 2'!B12</f>
        <v>2011</v>
      </c>
      <c r="C12" s="77">
        <v>35.33745276430136</v>
      </c>
      <c r="D12" s="11">
        <f>IF($Q12&lt;&gt;0,MIN('Table 2'!D12,'Table 3'!$Q12),'Table 2'!D12)</f>
        <v>36.97554294442325</v>
      </c>
      <c r="E12" s="11">
        <f>IF($Q12&lt;&gt;0,MIN('Table 2'!E12,'Table 3'!$Q12),'Table 2'!E12)</f>
        <v>35.94571172221738</v>
      </c>
      <c r="F12" s="11">
        <f>IF($Q12&lt;&gt;0,MIN('Table 2'!F12,'Table 3'!$Q12),'Table 2'!F12)</f>
        <v>35.295866734801706</v>
      </c>
      <c r="G12" s="11">
        <f>IF($Q12&lt;&gt;0,MIN('Table 2'!G12,'Table 3'!$Q12),'Table 2'!G12)</f>
        <v>31.348750840864977</v>
      </c>
      <c r="H12" s="50">
        <f>IF($Q12&lt;&gt;0,MIN('Table 2'!H12,'Table 3'!$Q12),'Table 2'!H12)</f>
        <v>26.5308650319233</v>
      </c>
      <c r="I12" s="11">
        <f>IF($Q12&lt;&gt;0,MIN('Table 2'!I12,'Table 3'!$Q12),'Table 2'!I12)</f>
        <v>25.31098778754351</v>
      </c>
      <c r="J12" s="11">
        <f>IF($Q12&lt;&gt;0,MIN('Table 2'!J12,'Table 3'!$Q12),'Table 2'!J12)</f>
        <v>41.81906926175609</v>
      </c>
      <c r="K12" s="11">
        <f>IF($Q12&lt;&gt;0,MIN('Table 2'!K12,'Table 3'!$Q12),'Table 2'!K12)</f>
        <v>42.35331754499904</v>
      </c>
      <c r="L12" s="50">
        <f>IF($Q12&lt;&gt;0,MIN('Table 2'!L12,'Table 3'!$Q12),'Table 2'!L12)</f>
        <v>35.5021076544776</v>
      </c>
      <c r="M12" s="63">
        <f>IF($Q12&lt;&gt;0,MIN('Table 2'!M12,'Table 3'!$Q12),'Table 2'!M12)</f>
        <v>35.356097520050895</v>
      </c>
      <c r="N12" s="11">
        <f>IF($Q12&lt;&gt;0,MIN('Table 2'!N12,'Table 3'!$Q12),'Table 2'!N12)</f>
        <v>37.7207113217263</v>
      </c>
      <c r="O12" s="50">
        <f>IF($Q12&lt;&gt;0,MIN('Table 2'!O12,'Table 3'!$Q12),'Table 2'!O12)</f>
        <v>39.57935717525662</v>
      </c>
      <c r="Q12" s="64">
        <f>VLOOKUP(B12,'Table 4'!$B$11:$K$41,9,FALSE)</f>
        <v>0</v>
      </c>
    </row>
    <row r="13" spans="2:17" ht="12.75" customHeight="1">
      <c r="B13" s="79">
        <f aca="true" t="shared" si="0" ref="B13:B31">B12+1</f>
        <v>2012</v>
      </c>
      <c r="C13" s="81">
        <v>38.65860812436769</v>
      </c>
      <c r="D13" s="12">
        <f>IF($Q13&lt;&gt;0,MIN('Table 2'!D13,'Table 3'!$Q13),'Table 2'!D13)</f>
        <v>40.54368522488156</v>
      </c>
      <c r="E13" s="12">
        <f>IF($Q13&lt;&gt;0,MIN('Table 2'!E13,'Table 3'!$Q13),'Table 2'!E13)</f>
        <v>40.03036699247237</v>
      </c>
      <c r="F13" s="12">
        <f>IF($Q13&lt;&gt;0,MIN('Table 2'!F13,'Table 3'!$Q13),'Table 2'!F13)</f>
        <v>37.868205606582784</v>
      </c>
      <c r="G13" s="12">
        <f>IF($Q13&lt;&gt;0,MIN('Table 2'!G13,'Table 3'!$Q13),'Table 2'!G13)</f>
        <v>35.16070859736014</v>
      </c>
      <c r="H13" s="51">
        <f>IF($Q13&lt;&gt;0,MIN('Table 2'!H13,'Table 3'!$Q13),'Table 2'!H13)</f>
        <v>30.307185754186552</v>
      </c>
      <c r="I13" s="12">
        <f>IF($Q13&lt;&gt;0,MIN('Table 2'!I13,'Table 3'!$Q13),'Table 2'!I13)</f>
        <v>28.8478651063451</v>
      </c>
      <c r="J13" s="12">
        <f>IF($Q13&lt;&gt;0,MIN('Table 2'!J13,'Table 3'!$Q13),'Table 2'!J13)</f>
        <v>46.970894976522466</v>
      </c>
      <c r="K13" s="12">
        <f>IF($Q13&lt;&gt;0,MIN('Table 2'!K13,'Table 3'!$Q13),'Table 2'!K13)</f>
        <v>45.25957215121375</v>
      </c>
      <c r="L13" s="51">
        <f>IF($Q13&lt;&gt;0,MIN('Table 2'!L13,'Table 3'!$Q13),'Table 2'!L13)</f>
        <v>40.51430996344857</v>
      </c>
      <c r="M13" s="62">
        <f>IF($Q13&lt;&gt;0,MIN('Table 2'!M13,'Table 3'!$Q13),'Table 2'!M13)</f>
        <v>36.88894369777488</v>
      </c>
      <c r="N13" s="12">
        <f>IF($Q13&lt;&gt;0,MIN('Table 2'!N13,'Table 3'!$Q13),'Table 2'!N13)</f>
        <v>39.97225692782843</v>
      </c>
      <c r="O13" s="51">
        <f>IF($Q13&lt;&gt;0,MIN('Table 2'!O13,'Table 3'!$Q13),'Table 2'!O13)</f>
        <v>41.300729133593066</v>
      </c>
      <c r="Q13" s="61">
        <f>VLOOKUP(B13,'Table 4'!$B$11:$K$41,9,FALSE)</f>
        <v>0</v>
      </c>
    </row>
    <row r="14" spans="2:17" ht="12.75" customHeight="1">
      <c r="B14" s="79">
        <f t="shared" si="0"/>
        <v>2013</v>
      </c>
      <c r="C14" s="81">
        <v>41.42815854643838</v>
      </c>
      <c r="D14" s="12">
        <f>IF($Q14&lt;&gt;0,MIN('Table 2'!D14,'Table 3'!$Q14),'Table 2'!D14)</f>
        <v>42.587794561415045</v>
      </c>
      <c r="E14" s="12">
        <f>IF($Q14&lt;&gt;0,MIN('Table 2'!E14,'Table 3'!$Q14),'Table 2'!E14)</f>
        <v>41.65635501212109</v>
      </c>
      <c r="F14" s="12">
        <f>IF($Q14&lt;&gt;0,MIN('Table 2'!F14,'Table 3'!$Q14),'Table 2'!F14)</f>
        <v>39.55976806676097</v>
      </c>
      <c r="G14" s="12">
        <f>IF($Q14&lt;&gt;0,MIN('Table 2'!G14,'Table 3'!$Q14),'Table 2'!G14)</f>
        <v>36.102148335916205</v>
      </c>
      <c r="H14" s="51">
        <f>IF($Q14&lt;&gt;0,MIN('Table 2'!H14,'Table 3'!$Q14),'Table 2'!H14)</f>
        <v>31.172786480985266</v>
      </c>
      <c r="I14" s="12">
        <f>IF($Q14&lt;&gt;0,MIN('Table 2'!I14,'Table 3'!$Q14),'Table 2'!I14)</f>
        <v>29.728102894304136</v>
      </c>
      <c r="J14" s="12">
        <f>IF($Q14&lt;&gt;0,MIN('Table 2'!J14,'Table 3'!$Q14),'Table 2'!J14)</f>
        <v>51.512133066501804</v>
      </c>
      <c r="K14" s="12">
        <f>IF($Q14&lt;&gt;0,MIN('Table 2'!K14,'Table 3'!$Q14),'Table 2'!K14)</f>
        <v>51.752715560407914</v>
      </c>
      <c r="L14" s="51">
        <f>IF($Q14&lt;&gt;0,MIN('Table 2'!L14,'Table 3'!$Q14),'Table 2'!L14)</f>
        <v>48.463309095863714</v>
      </c>
      <c r="M14" s="62">
        <f>IF($Q14&lt;&gt;0,MIN('Table 2'!M14,'Table 3'!$Q14),'Table 2'!M14)</f>
        <v>38.63300206264567</v>
      </c>
      <c r="N14" s="12">
        <f>IF($Q14&lt;&gt;0,MIN('Table 2'!N14,'Table 3'!$Q14),'Table 2'!N14)</f>
        <v>42.36196286589005</v>
      </c>
      <c r="O14" s="51">
        <f>IF($Q14&lt;&gt;0,MIN('Table 2'!O14,'Table 3'!$Q14),'Table 2'!O14)</f>
        <v>43.33774321261866</v>
      </c>
      <c r="Q14" s="61">
        <f>VLOOKUP(B14,'Table 4'!$B$11:$K$41,9,FALSE)</f>
        <v>0</v>
      </c>
    </row>
    <row r="15" spans="2:17" ht="12.75" customHeight="1">
      <c r="B15" s="79">
        <f t="shared" si="0"/>
        <v>2014</v>
      </c>
      <c r="C15" s="81">
        <v>43.702945249269156</v>
      </c>
      <c r="D15" s="12">
        <f>IF($Q15&lt;&gt;0,MIN('Table 2'!D15,'Table 3'!$Q15),'Table 2'!D15)</f>
        <v>44.06028011778392</v>
      </c>
      <c r="E15" s="12">
        <f>IF($Q15&lt;&gt;0,MIN('Table 2'!E15,'Table 3'!$Q15),'Table 2'!E15)</f>
        <v>43.8811789382703</v>
      </c>
      <c r="F15" s="12">
        <f>IF($Q15&lt;&gt;0,MIN('Table 2'!F15,'Table 3'!$Q15),'Table 2'!F15)</f>
        <v>40.41431877752607</v>
      </c>
      <c r="G15" s="12">
        <f>IF($Q15&lt;&gt;0,MIN('Table 2'!G15,'Table 3'!$Q15),'Table 2'!G15)</f>
        <v>37.776052708398865</v>
      </c>
      <c r="H15" s="51">
        <f>IF($Q15&lt;&gt;0,MIN('Table 2'!H15,'Table 3'!$Q15),'Table 2'!H15)</f>
        <v>34.51044683349139</v>
      </c>
      <c r="I15" s="12">
        <f>IF($Q15&lt;&gt;0,MIN('Table 2'!I15,'Table 3'!$Q15),'Table 2'!I15)</f>
        <v>33.826529555342894</v>
      </c>
      <c r="J15" s="12">
        <f>IF($Q15&lt;&gt;0,MIN('Table 2'!J15,'Table 3'!$Q15),'Table 2'!J15)</f>
        <v>52.2585311375794</v>
      </c>
      <c r="K15" s="12">
        <f>IF($Q15&lt;&gt;0,MIN('Table 2'!K15,'Table 3'!$Q15),'Table 2'!K15)</f>
        <v>53.10400343437047</v>
      </c>
      <c r="L15" s="51">
        <f>IF($Q15&lt;&gt;0,MIN('Table 2'!L15,'Table 3'!$Q15),'Table 2'!L15)</f>
        <v>53.045383909916374</v>
      </c>
      <c r="M15" s="62">
        <f>IF($Q15&lt;&gt;0,MIN('Table 2'!M15,'Table 3'!$Q15),'Table 2'!M15)</f>
        <v>41.981797625836286</v>
      </c>
      <c r="N15" s="12">
        <f>IF($Q15&lt;&gt;0,MIN('Table 2'!N15,'Table 3'!$Q15),'Table 2'!N15)</f>
        <v>43.957997772031845</v>
      </c>
      <c r="O15" s="51">
        <f>IF($Q15&lt;&gt;0,MIN('Table 2'!O15,'Table 3'!$Q15),'Table 2'!O15)</f>
        <v>45.435882955379334</v>
      </c>
      <c r="Q15" s="61">
        <f>VLOOKUP(B15,'Table 4'!$B$11:$K$41,9,FALSE)</f>
        <v>0</v>
      </c>
    </row>
    <row r="16" spans="2:17" ht="12.75" customHeight="1">
      <c r="B16" s="79">
        <f t="shared" si="0"/>
        <v>2015</v>
      </c>
      <c r="C16" s="81">
        <v>37.82403368190234</v>
      </c>
      <c r="D16" s="12">
        <f>IF($Q16&lt;&gt;0,MIN('Table 2'!D16,'Table 3'!$Q16),'Table 2'!D16)</f>
        <v>42.46</v>
      </c>
      <c r="E16" s="12">
        <f>IF($Q16&lt;&gt;0,MIN('Table 2'!E16,'Table 3'!$Q16),'Table 2'!E16)</f>
        <v>42.46</v>
      </c>
      <c r="F16" s="12">
        <f>IF($Q16&lt;&gt;0,MIN('Table 2'!F16,'Table 3'!$Q16),'Table 2'!F16)</f>
        <v>42.46</v>
      </c>
      <c r="G16" s="12">
        <f>IF($Q16&lt;&gt;0,MIN('Table 2'!G16,'Table 3'!$Q16),'Table 2'!G16)</f>
        <v>40.95762242810423</v>
      </c>
      <c r="H16" s="51">
        <f>IF($Q16&lt;&gt;0,MIN('Table 2'!H16,'Table 3'!$Q16),'Table 2'!H16)</f>
        <v>37.906911912065645</v>
      </c>
      <c r="I16" s="12">
        <f>IF($Q16&lt;&gt;0,MIN('Table 2'!I16,'Table 3'!$Q16),'Table 2'!I16)</f>
        <v>32.54327591985245</v>
      </c>
      <c r="J16" s="12">
        <f>IF($Q16&lt;&gt;0,MIN('Table 2'!J16,'Table 3'!$Q16),'Table 2'!J16)</f>
        <v>33.415323285499305</v>
      </c>
      <c r="K16" s="12">
        <f>IF($Q16&lt;&gt;0,MIN('Table 2'!K16,'Table 3'!$Q16),'Table 2'!K16)</f>
        <v>35.97025366383855</v>
      </c>
      <c r="L16" s="51">
        <f>IF($Q16&lt;&gt;0,MIN('Table 2'!L16,'Table 3'!$Q16),'Table 2'!L16)</f>
        <v>34.61773771838279</v>
      </c>
      <c r="M16" s="62">
        <f>IF($Q16&lt;&gt;0,MIN('Table 2'!M16,'Table 3'!$Q16),'Table 2'!M16)</f>
        <v>37.079060051075594</v>
      </c>
      <c r="N16" s="12">
        <f>IF($Q16&lt;&gt;0,MIN('Table 2'!N16,'Table 3'!$Q16),'Table 2'!N16)</f>
        <v>38.0891608227132</v>
      </c>
      <c r="O16" s="51">
        <f>IF($Q16&lt;&gt;0,MIN('Table 2'!O16,'Table 3'!$Q16),'Table 2'!O16)</f>
        <v>35.92905838129633</v>
      </c>
      <c r="Q16" s="61">
        <f>VLOOKUP(B16,'Table 4'!$B$11:$K$41,9,FALSE)</f>
        <v>42.46</v>
      </c>
    </row>
    <row r="17" spans="2:17" ht="12.75" customHeight="1">
      <c r="B17" s="79">
        <f t="shared" si="0"/>
        <v>2016</v>
      </c>
      <c r="C17" s="81">
        <v>37.172118057958585</v>
      </c>
      <c r="D17" s="12">
        <f>'Table 2'!D17</f>
        <v>37.89980048421938</v>
      </c>
      <c r="E17" s="12">
        <f>'Table 2'!E17</f>
        <v>38.16905606693693</v>
      </c>
      <c r="F17" s="12">
        <f>'Table 2'!F17</f>
        <v>38.801250179159084</v>
      </c>
      <c r="G17" s="12">
        <f>'Table 2'!G17</f>
        <v>34.15612259624246</v>
      </c>
      <c r="H17" s="51">
        <f>'Table 2'!H17</f>
        <v>36.03556405455534</v>
      </c>
      <c r="I17" s="12">
        <f>IF($Q17&lt;&gt;0,MIN('Table 2'!I17,'Table 3'!$Q17),'Table 2'!I17)</f>
        <v>33.81230116225536</v>
      </c>
      <c r="J17" s="12">
        <f>IF($Q17&lt;&gt;0,MIN('Table 2'!J17,'Table 3'!$Q17),'Table 2'!J17)</f>
        <v>36.84361626850058</v>
      </c>
      <c r="K17" s="12">
        <f>IF($Q17&lt;&gt;0,MIN('Table 2'!K17,'Table 3'!$Q17),'Table 2'!K17)</f>
        <v>38.55371094212539</v>
      </c>
      <c r="L17" s="51">
        <f>IF($Q17&lt;&gt;0,MIN('Table 2'!L17,'Table 3'!$Q17),'Table 2'!L17)</f>
        <v>36.0685217897387</v>
      </c>
      <c r="M17" s="62">
        <f>IF($Q17&lt;&gt;0,MIN('Table 2'!M17,'Table 3'!$Q17),'Table 2'!M17)</f>
        <v>38.66899539761217</v>
      </c>
      <c r="N17" s="12">
        <f>IF($Q17&lt;&gt;0,MIN('Table 2'!N17,'Table 3'!$Q17),'Table 2'!N17)</f>
        <v>38.021184843137036</v>
      </c>
      <c r="O17" s="51">
        <f>IF($Q17&lt;&gt;0,MIN('Table 2'!O17,'Table 3'!$Q17),'Table 2'!O17)</f>
        <v>38.88572949739144</v>
      </c>
      <c r="Q17" s="61">
        <f>VLOOKUP(B17,'Table 4'!$B$11:$K$41,9,FALSE)</f>
        <v>45.39</v>
      </c>
    </row>
    <row r="18" spans="2:17" ht="12.75" customHeight="1">
      <c r="B18" s="79">
        <f t="shared" si="0"/>
        <v>2017</v>
      </c>
      <c r="C18" s="81">
        <v>39.935112965216234</v>
      </c>
      <c r="D18" s="12">
        <f>IF($Q18&lt;&gt;0,MIN('Table 2'!D18,'Table 3'!$Q18),'Table 2'!D18)</f>
        <v>38.74027626027956</v>
      </c>
      <c r="E18" s="12">
        <f>IF($Q18&lt;&gt;0,MIN('Table 2'!E18,'Table 3'!$Q18),'Table 2'!E18)</f>
        <v>38.08393353746463</v>
      </c>
      <c r="F18" s="12">
        <f>IF($Q18&lt;&gt;0,MIN('Table 2'!F18,'Table 3'!$Q18),'Table 2'!F18)</f>
        <v>42.46732039389582</v>
      </c>
      <c r="G18" s="12">
        <f>IF($Q18&lt;&gt;0,MIN('Table 2'!G18,'Table 3'!$Q18),'Table 2'!G18)</f>
        <v>39.49166184738571</v>
      </c>
      <c r="H18" s="51">
        <f>IF($Q18&lt;&gt;0,MIN('Table 2'!H18,'Table 3'!$Q18),'Table 2'!H18)</f>
        <v>39.00241989595209</v>
      </c>
      <c r="I18" s="12">
        <f>IF($Q18&lt;&gt;0,MIN('Table 2'!I18,'Table 3'!$Q18),'Table 2'!I18)</f>
        <v>37.880865955065474</v>
      </c>
      <c r="J18" s="12">
        <f>IF($Q18&lt;&gt;0,MIN('Table 2'!J18,'Table 3'!$Q18),'Table 2'!J18)</f>
        <v>38.07985841587591</v>
      </c>
      <c r="K18" s="12">
        <f>IF($Q18&lt;&gt;0,MIN('Table 2'!K18,'Table 3'!$Q18),'Table 2'!K18)</f>
        <v>40.9603479561975</v>
      </c>
      <c r="L18" s="51">
        <f>IF($Q18&lt;&gt;0,MIN('Table 2'!L18,'Table 3'!$Q18),'Table 2'!L18)</f>
        <v>40.08556038039207</v>
      </c>
      <c r="M18" s="62">
        <f>IF($Q18&lt;&gt;0,MIN('Table 2'!M18,'Table 3'!$Q18),'Table 2'!M18)</f>
        <v>42.703543857684636</v>
      </c>
      <c r="N18" s="12">
        <f>IF($Q18&lt;&gt;0,MIN('Table 2'!N18,'Table 3'!$Q18),'Table 2'!N18)</f>
        <v>41.70043546552362</v>
      </c>
      <c r="O18" s="51">
        <f>IF($Q18&lt;&gt;0,MIN('Table 2'!O18,'Table 3'!$Q18),'Table 2'!O18)</f>
        <v>39.827213342821224</v>
      </c>
      <c r="Q18" s="61">
        <f>VLOOKUP(B18,'Table 4'!$B$11:$K$41,9,FALSE)</f>
        <v>48.33</v>
      </c>
    </row>
    <row r="19" spans="2:17" ht="12.75" customHeight="1">
      <c r="B19" s="79">
        <f t="shared" si="0"/>
        <v>2018</v>
      </c>
      <c r="C19" s="81">
        <v>42.27820259544989</v>
      </c>
      <c r="D19" s="12">
        <f>IF($Q19&lt;&gt;0,MIN('Table 2'!D19,'Table 3'!$Q19),'Table 2'!D19)</f>
        <v>40.72158388472448</v>
      </c>
      <c r="E19" s="12">
        <f>IF($Q19&lt;&gt;0,MIN('Table 2'!E19,'Table 3'!$Q19),'Table 2'!E19)</f>
        <v>39.3280757620795</v>
      </c>
      <c r="F19" s="12">
        <f>IF($Q19&lt;&gt;0,MIN('Table 2'!F19,'Table 3'!$Q19),'Table 2'!F19)</f>
        <v>45.35779381204988</v>
      </c>
      <c r="G19" s="12">
        <f>IF($Q19&lt;&gt;0,MIN('Table 2'!G19,'Table 3'!$Q19),'Table 2'!G19)</f>
        <v>41.71207955114349</v>
      </c>
      <c r="H19" s="51">
        <f>IF($Q19&lt;&gt;0,MIN('Table 2'!H19,'Table 3'!$Q19),'Table 2'!H19)</f>
        <v>42.273386320524075</v>
      </c>
      <c r="I19" s="12">
        <f>IF($Q19&lt;&gt;0,MIN('Table 2'!I19,'Table 3'!$Q19),'Table 2'!I19)</f>
        <v>40.178599073202925</v>
      </c>
      <c r="J19" s="12">
        <f>IF($Q19&lt;&gt;0,MIN('Table 2'!J19,'Table 3'!$Q19),'Table 2'!J19)</f>
        <v>42.341468900063234</v>
      </c>
      <c r="K19" s="12">
        <f>IF($Q19&lt;&gt;0,MIN('Table 2'!K19,'Table 3'!$Q19),'Table 2'!K19)</f>
        <v>41.15962536891217</v>
      </c>
      <c r="L19" s="51">
        <f>IF($Q19&lt;&gt;0,MIN('Table 2'!L19,'Table 3'!$Q19),'Table 2'!L19)</f>
        <v>41.04946107869347</v>
      </c>
      <c r="M19" s="62">
        <f>IF($Q19&lt;&gt;0,MIN('Table 2'!M19,'Table 3'!$Q19),'Table 2'!M19)</f>
        <v>44.619081308539066</v>
      </c>
      <c r="N19" s="12">
        <f>IF($Q19&lt;&gt;0,MIN('Table 2'!N19,'Table 3'!$Q19),'Table 2'!N19)</f>
        <v>44.11937904689534</v>
      </c>
      <c r="O19" s="51">
        <f>IF($Q19&lt;&gt;0,MIN('Table 2'!O19,'Table 3'!$Q19),'Table 2'!O19)</f>
        <v>44.12616567947512</v>
      </c>
      <c r="Q19" s="61">
        <f>VLOOKUP(B19,'Table 4'!$B$11:$K$41,9,FALSE)</f>
        <v>49.69</v>
      </c>
    </row>
    <row r="20" spans="2:17" ht="12.75" customHeight="1">
      <c r="B20" s="79">
        <f t="shared" si="0"/>
        <v>2019</v>
      </c>
      <c r="C20" s="81">
        <v>45.30147977043779</v>
      </c>
      <c r="D20" s="12">
        <f>IF($Q20&lt;&gt;0,MIN('Table 2'!D20,'Table 3'!$Q20),'Table 2'!D20)</f>
        <v>43.341836794782</v>
      </c>
      <c r="E20" s="12">
        <f>IF($Q20&lt;&gt;0,MIN('Table 2'!E20,'Table 3'!$Q20),'Table 2'!E20)</f>
        <v>44.38437838795535</v>
      </c>
      <c r="F20" s="12">
        <f>IF($Q20&lt;&gt;0,MIN('Table 2'!F20,'Table 3'!$Q20),'Table 2'!F20)</f>
        <v>48.75051801391488</v>
      </c>
      <c r="G20" s="12">
        <f>IF($Q20&lt;&gt;0,MIN('Table 2'!G20,'Table 3'!$Q20),'Table 2'!G20)</f>
        <v>44.56165834450936</v>
      </c>
      <c r="H20" s="51">
        <f>IF($Q20&lt;&gt;0,MIN('Table 2'!H20,'Table 3'!$Q20),'Table 2'!H20)</f>
        <v>46.159475105312865</v>
      </c>
      <c r="I20" s="12">
        <f>IF($Q20&lt;&gt;0,MIN('Table 2'!I20,'Table 3'!$Q20),'Table 2'!I20)</f>
        <v>43.318789865849844</v>
      </c>
      <c r="J20" s="12">
        <f>IF($Q20&lt;&gt;0,MIN('Table 2'!J20,'Table 3'!$Q20),'Table 2'!J20)</f>
        <v>45.287072025933156</v>
      </c>
      <c r="K20" s="12">
        <f>IF($Q20&lt;&gt;0,MIN('Table 2'!K20,'Table 3'!$Q20),'Table 2'!K20)</f>
        <v>44.718215209898844</v>
      </c>
      <c r="L20" s="51">
        <f>IF($Q20&lt;&gt;0,MIN('Table 2'!L20,'Table 3'!$Q20),'Table 2'!L20)</f>
        <v>44.177923988546034</v>
      </c>
      <c r="M20" s="62">
        <f>IF($Q20&lt;&gt;0,MIN('Table 2'!M20,'Table 3'!$Q20),'Table 2'!M20)</f>
        <v>46.70255605975575</v>
      </c>
      <c r="N20" s="12">
        <f>IF($Q20&lt;&gt;0,MIN('Table 2'!N20,'Table 3'!$Q20),'Table 2'!N20)</f>
        <v>46.01861418088229</v>
      </c>
      <c r="O20" s="51">
        <f>IF($Q20&lt;&gt;0,MIN('Table 2'!O20,'Table 3'!$Q20),'Table 2'!O20)</f>
        <v>46.00703420825467</v>
      </c>
      <c r="Q20" s="61">
        <f>VLOOKUP(B20,'Table 4'!$B$11:$K$41,9,FALSE)</f>
        <v>52.34</v>
      </c>
    </row>
    <row r="21" spans="2:17" ht="12.75" customHeight="1">
      <c r="B21" s="80">
        <f t="shared" si="0"/>
        <v>2020</v>
      </c>
      <c r="C21" s="82">
        <v>47.94822469966379</v>
      </c>
      <c r="D21" s="21">
        <f>IF($Q21&lt;&gt;0,MIN('Table 2'!D21,'Table 3'!$Q21),'Table 2'!D21)</f>
        <v>45.12957732052478</v>
      </c>
      <c r="E21" s="21">
        <f>IF($Q21&lt;&gt;0,MIN('Table 2'!E21,'Table 3'!$Q21),'Table 2'!E21)</f>
        <v>46.69801201242362</v>
      </c>
      <c r="F21" s="21">
        <f>IF($Q21&lt;&gt;0,MIN('Table 2'!F21,'Table 3'!$Q21),'Table 2'!F21)</f>
        <v>47.93620771189126</v>
      </c>
      <c r="G21" s="21">
        <f>IF($Q21&lt;&gt;0,MIN('Table 2'!G21,'Table 3'!$Q21),'Table 2'!G21)</f>
        <v>50.57645800195975</v>
      </c>
      <c r="H21" s="52">
        <f>IF($Q21&lt;&gt;0,MIN('Table 2'!H21,'Table 3'!$Q21),'Table 2'!H21)</f>
        <v>45.91182037080997</v>
      </c>
      <c r="I21" s="12">
        <f>IF($Q21&lt;&gt;0,MIN('Table 2'!I21,'Table 3'!$Q21),'Table 2'!I21)</f>
        <v>46.499308077941336</v>
      </c>
      <c r="J21" s="12">
        <f>IF($Q21&lt;&gt;0,MIN('Table 2'!J21,'Table 3'!$Q21),'Table 2'!J21)</f>
        <v>49.49689071347241</v>
      </c>
      <c r="K21" s="12">
        <f>IF($Q21&lt;&gt;0,MIN('Table 2'!K21,'Table 3'!$Q21),'Table 2'!K21)</f>
        <v>48.20047947201056</v>
      </c>
      <c r="L21" s="51">
        <f>IF($Q21&lt;&gt;0,MIN('Table 2'!L21,'Table 3'!$Q21),'Table 2'!L21)</f>
        <v>46.5221680207682</v>
      </c>
      <c r="M21" s="62">
        <f>IF($Q21&lt;&gt;0,MIN('Table 2'!M21,'Table 3'!$Q21),'Table 2'!M21)</f>
        <v>50.11084068486777</v>
      </c>
      <c r="N21" s="12">
        <f>IF($Q21&lt;&gt;0,MIN('Table 2'!N21,'Table 3'!$Q21),'Table 2'!N21)</f>
        <v>49.61657682042496</v>
      </c>
      <c r="O21" s="51">
        <f>IF($Q21&lt;&gt;0,MIN('Table 2'!O21,'Table 3'!$Q21),'Table 2'!O21)</f>
        <v>48.64555676138567</v>
      </c>
      <c r="Q21" s="61">
        <f>VLOOKUP(B21,'Table 4'!$B$11:$K$41,9,FALSE)</f>
        <v>55.78</v>
      </c>
    </row>
    <row r="22" spans="2:17" ht="12.75" customHeight="1">
      <c r="B22" s="124">
        <f t="shared" si="0"/>
        <v>2021</v>
      </c>
      <c r="C22" s="81">
        <v>53.473747423514425</v>
      </c>
      <c r="D22" s="11">
        <f>IF($Q22&lt;&gt;0,MIN('Table 2'!D22,'Table 3'!$Q22),'Table 2'!D22)</f>
        <v>49.992251654885884</v>
      </c>
      <c r="E22" s="11">
        <f>IF($Q22&lt;&gt;0,MIN('Table 2'!E22,'Table 3'!$Q22),'Table 2'!E22)</f>
        <v>50.404699326855464</v>
      </c>
      <c r="F22" s="11">
        <f>IF($Q22&lt;&gt;0,MIN('Table 2'!F22,'Table 3'!$Q22),'Table 2'!F22)</f>
        <v>54.344651232352554</v>
      </c>
      <c r="G22" s="11">
        <f>IF($Q22&lt;&gt;0,MIN('Table 2'!G22,'Table 3'!$Q22),'Table 2'!G22)</f>
        <v>53.81883603104579</v>
      </c>
      <c r="H22" s="50">
        <f>IF($Q22&lt;&gt;0,MIN('Table 2'!H22,'Table 3'!$Q22),'Table 2'!H22)</f>
        <v>54.15279008696995</v>
      </c>
      <c r="I22" s="63">
        <f>IF($Q22&lt;&gt;0,MIN('Table 2'!I22,'Table 3'!$Q22),'Table 2'!I22)</f>
        <v>51.85007728120909</v>
      </c>
      <c r="J22" s="11">
        <f>IF($Q22&lt;&gt;0,MIN('Table 2'!J22,'Table 3'!$Q22),'Table 2'!J22)</f>
        <v>55.37939408882029</v>
      </c>
      <c r="K22" s="11">
        <f>IF($Q22&lt;&gt;0,MIN('Table 2'!K22,'Table 3'!$Q22),'Table 2'!K22)</f>
        <v>52.76995610958277</v>
      </c>
      <c r="L22" s="50">
        <f>IF($Q22&lt;&gt;0,MIN('Table 2'!L22,'Table 3'!$Q22),'Table 2'!L22)</f>
        <v>52.11743049449391</v>
      </c>
      <c r="M22" s="63">
        <f>IF($Q22&lt;&gt;0,MIN('Table 2'!M22,'Table 3'!$Q22),'Table 2'!M22)</f>
        <v>57.138124882510425</v>
      </c>
      <c r="N22" s="11">
        <f>IF($Q22&lt;&gt;0,MIN('Table 2'!N22,'Table 3'!$Q22),'Table 2'!N22)</f>
        <v>55.29770452924803</v>
      </c>
      <c r="O22" s="50">
        <f>IF($Q22&lt;&gt;0,MIN('Table 2'!O22,'Table 3'!$Q22),'Table 2'!O22)</f>
        <v>54.095889311036416</v>
      </c>
      <c r="Q22" s="64">
        <f>VLOOKUP(B22,'Table 4'!$B$11:$K$41,9,FALSE)</f>
        <v>60.22</v>
      </c>
    </row>
    <row r="23" spans="2:17" ht="12.75" customHeight="1">
      <c r="B23" s="79">
        <f t="shared" si="0"/>
        <v>2022</v>
      </c>
      <c r="C23" s="81">
        <v>57.74190335670951</v>
      </c>
      <c r="D23" s="12">
        <f>IF($Q23&lt;&gt;0,MIN('Table 2'!D23,'Table 3'!$Q23),'Table 2'!D23)</f>
        <v>52.897753679000225</v>
      </c>
      <c r="E23" s="12">
        <f>IF($Q23&lt;&gt;0,MIN('Table 2'!E23,'Table 3'!$Q23),'Table 2'!E23)</f>
        <v>54.594171768451936</v>
      </c>
      <c r="F23" s="12">
        <f>IF($Q23&lt;&gt;0,MIN('Table 2'!F23,'Table 3'!$Q23),'Table 2'!F23)</f>
        <v>59.6463549092346</v>
      </c>
      <c r="G23" s="12">
        <f>IF($Q23&lt;&gt;0,MIN('Table 2'!G23,'Table 3'!$Q23),'Table 2'!G23)</f>
        <v>58.190988136356566</v>
      </c>
      <c r="H23" s="51">
        <f>IF($Q23&lt;&gt;0,MIN('Table 2'!H23,'Table 3'!$Q23),'Table 2'!H23)</f>
        <v>57.765003066682915</v>
      </c>
      <c r="I23" s="62">
        <f>IF($Q23&lt;&gt;0,MIN('Table 2'!I23,'Table 3'!$Q23),'Table 2'!I23)</f>
        <v>56.902492048202774</v>
      </c>
      <c r="J23" s="12">
        <f>IF($Q23&lt;&gt;0,MIN('Table 2'!J23,'Table 3'!$Q23),'Table 2'!J23)</f>
        <v>59.96459941460994</v>
      </c>
      <c r="K23" s="12">
        <f>IF($Q23&lt;&gt;0,MIN('Table 2'!K23,'Table 3'!$Q23),'Table 2'!K23)</f>
        <v>56.69568920003169</v>
      </c>
      <c r="L23" s="51">
        <f>IF($Q23&lt;&gt;0,MIN('Table 2'!L23,'Table 3'!$Q23),'Table 2'!L23)</f>
        <v>56.60511691290812</v>
      </c>
      <c r="M23" s="62">
        <f>IF($Q23&lt;&gt;0,MIN('Table 2'!M23,'Table 3'!$Q23),'Table 2'!M23)</f>
        <v>62.318308242093266</v>
      </c>
      <c r="N23" s="12">
        <f>IF($Q23&lt;&gt;0,MIN('Table 2'!N23,'Table 3'!$Q23),'Table 2'!N23)</f>
        <v>58.080987153757434</v>
      </c>
      <c r="O23" s="51">
        <f>IF($Q23&lt;&gt;0,MIN('Table 2'!O23,'Table 3'!$Q23),'Table 2'!O23)</f>
        <v>58.89843304143025</v>
      </c>
      <c r="Q23" s="61">
        <f>VLOOKUP(B23,'Table 4'!$B$11:$K$41,9,FALSE)</f>
        <v>64.94</v>
      </c>
    </row>
    <row r="24" spans="2:17" ht="12.75" customHeight="1">
      <c r="B24" s="79">
        <f t="shared" si="0"/>
        <v>2023</v>
      </c>
      <c r="C24" s="81">
        <v>57.06646722137792</v>
      </c>
      <c r="D24" s="12">
        <f>IF($Q24&lt;&gt;0,MIN('Table 2'!D24,'Table 3'!$Q24),'Table 2'!D24)</f>
        <v>57.667351126028045</v>
      </c>
      <c r="E24" s="12">
        <f>IF($Q24&lt;&gt;0,MIN('Table 2'!E24,'Table 3'!$Q24),'Table 2'!E24)</f>
        <v>57.25157756433934</v>
      </c>
      <c r="F24" s="12">
        <f>IF($Q24&lt;&gt;0,MIN('Table 2'!F24,'Table 3'!$Q24),'Table 2'!F24)</f>
        <v>60.2795832991765</v>
      </c>
      <c r="G24" s="12">
        <f>IF($Q24&lt;&gt;0,MIN('Table 2'!G24,'Table 3'!$Q24),'Table 2'!G24)</f>
        <v>55.84998213660191</v>
      </c>
      <c r="H24" s="51">
        <f>IF($Q24&lt;&gt;0,MIN('Table 2'!H24,'Table 3'!$Q24),'Table 2'!H24)</f>
        <v>57.80203029822928</v>
      </c>
      <c r="I24" s="62">
        <f>IF($Q24&lt;&gt;0,MIN('Table 2'!I24,'Table 3'!$Q24),'Table 2'!I24)</f>
        <v>57.49225706527728</v>
      </c>
      <c r="J24" s="12">
        <f>IF($Q24&lt;&gt;0,MIN('Table 2'!J24,'Table 3'!$Q24),'Table 2'!J24)</f>
        <v>60.42752144686845</v>
      </c>
      <c r="K24" s="12">
        <f>IF($Q24&lt;&gt;0,MIN('Table 2'!K24,'Table 3'!$Q24),'Table 2'!K24)</f>
        <v>56.798073851675795</v>
      </c>
      <c r="L24" s="51">
        <f>IF($Q24&lt;&gt;0,MIN('Table 2'!L24,'Table 3'!$Q24),'Table 2'!L24)</f>
        <v>55.379890212419085</v>
      </c>
      <c r="M24" s="62">
        <f>IF($Q24&lt;&gt;0,MIN('Table 2'!M24,'Table 3'!$Q24),'Table 2'!M24)</f>
        <v>56.849128659045036</v>
      </c>
      <c r="N24" s="12">
        <f>IF($Q24&lt;&gt;0,MIN('Table 2'!N24,'Table 3'!$Q24),'Table 2'!N24)</f>
        <v>54.67417922352848</v>
      </c>
      <c r="O24" s="51">
        <f>IF($Q24&lt;&gt;0,MIN('Table 2'!O24,'Table 3'!$Q24),'Table 2'!O24)</f>
        <v>54.18686308886839</v>
      </c>
      <c r="Q24" s="61">
        <f>VLOOKUP(B24,'Table 4'!$B$11:$K$41,9,FALSE)</f>
        <v>64.58</v>
      </c>
    </row>
    <row r="25" spans="2:17" ht="12.75" customHeight="1">
      <c r="B25" s="79">
        <f t="shared" si="0"/>
        <v>2024</v>
      </c>
      <c r="C25" s="81">
        <v>50.31016861016551</v>
      </c>
      <c r="D25" s="12">
        <f>IF($Q25&lt;&gt;0,MIN('Table 2'!D25,'Table 3'!$Q25),'Table 2'!D25)</f>
        <v>47.85000486722019</v>
      </c>
      <c r="E25" s="12">
        <f>IF($Q25&lt;&gt;0,MIN('Table 2'!E25,'Table 3'!$Q25),'Table 2'!E25)</f>
        <v>47.33362009888458</v>
      </c>
      <c r="F25" s="12">
        <f>IF($Q25&lt;&gt;0,MIN('Table 2'!F25,'Table 3'!$Q25),'Table 2'!F25)</f>
        <v>55.364204676154294</v>
      </c>
      <c r="G25" s="12">
        <f>IF($Q25&lt;&gt;0,MIN('Table 2'!G25,'Table 3'!$Q25),'Table 2'!G25)</f>
        <v>50.54982892066922</v>
      </c>
      <c r="H25" s="51">
        <f>IF($Q25&lt;&gt;0,MIN('Table 2'!H25,'Table 3'!$Q25),'Table 2'!H25)</f>
        <v>50.90197988693885</v>
      </c>
      <c r="I25" s="62">
        <f>IF($Q25&lt;&gt;0,MIN('Table 2'!I25,'Table 3'!$Q25),'Table 2'!I25)</f>
        <v>51.301215792157095</v>
      </c>
      <c r="J25" s="12">
        <f>IF($Q25&lt;&gt;0,MIN('Table 2'!J25,'Table 3'!$Q25),'Table 2'!J25)</f>
        <v>51.16880157488875</v>
      </c>
      <c r="K25" s="12">
        <f>IF($Q25&lt;&gt;0,MIN('Table 2'!K25,'Table 3'!$Q25),'Table 2'!K25)</f>
        <v>49.064587509645776</v>
      </c>
      <c r="L25" s="51">
        <f>IF($Q25&lt;&gt;0,MIN('Table 2'!L25,'Table 3'!$Q25),'Table 2'!L25)</f>
        <v>48.0358587998366</v>
      </c>
      <c r="M25" s="62">
        <f>IF($Q25&lt;&gt;0,MIN('Table 2'!M25,'Table 3'!$Q25),'Table 2'!M25)</f>
        <v>51.12853104206277</v>
      </c>
      <c r="N25" s="12">
        <f>IF($Q25&lt;&gt;0,MIN('Table 2'!N25,'Table 3'!$Q25),'Table 2'!N25)</f>
        <v>50.448799603431446</v>
      </c>
      <c r="O25" s="51">
        <f>IF($Q25&lt;&gt;0,MIN('Table 2'!O25,'Table 3'!$Q25),'Table 2'!O25)</f>
        <v>50.35336253889881</v>
      </c>
      <c r="Q25" s="61">
        <f>VLOOKUP(B25,'Table 4'!$B$11:$K$41,9,FALSE)</f>
        <v>57.42</v>
      </c>
    </row>
    <row r="26" spans="2:17" ht="12.75" customHeight="1">
      <c r="B26" s="79">
        <f t="shared" si="0"/>
        <v>2025</v>
      </c>
      <c r="C26" s="81">
        <v>52.180268303502075</v>
      </c>
      <c r="D26" s="12">
        <f>IF($Q26&lt;&gt;0,MIN('Table 2'!D26,'Table 3'!$Q26),'Table 2'!D26)</f>
        <v>49.25923497723033</v>
      </c>
      <c r="E26" s="12">
        <f>IF($Q26&lt;&gt;0,MIN('Table 2'!E26,'Table 3'!$Q26),'Table 2'!E26)</f>
        <v>49.38100139303263</v>
      </c>
      <c r="F26" s="12">
        <f>IF($Q26&lt;&gt;0,MIN('Table 2'!F26,'Table 3'!$Q26),'Table 2'!F26)</f>
        <v>59.37387519639544</v>
      </c>
      <c r="G26" s="12">
        <f>IF($Q26&lt;&gt;0,MIN('Table 2'!G26,'Table 3'!$Q26),'Table 2'!G26)</f>
        <v>51.14558653466355</v>
      </c>
      <c r="H26" s="51">
        <f>IF($Q26&lt;&gt;0,MIN('Table 2'!H26,'Table 3'!$Q26),'Table 2'!H26)</f>
        <v>52.64526347210613</v>
      </c>
      <c r="I26" s="62">
        <f>IF($Q26&lt;&gt;0,MIN('Table 2'!I26,'Table 3'!$Q26),'Table 2'!I26)</f>
        <v>52.4369774653597</v>
      </c>
      <c r="J26" s="12">
        <f>IF($Q26&lt;&gt;0,MIN('Table 2'!J26,'Table 3'!$Q26),'Table 2'!J26)</f>
        <v>53.5685343265345</v>
      </c>
      <c r="K26" s="12">
        <f>IF($Q26&lt;&gt;0,MIN('Table 2'!K26,'Table 3'!$Q26),'Table 2'!K26)</f>
        <v>50.53848216318815</v>
      </c>
      <c r="L26" s="51">
        <f>IF($Q26&lt;&gt;0,MIN('Table 2'!L26,'Table 3'!$Q26),'Table 2'!L26)</f>
        <v>48.72851043889092</v>
      </c>
      <c r="M26" s="62">
        <f>IF($Q26&lt;&gt;0,MIN('Table 2'!M26,'Table 3'!$Q26),'Table 2'!M26)</f>
        <v>52.874077912396</v>
      </c>
      <c r="N26" s="12">
        <f>IF($Q26&lt;&gt;0,MIN('Table 2'!N26,'Table 3'!$Q26),'Table 2'!N26)</f>
        <v>53.09050433104578</v>
      </c>
      <c r="O26" s="51">
        <f>IF($Q26&lt;&gt;0,MIN('Table 2'!O26,'Table 3'!$Q26),'Table 2'!O26)</f>
        <v>52.74319416745734</v>
      </c>
      <c r="Q26" s="61">
        <f>VLOOKUP(B26,'Table 4'!$B$11:$K$41,9,FALSE)</f>
        <v>59.5</v>
      </c>
    </row>
    <row r="27" spans="2:17" ht="12.75" customHeight="1">
      <c r="B27" s="79">
        <f t="shared" si="0"/>
        <v>2026</v>
      </c>
      <c r="C27" s="81">
        <v>55.569655511727014</v>
      </c>
      <c r="D27" s="12">
        <f>IF($Q27&lt;&gt;0,MIN('Table 2'!D27,'Table 3'!$Q27),'Table 2'!D27)</f>
        <v>53.006527397218456</v>
      </c>
      <c r="E27" s="12">
        <f>IF($Q27&lt;&gt;0,MIN('Table 2'!E27,'Table 3'!$Q27),'Table 2'!E27)</f>
        <v>53.88068142682105</v>
      </c>
      <c r="F27" s="12">
        <f>IF($Q27&lt;&gt;0,MIN('Table 2'!F27,'Table 3'!$Q27),'Table 2'!F27)</f>
        <v>56.43978115705223</v>
      </c>
      <c r="G27" s="12">
        <f>IF($Q27&lt;&gt;0,MIN('Table 2'!G27,'Table 3'!$Q27),'Table 2'!G27)</f>
        <v>58.21937312287638</v>
      </c>
      <c r="H27" s="51">
        <f>IF($Q27&lt;&gt;0,MIN('Table 2'!H27,'Table 3'!$Q27),'Table 2'!H27)</f>
        <v>55.99231803715983</v>
      </c>
      <c r="I27" s="62">
        <f>IF($Q27&lt;&gt;0,MIN('Table 2'!I27,'Table 3'!$Q27),'Table 2'!I27)</f>
        <v>54.48121667973746</v>
      </c>
      <c r="J27" s="12">
        <f>IF($Q27&lt;&gt;0,MIN('Table 2'!J27,'Table 3'!$Q27),'Table 2'!J27)</f>
        <v>57.83484480075732</v>
      </c>
      <c r="K27" s="12">
        <f>IF($Q27&lt;&gt;0,MIN('Table 2'!K27,'Table 3'!$Q27),'Table 2'!K27)</f>
        <v>54.312151444970546</v>
      </c>
      <c r="L27" s="51">
        <f>IF($Q27&lt;&gt;0,MIN('Table 2'!L27,'Table 3'!$Q27),'Table 2'!L27)</f>
        <v>52.56462493414973</v>
      </c>
      <c r="M27" s="62">
        <f>IF($Q27&lt;&gt;0,MIN('Table 2'!M27,'Table 3'!$Q27),'Table 2'!M27)</f>
        <v>56.981181497154154</v>
      </c>
      <c r="N27" s="12">
        <f>IF($Q27&lt;&gt;0,MIN('Table 2'!N27,'Table 3'!$Q27),'Table 2'!N27)</f>
        <v>57.800678274837</v>
      </c>
      <c r="O27" s="51">
        <f>IF($Q27&lt;&gt;0,MIN('Table 2'!O27,'Table 3'!$Q27),'Table 2'!O27)</f>
        <v>55.18443410056988</v>
      </c>
      <c r="Q27" s="61">
        <f>VLOOKUP(B27,'Table 4'!$B$11:$K$41,9,FALSE)</f>
        <v>63.37</v>
      </c>
    </row>
    <row r="28" spans="2:17" ht="12.75" customHeight="1">
      <c r="B28" s="79">
        <f t="shared" si="0"/>
        <v>2027</v>
      </c>
      <c r="C28" s="81">
        <v>56.92703660241729</v>
      </c>
      <c r="D28" s="12">
        <f>IF($Q28&lt;&gt;0,MIN('Table 2'!D28,'Table 3'!$Q28),'Table 2'!D28)</f>
        <v>55.022860268659414</v>
      </c>
      <c r="E28" s="12">
        <f>IF($Q28&lt;&gt;0,MIN('Table 2'!E28,'Table 3'!$Q28),'Table 2'!E28)</f>
        <v>56.48241707352916</v>
      </c>
      <c r="F28" s="12">
        <f>IF($Q28&lt;&gt;0,MIN('Table 2'!F28,'Table 3'!$Q28),'Table 2'!F28)</f>
        <v>57.422044056450396</v>
      </c>
      <c r="G28" s="12">
        <f>IF($Q28&lt;&gt;0,MIN('Table 2'!G28,'Table 3'!$Q28),'Table 2'!G28)</f>
        <v>59.500700274346016</v>
      </c>
      <c r="H28" s="51">
        <f>IF($Q28&lt;&gt;0,MIN('Table 2'!H28,'Table 3'!$Q28),'Table 2'!H28)</f>
        <v>56.85928161290299</v>
      </c>
      <c r="I28" s="62">
        <f>IF($Q28&lt;&gt;0,MIN('Table 2'!I28,'Table 3'!$Q28),'Table 2'!I28)</f>
        <v>56.33401230228736</v>
      </c>
      <c r="J28" s="12">
        <f>IF($Q28&lt;&gt;0,MIN('Table 2'!J28,'Table 3'!$Q28),'Table 2'!J28)</f>
        <v>58.79978123292242</v>
      </c>
      <c r="K28" s="12">
        <f>IF($Q28&lt;&gt;0,MIN('Table 2'!K28,'Table 3'!$Q28),'Table 2'!K28)</f>
        <v>55.16007851518026</v>
      </c>
      <c r="L28" s="51">
        <f>IF($Q28&lt;&gt;0,MIN('Table 2'!L28,'Table 3'!$Q28),'Table 2'!L28)</f>
        <v>53.86900550212443</v>
      </c>
      <c r="M28" s="62">
        <f>IF($Q28&lt;&gt;0,MIN('Table 2'!M28,'Table 3'!$Q28),'Table 2'!M28)</f>
        <v>59.19201119718466</v>
      </c>
      <c r="N28" s="12">
        <f>IF($Q28&lt;&gt;0,MIN('Table 2'!N28,'Table 3'!$Q28),'Table 2'!N28)</f>
        <v>58.379943337091824</v>
      </c>
      <c r="O28" s="51">
        <f>IF($Q28&lt;&gt;0,MIN('Table 2'!O28,'Table 3'!$Q28),'Table 2'!O28)</f>
        <v>56.07138954728069</v>
      </c>
      <c r="Q28" s="61">
        <f>VLOOKUP(B28,'Table 4'!$B$11:$K$41,9,FALSE)</f>
        <v>65.01</v>
      </c>
    </row>
    <row r="29" spans="2:17" ht="12.75" customHeight="1">
      <c r="B29" s="79">
        <f t="shared" si="0"/>
        <v>2028</v>
      </c>
      <c r="C29" s="81">
        <v>59.0376954987826</v>
      </c>
      <c r="D29" s="12">
        <f>IF($Q29&lt;&gt;0,MIN('Table 2'!D29,'Table 3'!$Q29),'Table 2'!D29)</f>
        <v>55.223403344245405</v>
      </c>
      <c r="E29" s="12">
        <f>IF($Q29&lt;&gt;0,MIN('Table 2'!E29,'Table 3'!$Q29),'Table 2'!E29)</f>
        <v>57.27772262035148</v>
      </c>
      <c r="F29" s="12">
        <f>IF($Q29&lt;&gt;0,MIN('Table 2'!F29,'Table 3'!$Q29),'Table 2'!F29)</f>
        <v>60.11402002057175</v>
      </c>
      <c r="G29" s="12">
        <f>IF($Q29&lt;&gt;0,MIN('Table 2'!G29,'Table 3'!$Q29),'Table 2'!G29)</f>
        <v>62.342698756700344</v>
      </c>
      <c r="H29" s="51">
        <f>IF($Q29&lt;&gt;0,MIN('Table 2'!H29,'Table 3'!$Q29),'Table 2'!H29)</f>
        <v>59.78847326533863</v>
      </c>
      <c r="I29" s="62">
        <f>IF($Q29&lt;&gt;0,MIN('Table 2'!I29,'Table 3'!$Q29),'Table 2'!I29)</f>
        <v>59.7353205537572</v>
      </c>
      <c r="J29" s="12">
        <f>IF($Q29&lt;&gt;0,MIN('Table 2'!J29,'Table 3'!$Q29),'Table 2'!J29)</f>
        <v>61.0567486432649</v>
      </c>
      <c r="K29" s="12">
        <f>IF($Q29&lt;&gt;0,MIN('Table 2'!K29,'Table 3'!$Q29),'Table 2'!K29)</f>
        <v>57.22362197090428</v>
      </c>
      <c r="L29" s="51">
        <f>IF($Q29&lt;&gt;0,MIN('Table 2'!L29,'Table 3'!$Q29),'Table 2'!L29)</f>
        <v>56.25533545800673</v>
      </c>
      <c r="M29" s="62">
        <f>IF($Q29&lt;&gt;0,MIN('Table 2'!M29,'Table 3'!$Q29),'Table 2'!M29)</f>
        <v>60.76035920809636</v>
      </c>
      <c r="N29" s="12">
        <f>IF($Q29&lt;&gt;0,MIN('Table 2'!N29,'Table 3'!$Q29),'Table 2'!N29)</f>
        <v>60.43511488055384</v>
      </c>
      <c r="O29" s="51">
        <f>IF($Q29&lt;&gt;0,MIN('Table 2'!O29,'Table 3'!$Q29),'Table 2'!O29)</f>
        <v>58.210422163504276</v>
      </c>
      <c r="Q29" s="61">
        <f>VLOOKUP(B29,'Table 4'!$B$11:$K$41,9,FALSE)</f>
        <v>67.45</v>
      </c>
    </row>
    <row r="30" spans="2:17" ht="12.75" customHeight="1">
      <c r="B30" s="79">
        <f t="shared" si="0"/>
        <v>2029</v>
      </c>
      <c r="C30" s="81">
        <v>61.285947546611666</v>
      </c>
      <c r="D30" s="12">
        <f>IF($Q30&lt;&gt;0,MIN('Table 2'!D30,'Table 3'!$Q30),'Table 2'!D30)</f>
        <v>59.444838154175045</v>
      </c>
      <c r="E30" s="12">
        <f>IF($Q30&lt;&gt;0,MIN('Table 2'!E30,'Table 3'!$Q30),'Table 2'!E30)</f>
        <v>58.37710684943965</v>
      </c>
      <c r="F30" s="12">
        <f>IF($Q30&lt;&gt;0,MIN('Table 2'!F30,'Table 3'!$Q30),'Table 2'!F30)</f>
        <v>63.59490650224486</v>
      </c>
      <c r="G30" s="12">
        <f>IF($Q30&lt;&gt;0,MIN('Table 2'!G30,'Table 3'!$Q30),'Table 2'!G30)</f>
        <v>64.60176301307149</v>
      </c>
      <c r="H30" s="51">
        <f>IF($Q30&lt;&gt;0,MIN('Table 2'!H30,'Table 3'!$Q30),'Table 2'!H30)</f>
        <v>60.20217747438386</v>
      </c>
      <c r="I30" s="62">
        <f>IF($Q30&lt;&gt;0,MIN('Table 2'!I30,'Table 3'!$Q30),'Table 2'!I30)</f>
        <v>61.40055825637252</v>
      </c>
      <c r="J30" s="12">
        <f>IF($Q30&lt;&gt;0,MIN('Table 2'!J30,'Table 3'!$Q30),'Table 2'!J30)</f>
        <v>62.90237341350502</v>
      </c>
      <c r="K30" s="12">
        <f>IF($Q30&lt;&gt;0,MIN('Table 2'!K30,'Table 3'!$Q30),'Table 2'!K30)</f>
        <v>59.19746315860243</v>
      </c>
      <c r="L30" s="51">
        <f>IF($Q30&lt;&gt;0,MIN('Table 2'!L30,'Table 3'!$Q30),'Table 2'!L30)</f>
        <v>58.2958919509807</v>
      </c>
      <c r="M30" s="62">
        <f>IF($Q30&lt;&gt;0,MIN('Table 2'!M30,'Table 3'!$Q30),'Table 2'!M30)</f>
        <v>62.746828550284114</v>
      </c>
      <c r="N30" s="12">
        <f>IF($Q30&lt;&gt;0,MIN('Table 2'!N30,'Table 3'!$Q30),'Table 2'!N30)</f>
        <v>63.6364795382355</v>
      </c>
      <c r="O30" s="51">
        <f>IF($Q30&lt;&gt;0,MIN('Table 2'!O30,'Table 3'!$Q30),'Table 2'!O30)</f>
        <v>60.83951210064801</v>
      </c>
      <c r="Q30" s="61">
        <f>VLOOKUP(B30,'Table 4'!$B$11:$K$41,9,FALSE)</f>
        <v>69.74</v>
      </c>
    </row>
    <row r="31" spans="2:17" ht="12.75" customHeight="1">
      <c r="B31" s="80">
        <f t="shared" si="0"/>
        <v>2030</v>
      </c>
      <c r="C31" s="82">
        <v>65.673910400454</v>
      </c>
      <c r="D31" s="21">
        <f>IF($Q31&lt;&gt;0,MIN('Table 2'!D31,'Table 3'!$Q31),'Table 2'!D31)</f>
        <v>61.25745488504097</v>
      </c>
      <c r="E31" s="21">
        <f>IF($Q31&lt;&gt;0,MIN('Table 2'!E31,'Table 3'!$Q31),'Table 2'!E31)</f>
        <v>60.51685624037105</v>
      </c>
      <c r="F31" s="21">
        <f>IF($Q31&lt;&gt;0,MIN('Table 2'!F31,'Table 3'!$Q31),'Table 2'!F31)</f>
        <v>66.49575481566917</v>
      </c>
      <c r="G31" s="21">
        <f>IF($Q31&lt;&gt;0,MIN('Table 2'!G31,'Table 3'!$Q31),'Table 2'!G31)</f>
        <v>68.7681585573517</v>
      </c>
      <c r="H31" s="52">
        <f>IF($Q31&lt;&gt;0,MIN('Table 2'!H31,'Table 3'!$Q31),'Table 2'!H31)</f>
        <v>64.37538362160127</v>
      </c>
      <c r="I31" s="125">
        <f>IF($Q31&lt;&gt;0,MIN('Table 2'!I31,'Table 3'!$Q31),'Table 2'!I31)</f>
        <v>66.79394034967362</v>
      </c>
      <c r="J31" s="21">
        <f>IF($Q31&lt;&gt;0,MIN('Table 2'!J31,'Table 3'!$Q31),'Table 2'!J31)</f>
        <v>67.29613453668367</v>
      </c>
      <c r="K31" s="21">
        <f>IF($Q31&lt;&gt;0,MIN('Table 2'!K31,'Table 3'!$Q31),'Table 2'!K31)</f>
        <v>64.82061283792086</v>
      </c>
      <c r="L31" s="52">
        <f>IF($Q31&lt;&gt;0,MIN('Table 2'!L31,'Table 3'!$Q31),'Table 2'!L31)</f>
        <v>62.33741731699386</v>
      </c>
      <c r="M31" s="125">
        <f>IF($Q31&lt;&gt;0,MIN('Table 2'!M31,'Table 3'!$Q31),'Table 2'!M31)</f>
        <v>67.31589940528207</v>
      </c>
      <c r="N31" s="21">
        <f>IF($Q31&lt;&gt;0,MIN('Table 2'!N31,'Table 3'!$Q31),'Table 2'!N31)</f>
        <v>70.4275760460796</v>
      </c>
      <c r="O31" s="52">
        <f>IF($Q31&lt;&gt;0,MIN('Table 2'!O31,'Table 3'!$Q31),'Table 2'!O31)</f>
        <v>67.36432613432973</v>
      </c>
      <c r="Q31" s="126">
        <f>VLOOKUP(B31,'Table 4'!$B$11:$K$41,9,FALSE)</f>
        <v>74.25</v>
      </c>
    </row>
    <row r="32" spans="4:13" ht="12.75" customHeight="1">
      <c r="D32" s="19"/>
      <c r="E32" s="19"/>
      <c r="F32" s="19"/>
      <c r="M32" s="27"/>
    </row>
    <row r="33" ht="12.75">
      <c r="C33" s="6" t="s">
        <v>52</v>
      </c>
    </row>
    <row r="34" spans="3:14" ht="12.75">
      <c r="C34" s="83" t="s">
        <v>50</v>
      </c>
      <c r="D34" s="83"/>
      <c r="E34" s="83"/>
      <c r="F34" s="83"/>
      <c r="G34" s="83"/>
      <c r="M34" s="6"/>
      <c r="N34" s="8"/>
    </row>
  </sheetData>
  <sheetProtection/>
  <conditionalFormatting sqref="D13:O31">
    <cfRule type="cellIs" priority="1" dxfId="2" operator="equal" stopIfTrue="1">
      <formula>$Q13</formula>
    </cfRule>
  </conditionalFormatting>
  <printOptions horizontalCentered="1"/>
  <pageMargins left="0.25" right="0.25" top="0.75" bottom="0.75" header="0.3" footer="0.2"/>
  <pageSetup fitToHeight="1" fitToWidth="1" horizontalDpi="600" verticalDpi="600" orientation="landscape" r:id="rId1"/>
  <headerFooter alignWithMargins="0">
    <oddFooter>&amp;L&amp;8NPC    &amp;F   (&amp;A)&amp;C&amp;8Page &amp;P of &amp;N&amp;R&amp;8&amp;D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1"/>
  <sheetViews>
    <sheetView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.75"/>
  <cols>
    <col min="1" max="1" width="2.83203125" style="6" customWidth="1"/>
    <col min="2" max="2" width="10.83203125" style="6" customWidth="1"/>
    <col min="3" max="3" width="14.16015625" style="6" customWidth="1"/>
    <col min="4" max="4" width="12.33203125" style="6" customWidth="1"/>
    <col min="5" max="5" width="9.16015625" style="6" customWidth="1"/>
    <col min="6" max="6" width="10.5" style="6" customWidth="1"/>
    <col min="7" max="7" width="10.5" style="6" bestFit="1" customWidth="1"/>
    <col min="8" max="8" width="11.66015625" style="6" bestFit="1" customWidth="1"/>
    <col min="9" max="9" width="11.16015625" style="6" customWidth="1"/>
    <col min="10" max="10" width="12" style="6" bestFit="1" customWidth="1"/>
    <col min="11" max="11" width="12" style="6" customWidth="1"/>
    <col min="12" max="15" width="9.33203125" style="6" customWidth="1"/>
    <col min="16" max="16384" width="9.33203125" style="6" customWidth="1"/>
  </cols>
  <sheetData>
    <row r="1" spans="2:11" ht="15.75">
      <c r="B1" s="1" t="s">
        <v>78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5.75">
      <c r="B2" s="1"/>
      <c r="C2" s="47"/>
      <c r="D2" s="47"/>
      <c r="E2" s="47"/>
      <c r="F2" s="47"/>
      <c r="G2" s="47"/>
      <c r="H2" s="47"/>
      <c r="I2" s="47"/>
      <c r="J2" s="47"/>
      <c r="K2" s="47"/>
    </row>
    <row r="3" spans="2:11" ht="15.75">
      <c r="B3" s="1" t="str">
        <f>"Table "&amp;RIGHT('Table 3'!B3,1)+1</f>
        <v>Table 4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.75">
      <c r="B4" s="1" t="s">
        <v>90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5.75">
      <c r="B5" s="1" t="str">
        <f>C52</f>
        <v>CCCT (Wet "F" 2x1)  - East Side Resource (4500')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5.75">
      <c r="B6" s="1"/>
      <c r="C6" s="47"/>
      <c r="D6" s="47"/>
      <c r="E6" s="47"/>
      <c r="F6" s="47"/>
      <c r="G6" s="47"/>
      <c r="H6" s="47"/>
      <c r="I6" s="47"/>
      <c r="K6" s="86"/>
    </row>
    <row r="7" spans="2:14" ht="12.75">
      <c r="B7" s="54"/>
      <c r="C7" s="54"/>
      <c r="D7" s="54"/>
      <c r="E7" s="54"/>
      <c r="F7" s="54"/>
      <c r="G7" s="54"/>
      <c r="H7" s="54"/>
      <c r="I7" s="47"/>
      <c r="J7" s="8"/>
      <c r="K7" s="8"/>
      <c r="L7" s="8"/>
      <c r="M7" s="8"/>
      <c r="N7" s="8"/>
    </row>
    <row r="8" spans="2:12" ht="51.75" customHeight="1">
      <c r="B8" s="87" t="s">
        <v>0</v>
      </c>
      <c r="C8" s="88" t="s">
        <v>11</v>
      </c>
      <c r="D8" s="88" t="s">
        <v>12</v>
      </c>
      <c r="E8" s="88" t="s">
        <v>13</v>
      </c>
      <c r="F8" s="88" t="s">
        <v>14</v>
      </c>
      <c r="G8" s="88" t="s">
        <v>15</v>
      </c>
      <c r="H8" s="88" t="s">
        <v>16</v>
      </c>
      <c r="I8" s="89" t="s">
        <v>42</v>
      </c>
      <c r="J8" s="89" t="s">
        <v>109</v>
      </c>
      <c r="K8" s="88" t="s">
        <v>110</v>
      </c>
      <c r="L8" s="8"/>
    </row>
    <row r="9" spans="2:12" ht="18.75" customHeight="1">
      <c r="B9" s="90"/>
      <c r="C9" s="91" t="s">
        <v>9</v>
      </c>
      <c r="D9" s="92" t="s">
        <v>10</v>
      </c>
      <c r="E9" s="92" t="s">
        <v>10</v>
      </c>
      <c r="F9" s="91" t="s">
        <v>64</v>
      </c>
      <c r="G9" s="92" t="s">
        <v>10</v>
      </c>
      <c r="H9" s="92" t="s">
        <v>10</v>
      </c>
      <c r="I9" s="92" t="s">
        <v>43</v>
      </c>
      <c r="J9" s="91" t="s">
        <v>64</v>
      </c>
      <c r="K9" s="91" t="s">
        <v>64</v>
      </c>
      <c r="L9" s="8"/>
    </row>
    <row r="10" spans="3:11" ht="12.75"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8</v>
      </c>
      <c r="I10" s="2" t="s">
        <v>44</v>
      </c>
      <c r="J10" s="2" t="s">
        <v>45</v>
      </c>
      <c r="K10" s="2" t="s">
        <v>54</v>
      </c>
    </row>
    <row r="11" ht="6" customHeight="1"/>
    <row r="12" spans="2:12" ht="15.75">
      <c r="B12" s="170" t="str">
        <f>C52</f>
        <v>CCCT (Wet "F" 2x1)  - East Side Resource (4500')</v>
      </c>
      <c r="C12" s="8"/>
      <c r="E12" s="8"/>
      <c r="F12" s="8"/>
      <c r="G12" s="8"/>
      <c r="H12" s="8"/>
      <c r="I12" s="54"/>
      <c r="J12" s="54"/>
      <c r="K12" s="54"/>
      <c r="L12" s="8"/>
    </row>
    <row r="13" spans="2:11" ht="4.5" customHeight="1">
      <c r="B13" s="104"/>
      <c r="C13" s="149"/>
      <c r="D13" s="150"/>
      <c r="E13" s="10"/>
      <c r="F13" s="10"/>
      <c r="G13" s="48"/>
      <c r="H13" s="48"/>
      <c r="I13" s="48"/>
      <c r="J13" s="48"/>
      <c r="K13" s="48"/>
    </row>
    <row r="14" spans="2:11" ht="12.75">
      <c r="B14" s="104">
        <v>2009</v>
      </c>
      <c r="C14" s="149">
        <f>$H$58</f>
        <v>1168</v>
      </c>
      <c r="D14" s="150">
        <f>ROUND(C14*$C$74,2)</f>
        <v>96.43</v>
      </c>
      <c r="E14" s="10">
        <f>$I$58</f>
        <v>7.43</v>
      </c>
      <c r="F14" s="10">
        <f>$J$63</f>
        <v>8.86</v>
      </c>
      <c r="G14" s="48">
        <f>ROUND(F14*(8.76*$G$63)+E14,2)</f>
        <v>46.62</v>
      </c>
      <c r="H14" s="48">
        <f>ROUND(D14+G14,2)</f>
        <v>143.05</v>
      </c>
      <c r="I14" s="48"/>
      <c r="J14" s="48"/>
      <c r="K14" s="48"/>
    </row>
    <row r="15" spans="2:11" ht="12.75">
      <c r="B15" s="104">
        <f aca="true" t="shared" si="0" ref="B15:B29">B14+1</f>
        <v>2010</v>
      </c>
      <c r="C15" s="151"/>
      <c r="D15" s="150">
        <f>ROUND(D14*(1+$D82),2)</f>
        <v>97.59</v>
      </c>
      <c r="E15" s="150">
        <f aca="true" t="shared" si="1" ref="E15:F22">ROUND(E14*(1+$D82),2)</f>
        <v>7.52</v>
      </c>
      <c r="F15" s="150">
        <f t="shared" si="1"/>
        <v>8.97</v>
      </c>
      <c r="G15" s="152">
        <f aca="true" t="shared" si="2" ref="G15:G40">ROUND(F15*(8.76*$G$63)+E15,2)</f>
        <v>47.2</v>
      </c>
      <c r="H15" s="152">
        <f aca="true" t="shared" si="3" ref="H15:H29">ROUND(D15+G15,2)</f>
        <v>144.79</v>
      </c>
      <c r="I15" s="48"/>
      <c r="J15" s="48"/>
      <c r="K15" s="48"/>
    </row>
    <row r="16" spans="2:11" ht="12.75">
      <c r="B16" s="104">
        <f t="shared" si="0"/>
        <v>2011</v>
      </c>
      <c r="C16" s="151"/>
      <c r="D16" s="150">
        <f aca="true" t="shared" si="4" ref="D16:D22">ROUND(D15*(1+$D83),2)</f>
        <v>99.15</v>
      </c>
      <c r="E16" s="150">
        <f t="shared" si="1"/>
        <v>7.64</v>
      </c>
      <c r="F16" s="150">
        <f t="shared" si="1"/>
        <v>9.11</v>
      </c>
      <c r="G16" s="48">
        <f t="shared" si="2"/>
        <v>47.94</v>
      </c>
      <c r="H16" s="48">
        <f t="shared" si="3"/>
        <v>147.09</v>
      </c>
      <c r="I16" s="48"/>
      <c r="J16" s="48"/>
      <c r="K16" s="48"/>
    </row>
    <row r="17" spans="2:11" ht="12.75">
      <c r="B17" s="104">
        <f t="shared" si="0"/>
        <v>2012</v>
      </c>
      <c r="C17" s="151"/>
      <c r="D17" s="152">
        <f t="shared" si="4"/>
        <v>101.03</v>
      </c>
      <c r="E17" s="152">
        <f t="shared" si="1"/>
        <v>7.79</v>
      </c>
      <c r="F17" s="152">
        <f t="shared" si="1"/>
        <v>9.28</v>
      </c>
      <c r="G17" s="48">
        <f t="shared" si="2"/>
        <v>48.84</v>
      </c>
      <c r="H17" s="48">
        <f t="shared" si="3"/>
        <v>149.87</v>
      </c>
      <c r="I17" s="48"/>
      <c r="J17" s="48"/>
      <c r="K17" s="48"/>
    </row>
    <row r="18" spans="2:11" ht="12.75">
      <c r="B18" s="104">
        <f>B17+1</f>
        <v>2013</v>
      </c>
      <c r="C18" s="151"/>
      <c r="D18" s="152">
        <f t="shared" si="4"/>
        <v>103.15</v>
      </c>
      <c r="E18" s="152">
        <f t="shared" si="1"/>
        <v>7.95</v>
      </c>
      <c r="F18" s="152">
        <f t="shared" si="1"/>
        <v>9.47</v>
      </c>
      <c r="G18" s="48">
        <f t="shared" si="2"/>
        <v>49.84</v>
      </c>
      <c r="H18" s="48">
        <f t="shared" si="3"/>
        <v>152.99</v>
      </c>
      <c r="I18" s="48"/>
      <c r="J18" s="48"/>
      <c r="K18" s="48"/>
    </row>
    <row r="19" spans="2:11" ht="13.5" thickBot="1">
      <c r="B19" s="153">
        <f t="shared" si="0"/>
        <v>2014</v>
      </c>
      <c r="C19" s="154"/>
      <c r="D19" s="155">
        <f t="shared" si="4"/>
        <v>105.32</v>
      </c>
      <c r="E19" s="155">
        <f t="shared" si="1"/>
        <v>8.12</v>
      </c>
      <c r="F19" s="155">
        <f t="shared" si="1"/>
        <v>9.67</v>
      </c>
      <c r="G19" s="156">
        <f t="shared" si="2"/>
        <v>50.9</v>
      </c>
      <c r="H19" s="156">
        <f t="shared" si="3"/>
        <v>156.22</v>
      </c>
      <c r="I19" s="156"/>
      <c r="J19" s="156"/>
      <c r="K19" s="156"/>
    </row>
    <row r="20" spans="2:11" ht="12.75">
      <c r="B20" s="104">
        <f t="shared" si="0"/>
        <v>2015</v>
      </c>
      <c r="C20" s="151"/>
      <c r="D20" s="150">
        <f t="shared" si="4"/>
        <v>107.43</v>
      </c>
      <c r="E20" s="150">
        <f t="shared" si="1"/>
        <v>8.28</v>
      </c>
      <c r="F20" s="150">
        <f t="shared" si="1"/>
        <v>9.86</v>
      </c>
      <c r="G20" s="48">
        <f t="shared" si="2"/>
        <v>51.9</v>
      </c>
      <c r="H20" s="48">
        <f t="shared" si="3"/>
        <v>159.33</v>
      </c>
      <c r="I20" s="48">
        <f>VLOOKUP(B20,'Table 5'!$B$12:$C$40,2,FALSE)</f>
        <v>5.93</v>
      </c>
      <c r="J20" s="48">
        <f aca="true" t="shared" si="5" ref="J20:J35">ROUND($K$63*I20/1000,2)</f>
        <v>42.46</v>
      </c>
      <c r="K20" s="48">
        <f aca="true" t="shared" si="6" ref="K20:K29">ROUND(H20*1000/8760/$G$63+J20,2)</f>
        <v>78.48</v>
      </c>
    </row>
    <row r="21" spans="2:11" ht="12.75">
      <c r="B21" s="104">
        <f t="shared" si="0"/>
        <v>2016</v>
      </c>
      <c r="C21" s="151"/>
      <c r="D21" s="48">
        <f t="shared" si="4"/>
        <v>109.58</v>
      </c>
      <c r="E21" s="150">
        <f t="shared" si="1"/>
        <v>8.45</v>
      </c>
      <c r="F21" s="150">
        <f t="shared" si="1"/>
        <v>10.06</v>
      </c>
      <c r="G21" s="48">
        <f t="shared" si="2"/>
        <v>52.95</v>
      </c>
      <c r="H21" s="48">
        <f t="shared" si="3"/>
        <v>162.53</v>
      </c>
      <c r="I21" s="48">
        <f>VLOOKUP(B21,'Table 5'!$B$12:$C$40,2,FALSE)</f>
        <v>6.34</v>
      </c>
      <c r="J21" s="48">
        <f t="shared" si="5"/>
        <v>45.39</v>
      </c>
      <c r="K21" s="48">
        <f t="shared" si="6"/>
        <v>82.13</v>
      </c>
    </row>
    <row r="22" spans="2:11" ht="12.75">
      <c r="B22" s="104">
        <f t="shared" si="0"/>
        <v>2017</v>
      </c>
      <c r="C22" s="151"/>
      <c r="D22" s="48">
        <f t="shared" si="4"/>
        <v>111.77</v>
      </c>
      <c r="E22" s="150">
        <f t="shared" si="1"/>
        <v>8.62</v>
      </c>
      <c r="F22" s="150">
        <f t="shared" si="1"/>
        <v>10.26</v>
      </c>
      <c r="G22" s="48">
        <f t="shared" si="2"/>
        <v>54.01</v>
      </c>
      <c r="H22" s="48">
        <f t="shared" si="3"/>
        <v>165.78</v>
      </c>
      <c r="I22" s="48">
        <f>VLOOKUP(B22,'Table 5'!$B$12:$C$40,2,FALSE)</f>
        <v>6.75</v>
      </c>
      <c r="J22" s="48">
        <f t="shared" si="5"/>
        <v>48.33</v>
      </c>
      <c r="K22" s="48">
        <f t="shared" si="6"/>
        <v>85.8</v>
      </c>
    </row>
    <row r="23" spans="2:11" ht="12.75">
      <c r="B23" s="104">
        <f t="shared" si="0"/>
        <v>2018</v>
      </c>
      <c r="C23" s="151"/>
      <c r="D23" s="48">
        <f aca="true" t="shared" si="7" ref="D23:D31">ROUND(D22*(1+$G81),2)</f>
        <v>114.01</v>
      </c>
      <c r="E23" s="150">
        <f aca="true" t="shared" si="8" ref="E23:E31">ROUND(E22*(1+$G81),2)</f>
        <v>8.79</v>
      </c>
      <c r="F23" s="150">
        <f aca="true" t="shared" si="9" ref="F23:F31">ROUND(F22*(1+$G81),2)</f>
        <v>10.47</v>
      </c>
      <c r="G23" s="48">
        <f t="shared" si="2"/>
        <v>55.11</v>
      </c>
      <c r="H23" s="48">
        <f t="shared" si="3"/>
        <v>169.12</v>
      </c>
      <c r="I23" s="48">
        <f>VLOOKUP(B23,'Table 5'!$B$12:$C$40,2,FALSE)</f>
        <v>6.94</v>
      </c>
      <c r="J23" s="48">
        <f t="shared" si="5"/>
        <v>49.69</v>
      </c>
      <c r="K23" s="48">
        <f t="shared" si="6"/>
        <v>87.92</v>
      </c>
    </row>
    <row r="24" spans="2:11" ht="12.75">
      <c r="B24" s="104">
        <f t="shared" si="0"/>
        <v>2019</v>
      </c>
      <c r="C24" s="151"/>
      <c r="D24" s="48">
        <f t="shared" si="7"/>
        <v>116.18</v>
      </c>
      <c r="E24" s="150">
        <f t="shared" si="8"/>
        <v>8.96</v>
      </c>
      <c r="F24" s="150">
        <f t="shared" si="9"/>
        <v>10.67</v>
      </c>
      <c r="G24" s="48">
        <f t="shared" si="2"/>
        <v>56.16</v>
      </c>
      <c r="H24" s="48">
        <f t="shared" si="3"/>
        <v>172.34</v>
      </c>
      <c r="I24" s="48">
        <f>VLOOKUP(B24,'Table 5'!$B$12:$C$40,2,FALSE)</f>
        <v>7.31</v>
      </c>
      <c r="J24" s="48">
        <f t="shared" si="5"/>
        <v>52.34</v>
      </c>
      <c r="K24" s="48">
        <f t="shared" si="6"/>
        <v>91.3</v>
      </c>
    </row>
    <row r="25" spans="2:11" ht="12.75">
      <c r="B25" s="104">
        <f t="shared" si="0"/>
        <v>2020</v>
      </c>
      <c r="C25" s="151"/>
      <c r="D25" s="48">
        <f t="shared" si="7"/>
        <v>118.39</v>
      </c>
      <c r="E25" s="150">
        <f t="shared" si="8"/>
        <v>9.13</v>
      </c>
      <c r="F25" s="150">
        <f t="shared" si="9"/>
        <v>10.87</v>
      </c>
      <c r="G25" s="48">
        <f t="shared" si="2"/>
        <v>57.22</v>
      </c>
      <c r="H25" s="48">
        <f t="shared" si="3"/>
        <v>175.61</v>
      </c>
      <c r="I25" s="48">
        <f>VLOOKUP(B25,'Table 5'!$B$12:$C$40,2,FALSE)</f>
        <v>7.79</v>
      </c>
      <c r="J25" s="48">
        <f t="shared" si="5"/>
        <v>55.78</v>
      </c>
      <c r="K25" s="48">
        <f t="shared" si="6"/>
        <v>95.48</v>
      </c>
    </row>
    <row r="26" spans="2:11" ht="12.75">
      <c r="B26" s="104">
        <f t="shared" si="0"/>
        <v>2021</v>
      </c>
      <c r="C26" s="151"/>
      <c r="D26" s="48">
        <f t="shared" si="7"/>
        <v>120.52</v>
      </c>
      <c r="E26" s="150">
        <f t="shared" si="8"/>
        <v>9.29</v>
      </c>
      <c r="F26" s="150">
        <f t="shared" si="9"/>
        <v>11.07</v>
      </c>
      <c r="G26" s="48">
        <f t="shared" si="2"/>
        <v>58.26</v>
      </c>
      <c r="H26" s="48">
        <f t="shared" si="3"/>
        <v>178.78</v>
      </c>
      <c r="I26" s="48">
        <f>VLOOKUP(B26,'Table 5'!$B$12:$C$40,2,FALSE)</f>
        <v>8.41</v>
      </c>
      <c r="J26" s="48">
        <f t="shared" si="5"/>
        <v>60.22</v>
      </c>
      <c r="K26" s="48">
        <f t="shared" si="6"/>
        <v>100.63</v>
      </c>
    </row>
    <row r="27" spans="2:11" ht="12.75">
      <c r="B27" s="104">
        <f t="shared" si="0"/>
        <v>2022</v>
      </c>
      <c r="C27" s="151"/>
      <c r="D27" s="48">
        <f t="shared" si="7"/>
        <v>122.69</v>
      </c>
      <c r="E27" s="150">
        <f t="shared" si="8"/>
        <v>9.46</v>
      </c>
      <c r="F27" s="150">
        <f t="shared" si="9"/>
        <v>11.27</v>
      </c>
      <c r="G27" s="48">
        <f t="shared" si="2"/>
        <v>59.32</v>
      </c>
      <c r="H27" s="48">
        <f t="shared" si="3"/>
        <v>182.01</v>
      </c>
      <c r="I27" s="48">
        <f>VLOOKUP(B27,'Table 5'!$B$12:$C$40,2,FALSE)</f>
        <v>9.07</v>
      </c>
      <c r="J27" s="48">
        <f t="shared" si="5"/>
        <v>64.94</v>
      </c>
      <c r="K27" s="48">
        <f t="shared" si="6"/>
        <v>106.08</v>
      </c>
    </row>
    <row r="28" spans="2:11" ht="12.75">
      <c r="B28" s="104">
        <f t="shared" si="0"/>
        <v>2023</v>
      </c>
      <c r="C28" s="151"/>
      <c r="D28" s="48">
        <f t="shared" si="7"/>
        <v>124.9</v>
      </c>
      <c r="E28" s="150">
        <f t="shared" si="8"/>
        <v>9.63</v>
      </c>
      <c r="F28" s="150">
        <f t="shared" si="9"/>
        <v>11.47</v>
      </c>
      <c r="G28" s="48">
        <f t="shared" si="2"/>
        <v>60.37</v>
      </c>
      <c r="H28" s="48">
        <f t="shared" si="3"/>
        <v>185.27</v>
      </c>
      <c r="I28" s="48">
        <f>VLOOKUP(B28,'Table 5'!$B$12:$C$40,2,FALSE)</f>
        <v>9.02</v>
      </c>
      <c r="J28" s="48">
        <f t="shared" si="5"/>
        <v>64.58</v>
      </c>
      <c r="K28" s="48">
        <f t="shared" si="6"/>
        <v>106.46</v>
      </c>
    </row>
    <row r="29" spans="2:11" ht="12.75">
      <c r="B29" s="104">
        <f t="shared" si="0"/>
        <v>2024</v>
      </c>
      <c r="C29" s="151"/>
      <c r="D29" s="48">
        <f t="shared" si="7"/>
        <v>127.15</v>
      </c>
      <c r="E29" s="150">
        <f t="shared" si="8"/>
        <v>9.8</v>
      </c>
      <c r="F29" s="150">
        <f t="shared" si="9"/>
        <v>11.68</v>
      </c>
      <c r="G29" s="48">
        <f t="shared" si="2"/>
        <v>61.47</v>
      </c>
      <c r="H29" s="48">
        <f t="shared" si="3"/>
        <v>188.62</v>
      </c>
      <c r="I29" s="48">
        <f>VLOOKUP(B29,'Table 5'!$B$12:$C$40,2,FALSE)</f>
        <v>8.02</v>
      </c>
      <c r="J29" s="48">
        <f t="shared" si="5"/>
        <v>57.42</v>
      </c>
      <c r="K29" s="48">
        <f t="shared" si="6"/>
        <v>100.06</v>
      </c>
    </row>
    <row r="30" spans="2:11" ht="12.75">
      <c r="B30" s="104">
        <f aca="true" t="shared" si="10" ref="B30:B40">B29+1</f>
        <v>2025</v>
      </c>
      <c r="C30" s="151"/>
      <c r="D30" s="48">
        <f t="shared" si="7"/>
        <v>129.44</v>
      </c>
      <c r="E30" s="150">
        <f t="shared" si="8"/>
        <v>9.98</v>
      </c>
      <c r="F30" s="150">
        <f t="shared" si="9"/>
        <v>11.89</v>
      </c>
      <c r="G30" s="48">
        <f t="shared" si="2"/>
        <v>62.58</v>
      </c>
      <c r="H30" s="48">
        <f aca="true" t="shared" si="11" ref="H30:H35">ROUND(D30+G30,2)</f>
        <v>192.02</v>
      </c>
      <c r="I30" s="48">
        <f>VLOOKUP(B30,'Table 5'!$B$12:$C$40,2,FALSE)</f>
        <v>8.31</v>
      </c>
      <c r="J30" s="48">
        <f t="shared" si="5"/>
        <v>59.5</v>
      </c>
      <c r="K30" s="48">
        <f aca="true" t="shared" si="12" ref="K30:K35">ROUND(H30*1000/8760/$G$63+J30,2)</f>
        <v>102.91</v>
      </c>
    </row>
    <row r="31" spans="2:11" ht="12.75">
      <c r="B31" s="104">
        <f t="shared" si="10"/>
        <v>2026</v>
      </c>
      <c r="C31" s="151"/>
      <c r="D31" s="48">
        <f t="shared" si="7"/>
        <v>131.77</v>
      </c>
      <c r="E31" s="150">
        <f t="shared" si="8"/>
        <v>10.16</v>
      </c>
      <c r="F31" s="150">
        <f t="shared" si="9"/>
        <v>12.1</v>
      </c>
      <c r="G31" s="48">
        <f t="shared" si="2"/>
        <v>63.69</v>
      </c>
      <c r="H31" s="48">
        <f t="shared" si="11"/>
        <v>195.46</v>
      </c>
      <c r="I31" s="48">
        <f>VLOOKUP(B31,'Table 5'!$B$12:$C$40,2,FALSE)</f>
        <v>8.85</v>
      </c>
      <c r="J31" s="48">
        <f t="shared" si="5"/>
        <v>63.37</v>
      </c>
      <c r="K31" s="48">
        <f t="shared" si="12"/>
        <v>107.55</v>
      </c>
    </row>
    <row r="32" spans="2:11" ht="12.75">
      <c r="B32" s="104">
        <f t="shared" si="10"/>
        <v>2027</v>
      </c>
      <c r="C32" s="151"/>
      <c r="D32" s="48">
        <f aca="true" t="shared" si="13" ref="D32:D40">ROUND(D31*(1+$J81),2)</f>
        <v>134.14</v>
      </c>
      <c r="E32" s="150">
        <f aca="true" t="shared" si="14" ref="E32:E40">ROUND(E31*(1+$J81),2)</f>
        <v>10.34</v>
      </c>
      <c r="F32" s="150">
        <f aca="true" t="shared" si="15" ref="F32:F40">ROUND(F31*(1+$J81),2)</f>
        <v>12.32</v>
      </c>
      <c r="G32" s="48">
        <f t="shared" si="2"/>
        <v>64.84</v>
      </c>
      <c r="H32" s="48">
        <f t="shared" si="11"/>
        <v>198.98</v>
      </c>
      <c r="I32" s="48">
        <f>VLOOKUP(B32,'Table 5'!$B$12:$C$40,2,FALSE)</f>
        <v>9.08</v>
      </c>
      <c r="J32" s="48">
        <f t="shared" si="5"/>
        <v>65.01</v>
      </c>
      <c r="K32" s="48">
        <f t="shared" si="12"/>
        <v>109.99</v>
      </c>
    </row>
    <row r="33" spans="2:11" ht="12.75">
      <c r="B33" s="104">
        <f t="shared" si="10"/>
        <v>2028</v>
      </c>
      <c r="C33" s="151"/>
      <c r="D33" s="48">
        <f t="shared" si="13"/>
        <v>136.55</v>
      </c>
      <c r="E33" s="150">
        <f t="shared" si="14"/>
        <v>10.53</v>
      </c>
      <c r="F33" s="150">
        <f t="shared" si="15"/>
        <v>12.54</v>
      </c>
      <c r="G33" s="48">
        <f t="shared" si="2"/>
        <v>66</v>
      </c>
      <c r="H33" s="48">
        <f t="shared" si="11"/>
        <v>202.55</v>
      </c>
      <c r="I33" s="48">
        <f>VLOOKUP(B33,'Table 5'!$B$12:$C$40,2,FALSE)</f>
        <v>9.42</v>
      </c>
      <c r="J33" s="48">
        <f t="shared" si="5"/>
        <v>67.45</v>
      </c>
      <c r="K33" s="48">
        <f t="shared" si="12"/>
        <v>113.24</v>
      </c>
    </row>
    <row r="34" spans="2:11" ht="12.75">
      <c r="B34" s="104">
        <f t="shared" si="10"/>
        <v>2029</v>
      </c>
      <c r="C34" s="151"/>
      <c r="D34" s="48">
        <f t="shared" si="13"/>
        <v>139.01</v>
      </c>
      <c r="E34" s="150">
        <f t="shared" si="14"/>
        <v>10.72</v>
      </c>
      <c r="F34" s="150">
        <f t="shared" si="15"/>
        <v>12.77</v>
      </c>
      <c r="G34" s="48">
        <f t="shared" si="2"/>
        <v>67.21</v>
      </c>
      <c r="H34" s="48">
        <f t="shared" si="11"/>
        <v>206.22</v>
      </c>
      <c r="I34" s="48">
        <f>VLOOKUP(B34,'Table 5'!$B$12:$C$40,2,FALSE)</f>
        <v>9.74</v>
      </c>
      <c r="J34" s="48">
        <f t="shared" si="5"/>
        <v>69.74</v>
      </c>
      <c r="K34" s="48">
        <f t="shared" si="12"/>
        <v>116.36</v>
      </c>
    </row>
    <row r="35" spans="2:11" ht="12.75">
      <c r="B35" s="104">
        <f t="shared" si="10"/>
        <v>2030</v>
      </c>
      <c r="C35" s="151"/>
      <c r="D35" s="48">
        <f t="shared" si="13"/>
        <v>141.51</v>
      </c>
      <c r="E35" s="150">
        <f t="shared" si="14"/>
        <v>10.91</v>
      </c>
      <c r="F35" s="150">
        <f t="shared" si="15"/>
        <v>13</v>
      </c>
      <c r="G35" s="48">
        <f t="shared" si="2"/>
        <v>68.42</v>
      </c>
      <c r="H35" s="48">
        <f t="shared" si="11"/>
        <v>209.93</v>
      </c>
      <c r="I35" s="48">
        <f>VLOOKUP(B35,'Table 5'!$B$12:$C$40,2,FALSE)</f>
        <v>10.37</v>
      </c>
      <c r="J35" s="48">
        <f t="shared" si="5"/>
        <v>74.25</v>
      </c>
      <c r="K35" s="48">
        <f t="shared" si="12"/>
        <v>121.7</v>
      </c>
    </row>
    <row r="36" spans="2:11" ht="12.75">
      <c r="B36" s="104">
        <f t="shared" si="10"/>
        <v>2031</v>
      </c>
      <c r="C36" s="151"/>
      <c r="D36" s="48">
        <f t="shared" si="13"/>
        <v>144.2</v>
      </c>
      <c r="E36" s="150">
        <f t="shared" si="14"/>
        <v>11.12</v>
      </c>
      <c r="F36" s="150">
        <f t="shared" si="15"/>
        <v>13.25</v>
      </c>
      <c r="G36" s="48">
        <f t="shared" si="2"/>
        <v>69.74</v>
      </c>
      <c r="H36" s="48">
        <f>ROUND(D36+G36,2)</f>
        <v>213.94</v>
      </c>
      <c r="I36" s="48">
        <f>VLOOKUP(B36,'Table 5'!$B$12:$C$40,2,FALSE)</f>
        <v>10.56</v>
      </c>
      <c r="J36" s="48">
        <f>ROUND($K$63*I36/1000,2)</f>
        <v>75.61</v>
      </c>
      <c r="K36" s="48">
        <f>ROUND(H36*1000/8760/$G$63+J36,2)</f>
        <v>123.97</v>
      </c>
    </row>
    <row r="37" spans="2:11" ht="12.75">
      <c r="B37" s="104">
        <f t="shared" si="10"/>
        <v>2032</v>
      </c>
      <c r="C37" s="151"/>
      <c r="D37" s="48">
        <f t="shared" si="13"/>
        <v>146.94</v>
      </c>
      <c r="E37" s="150">
        <f t="shared" si="14"/>
        <v>11.33</v>
      </c>
      <c r="F37" s="150">
        <f t="shared" si="15"/>
        <v>13.5</v>
      </c>
      <c r="G37" s="48">
        <f t="shared" si="2"/>
        <v>71.05</v>
      </c>
      <c r="H37" s="48">
        <f>ROUND(D37+G37,2)</f>
        <v>217.99</v>
      </c>
      <c r="I37" s="48">
        <f>VLOOKUP(B37,'Table 5'!$B$12:$C$40,2,FALSE)</f>
        <v>10.77</v>
      </c>
      <c r="J37" s="48">
        <f>ROUND($K$63*I37/1000,2)</f>
        <v>77.11</v>
      </c>
      <c r="K37" s="48">
        <f>ROUND(H37*1000/8760/$G$63+J37,2)</f>
        <v>126.39</v>
      </c>
    </row>
    <row r="38" spans="2:11" ht="12.75">
      <c r="B38" s="104">
        <f t="shared" si="10"/>
        <v>2033</v>
      </c>
      <c r="C38" s="151"/>
      <c r="D38" s="48">
        <f t="shared" si="13"/>
        <v>149.73</v>
      </c>
      <c r="E38" s="150">
        <f t="shared" si="14"/>
        <v>11.55</v>
      </c>
      <c r="F38" s="150">
        <f t="shared" si="15"/>
        <v>13.76</v>
      </c>
      <c r="G38" s="48">
        <f t="shared" si="2"/>
        <v>72.42</v>
      </c>
      <c r="H38" s="48">
        <f>ROUND(D38+G38,2)</f>
        <v>222.15</v>
      </c>
      <c r="I38" s="48">
        <f>VLOOKUP(B38,'Table 5'!$B$12:$C$40,2,FALSE)</f>
        <v>10.97</v>
      </c>
      <c r="J38" s="48">
        <f>ROUND($K$63*I38/1000,2)</f>
        <v>78.55</v>
      </c>
      <c r="K38" s="48">
        <f>ROUND(H38*1000/8760/$G$63+J38,2)</f>
        <v>128.77</v>
      </c>
    </row>
    <row r="39" spans="2:11" ht="12.75">
      <c r="B39" s="104">
        <f t="shared" si="10"/>
        <v>2034</v>
      </c>
      <c r="C39" s="151"/>
      <c r="D39" s="48">
        <f t="shared" si="13"/>
        <v>152.57</v>
      </c>
      <c r="E39" s="150">
        <f t="shared" si="14"/>
        <v>11.77</v>
      </c>
      <c r="F39" s="150">
        <f t="shared" si="15"/>
        <v>14.02</v>
      </c>
      <c r="G39" s="48">
        <f t="shared" si="2"/>
        <v>73.79</v>
      </c>
      <c r="H39" s="48">
        <f>ROUND(D39+G39,2)</f>
        <v>226.36</v>
      </c>
      <c r="I39" s="48">
        <f>VLOOKUP(B39,'Table 5'!$B$12:$C$40,2,FALSE)</f>
        <v>11.18</v>
      </c>
      <c r="J39" s="48">
        <f>ROUND($K$63*I39/1000,2)</f>
        <v>80.05</v>
      </c>
      <c r="K39" s="48">
        <f>ROUND(H39*1000/8760/$G$63+J39,2)</f>
        <v>131.22</v>
      </c>
    </row>
    <row r="40" spans="2:11" ht="12.75">
      <c r="B40" s="104">
        <f t="shared" si="10"/>
        <v>2035</v>
      </c>
      <c r="C40" s="151"/>
      <c r="D40" s="48">
        <f t="shared" si="13"/>
        <v>155.47</v>
      </c>
      <c r="E40" s="150">
        <f t="shared" si="14"/>
        <v>11.99</v>
      </c>
      <c r="F40" s="150">
        <f t="shared" si="15"/>
        <v>14.29</v>
      </c>
      <c r="G40" s="48">
        <f t="shared" si="2"/>
        <v>75.21</v>
      </c>
      <c r="H40" s="48">
        <f>ROUND(D40+G40,2)</f>
        <v>230.68</v>
      </c>
      <c r="I40" s="48">
        <f>VLOOKUP(B40,'Table 5'!$B$12:$C$40,2,FALSE)</f>
        <v>11.39</v>
      </c>
      <c r="J40" s="48">
        <f>ROUND($K$63*I40/1000,2)</f>
        <v>81.55</v>
      </c>
      <c r="K40" s="48">
        <f>ROUND(H40*1000/8760/$G$63+J40,2)</f>
        <v>133.7</v>
      </c>
    </row>
    <row r="41" spans="13:15" ht="12.75">
      <c r="M41" s="104"/>
      <c r="O41" s="157"/>
    </row>
    <row r="42" spans="2:15" ht="14.25">
      <c r="B42" s="7" t="s">
        <v>55</v>
      </c>
      <c r="C42" s="93"/>
      <c r="D42" s="93"/>
      <c r="E42" s="93"/>
      <c r="F42" s="93"/>
      <c r="G42" s="93"/>
      <c r="H42" s="93"/>
      <c r="I42" s="93"/>
      <c r="J42" s="93"/>
      <c r="K42" s="93"/>
      <c r="M42" s="104"/>
      <c r="N42" s="157"/>
      <c r="O42" s="157"/>
    </row>
    <row r="44" spans="2:4" ht="12.75">
      <c r="B44" s="6" t="s">
        <v>31</v>
      </c>
      <c r="D44" s="169" t="s">
        <v>100</v>
      </c>
    </row>
    <row r="45" spans="3:4" ht="12.75">
      <c r="C45" s="9" t="str">
        <f>D10</f>
        <v>(b)</v>
      </c>
      <c r="D45" s="48" t="str">
        <f>"= "&amp;C10&amp;" x "&amp;C74</f>
        <v>= (a) x 0.08256</v>
      </c>
    </row>
    <row r="46" spans="3:4" ht="12.75">
      <c r="C46" s="9" t="str">
        <f>G10</f>
        <v>(e)</v>
      </c>
      <c r="D46" s="48" t="str">
        <f>"= "&amp;$F$10&amp;" x  (8.76 x "&amp;TEXT(G63,"0.0%")&amp;") + "&amp;$E$10</f>
        <v>= (d) x  (8.76 x 50.5%) + (c)</v>
      </c>
    </row>
    <row r="47" spans="3:4" ht="12.75">
      <c r="C47" s="9" t="str">
        <f>H10</f>
        <v>(f)</v>
      </c>
      <c r="D47" s="48" t="str">
        <f>"= "&amp;D10&amp;" + "&amp;G10</f>
        <v>= (b) + (e)</v>
      </c>
    </row>
    <row r="48" spans="3:4" ht="12.75">
      <c r="C48" s="9" t="str">
        <f>I10</f>
        <v>(g)</v>
      </c>
      <c r="D48" s="142" t="str">
        <f>'Table 5'!B3&amp;" - "&amp;'Table 5'!B4</f>
        <v>Table 5 - Burnertip Natural Gas Price Forecast</v>
      </c>
    </row>
    <row r="49" spans="3:4" ht="12.75">
      <c r="C49" s="9" t="str">
        <f>J10</f>
        <v>(h)</v>
      </c>
      <c r="D49" s="48" t="str">
        <f>"= "&amp;K63&amp;" x "&amp;I10&amp;" / 1000"</f>
        <v>= 7160 x (g) / 1000</v>
      </c>
    </row>
    <row r="50" spans="3:4" ht="12.75">
      <c r="C50" s="9" t="str">
        <f>K10</f>
        <v>(i)</v>
      </c>
      <c r="D50" s="94" t="str">
        <f>"= "&amp;H10&amp;" / (8.76 x 'Capacity Factor' ) + "&amp;J10</f>
        <v>= (f) / (8.76 x 'Capacity Factor' ) + (h)</v>
      </c>
    </row>
    <row r="51" ht="13.5" thickBot="1"/>
    <row r="52" spans="3:11" ht="13.5" thickBot="1">
      <c r="C52" s="167" t="s">
        <v>91</v>
      </c>
      <c r="D52" s="159"/>
      <c r="E52" s="159"/>
      <c r="F52" s="159"/>
      <c r="G52" s="159"/>
      <c r="H52" s="159"/>
      <c r="I52" s="159"/>
      <c r="J52" s="160"/>
      <c r="K52" s="161"/>
    </row>
    <row r="53" ht="5.25" customHeight="1"/>
    <row r="54" ht="5.25" customHeight="1"/>
    <row r="55" spans="3:9" ht="12.75">
      <c r="C55" s="129" t="s">
        <v>66</v>
      </c>
      <c r="D55" s="103"/>
      <c r="E55" s="129"/>
      <c r="F55" s="127" t="s">
        <v>67</v>
      </c>
      <c r="G55" s="127" t="s">
        <v>68</v>
      </c>
      <c r="H55" s="127" t="s">
        <v>69</v>
      </c>
      <c r="I55" s="127" t="s">
        <v>70</v>
      </c>
    </row>
    <row r="56" spans="3:9" ht="12.75">
      <c r="C56" s="6" t="s">
        <v>88</v>
      </c>
      <c r="F56" s="138">
        <f>C67</f>
        <v>524</v>
      </c>
      <c r="G56" s="108">
        <f>F56/F58</f>
        <v>0.8632619439868204</v>
      </c>
      <c r="H56" s="105">
        <f>C68</f>
        <v>1253</v>
      </c>
      <c r="I56" s="106">
        <f>C69</f>
        <v>8.271962181745954</v>
      </c>
    </row>
    <row r="57" spans="3:9" ht="12.75">
      <c r="C57" s="6" t="s">
        <v>89</v>
      </c>
      <c r="F57" s="139">
        <f>D67</f>
        <v>83</v>
      </c>
      <c r="G57" s="132">
        <f>1-G56</f>
        <v>0.13673805601317957</v>
      </c>
      <c r="H57" s="140">
        <f>D68</f>
        <v>632</v>
      </c>
      <c r="I57" s="141">
        <f>D69</f>
        <v>2.0955454525552297</v>
      </c>
    </row>
    <row r="58" spans="3:9" ht="12.75">
      <c r="C58" s="6" t="s">
        <v>71</v>
      </c>
      <c r="F58" s="138">
        <f>F56+F57</f>
        <v>607</v>
      </c>
      <c r="G58" s="108">
        <f>G56+G57</f>
        <v>1</v>
      </c>
      <c r="H58" s="105">
        <f>ROUND(((F56*H56)+(F57*H57))/F58,0)</f>
        <v>1168</v>
      </c>
      <c r="I58" s="106">
        <f>ROUND(((F56*I56)+(F57*I57))/F58,2)</f>
        <v>7.43</v>
      </c>
    </row>
    <row r="59" spans="6:9" ht="12.75">
      <c r="F59" s="138"/>
      <c r="G59" s="108"/>
      <c r="H59" s="105"/>
      <c r="I59" s="106"/>
    </row>
    <row r="60" spans="3:11" ht="12.75">
      <c r="C60" s="129" t="s">
        <v>66</v>
      </c>
      <c r="D60" s="103"/>
      <c r="E60" s="129"/>
      <c r="F60" s="127" t="s">
        <v>67</v>
      </c>
      <c r="G60" s="127" t="s">
        <v>72</v>
      </c>
      <c r="H60" s="127" t="s">
        <v>73</v>
      </c>
      <c r="I60" s="127" t="s">
        <v>68</v>
      </c>
      <c r="J60" s="127" t="s">
        <v>74</v>
      </c>
      <c r="K60" s="127" t="s">
        <v>75</v>
      </c>
    </row>
    <row r="61" spans="3:11" ht="12.75">
      <c r="C61" s="53" t="s">
        <v>88</v>
      </c>
      <c r="D61" s="53"/>
      <c r="E61" s="53"/>
      <c r="F61" s="6">
        <f>C67</f>
        <v>524</v>
      </c>
      <c r="G61" s="108">
        <f>C75</f>
        <v>0.56</v>
      </c>
      <c r="H61" s="6">
        <f>G61*F61</f>
        <v>293.44000000000005</v>
      </c>
      <c r="I61" s="108">
        <f>H61/H63</f>
        <v>0.9567031820552948</v>
      </c>
      <c r="J61" s="106">
        <f>C71</f>
        <v>8.92</v>
      </c>
      <c r="K61" s="130">
        <f>C73</f>
        <v>7098</v>
      </c>
    </row>
    <row r="62" spans="3:11" ht="12.75">
      <c r="C62" s="53" t="s">
        <v>89</v>
      </c>
      <c r="D62" s="53"/>
      <c r="E62" s="53"/>
      <c r="F62" s="131">
        <f>D67</f>
        <v>83</v>
      </c>
      <c r="G62" s="132">
        <f>D75</f>
        <v>0.16</v>
      </c>
      <c r="H62" s="131">
        <f>G62*F62</f>
        <v>13.280000000000001</v>
      </c>
      <c r="I62" s="132">
        <f>1-I61</f>
        <v>0.04329681794470519</v>
      </c>
      <c r="J62" s="133">
        <f>D71</f>
        <v>7.6</v>
      </c>
      <c r="K62" s="134">
        <f>D73</f>
        <v>8557</v>
      </c>
    </row>
    <row r="63" spans="3:11" ht="12.75">
      <c r="C63" s="6" t="s">
        <v>76</v>
      </c>
      <c r="F63" s="6">
        <f>F61+F62</f>
        <v>607</v>
      </c>
      <c r="G63" s="128">
        <f>ROUND(H63/F63,3)</f>
        <v>0.505</v>
      </c>
      <c r="H63" s="6">
        <f>SUM(H61:H62)</f>
        <v>306.72</v>
      </c>
      <c r="I63" s="108">
        <f>I61+I62</f>
        <v>1</v>
      </c>
      <c r="J63" s="106">
        <f>ROUND(($I61*J61)+($I62*J62),2)</f>
        <v>8.86</v>
      </c>
      <c r="K63" s="28">
        <f>ROUND(($I61*K61)+($I62*K62),-1)</f>
        <v>7160</v>
      </c>
    </row>
    <row r="64" spans="7:11" ht="12.75">
      <c r="G64" s="128"/>
      <c r="I64" s="108"/>
      <c r="J64" s="106"/>
      <c r="K64" s="135" t="s">
        <v>77</v>
      </c>
    </row>
    <row r="66" spans="3:11" ht="12.75">
      <c r="C66" s="127" t="s">
        <v>58</v>
      </c>
      <c r="D66" s="127" t="s">
        <v>59</v>
      </c>
      <c r="E66" s="168" t="str">
        <f>D44</f>
        <v>Plant Costs 2008 IRP Update - [Modeled in PAR]</v>
      </c>
      <c r="F66" s="136"/>
      <c r="G66" s="136"/>
      <c r="H66" s="136"/>
      <c r="I66" s="136"/>
      <c r="J66" s="136"/>
      <c r="K66" s="57"/>
    </row>
    <row r="67" spans="3:8" ht="12.75">
      <c r="C67" s="6">
        <v>524</v>
      </c>
      <c r="D67" s="6">
        <v>83</v>
      </c>
      <c r="E67" s="6" t="s">
        <v>81</v>
      </c>
      <c r="H67" s="95"/>
    </row>
    <row r="68" spans="3:5" ht="12.75">
      <c r="C68" s="105">
        <v>1253</v>
      </c>
      <c r="D68" s="105">
        <v>632</v>
      </c>
      <c r="E68" s="6" t="s">
        <v>86</v>
      </c>
    </row>
    <row r="69" spans="3:5" ht="12.75">
      <c r="C69" s="106">
        <v>8.271962181745954</v>
      </c>
      <c r="D69" s="106">
        <v>2.0955454525552297</v>
      </c>
      <c r="E69" s="6" t="s">
        <v>82</v>
      </c>
    </row>
    <row r="71" spans="3:5" ht="12.75">
      <c r="C71" s="162">
        <v>8.92</v>
      </c>
      <c r="D71" s="162">
        <v>7.6</v>
      </c>
      <c r="E71" s="180" t="s">
        <v>94</v>
      </c>
    </row>
    <row r="72" spans="3:5" ht="12.75">
      <c r="C72" s="166">
        <f>ROUND(5.96*(1+$D$81),2)</f>
        <v>5.98</v>
      </c>
      <c r="D72" s="166">
        <f>ROUND(7.18*(1+$D$81),2)</f>
        <v>7.21</v>
      </c>
      <c r="E72" s="180" t="s">
        <v>95</v>
      </c>
    </row>
    <row r="73" spans="3:5" ht="12.75">
      <c r="C73" s="28">
        <v>7098</v>
      </c>
      <c r="D73" s="28">
        <v>8557</v>
      </c>
      <c r="E73" s="6" t="s">
        <v>83</v>
      </c>
    </row>
    <row r="74" spans="3:5" ht="12.75">
      <c r="C74" s="163">
        <v>0.08256</v>
      </c>
      <c r="D74" s="163">
        <f>C74</f>
        <v>0.08256</v>
      </c>
      <c r="E74" s="6" t="s">
        <v>84</v>
      </c>
    </row>
    <row r="75" spans="3:5" ht="12.75">
      <c r="C75" s="137">
        <v>0.56</v>
      </c>
      <c r="D75" s="137">
        <v>0.16</v>
      </c>
      <c r="E75" s="6" t="s">
        <v>85</v>
      </c>
    </row>
    <row r="76" spans="4:5" ht="12.75">
      <c r="D76" s="108">
        <f>ROUND(H63/F63,3)</f>
        <v>0.505</v>
      </c>
      <c r="E76" s="6" t="s">
        <v>87</v>
      </c>
    </row>
    <row r="77" spans="4:5" ht="12.75">
      <c r="D77" s="128">
        <f>MIN(1,ROUND(D76/0.57,3))</f>
        <v>0.886</v>
      </c>
      <c r="E77" s="45" t="str">
        <f>"  Capacity Factor - On-peak     "&amp;TEXT(D76,"0.0%")&amp;" / 57% (percent of hours on-peak) "</f>
        <v>  Capacity Factor - On-peak     50.5% / 57% (percent of hours on-peak) </v>
      </c>
    </row>
    <row r="78" spans="3:4" ht="12.75">
      <c r="C78" s="137"/>
      <c r="D78" s="137"/>
    </row>
    <row r="79" ht="13.5" thickBot="1"/>
    <row r="80" spans="3:11" ht="13.5" thickBot="1">
      <c r="C80" s="158" t="s">
        <v>119</v>
      </c>
      <c r="D80" s="159"/>
      <c r="E80" s="159"/>
      <c r="F80" s="159"/>
      <c r="G80" s="159"/>
      <c r="H80" s="159"/>
      <c r="I80" s="159"/>
      <c r="J80" s="160"/>
      <c r="K80" s="161"/>
    </row>
    <row r="81" spans="3:10" ht="12.75">
      <c r="C81" s="164">
        <v>2009</v>
      </c>
      <c r="D81" s="165">
        <v>0.004</v>
      </c>
      <c r="F81" s="164">
        <f>C89+1</f>
        <v>2018</v>
      </c>
      <c r="G81" s="165">
        <v>0.02</v>
      </c>
      <c r="I81" s="164">
        <f>F89+1</f>
        <v>2027</v>
      </c>
      <c r="J81" s="165">
        <v>0.018</v>
      </c>
    </row>
    <row r="82" spans="3:10" ht="12.75">
      <c r="C82" s="164">
        <f>C81+1</f>
        <v>2010</v>
      </c>
      <c r="D82" s="165">
        <v>0.012</v>
      </c>
      <c r="F82" s="164">
        <f aca="true" t="shared" si="16" ref="F82:F89">F81+1</f>
        <v>2019</v>
      </c>
      <c r="G82" s="165">
        <v>0.019</v>
      </c>
      <c r="I82" s="164">
        <f aca="true" t="shared" si="17" ref="I82:I89">I81+1</f>
        <v>2028</v>
      </c>
      <c r="J82" s="165">
        <v>0.018</v>
      </c>
    </row>
    <row r="83" spans="3:10" ht="12.75">
      <c r="C83" s="164">
        <f aca="true" t="shared" si="18" ref="C83:C89">C82+1</f>
        <v>2011</v>
      </c>
      <c r="D83" s="165">
        <v>0.016</v>
      </c>
      <c r="F83" s="164">
        <f t="shared" si="16"/>
        <v>2020</v>
      </c>
      <c r="G83" s="165">
        <v>0.019</v>
      </c>
      <c r="I83" s="164">
        <f t="shared" si="17"/>
        <v>2029</v>
      </c>
      <c r="J83" s="165">
        <v>0.018</v>
      </c>
    </row>
    <row r="84" spans="3:10" ht="12.75">
      <c r="C84" s="164">
        <f t="shared" si="18"/>
        <v>2012</v>
      </c>
      <c r="D84" s="165">
        <v>0.019</v>
      </c>
      <c r="F84" s="164">
        <f t="shared" si="16"/>
        <v>2021</v>
      </c>
      <c r="G84" s="165">
        <v>0.018</v>
      </c>
      <c r="I84" s="164">
        <f t="shared" si="17"/>
        <v>2030</v>
      </c>
      <c r="J84" s="165">
        <v>0.018</v>
      </c>
    </row>
    <row r="85" spans="3:10" ht="12.75">
      <c r="C85" s="164">
        <f t="shared" si="18"/>
        <v>2013</v>
      </c>
      <c r="D85" s="165">
        <v>0.021</v>
      </c>
      <c r="F85" s="164">
        <f t="shared" si="16"/>
        <v>2022</v>
      </c>
      <c r="G85" s="165">
        <v>0.018</v>
      </c>
      <c r="I85" s="164">
        <f t="shared" si="17"/>
        <v>2031</v>
      </c>
      <c r="J85" s="165">
        <v>0.019</v>
      </c>
    </row>
    <row r="86" spans="3:10" ht="12.75">
      <c r="C86" s="164">
        <f t="shared" si="18"/>
        <v>2014</v>
      </c>
      <c r="D86" s="165">
        <v>0.021</v>
      </c>
      <c r="F86" s="164">
        <f t="shared" si="16"/>
        <v>2023</v>
      </c>
      <c r="G86" s="165">
        <v>0.018</v>
      </c>
      <c r="I86" s="164">
        <f t="shared" si="17"/>
        <v>2032</v>
      </c>
      <c r="J86" s="165">
        <v>0.019</v>
      </c>
    </row>
    <row r="87" spans="3:15" s="8" customFormat="1" ht="12.75">
      <c r="C87" s="164">
        <f t="shared" si="18"/>
        <v>2015</v>
      </c>
      <c r="D87" s="165">
        <v>0.02</v>
      </c>
      <c r="F87" s="164">
        <f t="shared" si="16"/>
        <v>2024</v>
      </c>
      <c r="G87" s="165">
        <v>0.018</v>
      </c>
      <c r="I87" s="164">
        <f t="shared" si="17"/>
        <v>2033</v>
      </c>
      <c r="J87" s="165">
        <v>0.019</v>
      </c>
      <c r="N87" s="6"/>
      <c r="O87" s="6"/>
    </row>
    <row r="88" spans="3:15" s="8" customFormat="1" ht="12.75">
      <c r="C88" s="164">
        <f t="shared" si="18"/>
        <v>2016</v>
      </c>
      <c r="D88" s="165">
        <v>0.02</v>
      </c>
      <c r="F88" s="164">
        <f t="shared" si="16"/>
        <v>2025</v>
      </c>
      <c r="G88" s="165">
        <v>0.018</v>
      </c>
      <c r="I88" s="164">
        <f t="shared" si="17"/>
        <v>2034</v>
      </c>
      <c r="J88" s="165">
        <v>0.019</v>
      </c>
      <c r="N88" s="6"/>
      <c r="O88" s="6"/>
    </row>
    <row r="89" spans="3:15" s="8" customFormat="1" ht="12.75">
      <c r="C89" s="164">
        <f t="shared" si="18"/>
        <v>2017</v>
      </c>
      <c r="D89" s="165">
        <v>0.02</v>
      </c>
      <c r="F89" s="164">
        <f t="shared" si="16"/>
        <v>2026</v>
      </c>
      <c r="G89" s="165">
        <v>0.018</v>
      </c>
      <c r="I89" s="164">
        <f t="shared" si="17"/>
        <v>2035</v>
      </c>
      <c r="J89" s="165">
        <v>0.019</v>
      </c>
      <c r="N89" s="6"/>
      <c r="O89" s="6"/>
    </row>
    <row r="90" spans="14:15" s="8" customFormat="1" ht="12.75">
      <c r="N90" s="6"/>
      <c r="O90" s="6"/>
    </row>
    <row r="91" spans="14:15" s="8" customFormat="1" ht="12.75">
      <c r="N91" s="6"/>
      <c r="O91" s="6"/>
    </row>
  </sheetData>
  <sheetProtection/>
  <printOptions horizontalCentered="1"/>
  <pageMargins left="0.8" right="0.3" top="0.4" bottom="0.4" header="0.5" footer="0.2"/>
  <pageSetup fitToHeight="0" fitToWidth="1" horizontalDpi="600" verticalDpi="600" orientation="portrait" scale="92" r:id="rId1"/>
  <headerFooter alignWithMargins="0">
    <oddFooter>&amp;L&amp;8NPC    &amp;F   ( &amp;A )&amp;C &amp;R &amp;8&amp;D  &amp;T</oddFooter>
  </headerFooter>
  <rowBreaks count="1" manualBreakCount="1">
    <brk id="51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9.33203125" style="6" customWidth="1"/>
    <col min="2" max="2" width="24" style="6" customWidth="1"/>
    <col min="3" max="3" width="30.83203125" style="6" customWidth="1"/>
    <col min="4" max="6" width="9.33203125" style="6" customWidth="1"/>
    <col min="7" max="7" width="15" style="175" hidden="1" customWidth="1"/>
    <col min="8" max="8" width="9.33203125" style="115" hidden="1" customWidth="1"/>
    <col min="9" max="10" width="9.33203125" style="6" hidden="1" customWidth="1"/>
    <col min="11" max="11" width="11.5" style="6" hidden="1" customWidth="1"/>
    <col min="12" max="16384" width="9.33203125" style="6" customWidth="1"/>
  </cols>
  <sheetData>
    <row r="1" spans="2:7" ht="15.75">
      <c r="B1" s="1" t="s">
        <v>78</v>
      </c>
      <c r="C1" s="1"/>
      <c r="G1" s="109"/>
    </row>
    <row r="2" spans="2:7" ht="15.75">
      <c r="B2" s="1"/>
      <c r="C2" s="1"/>
      <c r="G2" s="109"/>
    </row>
    <row r="3" spans="2:7" ht="15.75">
      <c r="B3" s="1" t="str">
        <f>"Table "&amp;RIGHT('Table 4'!B3,1)+1</f>
        <v>Table 5</v>
      </c>
      <c r="C3" s="1"/>
      <c r="G3" s="109"/>
    </row>
    <row r="4" spans="2:7" ht="15.75">
      <c r="B4" s="1" t="s">
        <v>62</v>
      </c>
      <c r="C4" s="1"/>
      <c r="G4" s="120" t="s">
        <v>61</v>
      </c>
    </row>
    <row r="5" spans="2:7" ht="15.75">
      <c r="B5" s="1" t="str">
        <f>'Table 1'!$B$5</f>
        <v>Utah 2010.Q2 Compliance Filing - 100 MW and 85% Capacity Factor</v>
      </c>
      <c r="C5" s="1"/>
      <c r="G5" s="121">
        <v>40359</v>
      </c>
    </row>
    <row r="6" spans="2:7" ht="12.75">
      <c r="B6" s="47"/>
      <c r="C6" s="47"/>
      <c r="G6" s="109"/>
    </row>
    <row r="7" spans="2:7" ht="14.25">
      <c r="B7" s="96"/>
      <c r="C7" s="107" t="s">
        <v>56</v>
      </c>
      <c r="G7" s="109"/>
    </row>
    <row r="8" spans="2:7" ht="12.75">
      <c r="B8" s="97"/>
      <c r="C8" s="87" t="s">
        <v>57</v>
      </c>
      <c r="G8" s="109"/>
    </row>
    <row r="9" spans="2:7" ht="12.75">
      <c r="B9" s="97" t="s">
        <v>0</v>
      </c>
      <c r="C9" s="97" t="s">
        <v>80</v>
      </c>
      <c r="G9" s="109"/>
    </row>
    <row r="10" spans="2:8" ht="12.75">
      <c r="B10" s="98"/>
      <c r="C10" s="99" t="s">
        <v>42</v>
      </c>
      <c r="G10" s="110"/>
      <c r="H10" s="116"/>
    </row>
    <row r="11" spans="3:8" ht="12.75">
      <c r="C11" s="49"/>
      <c r="G11" s="110"/>
      <c r="H11" s="116"/>
    </row>
    <row r="12" spans="3:8" ht="12.75">
      <c r="C12" s="100"/>
      <c r="G12" s="110"/>
      <c r="H12" s="116"/>
    </row>
    <row r="13" spans="7:8" ht="6" customHeight="1">
      <c r="G13" s="111"/>
      <c r="H13" s="117"/>
    </row>
    <row r="14" spans="2:8" ht="12.75">
      <c r="B14" s="101">
        <v>2014</v>
      </c>
      <c r="C14" s="102">
        <f aca="true" t="shared" si="0" ref="C14:C30">ROUND(SUMIF($I$17:$I$346,B14,$H$17:$H$346)/COUNTIF($I$17:$I$346,B14),2)</f>
        <v>5.66</v>
      </c>
      <c r="G14" s="112"/>
      <c r="H14" s="118"/>
    </row>
    <row r="15" spans="2:8" ht="13.5" thickBot="1">
      <c r="B15" s="101">
        <f aca="true" t="shared" si="1" ref="B15:B25">B14+1</f>
        <v>2015</v>
      </c>
      <c r="C15" s="102">
        <f t="shared" si="0"/>
        <v>5.93</v>
      </c>
      <c r="G15" s="113"/>
      <c r="H15" s="119" t="s">
        <v>101</v>
      </c>
    </row>
    <row r="16" spans="2:11" ht="13.5" thickBot="1">
      <c r="B16" s="101">
        <f t="shared" si="1"/>
        <v>2016</v>
      </c>
      <c r="C16" s="102">
        <f t="shared" si="0"/>
        <v>6.34</v>
      </c>
      <c r="G16" s="113" t="s">
        <v>60</v>
      </c>
      <c r="H16" s="119" t="s">
        <v>57</v>
      </c>
      <c r="I16" s="9" t="s">
        <v>0</v>
      </c>
      <c r="K16" s="148" t="s">
        <v>79</v>
      </c>
    </row>
    <row r="17" spans="2:11" ht="13.5" thickBot="1">
      <c r="B17" s="101">
        <f t="shared" si="1"/>
        <v>2017</v>
      </c>
      <c r="C17" s="102">
        <f t="shared" si="0"/>
        <v>6.75</v>
      </c>
      <c r="G17" s="114">
        <v>41640</v>
      </c>
      <c r="H17" s="122">
        <v>6.162221901044307</v>
      </c>
      <c r="I17" s="123">
        <f>YEAR(G17)</f>
        <v>2014</v>
      </c>
      <c r="K17" s="147">
        <v>39</v>
      </c>
    </row>
    <row r="18" spans="2:9" ht="12.75">
      <c r="B18" s="101">
        <f t="shared" si="1"/>
        <v>2018</v>
      </c>
      <c r="C18" s="102">
        <f t="shared" si="0"/>
        <v>6.94</v>
      </c>
      <c r="G18" s="114">
        <v>41671</v>
      </c>
      <c r="H18" s="122">
        <v>6.094775840008111</v>
      </c>
      <c r="I18" s="123">
        <f aca="true" t="shared" si="2" ref="I18:I81">YEAR(G18)</f>
        <v>2014</v>
      </c>
    </row>
    <row r="19" spans="2:9" ht="12.75">
      <c r="B19" s="101">
        <f t="shared" si="1"/>
        <v>2019</v>
      </c>
      <c r="C19" s="102">
        <f t="shared" si="0"/>
        <v>7.31</v>
      </c>
      <c r="G19" s="114">
        <v>41699</v>
      </c>
      <c r="H19" s="122">
        <v>5.929544896076245</v>
      </c>
      <c r="I19" s="123">
        <f t="shared" si="2"/>
        <v>2014</v>
      </c>
    </row>
    <row r="20" spans="2:9" ht="12.75">
      <c r="B20" s="101">
        <f t="shared" si="1"/>
        <v>2020</v>
      </c>
      <c r="C20" s="102">
        <f t="shared" si="0"/>
        <v>7.79</v>
      </c>
      <c r="G20" s="114">
        <v>41730</v>
      </c>
      <c r="H20" s="122">
        <v>5.293328734664909</v>
      </c>
      <c r="I20" s="123">
        <f t="shared" si="2"/>
        <v>2014</v>
      </c>
    </row>
    <row r="21" spans="2:9" ht="12.75">
      <c r="B21" s="101">
        <f t="shared" si="1"/>
        <v>2021</v>
      </c>
      <c r="C21" s="102">
        <f t="shared" si="0"/>
        <v>8.41</v>
      </c>
      <c r="G21" s="114">
        <v>41760</v>
      </c>
      <c r="H21" s="122">
        <v>5.262912025752813</v>
      </c>
      <c r="I21" s="123">
        <f t="shared" si="2"/>
        <v>2014</v>
      </c>
    </row>
    <row r="22" spans="2:9" ht="12.75">
      <c r="B22" s="101">
        <f t="shared" si="1"/>
        <v>2022</v>
      </c>
      <c r="C22" s="102">
        <f t="shared" si="0"/>
        <v>9.07</v>
      </c>
      <c r="G22" s="114">
        <v>41791</v>
      </c>
      <c r="H22" s="122">
        <v>5.305495418229748</v>
      </c>
      <c r="I22" s="123">
        <f t="shared" si="2"/>
        <v>2014</v>
      </c>
    </row>
    <row r="23" spans="2:9" ht="12.75">
      <c r="B23" s="101">
        <f t="shared" si="1"/>
        <v>2023</v>
      </c>
      <c r="C23" s="102">
        <f t="shared" si="0"/>
        <v>9.02</v>
      </c>
      <c r="G23" s="114">
        <v>41821</v>
      </c>
      <c r="H23" s="122">
        <v>5.3643010554598</v>
      </c>
      <c r="I23" s="123">
        <f t="shared" si="2"/>
        <v>2014</v>
      </c>
    </row>
    <row r="24" spans="2:9" ht="12.75">
      <c r="B24" s="101">
        <f t="shared" si="1"/>
        <v>2024</v>
      </c>
      <c r="C24" s="102">
        <f t="shared" si="0"/>
        <v>8.02</v>
      </c>
      <c r="G24" s="114">
        <v>41852</v>
      </c>
      <c r="H24" s="122">
        <v>5.412967789719152</v>
      </c>
      <c r="I24" s="123">
        <f t="shared" si="2"/>
        <v>2014</v>
      </c>
    </row>
    <row r="25" spans="2:9" ht="12.75">
      <c r="B25" s="101">
        <f t="shared" si="1"/>
        <v>2025</v>
      </c>
      <c r="C25" s="102">
        <f t="shared" si="0"/>
        <v>8.31</v>
      </c>
      <c r="G25" s="114">
        <v>41883</v>
      </c>
      <c r="H25" s="122">
        <v>5.443384498631248</v>
      </c>
      <c r="I25" s="123">
        <f t="shared" si="2"/>
        <v>2014</v>
      </c>
    </row>
    <row r="26" spans="2:9" ht="12.75">
      <c r="B26" s="101">
        <f>B25+1</f>
        <v>2026</v>
      </c>
      <c r="C26" s="102">
        <f t="shared" si="0"/>
        <v>8.85</v>
      </c>
      <c r="G26" s="114">
        <v>41913</v>
      </c>
      <c r="H26" s="122">
        <v>5.422913435060327</v>
      </c>
      <c r="I26" s="123">
        <f t="shared" si="2"/>
        <v>2014</v>
      </c>
    </row>
    <row r="27" spans="2:9" ht="12.75">
      <c r="B27" s="101">
        <f>B26+1</f>
        <v>2027</v>
      </c>
      <c r="C27" s="102">
        <f t="shared" si="0"/>
        <v>9.08</v>
      </c>
      <c r="G27" s="114">
        <v>41944</v>
      </c>
      <c r="H27" s="122">
        <v>6.001829647166177</v>
      </c>
      <c r="I27" s="123">
        <f t="shared" si="2"/>
        <v>2014</v>
      </c>
    </row>
    <row r="28" spans="2:9" ht="12.75">
      <c r="B28" s="101">
        <f>B27+1</f>
        <v>2028</v>
      </c>
      <c r="C28" s="102">
        <f t="shared" si="0"/>
        <v>9.42</v>
      </c>
      <c r="G28" s="114">
        <v>41974</v>
      </c>
      <c r="H28" s="122">
        <v>6.260371672918991</v>
      </c>
      <c r="I28" s="123">
        <f t="shared" si="2"/>
        <v>2014</v>
      </c>
    </row>
    <row r="29" spans="2:9" ht="12.75">
      <c r="B29" s="101">
        <f>B28+1</f>
        <v>2029</v>
      </c>
      <c r="C29" s="102">
        <f t="shared" si="0"/>
        <v>9.74</v>
      </c>
      <c r="G29" s="114">
        <v>42005</v>
      </c>
      <c r="H29" s="122">
        <v>6.433944500659029</v>
      </c>
      <c r="I29" s="123">
        <f t="shared" si="2"/>
        <v>2015</v>
      </c>
    </row>
    <row r="30" spans="2:9" ht="12.75">
      <c r="B30" s="101">
        <f>B29+1</f>
        <v>2030</v>
      </c>
      <c r="C30" s="102">
        <f t="shared" si="0"/>
        <v>10.37</v>
      </c>
      <c r="G30" s="114">
        <v>42036</v>
      </c>
      <c r="H30" s="122">
        <v>6.376637342593532</v>
      </c>
      <c r="I30" s="123">
        <f t="shared" si="2"/>
        <v>2015</v>
      </c>
    </row>
    <row r="31" spans="2:9" ht="12.75">
      <c r="B31" s="101">
        <f>B30+1</f>
        <v>2031</v>
      </c>
      <c r="C31" s="102">
        <f>ROUND(SUMIF($I$17:$I$346,B31,$H$17:$H$346)/COUNTIF($I$17:$I$346,B31),2)</f>
        <v>10.56</v>
      </c>
      <c r="G31" s="114">
        <v>42064</v>
      </c>
      <c r="H31" s="122">
        <v>6.17794801885836</v>
      </c>
      <c r="I31" s="123">
        <f t="shared" si="2"/>
        <v>2015</v>
      </c>
    </row>
    <row r="32" spans="2:9" ht="12.75">
      <c r="B32" s="101">
        <f>B31+1</f>
        <v>2032</v>
      </c>
      <c r="C32" s="102">
        <f>ROUND(SUMIF($I$17:$I$346,B32,$H$17:$H$346)/COUNTIF($I$17:$I$346,B32),2)</f>
        <v>10.77</v>
      </c>
      <c r="G32" s="114">
        <v>42095</v>
      </c>
      <c r="H32" s="122">
        <v>5.528044338436581</v>
      </c>
      <c r="I32" s="123">
        <f t="shared" si="2"/>
        <v>2015</v>
      </c>
    </row>
    <row r="33" spans="2:9" ht="12.75">
      <c r="B33" s="101">
        <f>B32+1</f>
        <v>2033</v>
      </c>
      <c r="C33" s="102">
        <f>ROUND(SUMIF($I$17:$I$346,B33,$H$17:$H$346)/COUNTIF($I$17:$I$346,B33),2)</f>
        <v>10.97</v>
      </c>
      <c r="G33" s="114">
        <v>42125</v>
      </c>
      <c r="H33" s="122">
        <v>5.4976276295244855</v>
      </c>
      <c r="I33" s="123">
        <f t="shared" si="2"/>
        <v>2015</v>
      </c>
    </row>
    <row r="34" spans="2:9" ht="12.75">
      <c r="B34" s="101">
        <f>B33+1</f>
        <v>2034</v>
      </c>
      <c r="C34" s="102">
        <f>ROUND(SUMIF($I$17:$I$346,B34,$H$17:$H$346)/COUNTIF($I$17:$I$346,B34),2)</f>
        <v>11.18</v>
      </c>
      <c r="G34" s="114">
        <v>42156</v>
      </c>
      <c r="H34" s="122">
        <v>5.556433266754538</v>
      </c>
      <c r="I34" s="123">
        <f t="shared" si="2"/>
        <v>2015</v>
      </c>
    </row>
    <row r="35" spans="2:9" ht="12.75">
      <c r="B35" s="101">
        <f>B34+1</f>
        <v>2035</v>
      </c>
      <c r="C35" s="102">
        <f>ROUND(SUMIF($I$17:$I$346,B35,$H$17:$H$346)/COUNTIF($I$17:$I$346,B35),2)</f>
        <v>11.39</v>
      </c>
      <c r="G35" s="114">
        <v>42186</v>
      </c>
      <c r="H35" s="122">
        <v>5.627405587549427</v>
      </c>
      <c r="I35" s="123">
        <f t="shared" si="2"/>
        <v>2015</v>
      </c>
    </row>
    <row r="36" spans="7:9" ht="12.75">
      <c r="G36" s="114">
        <v>42217</v>
      </c>
      <c r="H36" s="122">
        <v>5.691280676264828</v>
      </c>
      <c r="I36" s="123">
        <f t="shared" si="2"/>
        <v>2015</v>
      </c>
    </row>
    <row r="37" spans="7:9" ht="12.75">
      <c r="G37" s="114">
        <v>42248</v>
      </c>
      <c r="H37" s="122">
        <v>5.724739056068134</v>
      </c>
      <c r="I37" s="123">
        <f t="shared" si="2"/>
        <v>2015</v>
      </c>
    </row>
    <row r="38" spans="7:9" ht="12.75">
      <c r="G38" s="114">
        <v>42278</v>
      </c>
      <c r="H38" s="122">
        <v>5.714406895467911</v>
      </c>
      <c r="I38" s="123">
        <f t="shared" si="2"/>
        <v>2015</v>
      </c>
    </row>
    <row r="39" spans="7:9" ht="12.75">
      <c r="G39" s="114">
        <v>42309</v>
      </c>
      <c r="H39" s="122">
        <v>6.29839255905911</v>
      </c>
      <c r="I39" s="123">
        <f t="shared" si="2"/>
        <v>2015</v>
      </c>
    </row>
    <row r="40" spans="7:9" ht="12.75">
      <c r="G40" s="114">
        <v>42339</v>
      </c>
      <c r="H40" s="122">
        <v>6.562004036297274</v>
      </c>
      <c r="I40" s="123">
        <f t="shared" si="2"/>
        <v>2015</v>
      </c>
    </row>
    <row r="41" spans="7:9" ht="12.75">
      <c r="G41" s="114">
        <v>42370</v>
      </c>
      <c r="H41" s="122">
        <v>6.769136632870324</v>
      </c>
      <c r="I41" s="123">
        <f t="shared" si="2"/>
        <v>2016</v>
      </c>
    </row>
    <row r="42" spans="7:9" ht="12.75">
      <c r="G42" s="114">
        <v>42401</v>
      </c>
      <c r="H42" s="122">
        <v>6.711829474804826</v>
      </c>
      <c r="I42" s="123">
        <f t="shared" si="2"/>
        <v>2016</v>
      </c>
    </row>
    <row r="43" spans="7:9" ht="12.75">
      <c r="G43" s="114">
        <v>42430</v>
      </c>
      <c r="H43" s="122">
        <v>6.5131401510696545</v>
      </c>
      <c r="I43" s="123">
        <f t="shared" si="2"/>
        <v>2016</v>
      </c>
    </row>
    <row r="44" spans="7:9" ht="12.75">
      <c r="G44" s="114">
        <v>42461</v>
      </c>
      <c r="H44" s="122">
        <v>5.863236470647876</v>
      </c>
      <c r="I44" s="123">
        <f t="shared" si="2"/>
        <v>2016</v>
      </c>
    </row>
    <row r="45" spans="7:9" ht="12.75">
      <c r="G45" s="114">
        <v>42491</v>
      </c>
      <c r="H45" s="122">
        <v>5.83281976173578</v>
      </c>
      <c r="I45" s="123">
        <f t="shared" si="2"/>
        <v>2016</v>
      </c>
    </row>
    <row r="46" spans="7:9" ht="12.75">
      <c r="G46" s="114">
        <v>42522</v>
      </c>
      <c r="H46" s="122">
        <v>5.893653179559972</v>
      </c>
      <c r="I46" s="123">
        <f t="shared" si="2"/>
        <v>2016</v>
      </c>
    </row>
    <row r="47" spans="7:9" ht="12.75">
      <c r="G47" s="114">
        <v>42552</v>
      </c>
      <c r="H47" s="122">
        <v>5.969694951840212</v>
      </c>
      <c r="I47" s="123">
        <f t="shared" si="2"/>
        <v>2016</v>
      </c>
    </row>
    <row r="48" spans="7:9" ht="12.75">
      <c r="G48" s="114">
        <v>42583</v>
      </c>
      <c r="H48" s="122">
        <v>6.273478476122883</v>
      </c>
      <c r="I48" s="123">
        <f t="shared" si="2"/>
        <v>2016</v>
      </c>
    </row>
    <row r="49" spans="7:9" ht="12.75">
      <c r="G49" s="114">
        <v>42614</v>
      </c>
      <c r="H49" s="122">
        <v>6.3129714295853185</v>
      </c>
      <c r="I49" s="123">
        <f t="shared" si="2"/>
        <v>2016</v>
      </c>
    </row>
    <row r="50" spans="7:9" ht="12.75">
      <c r="G50" s="114">
        <v>42644</v>
      </c>
      <c r="H50" s="122">
        <v>6.343635700091251</v>
      </c>
      <c r="I50" s="123">
        <f t="shared" si="2"/>
        <v>2016</v>
      </c>
    </row>
    <row r="51" spans="7:9" ht="12.75">
      <c r="G51" s="114">
        <v>42675</v>
      </c>
      <c r="H51" s="122">
        <v>6.7236725550035485</v>
      </c>
      <c r="I51" s="123">
        <f t="shared" si="2"/>
        <v>2016</v>
      </c>
    </row>
    <row r="52" spans="7:9" ht="12.75">
      <c r="G52" s="114">
        <v>42705</v>
      </c>
      <c r="H52" s="122">
        <v>6.8841604998479164</v>
      </c>
      <c r="I52" s="123">
        <f t="shared" si="2"/>
        <v>2016</v>
      </c>
    </row>
    <row r="53" spans="7:9" ht="12.75">
      <c r="G53" s="114">
        <v>42736</v>
      </c>
      <c r="H53" s="122">
        <v>7.073153351921323</v>
      </c>
      <c r="I53" s="123">
        <f t="shared" si="2"/>
        <v>2017</v>
      </c>
    </row>
    <row r="54" spans="7:9" ht="12.75">
      <c r="G54" s="114">
        <v>42767</v>
      </c>
      <c r="H54" s="122">
        <v>7.055221657710636</v>
      </c>
      <c r="I54" s="123">
        <f t="shared" si="2"/>
        <v>2017</v>
      </c>
    </row>
    <row r="55" spans="7:9" ht="12.75">
      <c r="G55" s="114">
        <v>42795</v>
      </c>
      <c r="H55" s="122">
        <v>6.638104928520734</v>
      </c>
      <c r="I55" s="123">
        <f t="shared" si="2"/>
        <v>2017</v>
      </c>
    </row>
    <row r="56" spans="7:9" ht="12.75">
      <c r="G56" s="114">
        <v>42826</v>
      </c>
      <c r="H56" s="122">
        <v>6.255647025245869</v>
      </c>
      <c r="I56" s="123">
        <f t="shared" si="2"/>
        <v>2017</v>
      </c>
    </row>
    <row r="57" spans="7:9" ht="12.75">
      <c r="G57" s="114">
        <v>42856</v>
      </c>
      <c r="H57" s="122">
        <v>6.242713769644125</v>
      </c>
      <c r="I57" s="123">
        <f t="shared" si="2"/>
        <v>2017</v>
      </c>
    </row>
    <row r="58" spans="7:9" ht="12.75">
      <c r="G58" s="114">
        <v>42887</v>
      </c>
      <c r="H58" s="122">
        <v>6.291995093784853</v>
      </c>
      <c r="I58" s="123">
        <f t="shared" si="2"/>
        <v>2017</v>
      </c>
    </row>
    <row r="59" spans="7:9" ht="12.75">
      <c r="G59" s="114">
        <v>42917</v>
      </c>
      <c r="H59" s="122">
        <v>6.3607527435871445</v>
      </c>
      <c r="I59" s="123">
        <f t="shared" si="2"/>
        <v>2017</v>
      </c>
    </row>
    <row r="60" spans="7:9" ht="12.75">
      <c r="G60" s="114">
        <v>42948</v>
      </c>
      <c r="H60" s="122">
        <v>6.858268408192234</v>
      </c>
      <c r="I60" s="123">
        <f t="shared" si="2"/>
        <v>2017</v>
      </c>
    </row>
    <row r="61" spans="7:9" ht="12.75">
      <c r="G61" s="114">
        <v>42979</v>
      </c>
      <c r="H61" s="122">
        <v>6.898824020075028</v>
      </c>
      <c r="I61" s="123">
        <f t="shared" si="2"/>
        <v>2017</v>
      </c>
    </row>
    <row r="62" spans="7:9" ht="12.75">
      <c r="G62" s="114">
        <v>43009</v>
      </c>
      <c r="H62" s="122">
        <v>6.969796340869919</v>
      </c>
      <c r="I62" s="123">
        <f t="shared" si="2"/>
        <v>2017</v>
      </c>
    </row>
    <row r="63" spans="7:9" ht="12.75">
      <c r="G63" s="114">
        <v>43040</v>
      </c>
      <c r="H63" s="122">
        <v>7.152296594342492</v>
      </c>
      <c r="I63" s="123">
        <f t="shared" si="2"/>
        <v>2017</v>
      </c>
    </row>
    <row r="64" spans="7:9" ht="12.75">
      <c r="G64" s="114">
        <v>43070</v>
      </c>
      <c r="H64" s="122">
        <v>7.202991109195985</v>
      </c>
      <c r="I64" s="123">
        <f t="shared" si="2"/>
        <v>2017</v>
      </c>
    </row>
    <row r="65" spans="7:9" ht="12.75">
      <c r="G65" s="114">
        <v>43101</v>
      </c>
      <c r="H65" s="122">
        <v>7.375352459697861</v>
      </c>
      <c r="I65" s="123">
        <f t="shared" si="2"/>
        <v>2018</v>
      </c>
    </row>
    <row r="66" spans="7:9" ht="12.75">
      <c r="G66" s="114">
        <v>43132</v>
      </c>
      <c r="H66" s="122">
        <v>7.395630265639258</v>
      </c>
      <c r="I66" s="123">
        <f t="shared" si="2"/>
        <v>2018</v>
      </c>
    </row>
    <row r="67" spans="7:9" ht="12.75">
      <c r="G67" s="114">
        <v>43160</v>
      </c>
      <c r="H67" s="122">
        <v>6.767018281455947</v>
      </c>
      <c r="I67" s="123">
        <f t="shared" si="2"/>
        <v>2018</v>
      </c>
    </row>
    <row r="68" spans="7:9" ht="12.75">
      <c r="G68" s="114">
        <v>43191</v>
      </c>
      <c r="H68" s="122">
        <v>6.645351445807564</v>
      </c>
      <c r="I68" s="123">
        <f t="shared" si="2"/>
        <v>2018</v>
      </c>
    </row>
    <row r="69" spans="7:9" ht="12.75">
      <c r="G69" s="114">
        <v>43221</v>
      </c>
      <c r="H69" s="122">
        <v>6.655490348778262</v>
      </c>
      <c r="I69" s="123">
        <f t="shared" si="2"/>
        <v>2018</v>
      </c>
    </row>
    <row r="70" spans="7:9" ht="12.75">
      <c r="G70" s="114">
        <v>43252</v>
      </c>
      <c r="H70" s="122">
        <v>6.685907057690358</v>
      </c>
      <c r="I70" s="123">
        <f t="shared" si="2"/>
        <v>2018</v>
      </c>
    </row>
    <row r="71" spans="7:9" ht="12.75">
      <c r="G71" s="114">
        <v>43282</v>
      </c>
      <c r="H71" s="122">
        <v>6.756879378485248</v>
      </c>
      <c r="I71" s="123">
        <f t="shared" si="2"/>
        <v>2018</v>
      </c>
    </row>
    <row r="72" spans="7:9" ht="12.75">
      <c r="G72" s="114">
        <v>43313</v>
      </c>
      <c r="H72" s="122">
        <v>6.787296087397344</v>
      </c>
      <c r="I72" s="123">
        <f t="shared" si="2"/>
        <v>2018</v>
      </c>
    </row>
    <row r="73" spans="7:9" ht="12.75">
      <c r="G73" s="114">
        <v>43344</v>
      </c>
      <c r="H73" s="122">
        <v>6.837990602250837</v>
      </c>
      <c r="I73" s="123">
        <f t="shared" si="2"/>
        <v>2018</v>
      </c>
    </row>
    <row r="74" spans="7:9" ht="12.75">
      <c r="G74" s="114">
        <v>43374</v>
      </c>
      <c r="H74" s="122">
        <v>6.908962923045726</v>
      </c>
      <c r="I74" s="123">
        <f t="shared" si="2"/>
        <v>2018</v>
      </c>
    </row>
    <row r="75" spans="7:9" ht="12.75">
      <c r="G75" s="114">
        <v>43405</v>
      </c>
      <c r="H75" s="122">
        <v>7.213130012166684</v>
      </c>
      <c r="I75" s="123">
        <f t="shared" si="2"/>
        <v>2018</v>
      </c>
    </row>
    <row r="76" spans="7:9" ht="12.75">
      <c r="G76" s="114">
        <v>43435</v>
      </c>
      <c r="H76" s="122">
        <v>7.253685624049479</v>
      </c>
      <c r="I76" s="123">
        <f t="shared" si="2"/>
        <v>2018</v>
      </c>
    </row>
    <row r="77" spans="7:9" ht="12.75">
      <c r="G77" s="114">
        <v>43466</v>
      </c>
      <c r="H77" s="122">
        <v>7.4057691686099565</v>
      </c>
      <c r="I77" s="123">
        <f t="shared" si="2"/>
        <v>2019</v>
      </c>
    </row>
    <row r="78" spans="7:9" ht="12.75">
      <c r="G78" s="114">
        <v>43497</v>
      </c>
      <c r="H78" s="122">
        <v>7.446324780492751</v>
      </c>
      <c r="I78" s="123">
        <f t="shared" si="2"/>
        <v>2019</v>
      </c>
    </row>
    <row r="79" spans="7:9" ht="12.75">
      <c r="G79" s="114">
        <v>43525</v>
      </c>
      <c r="H79" s="122">
        <v>7.182713303254588</v>
      </c>
      <c r="I79" s="123">
        <f t="shared" si="2"/>
        <v>2019</v>
      </c>
    </row>
    <row r="80" spans="7:9" ht="12.75">
      <c r="G80" s="114">
        <v>43556</v>
      </c>
      <c r="H80" s="122">
        <v>7.101602079489</v>
      </c>
      <c r="I80" s="123">
        <f t="shared" si="2"/>
        <v>2019</v>
      </c>
    </row>
    <row r="81" spans="7:9" ht="12.75">
      <c r="G81" s="114">
        <v>43586</v>
      </c>
      <c r="H81" s="122">
        <v>7.132018788401096</v>
      </c>
      <c r="I81" s="123">
        <f t="shared" si="2"/>
        <v>2019</v>
      </c>
    </row>
    <row r="82" spans="7:9" ht="12.75">
      <c r="G82" s="114">
        <v>43617</v>
      </c>
      <c r="H82" s="122">
        <v>7.17257440028389</v>
      </c>
      <c r="I82" s="123">
        <f aca="true" t="shared" si="3" ref="I82:I128">YEAR(G82)</f>
        <v>2019</v>
      </c>
    </row>
    <row r="83" spans="7:9" ht="12.75">
      <c r="G83" s="114">
        <v>43647</v>
      </c>
      <c r="H83" s="122">
        <v>7.223268915137383</v>
      </c>
      <c r="I83" s="123">
        <f t="shared" si="3"/>
        <v>2019</v>
      </c>
    </row>
    <row r="84" spans="7:9" ht="12.75">
      <c r="G84" s="114">
        <v>43678</v>
      </c>
      <c r="H84" s="122">
        <v>7.253685624049479</v>
      </c>
      <c r="I84" s="123">
        <f t="shared" si="3"/>
        <v>2019</v>
      </c>
    </row>
    <row r="85" spans="7:9" ht="12.75">
      <c r="G85" s="114">
        <v>43709</v>
      </c>
      <c r="H85" s="122">
        <v>7.31451904187367</v>
      </c>
      <c r="I85" s="123">
        <f t="shared" si="3"/>
        <v>2019</v>
      </c>
    </row>
    <row r="86" spans="7:9" ht="12.75">
      <c r="G86" s="114">
        <v>43739</v>
      </c>
      <c r="H86" s="122">
        <v>7.3449357507857655</v>
      </c>
      <c r="I86" s="123">
        <f t="shared" si="3"/>
        <v>2019</v>
      </c>
    </row>
    <row r="87" spans="7:9" ht="12.75">
      <c r="G87" s="114">
        <v>43770</v>
      </c>
      <c r="H87" s="122">
        <v>7.567991616141134</v>
      </c>
      <c r="I87" s="123">
        <f t="shared" si="3"/>
        <v>2019</v>
      </c>
    </row>
    <row r="88" spans="7:9" ht="12.75">
      <c r="G88" s="114">
        <v>43800</v>
      </c>
      <c r="H88" s="122">
        <v>7.618686130994626</v>
      </c>
      <c r="I88" s="123">
        <f t="shared" si="3"/>
        <v>2019</v>
      </c>
    </row>
    <row r="89" spans="7:9" ht="12.75">
      <c r="G89" s="114">
        <v>43831</v>
      </c>
      <c r="H89" s="122">
        <v>7.791047481496502</v>
      </c>
      <c r="I89" s="123">
        <f t="shared" si="3"/>
        <v>2020</v>
      </c>
    </row>
    <row r="90" spans="7:9" ht="12.75">
      <c r="G90" s="114">
        <v>43862</v>
      </c>
      <c r="H90" s="122">
        <v>7.831603093379297</v>
      </c>
      <c r="I90" s="123">
        <f t="shared" si="3"/>
        <v>2020</v>
      </c>
    </row>
    <row r="91" spans="7:9" ht="12.75">
      <c r="G91" s="114">
        <v>43891</v>
      </c>
      <c r="H91" s="122">
        <v>7.659241742877421</v>
      </c>
      <c r="I91" s="123">
        <f t="shared" si="3"/>
        <v>2020</v>
      </c>
    </row>
    <row r="92" spans="7:9" ht="12.75">
      <c r="G92" s="114">
        <v>43922</v>
      </c>
      <c r="H92" s="122">
        <v>7.59840832505323</v>
      </c>
      <c r="I92" s="123">
        <f t="shared" si="3"/>
        <v>2020</v>
      </c>
    </row>
    <row r="93" spans="7:9" ht="12.75">
      <c r="G93" s="114">
        <v>43952</v>
      </c>
      <c r="H93" s="122">
        <v>7.618686130994626</v>
      </c>
      <c r="I93" s="123">
        <f t="shared" si="3"/>
        <v>2020</v>
      </c>
    </row>
    <row r="94" spans="7:9" ht="12.75">
      <c r="G94" s="114">
        <v>43983</v>
      </c>
      <c r="H94" s="122">
        <v>7.659241742877421</v>
      </c>
      <c r="I94" s="123">
        <f t="shared" si="3"/>
        <v>2020</v>
      </c>
    </row>
    <row r="95" spans="7:9" ht="12.75">
      <c r="G95" s="114">
        <v>44013</v>
      </c>
      <c r="H95" s="122">
        <v>7.699797354760215</v>
      </c>
      <c r="I95" s="123">
        <f t="shared" si="3"/>
        <v>2020</v>
      </c>
    </row>
    <row r="96" spans="7:9" ht="12.75">
      <c r="G96" s="114">
        <v>44044</v>
      </c>
      <c r="H96" s="122">
        <v>7.7504918696137075</v>
      </c>
      <c r="I96" s="123">
        <f t="shared" si="3"/>
        <v>2020</v>
      </c>
    </row>
    <row r="97" spans="7:9" ht="12.75">
      <c r="G97" s="114">
        <v>44075</v>
      </c>
      <c r="H97" s="122">
        <v>7.780908578525803</v>
      </c>
      <c r="I97" s="123">
        <f t="shared" si="3"/>
        <v>2020</v>
      </c>
    </row>
    <row r="98" spans="7:9" ht="12.75">
      <c r="G98" s="114">
        <v>44105</v>
      </c>
      <c r="H98" s="122">
        <v>7.851880899320694</v>
      </c>
      <c r="I98" s="123">
        <f t="shared" si="3"/>
        <v>2020</v>
      </c>
    </row>
    <row r="99" spans="7:9" ht="12.75">
      <c r="G99" s="114">
        <v>44136</v>
      </c>
      <c r="H99" s="122">
        <v>8.105353473588158</v>
      </c>
      <c r="I99" s="123">
        <f t="shared" si="3"/>
        <v>2020</v>
      </c>
    </row>
    <row r="100" spans="7:9" ht="12.75">
      <c r="G100" s="114">
        <v>44166</v>
      </c>
      <c r="H100" s="122">
        <v>8.176325794383049</v>
      </c>
      <c r="I100" s="123">
        <f t="shared" si="3"/>
        <v>2020</v>
      </c>
    </row>
    <row r="101" spans="7:9" ht="12.75">
      <c r="G101" s="114">
        <v>44197</v>
      </c>
      <c r="H101" s="122">
        <v>8.36896495082632</v>
      </c>
      <c r="I101" s="123">
        <f t="shared" si="3"/>
        <v>2021</v>
      </c>
    </row>
    <row r="102" spans="7:9" ht="12.75">
      <c r="G102" s="114">
        <v>44228</v>
      </c>
      <c r="H102" s="122">
        <v>8.429798368650513</v>
      </c>
      <c r="I102" s="123">
        <f t="shared" si="3"/>
        <v>2021</v>
      </c>
    </row>
    <row r="103" spans="7:9" ht="12.75">
      <c r="G103" s="114">
        <v>44256</v>
      </c>
      <c r="H103" s="122">
        <v>8.247298115177939</v>
      </c>
      <c r="I103" s="123">
        <f t="shared" si="3"/>
        <v>2021</v>
      </c>
    </row>
    <row r="104" spans="7:9" ht="12.75">
      <c r="G104" s="114">
        <v>44287</v>
      </c>
      <c r="H104" s="122">
        <v>8.176325794383049</v>
      </c>
      <c r="I104" s="123">
        <f t="shared" si="3"/>
        <v>2021</v>
      </c>
    </row>
    <row r="105" spans="7:9" ht="12.75">
      <c r="G105" s="114">
        <v>44317</v>
      </c>
      <c r="H105" s="122">
        <v>8.216881406265841</v>
      </c>
      <c r="I105" s="123">
        <f t="shared" si="3"/>
        <v>2021</v>
      </c>
    </row>
    <row r="106" spans="7:9" ht="12.75">
      <c r="G106" s="114">
        <v>44348</v>
      </c>
      <c r="H106" s="122">
        <v>8.257437018148638</v>
      </c>
      <c r="I106" s="123">
        <f t="shared" si="3"/>
        <v>2021</v>
      </c>
    </row>
    <row r="107" spans="7:9" ht="12.75">
      <c r="G107" s="114">
        <v>44378</v>
      </c>
      <c r="H107" s="122">
        <v>8.328409338943528</v>
      </c>
      <c r="I107" s="123">
        <f t="shared" si="3"/>
        <v>2021</v>
      </c>
    </row>
    <row r="108" spans="7:9" ht="12.75">
      <c r="G108" s="114">
        <v>44409</v>
      </c>
      <c r="H108" s="122">
        <v>8.358826047855622</v>
      </c>
      <c r="I108" s="123">
        <f t="shared" si="3"/>
        <v>2021</v>
      </c>
    </row>
    <row r="109" spans="7:9" ht="12.75">
      <c r="G109" s="114">
        <v>44440</v>
      </c>
      <c r="H109" s="122">
        <v>8.409520562709114</v>
      </c>
      <c r="I109" s="123">
        <f t="shared" si="3"/>
        <v>2021</v>
      </c>
    </row>
    <row r="110" spans="7:9" ht="12.75">
      <c r="G110" s="114">
        <v>44470</v>
      </c>
      <c r="H110" s="122">
        <v>8.480492883504004</v>
      </c>
      <c r="I110" s="123">
        <f t="shared" si="3"/>
        <v>2021</v>
      </c>
    </row>
    <row r="111" spans="7:9" ht="12.75">
      <c r="G111" s="114">
        <v>44501</v>
      </c>
      <c r="H111" s="122">
        <v>8.774521069654265</v>
      </c>
      <c r="I111" s="123">
        <f t="shared" si="3"/>
        <v>2021</v>
      </c>
    </row>
    <row r="112" spans="7:9" ht="12.75">
      <c r="G112" s="114">
        <v>44531</v>
      </c>
      <c r="H112" s="122">
        <v>8.855632293419854</v>
      </c>
      <c r="I112" s="123">
        <f t="shared" si="3"/>
        <v>2021</v>
      </c>
    </row>
    <row r="113" spans="7:9" ht="12.75">
      <c r="G113" s="114">
        <v>44562</v>
      </c>
      <c r="H113" s="122">
        <v>9.058410352833823</v>
      </c>
      <c r="I113" s="123">
        <f t="shared" si="3"/>
        <v>2022</v>
      </c>
    </row>
    <row r="114" spans="7:9" ht="12.75">
      <c r="G114" s="114">
        <v>44593</v>
      </c>
      <c r="H114" s="122">
        <v>9.109104867687318</v>
      </c>
      <c r="I114" s="123">
        <f t="shared" si="3"/>
        <v>2022</v>
      </c>
    </row>
    <row r="115" spans="7:9" ht="12.75">
      <c r="G115" s="114">
        <v>44621</v>
      </c>
      <c r="H115" s="122">
        <v>8.916465711244044</v>
      </c>
      <c r="I115" s="123">
        <f t="shared" si="3"/>
        <v>2022</v>
      </c>
    </row>
    <row r="116" spans="7:9" ht="12.75">
      <c r="G116" s="114">
        <v>44652</v>
      </c>
      <c r="H116" s="122">
        <v>8.86577119639055</v>
      </c>
      <c r="I116" s="123">
        <f t="shared" si="3"/>
        <v>2022</v>
      </c>
    </row>
    <row r="117" spans="7:9" ht="12.75">
      <c r="G117" s="114">
        <v>44682</v>
      </c>
      <c r="H117" s="122">
        <v>8.86577119639055</v>
      </c>
      <c r="I117" s="123">
        <f t="shared" si="3"/>
        <v>2022</v>
      </c>
    </row>
    <row r="118" spans="7:9" ht="12.75">
      <c r="G118" s="114">
        <v>44713</v>
      </c>
      <c r="H118" s="122">
        <v>8.906326808273345</v>
      </c>
      <c r="I118" s="123">
        <f t="shared" si="3"/>
        <v>2022</v>
      </c>
    </row>
    <row r="119" spans="7:9" ht="12.75">
      <c r="G119" s="114">
        <v>44743</v>
      </c>
      <c r="H119" s="122">
        <v>8.987438032038932</v>
      </c>
      <c r="I119" s="123">
        <f t="shared" si="3"/>
        <v>2022</v>
      </c>
    </row>
    <row r="120" spans="7:9" ht="12.75">
      <c r="G120" s="114">
        <v>44774</v>
      </c>
      <c r="H120" s="122">
        <v>9.027993643921729</v>
      </c>
      <c r="I120" s="123">
        <f t="shared" si="3"/>
        <v>2022</v>
      </c>
    </row>
    <row r="121" spans="7:9" ht="12.75">
      <c r="G121" s="114">
        <v>44805</v>
      </c>
      <c r="H121" s="122">
        <v>9.068549255804522</v>
      </c>
      <c r="I121" s="123">
        <f t="shared" si="3"/>
        <v>2022</v>
      </c>
    </row>
    <row r="122" spans="7:9" ht="12.75">
      <c r="G122" s="114">
        <v>44835</v>
      </c>
      <c r="H122" s="122">
        <v>9.129382673628713</v>
      </c>
      <c r="I122" s="123">
        <f t="shared" si="3"/>
        <v>2022</v>
      </c>
    </row>
    <row r="123" spans="7:9" ht="12.75">
      <c r="G123" s="114">
        <v>44866</v>
      </c>
      <c r="H123" s="122">
        <v>9.423410859778972</v>
      </c>
      <c r="I123" s="123">
        <f t="shared" si="3"/>
        <v>2022</v>
      </c>
    </row>
    <row r="124" spans="7:9" ht="12.75">
      <c r="G124" s="114">
        <v>44896</v>
      </c>
      <c r="H124" s="122">
        <v>9.484244277603164</v>
      </c>
      <c r="I124" s="123">
        <f t="shared" si="3"/>
        <v>2022</v>
      </c>
    </row>
    <row r="125" spans="7:9" ht="12.75">
      <c r="G125" s="114">
        <v>44927</v>
      </c>
      <c r="H125" s="122">
        <v>9.676883434046436</v>
      </c>
      <c r="I125" s="123">
        <f t="shared" si="3"/>
        <v>2023</v>
      </c>
    </row>
    <row r="126" spans="7:9" ht="12.75">
      <c r="G126" s="114">
        <v>44958</v>
      </c>
      <c r="H126" s="122">
        <v>9.72757794889993</v>
      </c>
      <c r="I126" s="123">
        <f t="shared" si="3"/>
        <v>2023</v>
      </c>
    </row>
    <row r="127" spans="7:9" ht="12.75">
      <c r="G127" s="114">
        <v>44986</v>
      </c>
      <c r="H127" s="122">
        <v>8.94688242015614</v>
      </c>
      <c r="I127" s="123">
        <f t="shared" si="3"/>
        <v>2023</v>
      </c>
    </row>
    <row r="128" spans="7:9" ht="12.75">
      <c r="G128" s="114">
        <v>45017</v>
      </c>
      <c r="H128" s="122">
        <v>8.774521069654265</v>
      </c>
      <c r="I128" s="123">
        <f t="shared" si="3"/>
        <v>2023</v>
      </c>
    </row>
    <row r="129" spans="7:9" ht="12.75">
      <c r="G129" s="114">
        <v>45047</v>
      </c>
      <c r="H129" s="122">
        <v>8.804937778566359</v>
      </c>
      <c r="I129" s="123">
        <f aca="true" t="shared" si="4" ref="I129:I192">YEAR(G129)</f>
        <v>2023</v>
      </c>
    </row>
    <row r="130" spans="7:9" ht="12.75">
      <c r="G130" s="114">
        <v>45078</v>
      </c>
      <c r="H130" s="122">
        <v>8.86577119639055</v>
      </c>
      <c r="I130" s="123">
        <f t="shared" si="4"/>
        <v>2023</v>
      </c>
    </row>
    <row r="131" spans="7:9" ht="12.75">
      <c r="G131" s="114">
        <v>45108</v>
      </c>
      <c r="H131" s="122">
        <v>8.936743517185441</v>
      </c>
      <c r="I131" s="123">
        <f t="shared" si="4"/>
        <v>2023</v>
      </c>
    </row>
    <row r="132" spans="7:9" ht="12.75">
      <c r="G132" s="114">
        <v>45139</v>
      </c>
      <c r="H132" s="122">
        <v>8.987438032038932</v>
      </c>
      <c r="I132" s="123">
        <f t="shared" si="4"/>
        <v>2023</v>
      </c>
    </row>
    <row r="133" spans="7:9" ht="12.75">
      <c r="G133" s="114">
        <v>45170</v>
      </c>
      <c r="H133" s="122">
        <v>8.957021323126838</v>
      </c>
      <c r="I133" s="123">
        <f t="shared" si="4"/>
        <v>2023</v>
      </c>
    </row>
    <row r="134" spans="7:9" ht="12.75">
      <c r="G134" s="114">
        <v>45200</v>
      </c>
      <c r="H134" s="122">
        <v>8.733965457771468</v>
      </c>
      <c r="I134" s="123">
        <f t="shared" si="4"/>
        <v>2023</v>
      </c>
    </row>
    <row r="135" spans="7:9" ht="12.75">
      <c r="G135" s="114">
        <v>45231</v>
      </c>
      <c r="H135" s="122">
        <v>8.906326808273345</v>
      </c>
      <c r="I135" s="123">
        <f t="shared" si="4"/>
        <v>2023</v>
      </c>
    </row>
    <row r="136" spans="7:9" ht="12.75">
      <c r="G136" s="114">
        <v>45261</v>
      </c>
      <c r="H136" s="122">
        <v>8.926604614214742</v>
      </c>
      <c r="I136" s="123">
        <f t="shared" si="4"/>
        <v>2023</v>
      </c>
    </row>
    <row r="137" spans="7:9" ht="12.75">
      <c r="G137" s="114">
        <v>45292</v>
      </c>
      <c r="H137" s="122">
        <v>8.206742503295144</v>
      </c>
      <c r="I137" s="123">
        <f t="shared" si="4"/>
        <v>2024</v>
      </c>
    </row>
    <row r="138" spans="7:9" ht="12.75">
      <c r="G138" s="114">
        <v>45323</v>
      </c>
      <c r="H138" s="122">
        <v>8.257437018148638</v>
      </c>
      <c r="I138" s="123">
        <f t="shared" si="4"/>
        <v>2024</v>
      </c>
    </row>
    <row r="139" spans="7:9" ht="12.75">
      <c r="G139" s="114">
        <v>45352</v>
      </c>
      <c r="H139" s="122">
        <v>7.932992123086283</v>
      </c>
      <c r="I139" s="123">
        <f t="shared" si="4"/>
        <v>2024</v>
      </c>
    </row>
    <row r="140" spans="7:9" ht="12.75">
      <c r="G140" s="114">
        <v>45383</v>
      </c>
      <c r="H140" s="122">
        <v>7.770769675555106</v>
      </c>
      <c r="I140" s="123">
        <f t="shared" si="4"/>
        <v>2024</v>
      </c>
    </row>
    <row r="141" spans="7:9" ht="12.75">
      <c r="G141" s="114">
        <v>45413</v>
      </c>
      <c r="H141" s="122">
        <v>7.811325287437899</v>
      </c>
      <c r="I141" s="123">
        <f t="shared" si="4"/>
        <v>2024</v>
      </c>
    </row>
    <row r="142" spans="7:9" ht="12.75">
      <c r="G142" s="114">
        <v>45444</v>
      </c>
      <c r="H142" s="122">
        <v>7.821464190408598</v>
      </c>
      <c r="I142" s="123">
        <f t="shared" si="4"/>
        <v>2024</v>
      </c>
    </row>
    <row r="143" spans="7:9" ht="12.75">
      <c r="G143" s="114">
        <v>45474</v>
      </c>
      <c r="H143" s="122">
        <v>7.851880899320694</v>
      </c>
      <c r="I143" s="123">
        <f t="shared" si="4"/>
        <v>2024</v>
      </c>
    </row>
    <row r="144" spans="7:9" ht="12.75">
      <c r="G144" s="114">
        <v>45505</v>
      </c>
      <c r="H144" s="122">
        <v>7.892436511203488</v>
      </c>
      <c r="I144" s="123">
        <f t="shared" si="4"/>
        <v>2024</v>
      </c>
    </row>
    <row r="145" spans="7:9" ht="12.75">
      <c r="G145" s="114">
        <v>45536</v>
      </c>
      <c r="H145" s="122">
        <v>7.943131026056981</v>
      </c>
      <c r="I145" s="123">
        <f t="shared" si="4"/>
        <v>2024</v>
      </c>
    </row>
    <row r="146" spans="7:9" ht="12.75">
      <c r="G146" s="114">
        <v>45566</v>
      </c>
      <c r="H146" s="122">
        <v>8.014103346851872</v>
      </c>
      <c r="I146" s="123">
        <f t="shared" si="4"/>
        <v>2024</v>
      </c>
    </row>
    <row r="147" spans="7:9" ht="12.75">
      <c r="G147" s="114">
        <v>45597</v>
      </c>
      <c r="H147" s="122">
        <v>8.328409338943528</v>
      </c>
      <c r="I147" s="123">
        <f t="shared" si="4"/>
        <v>2024</v>
      </c>
    </row>
    <row r="148" spans="7:9" ht="12.75">
      <c r="G148" s="114">
        <v>45627</v>
      </c>
      <c r="H148" s="122">
        <v>8.389242756767718</v>
      </c>
      <c r="I148" s="123">
        <f t="shared" si="4"/>
        <v>2024</v>
      </c>
    </row>
    <row r="149" spans="7:9" ht="12.75">
      <c r="G149" s="114">
        <v>45658</v>
      </c>
      <c r="H149" s="122">
        <v>8.541326301328196</v>
      </c>
      <c r="I149" s="123">
        <f t="shared" si="4"/>
        <v>2025</v>
      </c>
    </row>
    <row r="150" spans="7:9" ht="12.75">
      <c r="G150" s="114">
        <v>45689</v>
      </c>
      <c r="H150" s="122">
        <v>8.602159719152388</v>
      </c>
      <c r="I150" s="123">
        <f t="shared" si="4"/>
        <v>2025</v>
      </c>
    </row>
    <row r="151" spans="7:9" ht="12.75">
      <c r="G151" s="114">
        <v>45717</v>
      </c>
      <c r="H151" s="122">
        <v>8.186464697353747</v>
      </c>
      <c r="I151" s="123">
        <f t="shared" si="4"/>
        <v>2025</v>
      </c>
    </row>
    <row r="152" spans="7:9" ht="12.75">
      <c r="G152" s="114">
        <v>45748</v>
      </c>
      <c r="H152" s="122">
        <v>7.973547734969077</v>
      </c>
      <c r="I152" s="123">
        <f t="shared" si="4"/>
        <v>2025</v>
      </c>
    </row>
    <row r="153" spans="7:9" ht="12.75">
      <c r="G153" s="114">
        <v>45778</v>
      </c>
      <c r="H153" s="122">
        <v>8.014103346851872</v>
      </c>
      <c r="I153" s="123">
        <f t="shared" si="4"/>
        <v>2025</v>
      </c>
    </row>
    <row r="154" spans="7:9" ht="12.75">
      <c r="G154" s="114">
        <v>45809</v>
      </c>
      <c r="H154" s="122">
        <v>8.064797861705364</v>
      </c>
      <c r="I154" s="123">
        <f t="shared" si="4"/>
        <v>2025</v>
      </c>
    </row>
    <row r="155" spans="7:9" ht="12.75">
      <c r="G155" s="114">
        <v>45839</v>
      </c>
      <c r="H155" s="122">
        <v>8.115492376558857</v>
      </c>
      <c r="I155" s="123">
        <f t="shared" si="4"/>
        <v>2025</v>
      </c>
    </row>
    <row r="156" spans="7:9" ht="12.75">
      <c r="G156" s="114">
        <v>45870</v>
      </c>
      <c r="H156" s="122">
        <v>8.15604798844165</v>
      </c>
      <c r="I156" s="123">
        <f t="shared" si="4"/>
        <v>2025</v>
      </c>
    </row>
    <row r="157" spans="7:9" ht="12.75">
      <c r="G157" s="114">
        <v>45901</v>
      </c>
      <c r="H157" s="122">
        <v>8.216881406265841</v>
      </c>
      <c r="I157" s="123">
        <f t="shared" si="4"/>
        <v>2025</v>
      </c>
    </row>
    <row r="158" spans="7:9" ht="12.75">
      <c r="G158" s="114">
        <v>45931</v>
      </c>
      <c r="H158" s="122">
        <v>8.267575921119336</v>
      </c>
      <c r="I158" s="123">
        <f t="shared" si="4"/>
        <v>2025</v>
      </c>
    </row>
    <row r="159" spans="7:9" ht="12.75">
      <c r="G159" s="114">
        <v>45962</v>
      </c>
      <c r="H159" s="122">
        <v>8.754243263712867</v>
      </c>
      <c r="I159" s="123">
        <f t="shared" si="4"/>
        <v>2025</v>
      </c>
    </row>
    <row r="160" spans="7:9" ht="12.75">
      <c r="G160" s="114">
        <v>45992</v>
      </c>
      <c r="H160" s="122">
        <v>8.804937778566359</v>
      </c>
      <c r="I160" s="123">
        <f t="shared" si="4"/>
        <v>2025</v>
      </c>
    </row>
    <row r="161" spans="7:9" ht="12.75">
      <c r="G161" s="114">
        <v>46023</v>
      </c>
      <c r="H161" s="122">
        <v>9.07868815877522</v>
      </c>
      <c r="I161" s="123">
        <f t="shared" si="4"/>
        <v>2026</v>
      </c>
    </row>
    <row r="162" spans="7:9" ht="12.75">
      <c r="G162" s="114">
        <v>46054</v>
      </c>
      <c r="H162" s="122">
        <v>9.119243770658015</v>
      </c>
      <c r="I162" s="123">
        <f t="shared" si="4"/>
        <v>2026</v>
      </c>
    </row>
    <row r="163" spans="7:9" ht="12.75">
      <c r="G163" s="114">
        <v>46082</v>
      </c>
      <c r="H163" s="122">
        <v>8.683270942917977</v>
      </c>
      <c r="I163" s="123">
        <f t="shared" si="4"/>
        <v>2026</v>
      </c>
    </row>
    <row r="164" spans="7:9" ht="12.75">
      <c r="G164" s="114">
        <v>46113</v>
      </c>
      <c r="H164" s="122">
        <v>8.531187398357499</v>
      </c>
      <c r="I164" s="123">
        <f t="shared" si="4"/>
        <v>2026</v>
      </c>
    </row>
    <row r="165" spans="7:9" ht="12.75">
      <c r="G165" s="114">
        <v>46143</v>
      </c>
      <c r="H165" s="122">
        <v>8.541326301328196</v>
      </c>
      <c r="I165" s="123">
        <f t="shared" si="4"/>
        <v>2026</v>
      </c>
    </row>
    <row r="166" spans="7:9" ht="12.75">
      <c r="G166" s="114">
        <v>46174</v>
      </c>
      <c r="H166" s="122">
        <v>8.612298622123086</v>
      </c>
      <c r="I166" s="123">
        <f t="shared" si="4"/>
        <v>2026</v>
      </c>
    </row>
    <row r="167" spans="7:9" ht="12.75">
      <c r="G167" s="114">
        <v>46204</v>
      </c>
      <c r="H167" s="122">
        <v>8.733965457771468</v>
      </c>
      <c r="I167" s="123">
        <f t="shared" si="4"/>
        <v>2026</v>
      </c>
    </row>
    <row r="168" spans="7:9" ht="12.75">
      <c r="G168" s="114">
        <v>46235</v>
      </c>
      <c r="H168" s="122">
        <v>8.774521069654265</v>
      </c>
      <c r="I168" s="123">
        <f t="shared" si="4"/>
        <v>2026</v>
      </c>
    </row>
    <row r="169" spans="7:9" ht="12.75">
      <c r="G169" s="114">
        <v>46266</v>
      </c>
      <c r="H169" s="122">
        <v>8.825215584507756</v>
      </c>
      <c r="I169" s="123">
        <f t="shared" si="4"/>
        <v>2026</v>
      </c>
    </row>
    <row r="170" spans="7:9" ht="12.75">
      <c r="G170" s="114">
        <v>46296</v>
      </c>
      <c r="H170" s="122">
        <v>8.804937778566359</v>
      </c>
      <c r="I170" s="123">
        <f t="shared" si="4"/>
        <v>2026</v>
      </c>
    </row>
    <row r="171" spans="7:9" ht="12.75">
      <c r="G171" s="114">
        <v>46327</v>
      </c>
      <c r="H171" s="122">
        <v>9.2307717033357</v>
      </c>
      <c r="I171" s="123">
        <f t="shared" si="4"/>
        <v>2026</v>
      </c>
    </row>
    <row r="172" spans="7:9" ht="12.75">
      <c r="G172" s="114">
        <v>46357</v>
      </c>
      <c r="H172" s="122">
        <v>9.281466218189193</v>
      </c>
      <c r="I172" s="123">
        <f t="shared" si="4"/>
        <v>2026</v>
      </c>
    </row>
    <row r="173" spans="7:9" ht="12.75">
      <c r="G173" s="114">
        <v>46388</v>
      </c>
      <c r="H173" s="122">
        <v>9.453827568691068</v>
      </c>
      <c r="I173" s="123">
        <f t="shared" si="4"/>
        <v>2027</v>
      </c>
    </row>
    <row r="174" spans="7:9" ht="12.75">
      <c r="G174" s="114">
        <v>46419</v>
      </c>
      <c r="H174" s="122">
        <v>9.51466098651526</v>
      </c>
      <c r="I174" s="123">
        <f t="shared" si="4"/>
        <v>2027</v>
      </c>
    </row>
    <row r="175" spans="7:9" ht="12.75">
      <c r="G175" s="114">
        <v>46447</v>
      </c>
      <c r="H175" s="122">
        <v>8.926604614214742</v>
      </c>
      <c r="I175" s="123">
        <f t="shared" si="4"/>
        <v>2027</v>
      </c>
    </row>
    <row r="176" spans="7:9" ht="12.75">
      <c r="G176" s="114">
        <v>46478</v>
      </c>
      <c r="H176" s="122">
        <v>8.713687651830073</v>
      </c>
      <c r="I176" s="123">
        <f t="shared" si="4"/>
        <v>2027</v>
      </c>
    </row>
    <row r="177" spans="7:9" ht="12.75">
      <c r="G177" s="114">
        <v>46508</v>
      </c>
      <c r="H177" s="122">
        <v>8.754243263712867</v>
      </c>
      <c r="I177" s="123">
        <f t="shared" si="4"/>
        <v>2027</v>
      </c>
    </row>
    <row r="178" spans="7:9" ht="12.75">
      <c r="G178" s="114">
        <v>46539</v>
      </c>
      <c r="H178" s="122">
        <v>8.835354487478456</v>
      </c>
      <c r="I178" s="123">
        <f t="shared" si="4"/>
        <v>2027</v>
      </c>
    </row>
    <row r="179" spans="7:9" ht="12.75">
      <c r="G179" s="114">
        <v>46569</v>
      </c>
      <c r="H179" s="122">
        <v>8.936743517185441</v>
      </c>
      <c r="I179" s="123">
        <f t="shared" si="4"/>
        <v>2027</v>
      </c>
    </row>
    <row r="180" spans="7:9" ht="12.75">
      <c r="G180" s="114">
        <v>46600</v>
      </c>
      <c r="H180" s="122">
        <v>8.977299129068236</v>
      </c>
      <c r="I180" s="123">
        <f t="shared" si="4"/>
        <v>2027</v>
      </c>
    </row>
    <row r="181" spans="7:9" ht="12.75">
      <c r="G181" s="114">
        <v>46631</v>
      </c>
      <c r="H181" s="122">
        <v>8.987438032038932</v>
      </c>
      <c r="I181" s="123">
        <f t="shared" si="4"/>
        <v>2027</v>
      </c>
    </row>
    <row r="182" spans="7:9" ht="12.75">
      <c r="G182" s="114">
        <v>46661</v>
      </c>
      <c r="H182" s="122">
        <v>9.038132546892427</v>
      </c>
      <c r="I182" s="123">
        <f t="shared" si="4"/>
        <v>2027</v>
      </c>
    </row>
    <row r="183" spans="7:9" ht="12.75">
      <c r="G183" s="114">
        <v>46692</v>
      </c>
      <c r="H183" s="122">
        <v>9.382855247896178</v>
      </c>
      <c r="I183" s="123">
        <f t="shared" si="4"/>
        <v>2027</v>
      </c>
    </row>
    <row r="184" spans="7:9" ht="12.75">
      <c r="G184" s="114">
        <v>46722</v>
      </c>
      <c r="H184" s="122">
        <v>9.44368866572037</v>
      </c>
      <c r="I184" s="123">
        <f t="shared" si="4"/>
        <v>2027</v>
      </c>
    </row>
    <row r="185" spans="7:9" ht="12.75">
      <c r="G185" s="114">
        <v>46753</v>
      </c>
      <c r="H185" s="122">
        <v>9.626188919192945</v>
      </c>
      <c r="I185" s="123">
        <f t="shared" si="4"/>
        <v>2028</v>
      </c>
    </row>
    <row r="186" spans="7:9" ht="12.75">
      <c r="G186" s="114">
        <v>46784</v>
      </c>
      <c r="H186" s="122">
        <v>9.687022337017137</v>
      </c>
      <c r="I186" s="123">
        <f t="shared" si="4"/>
        <v>2028</v>
      </c>
    </row>
    <row r="187" spans="7:9" ht="12.75">
      <c r="G187" s="114">
        <v>46813</v>
      </c>
      <c r="H187" s="122">
        <v>9.281466218189193</v>
      </c>
      <c r="I187" s="123">
        <f t="shared" si="4"/>
        <v>2028</v>
      </c>
    </row>
    <row r="188" spans="7:9" ht="12.75">
      <c r="G188" s="114">
        <v>46844</v>
      </c>
      <c r="H188" s="122">
        <v>9.109104867687318</v>
      </c>
      <c r="I188" s="123">
        <f t="shared" si="4"/>
        <v>2028</v>
      </c>
    </row>
    <row r="189" spans="7:9" ht="12.75">
      <c r="G189" s="114">
        <v>46874</v>
      </c>
      <c r="H189" s="122">
        <v>9.169938285511508</v>
      </c>
      <c r="I189" s="123">
        <f t="shared" si="4"/>
        <v>2028</v>
      </c>
    </row>
    <row r="190" spans="7:9" ht="12.75">
      <c r="G190" s="114">
        <v>46905</v>
      </c>
      <c r="H190" s="122">
        <v>9.240910606306398</v>
      </c>
      <c r="I190" s="123">
        <f t="shared" si="4"/>
        <v>2028</v>
      </c>
    </row>
    <row r="191" spans="7:9" ht="12.75">
      <c r="G191" s="114">
        <v>46935</v>
      </c>
      <c r="H191" s="122">
        <v>9.271327315218494</v>
      </c>
      <c r="I191" s="123">
        <f t="shared" si="4"/>
        <v>2028</v>
      </c>
    </row>
    <row r="192" spans="7:9" ht="12.75">
      <c r="G192" s="114">
        <v>46966</v>
      </c>
      <c r="H192" s="122">
        <v>9.322021830071986</v>
      </c>
      <c r="I192" s="123">
        <f t="shared" si="4"/>
        <v>2028</v>
      </c>
    </row>
    <row r="193" spans="7:9" ht="12.75">
      <c r="G193" s="114">
        <v>46997</v>
      </c>
      <c r="H193" s="122">
        <v>9.362577441954782</v>
      </c>
      <c r="I193" s="123">
        <f aca="true" t="shared" si="5" ref="I193:I256">YEAR(G193)</f>
        <v>2028</v>
      </c>
    </row>
    <row r="194" spans="7:9" ht="12.75">
      <c r="G194" s="114">
        <v>47027</v>
      </c>
      <c r="H194" s="122">
        <v>9.382855247896178</v>
      </c>
      <c r="I194" s="123">
        <f t="shared" si="5"/>
        <v>2028</v>
      </c>
    </row>
    <row r="195" spans="7:9" ht="12.75">
      <c r="G195" s="114">
        <v>47058</v>
      </c>
      <c r="H195" s="122">
        <v>9.757994657812024</v>
      </c>
      <c r="I195" s="123">
        <f t="shared" si="5"/>
        <v>2028</v>
      </c>
    </row>
    <row r="196" spans="7:9" ht="12.75">
      <c r="G196" s="114">
        <v>47088</v>
      </c>
      <c r="H196" s="122">
        <v>9.839105881577613</v>
      </c>
      <c r="I196" s="123">
        <f t="shared" si="5"/>
        <v>2028</v>
      </c>
    </row>
    <row r="197" spans="7:9" ht="12.75">
      <c r="G197" s="114">
        <v>47119</v>
      </c>
      <c r="H197" s="122">
        <v>10.01146723207949</v>
      </c>
      <c r="I197" s="123">
        <f t="shared" si="5"/>
        <v>2029</v>
      </c>
    </row>
    <row r="198" spans="7:9" ht="12.75">
      <c r="G198" s="114">
        <v>47150</v>
      </c>
      <c r="H198" s="122">
        <v>10.031745038020887</v>
      </c>
      <c r="I198" s="123">
        <f t="shared" si="5"/>
        <v>2029</v>
      </c>
    </row>
    <row r="199" spans="7:9" ht="12.75">
      <c r="G199" s="114">
        <v>47178</v>
      </c>
      <c r="H199" s="122">
        <v>9.51466098651526</v>
      </c>
      <c r="I199" s="123">
        <f t="shared" si="5"/>
        <v>2029</v>
      </c>
    </row>
    <row r="200" spans="7:9" ht="12.75">
      <c r="G200" s="114">
        <v>47209</v>
      </c>
      <c r="H200" s="122">
        <v>9.413271956808273</v>
      </c>
      <c r="I200" s="123">
        <f t="shared" si="5"/>
        <v>2029</v>
      </c>
    </row>
    <row r="201" spans="7:9" ht="12.75">
      <c r="G201" s="114">
        <v>47239</v>
      </c>
      <c r="H201" s="122">
        <v>9.44368866572037</v>
      </c>
      <c r="I201" s="123">
        <f t="shared" si="5"/>
        <v>2029</v>
      </c>
    </row>
    <row r="202" spans="7:9" ht="12.75">
      <c r="G202" s="114">
        <v>47270</v>
      </c>
      <c r="H202" s="122">
        <v>9.50452208354456</v>
      </c>
      <c r="I202" s="123">
        <f t="shared" si="5"/>
        <v>2029</v>
      </c>
    </row>
    <row r="203" spans="7:9" ht="12.75">
      <c r="G203" s="114">
        <v>47300</v>
      </c>
      <c r="H203" s="122">
        <v>9.595772210280849</v>
      </c>
      <c r="I203" s="123">
        <f t="shared" si="5"/>
        <v>2029</v>
      </c>
    </row>
    <row r="204" spans="7:9" ht="12.75">
      <c r="G204" s="114">
        <v>47331</v>
      </c>
      <c r="H204" s="122">
        <v>9.626188919192945</v>
      </c>
      <c r="I204" s="123">
        <f t="shared" si="5"/>
        <v>2029</v>
      </c>
    </row>
    <row r="205" spans="7:9" ht="12.75">
      <c r="G205" s="114">
        <v>47362</v>
      </c>
      <c r="H205" s="122">
        <v>9.697161239987834</v>
      </c>
      <c r="I205" s="123">
        <f t="shared" si="5"/>
        <v>2029</v>
      </c>
    </row>
    <row r="206" spans="7:9" ht="12.75">
      <c r="G206" s="114">
        <v>47392</v>
      </c>
      <c r="H206" s="122">
        <v>9.737716851870628</v>
      </c>
      <c r="I206" s="123">
        <f t="shared" si="5"/>
        <v>2029</v>
      </c>
    </row>
    <row r="207" spans="7:9" ht="12.75">
      <c r="G207" s="114">
        <v>47423</v>
      </c>
      <c r="H207" s="122">
        <v>10.122995164757175</v>
      </c>
      <c r="I207" s="123">
        <f t="shared" si="5"/>
        <v>2029</v>
      </c>
    </row>
    <row r="208" spans="7:9" ht="12.75">
      <c r="G208" s="114">
        <v>47453</v>
      </c>
      <c r="H208" s="122">
        <v>10.22438419446416</v>
      </c>
      <c r="I208" s="123">
        <f t="shared" si="5"/>
        <v>2029</v>
      </c>
    </row>
    <row r="209" spans="7:9" ht="12.75">
      <c r="G209" s="114">
        <v>47484</v>
      </c>
      <c r="H209" s="122">
        <v>10.417023350907431</v>
      </c>
      <c r="I209" s="123">
        <f t="shared" si="5"/>
        <v>2030</v>
      </c>
    </row>
    <row r="210" spans="7:9" ht="12.75">
      <c r="G210" s="114">
        <v>47515</v>
      </c>
      <c r="H210" s="122">
        <v>10.477856768731623</v>
      </c>
      <c r="I210" s="123">
        <f t="shared" si="5"/>
        <v>2030</v>
      </c>
    </row>
    <row r="211" spans="7:9" ht="12.75">
      <c r="G211" s="114">
        <v>47543</v>
      </c>
      <c r="H211" s="122">
        <v>10.112856261786476</v>
      </c>
      <c r="I211" s="123">
        <f t="shared" si="5"/>
        <v>2030</v>
      </c>
    </row>
    <row r="212" spans="7:9" ht="12.75">
      <c r="G212" s="114">
        <v>47574</v>
      </c>
      <c r="H212" s="122">
        <v>10.01146723207949</v>
      </c>
      <c r="I212" s="123">
        <f t="shared" si="5"/>
        <v>2030</v>
      </c>
    </row>
    <row r="213" spans="7:9" ht="12.75">
      <c r="G213" s="114">
        <v>47604</v>
      </c>
      <c r="H213" s="122">
        <v>10.062161746932983</v>
      </c>
      <c r="I213" s="123">
        <f t="shared" si="5"/>
        <v>2030</v>
      </c>
    </row>
    <row r="214" spans="7:9" ht="12.75">
      <c r="G214" s="114">
        <v>47635</v>
      </c>
      <c r="H214" s="122">
        <v>10.102717358815777</v>
      </c>
      <c r="I214" s="123">
        <f t="shared" si="5"/>
        <v>2030</v>
      </c>
    </row>
    <row r="215" spans="7:9" ht="12.75">
      <c r="G215" s="114">
        <v>47665</v>
      </c>
      <c r="H215" s="122">
        <v>10.22438419446416</v>
      </c>
      <c r="I215" s="123">
        <f t="shared" si="5"/>
        <v>2030</v>
      </c>
    </row>
    <row r="216" spans="7:9" ht="12.75">
      <c r="G216" s="114">
        <v>47696</v>
      </c>
      <c r="H216" s="122">
        <v>10.275078709317652</v>
      </c>
      <c r="I216" s="123">
        <f t="shared" si="5"/>
        <v>2030</v>
      </c>
    </row>
    <row r="217" spans="7:9" ht="12.75">
      <c r="G217" s="114">
        <v>47727</v>
      </c>
      <c r="H217" s="122">
        <v>10.346051030112541</v>
      </c>
      <c r="I217" s="123">
        <f t="shared" si="5"/>
        <v>2030</v>
      </c>
    </row>
    <row r="218" spans="7:9" ht="12.75">
      <c r="G218" s="114">
        <v>47757</v>
      </c>
      <c r="H218" s="122">
        <v>10.417023350907431</v>
      </c>
      <c r="I218" s="123">
        <f t="shared" si="5"/>
        <v>2030</v>
      </c>
    </row>
    <row r="219" spans="7:9" ht="12.75">
      <c r="G219" s="114">
        <v>47788</v>
      </c>
      <c r="H219" s="122">
        <v>10.944246305383757</v>
      </c>
      <c r="I219" s="123">
        <f t="shared" si="5"/>
        <v>2030</v>
      </c>
    </row>
    <row r="220" spans="7:9" ht="12.75">
      <c r="G220" s="114">
        <v>47818</v>
      </c>
      <c r="H220" s="122">
        <v>11.025357529149346</v>
      </c>
      <c r="I220" s="123">
        <f t="shared" si="5"/>
        <v>2030</v>
      </c>
    </row>
    <row r="221" spans="7:9" ht="12.75">
      <c r="G221" s="114">
        <v>47849</v>
      </c>
      <c r="H221" s="122">
        <v>10.609662507350706</v>
      </c>
      <c r="I221" s="123">
        <f t="shared" si="5"/>
        <v>2031</v>
      </c>
    </row>
    <row r="222" spans="7:9" ht="12.75">
      <c r="G222" s="114">
        <v>47880</v>
      </c>
      <c r="H222" s="122">
        <v>10.670495925174896</v>
      </c>
      <c r="I222" s="123">
        <f t="shared" si="5"/>
        <v>2031</v>
      </c>
    </row>
    <row r="223" spans="7:9" ht="12.75">
      <c r="G223" s="114">
        <v>47908</v>
      </c>
      <c r="H223" s="122">
        <v>10.305495418229748</v>
      </c>
      <c r="I223" s="123">
        <f t="shared" si="5"/>
        <v>2031</v>
      </c>
    </row>
    <row r="224" spans="7:9" ht="12.75">
      <c r="G224" s="114">
        <v>47939</v>
      </c>
      <c r="H224" s="122">
        <v>10.204106388522764</v>
      </c>
      <c r="I224" s="123">
        <f t="shared" si="5"/>
        <v>2031</v>
      </c>
    </row>
    <row r="225" spans="7:9" ht="12.75">
      <c r="G225" s="114">
        <v>47969</v>
      </c>
      <c r="H225" s="122">
        <v>10.254800903376255</v>
      </c>
      <c r="I225" s="123">
        <f t="shared" si="5"/>
        <v>2031</v>
      </c>
    </row>
    <row r="226" spans="7:9" ht="12.75">
      <c r="G226" s="114">
        <v>48000</v>
      </c>
      <c r="H226" s="122">
        <v>10.29535651525905</v>
      </c>
      <c r="I226" s="123">
        <f t="shared" si="5"/>
        <v>2031</v>
      </c>
    </row>
    <row r="227" spans="7:9" ht="12.75">
      <c r="G227" s="114">
        <v>48030</v>
      </c>
      <c r="H227" s="122">
        <v>10.417023350907431</v>
      </c>
      <c r="I227" s="123">
        <f t="shared" si="5"/>
        <v>2031</v>
      </c>
    </row>
    <row r="228" spans="7:9" ht="12.75">
      <c r="G228" s="114">
        <v>48061</v>
      </c>
      <c r="H228" s="122">
        <v>10.467717865760925</v>
      </c>
      <c r="I228" s="123">
        <f t="shared" si="5"/>
        <v>2031</v>
      </c>
    </row>
    <row r="229" spans="7:9" ht="12.75">
      <c r="G229" s="114">
        <v>48092</v>
      </c>
      <c r="H229" s="122">
        <v>10.538690186555815</v>
      </c>
      <c r="I229" s="123">
        <f t="shared" si="5"/>
        <v>2031</v>
      </c>
    </row>
    <row r="230" spans="7:9" ht="12.75">
      <c r="G230" s="114">
        <v>48122</v>
      </c>
      <c r="H230" s="122">
        <v>10.609662507350706</v>
      </c>
      <c r="I230" s="123">
        <f t="shared" si="5"/>
        <v>2031</v>
      </c>
    </row>
    <row r="231" spans="7:9" ht="12.75">
      <c r="G231" s="114">
        <v>48153</v>
      </c>
      <c r="H231" s="122">
        <v>11.157163267768428</v>
      </c>
      <c r="I231" s="123">
        <f t="shared" si="5"/>
        <v>2031</v>
      </c>
    </row>
    <row r="232" spans="7:9" ht="12.75">
      <c r="G232" s="114">
        <v>48183</v>
      </c>
      <c r="H232" s="122">
        <v>11.238274491534016</v>
      </c>
      <c r="I232" s="123">
        <f t="shared" si="5"/>
        <v>2031</v>
      </c>
    </row>
    <row r="233" spans="7:9" ht="12.75">
      <c r="G233" s="114">
        <v>48214</v>
      </c>
      <c r="H233" s="122">
        <v>10.812440566764677</v>
      </c>
      <c r="I233" s="123">
        <f t="shared" si="5"/>
        <v>2032</v>
      </c>
    </row>
    <row r="234" spans="7:9" ht="12.75">
      <c r="G234" s="114">
        <v>48245</v>
      </c>
      <c r="H234" s="122">
        <v>10.873273984588868</v>
      </c>
      <c r="I234" s="123">
        <f t="shared" si="5"/>
        <v>2032</v>
      </c>
    </row>
    <row r="235" spans="7:9" ht="12.75">
      <c r="G235" s="114">
        <v>48274</v>
      </c>
      <c r="H235" s="122">
        <v>10.50827347764372</v>
      </c>
      <c r="I235" s="123">
        <f t="shared" si="5"/>
        <v>2032</v>
      </c>
    </row>
    <row r="236" spans="7:9" ht="12.75">
      <c r="G236" s="114">
        <v>48305</v>
      </c>
      <c r="H236" s="122">
        <v>10.396745544966036</v>
      </c>
      <c r="I236" s="123">
        <f t="shared" si="5"/>
        <v>2032</v>
      </c>
    </row>
    <row r="237" spans="7:9" ht="12.75">
      <c r="G237" s="114">
        <v>48335</v>
      </c>
      <c r="H237" s="122">
        <v>10.457578962790228</v>
      </c>
      <c r="I237" s="123">
        <f t="shared" si="5"/>
        <v>2032</v>
      </c>
    </row>
    <row r="238" spans="7:9" ht="12.75">
      <c r="G238" s="114">
        <v>48366</v>
      </c>
      <c r="H238" s="122">
        <v>10.487995671702322</v>
      </c>
      <c r="I238" s="123">
        <f t="shared" si="5"/>
        <v>2032</v>
      </c>
    </row>
    <row r="239" spans="7:9" ht="12.75">
      <c r="G239" s="114">
        <v>48396</v>
      </c>
      <c r="H239" s="122">
        <v>10.619801410321404</v>
      </c>
      <c r="I239" s="123">
        <f t="shared" si="5"/>
        <v>2032</v>
      </c>
    </row>
    <row r="240" spans="7:9" ht="12.75">
      <c r="G240" s="114">
        <v>48427</v>
      </c>
      <c r="H240" s="122">
        <v>10.670495925174896</v>
      </c>
      <c r="I240" s="123">
        <f t="shared" si="5"/>
        <v>2032</v>
      </c>
    </row>
    <row r="241" spans="7:9" ht="12.75">
      <c r="G241" s="114">
        <v>48458</v>
      </c>
      <c r="H241" s="122">
        <v>10.741468245969786</v>
      </c>
      <c r="I241" s="123">
        <f t="shared" si="5"/>
        <v>2032</v>
      </c>
    </row>
    <row r="242" spans="7:9" ht="12.75">
      <c r="G242" s="114">
        <v>48488</v>
      </c>
      <c r="H242" s="122">
        <v>10.812440566764677</v>
      </c>
      <c r="I242" s="123">
        <f t="shared" si="5"/>
        <v>2032</v>
      </c>
    </row>
    <row r="243" spans="7:9" ht="12.75">
      <c r="G243" s="114">
        <v>48519</v>
      </c>
      <c r="H243" s="122">
        <v>11.370080230153098</v>
      </c>
      <c r="I243" s="123">
        <f t="shared" si="5"/>
        <v>2032</v>
      </c>
    </row>
    <row r="244" spans="7:9" ht="12.75">
      <c r="G244" s="114">
        <v>48549</v>
      </c>
      <c r="H244" s="122">
        <v>11.451191453918685</v>
      </c>
      <c r="I244" s="123">
        <f t="shared" si="5"/>
        <v>2032</v>
      </c>
    </row>
    <row r="245" spans="7:9" ht="12.75">
      <c r="G245" s="114">
        <v>48580</v>
      </c>
      <c r="H245" s="122">
        <v>11.025357529149346</v>
      </c>
      <c r="I245" s="123">
        <f t="shared" si="5"/>
        <v>2033</v>
      </c>
    </row>
    <row r="246" spans="7:9" ht="12.75">
      <c r="G246" s="114">
        <v>48611</v>
      </c>
      <c r="H246" s="122">
        <v>11.086190946973538</v>
      </c>
      <c r="I246" s="123">
        <f t="shared" si="5"/>
        <v>2033</v>
      </c>
    </row>
    <row r="247" spans="7:9" ht="12.75">
      <c r="G247" s="114">
        <v>48639</v>
      </c>
      <c r="H247" s="122">
        <v>10.700912634086993</v>
      </c>
      <c r="I247" s="123">
        <f t="shared" si="5"/>
        <v>2033</v>
      </c>
    </row>
    <row r="248" spans="7:9" ht="12.75">
      <c r="G248" s="114">
        <v>48670</v>
      </c>
      <c r="H248" s="122">
        <v>10.589384701409308</v>
      </c>
      <c r="I248" s="123">
        <f t="shared" si="5"/>
        <v>2033</v>
      </c>
    </row>
    <row r="249" spans="7:9" ht="12.75">
      <c r="G249" s="114">
        <v>48700</v>
      </c>
      <c r="H249" s="122">
        <v>10.6502181192335</v>
      </c>
      <c r="I249" s="123">
        <f t="shared" si="5"/>
        <v>2033</v>
      </c>
    </row>
    <row r="250" spans="7:9" ht="12.75">
      <c r="G250" s="114">
        <v>48731</v>
      </c>
      <c r="H250" s="122">
        <v>10.690773731116293</v>
      </c>
      <c r="I250" s="123">
        <f t="shared" si="5"/>
        <v>2033</v>
      </c>
    </row>
    <row r="251" spans="7:9" ht="12.75">
      <c r="G251" s="114">
        <v>48761</v>
      </c>
      <c r="H251" s="122">
        <v>10.822579469735375</v>
      </c>
      <c r="I251" s="123">
        <f t="shared" si="5"/>
        <v>2033</v>
      </c>
    </row>
    <row r="252" spans="7:9" ht="12.75">
      <c r="G252" s="114">
        <v>48792</v>
      </c>
      <c r="H252" s="122">
        <v>10.873273984588868</v>
      </c>
      <c r="I252" s="123">
        <f t="shared" si="5"/>
        <v>2033</v>
      </c>
    </row>
    <row r="253" spans="7:9" ht="12.75">
      <c r="G253" s="114">
        <v>48823</v>
      </c>
      <c r="H253" s="122">
        <v>10.944246305383757</v>
      </c>
      <c r="I253" s="123">
        <f t="shared" si="5"/>
        <v>2033</v>
      </c>
    </row>
    <row r="254" spans="7:9" ht="12.75">
      <c r="G254" s="114">
        <v>48853</v>
      </c>
      <c r="H254" s="122">
        <v>11.015218626178648</v>
      </c>
      <c r="I254" s="123">
        <f t="shared" si="5"/>
        <v>2033</v>
      </c>
    </row>
    <row r="255" spans="7:9" ht="12.75">
      <c r="G255" s="114">
        <v>48884</v>
      </c>
      <c r="H255" s="122">
        <v>11.582997192537768</v>
      </c>
      <c r="I255" s="123">
        <f t="shared" si="5"/>
        <v>2033</v>
      </c>
    </row>
    <row r="256" spans="7:9" ht="12.75">
      <c r="G256" s="114">
        <v>48914</v>
      </c>
      <c r="H256" s="122">
        <v>11.664108416303357</v>
      </c>
      <c r="I256" s="123">
        <f t="shared" si="5"/>
        <v>2033</v>
      </c>
    </row>
    <row r="257" spans="7:9" ht="12.75">
      <c r="G257" s="114">
        <v>48945</v>
      </c>
      <c r="H257" s="122">
        <v>11.228135588563319</v>
      </c>
      <c r="I257" s="123">
        <f aca="true" t="shared" si="6" ref="I257:I292">YEAR(G257)</f>
        <v>2034</v>
      </c>
    </row>
    <row r="258" spans="7:9" ht="12.75">
      <c r="G258" s="114">
        <v>48976</v>
      </c>
      <c r="H258" s="122">
        <v>11.28896900638751</v>
      </c>
      <c r="I258" s="123">
        <f t="shared" si="6"/>
        <v>2034</v>
      </c>
    </row>
    <row r="259" spans="7:9" ht="12.75">
      <c r="G259" s="114">
        <v>49004</v>
      </c>
      <c r="H259" s="122">
        <v>10.903690693500964</v>
      </c>
      <c r="I259" s="123">
        <f t="shared" si="6"/>
        <v>2034</v>
      </c>
    </row>
    <row r="260" spans="7:9" ht="12.75">
      <c r="G260" s="114">
        <v>49035</v>
      </c>
      <c r="H260" s="122">
        <v>10.79216276082328</v>
      </c>
      <c r="I260" s="123">
        <f t="shared" si="6"/>
        <v>2034</v>
      </c>
    </row>
    <row r="261" spans="7:9" ht="12.75">
      <c r="G261" s="114">
        <v>49065</v>
      </c>
      <c r="H261" s="122">
        <v>10.85299617864747</v>
      </c>
      <c r="I261" s="123">
        <f t="shared" si="6"/>
        <v>2034</v>
      </c>
    </row>
    <row r="262" spans="7:9" ht="12.75">
      <c r="G262" s="114">
        <v>49096</v>
      </c>
      <c r="H262" s="122">
        <v>10.893551790530266</v>
      </c>
      <c r="I262" s="123">
        <f t="shared" si="6"/>
        <v>2034</v>
      </c>
    </row>
    <row r="263" spans="7:9" ht="12.75">
      <c r="G263" s="114">
        <v>49126</v>
      </c>
      <c r="H263" s="122">
        <v>11.025357529149346</v>
      </c>
      <c r="I263" s="123">
        <f t="shared" si="6"/>
        <v>2034</v>
      </c>
    </row>
    <row r="264" spans="7:9" ht="12.75">
      <c r="G264" s="114">
        <v>49157</v>
      </c>
      <c r="H264" s="122">
        <v>11.07605204400284</v>
      </c>
      <c r="I264" s="123">
        <f t="shared" si="6"/>
        <v>2034</v>
      </c>
    </row>
    <row r="265" spans="7:9" ht="12.75">
      <c r="G265" s="114">
        <v>49188</v>
      </c>
      <c r="H265" s="122">
        <v>11.14702436479773</v>
      </c>
      <c r="I265" s="123">
        <f t="shared" si="6"/>
        <v>2034</v>
      </c>
    </row>
    <row r="266" spans="7:9" ht="12.75">
      <c r="G266" s="114">
        <v>49218</v>
      </c>
      <c r="H266" s="122">
        <v>11.228135588563319</v>
      </c>
      <c r="I266" s="123">
        <f t="shared" si="6"/>
        <v>2034</v>
      </c>
    </row>
    <row r="267" spans="7:9" ht="12.75">
      <c r="G267" s="114">
        <v>49249</v>
      </c>
      <c r="H267" s="122">
        <v>11.806053057893138</v>
      </c>
      <c r="I267" s="123">
        <f t="shared" si="6"/>
        <v>2034</v>
      </c>
    </row>
    <row r="268" spans="7:9" ht="12.75">
      <c r="G268" s="114">
        <v>49279</v>
      </c>
      <c r="H268" s="122">
        <v>11.887164281658725</v>
      </c>
      <c r="I268" s="123">
        <f t="shared" si="6"/>
        <v>2034</v>
      </c>
    </row>
    <row r="269" spans="7:9" ht="12.75">
      <c r="G269" s="114">
        <v>49310</v>
      </c>
      <c r="H269" s="122">
        <v>11.441052550947987</v>
      </c>
      <c r="I269" s="123">
        <f t="shared" si="6"/>
        <v>2035</v>
      </c>
    </row>
    <row r="270" spans="7:9" ht="12.75">
      <c r="G270" s="114">
        <v>49341</v>
      </c>
      <c r="H270" s="122">
        <v>11.512024871742877</v>
      </c>
      <c r="I270" s="123">
        <f t="shared" si="6"/>
        <v>2035</v>
      </c>
    </row>
    <row r="271" spans="7:9" ht="12.75">
      <c r="G271" s="114">
        <v>49369</v>
      </c>
      <c r="H271" s="122">
        <v>11.116607655885634</v>
      </c>
      <c r="I271" s="123">
        <f t="shared" si="6"/>
        <v>2035</v>
      </c>
    </row>
    <row r="272" spans="7:9" ht="12.75">
      <c r="G272" s="114">
        <v>49400</v>
      </c>
      <c r="H272" s="122">
        <v>10.99494082023725</v>
      </c>
      <c r="I272" s="123">
        <f t="shared" si="6"/>
        <v>2035</v>
      </c>
    </row>
    <row r="273" spans="7:9" ht="12.75">
      <c r="G273" s="114">
        <v>49430</v>
      </c>
      <c r="H273" s="122">
        <v>11.055774238061442</v>
      </c>
      <c r="I273" s="123">
        <f t="shared" si="6"/>
        <v>2035</v>
      </c>
    </row>
    <row r="274" spans="7:9" ht="12.75">
      <c r="G274" s="114">
        <v>49461</v>
      </c>
      <c r="H274" s="122">
        <v>11.096329849944237</v>
      </c>
      <c r="I274" s="123">
        <f t="shared" si="6"/>
        <v>2035</v>
      </c>
    </row>
    <row r="275" spans="7:9" ht="12.75">
      <c r="G275" s="114">
        <v>49491</v>
      </c>
      <c r="H275" s="122">
        <v>11.238274491534016</v>
      </c>
      <c r="I275" s="123">
        <f t="shared" si="6"/>
        <v>2035</v>
      </c>
    </row>
    <row r="276" spans="7:9" ht="12.75">
      <c r="G276" s="114">
        <v>49522</v>
      </c>
      <c r="H276" s="122">
        <v>11.28896900638751</v>
      </c>
      <c r="I276" s="123">
        <f t="shared" si="6"/>
        <v>2035</v>
      </c>
    </row>
    <row r="277" spans="7:9" ht="12.75">
      <c r="G277" s="114">
        <v>49553</v>
      </c>
      <c r="H277" s="122">
        <v>11.3599413271824</v>
      </c>
      <c r="I277" s="123">
        <f t="shared" si="6"/>
        <v>2035</v>
      </c>
    </row>
    <row r="278" spans="7:9" ht="12.75">
      <c r="G278" s="114">
        <v>49583</v>
      </c>
      <c r="H278" s="122">
        <v>11.441052550947987</v>
      </c>
      <c r="I278" s="123">
        <f t="shared" si="6"/>
        <v>2035</v>
      </c>
    </row>
    <row r="279" spans="7:9" ht="12.75">
      <c r="G279" s="114">
        <v>49614</v>
      </c>
      <c r="H279" s="122">
        <v>12.029108923248504</v>
      </c>
      <c r="I279" s="123">
        <f t="shared" si="6"/>
        <v>2035</v>
      </c>
    </row>
    <row r="280" spans="7:9" ht="12.75">
      <c r="G280" s="114">
        <v>49644</v>
      </c>
      <c r="H280" s="122">
        <v>12.110220147014093</v>
      </c>
      <c r="I280" s="123">
        <f t="shared" si="6"/>
        <v>2035</v>
      </c>
    </row>
    <row r="281" spans="7:9" ht="12.75">
      <c r="G281" s="114">
        <v>49675</v>
      </c>
      <c r="H281" s="122">
        <v>11.664108416303357</v>
      </c>
      <c r="I281" s="123">
        <f t="shared" si="6"/>
        <v>2036</v>
      </c>
    </row>
    <row r="282" spans="7:9" ht="12.75">
      <c r="G282" s="114">
        <v>49706</v>
      </c>
      <c r="H282" s="122">
        <v>11.724941834127549</v>
      </c>
      <c r="I282" s="123">
        <f t="shared" si="6"/>
        <v>2036</v>
      </c>
    </row>
    <row r="283" spans="7:9" ht="12.75">
      <c r="G283" s="114">
        <v>49735</v>
      </c>
      <c r="H283" s="122">
        <v>11.329524618270304</v>
      </c>
      <c r="I283" s="123">
        <f t="shared" si="6"/>
        <v>2036</v>
      </c>
    </row>
    <row r="284" spans="7:9" ht="12.75">
      <c r="G284" s="114">
        <v>49766</v>
      </c>
      <c r="H284" s="122">
        <v>11.207857782621922</v>
      </c>
      <c r="I284" s="123">
        <f t="shared" si="6"/>
        <v>2036</v>
      </c>
    </row>
    <row r="285" spans="7:9" ht="12.75">
      <c r="G285" s="114">
        <v>49796</v>
      </c>
      <c r="H285" s="122">
        <v>11.268691200446112</v>
      </c>
      <c r="I285" s="123">
        <f t="shared" si="6"/>
        <v>2036</v>
      </c>
    </row>
    <row r="286" spans="7:9" ht="12.75">
      <c r="G286" s="114">
        <v>49827</v>
      </c>
      <c r="H286" s="122">
        <v>11.309246812328906</v>
      </c>
      <c r="I286" s="123">
        <f t="shared" si="6"/>
        <v>2036</v>
      </c>
    </row>
    <row r="287" spans="7:9" ht="12.75">
      <c r="G287" s="114">
        <v>49857</v>
      </c>
      <c r="H287" s="122">
        <v>11.451191453918685</v>
      </c>
      <c r="I287" s="123">
        <f t="shared" si="6"/>
        <v>2036</v>
      </c>
    </row>
    <row r="288" spans="7:9" ht="12.75">
      <c r="G288" s="114">
        <v>49888</v>
      </c>
      <c r="H288" s="122">
        <v>11.501885968772179</v>
      </c>
      <c r="I288" s="123">
        <f t="shared" si="6"/>
        <v>2036</v>
      </c>
    </row>
    <row r="289" spans="7:9" ht="12.75">
      <c r="G289" s="114">
        <v>49919</v>
      </c>
      <c r="H289" s="122">
        <v>11.582997192537768</v>
      </c>
      <c r="I289" s="123">
        <f t="shared" si="6"/>
        <v>2036</v>
      </c>
    </row>
    <row r="290" spans="7:9" ht="12.75">
      <c r="G290" s="114">
        <v>49949</v>
      </c>
      <c r="H290" s="122">
        <v>11.653969513332658</v>
      </c>
      <c r="I290" s="123">
        <f t="shared" si="6"/>
        <v>2036</v>
      </c>
    </row>
    <row r="291" spans="7:9" ht="12.75">
      <c r="G291" s="114">
        <v>49980</v>
      </c>
      <c r="H291" s="122">
        <v>12.252164788603874</v>
      </c>
      <c r="I291" s="123">
        <f t="shared" si="6"/>
        <v>2036</v>
      </c>
    </row>
    <row r="292" spans="7:9" ht="12.75">
      <c r="G292" s="114">
        <v>50010</v>
      </c>
      <c r="H292" s="122">
        <v>12.34341491534016</v>
      </c>
      <c r="I292" s="123">
        <f t="shared" si="6"/>
        <v>2036</v>
      </c>
    </row>
    <row r="293" spans="7:9" ht="12.75">
      <c r="G293" s="174"/>
      <c r="H293" s="122"/>
      <c r="I293" s="123"/>
    </row>
    <row r="294" spans="7:9" ht="12.75">
      <c r="G294" s="174"/>
      <c r="H294" s="122"/>
      <c r="I294" s="123"/>
    </row>
    <row r="295" spans="7:9" ht="12.75">
      <c r="G295" s="174"/>
      <c r="H295" s="122"/>
      <c r="I295" s="123"/>
    </row>
    <row r="296" spans="7:9" ht="12.75">
      <c r="G296" s="174"/>
      <c r="H296" s="122"/>
      <c r="I296" s="123"/>
    </row>
    <row r="297" spans="7:9" ht="12.75">
      <c r="G297" s="174"/>
      <c r="H297" s="122"/>
      <c r="I297" s="123"/>
    </row>
    <row r="298" spans="7:9" ht="12.75">
      <c r="G298" s="174"/>
      <c r="H298" s="122"/>
      <c r="I298" s="123"/>
    </row>
    <row r="299" spans="7:9" ht="12.75">
      <c r="G299" s="174"/>
      <c r="H299" s="122"/>
      <c r="I299" s="123"/>
    </row>
    <row r="300" spans="7:9" ht="12.75">
      <c r="G300" s="174"/>
      <c r="H300" s="122"/>
      <c r="I300" s="123"/>
    </row>
    <row r="301" spans="7:9" ht="12.75">
      <c r="G301" s="174"/>
      <c r="H301" s="122"/>
      <c r="I301" s="123"/>
    </row>
    <row r="302" spans="7:9" ht="12.75">
      <c r="G302" s="174"/>
      <c r="H302" s="122"/>
      <c r="I302" s="123"/>
    </row>
    <row r="303" spans="7:9" ht="12.75">
      <c r="G303" s="174"/>
      <c r="H303" s="122"/>
      <c r="I303" s="123"/>
    </row>
    <row r="304" spans="7:9" ht="12.75">
      <c r="G304" s="174"/>
      <c r="H304" s="122"/>
      <c r="I304" s="123"/>
    </row>
    <row r="305" spans="7:9" ht="12.75">
      <c r="G305" s="174"/>
      <c r="H305" s="122"/>
      <c r="I305" s="123"/>
    </row>
    <row r="306" spans="7:9" ht="12.75">
      <c r="G306" s="174"/>
      <c r="H306" s="122"/>
      <c r="I306" s="123"/>
    </row>
    <row r="307" spans="7:9" ht="12.75">
      <c r="G307" s="174"/>
      <c r="H307" s="122"/>
      <c r="I307" s="123"/>
    </row>
    <row r="308" spans="7:9" ht="12.75">
      <c r="G308" s="174"/>
      <c r="H308" s="122"/>
      <c r="I308" s="123"/>
    </row>
    <row r="309" spans="7:9" ht="12.75">
      <c r="G309" s="174"/>
      <c r="H309" s="122"/>
      <c r="I309" s="123"/>
    </row>
    <row r="310" spans="7:9" ht="12.75">
      <c r="G310" s="174"/>
      <c r="H310" s="122"/>
      <c r="I310" s="123"/>
    </row>
    <row r="311" spans="7:9" ht="12.75">
      <c r="G311" s="174"/>
      <c r="H311" s="122"/>
      <c r="I311" s="123"/>
    </row>
    <row r="312" spans="7:9" ht="12.75">
      <c r="G312" s="174"/>
      <c r="H312" s="122"/>
      <c r="I312" s="123"/>
    </row>
    <row r="313" spans="7:9" ht="12.75">
      <c r="G313" s="174"/>
      <c r="H313" s="122"/>
      <c r="I313" s="123"/>
    </row>
    <row r="314" spans="7:9" ht="12.75">
      <c r="G314" s="174"/>
      <c r="H314" s="122"/>
      <c r="I314" s="123"/>
    </row>
    <row r="315" spans="7:9" ht="12.75">
      <c r="G315" s="174"/>
      <c r="H315" s="122"/>
      <c r="I315" s="123"/>
    </row>
    <row r="316" spans="7:9" ht="12.75">
      <c r="G316" s="174"/>
      <c r="H316" s="122"/>
      <c r="I316" s="123"/>
    </row>
    <row r="317" spans="7:9" ht="12.75">
      <c r="G317" s="174"/>
      <c r="H317" s="122"/>
      <c r="I317" s="123"/>
    </row>
    <row r="318" spans="7:9" ht="12.75">
      <c r="G318" s="174"/>
      <c r="H318" s="122"/>
      <c r="I318" s="123"/>
    </row>
    <row r="319" spans="7:9" ht="12.75">
      <c r="G319" s="174"/>
      <c r="H319" s="122"/>
      <c r="I319" s="123"/>
    </row>
    <row r="320" spans="7:9" ht="12.75">
      <c r="G320" s="174"/>
      <c r="H320" s="122"/>
      <c r="I320" s="123"/>
    </row>
    <row r="321" spans="7:9" ht="12.75">
      <c r="G321" s="174"/>
      <c r="H321" s="122"/>
      <c r="I321" s="123"/>
    </row>
    <row r="322" spans="7:9" ht="12.75">
      <c r="G322" s="174"/>
      <c r="H322" s="122"/>
      <c r="I322" s="123"/>
    </row>
    <row r="323" spans="7:9" ht="12.75">
      <c r="G323" s="174"/>
      <c r="H323" s="122"/>
      <c r="I323" s="123"/>
    </row>
    <row r="324" spans="7:9" ht="12.75">
      <c r="G324" s="174"/>
      <c r="H324" s="122"/>
      <c r="I324" s="123"/>
    </row>
    <row r="325" spans="7:9" ht="12.75">
      <c r="G325" s="174"/>
      <c r="H325" s="122"/>
      <c r="I325" s="123"/>
    </row>
    <row r="326" spans="7:9" ht="12.75">
      <c r="G326" s="174"/>
      <c r="H326" s="122"/>
      <c r="I326" s="123"/>
    </row>
    <row r="327" spans="7:9" ht="12.75">
      <c r="G327" s="174"/>
      <c r="H327" s="122"/>
      <c r="I327" s="123"/>
    </row>
    <row r="328" spans="7:9" ht="12.75">
      <c r="G328" s="174"/>
      <c r="H328" s="122"/>
      <c r="I328" s="123"/>
    </row>
    <row r="329" spans="7:9" ht="12.75">
      <c r="G329" s="174"/>
      <c r="H329" s="122"/>
      <c r="I329" s="123"/>
    </row>
    <row r="330" spans="7:9" ht="12.75">
      <c r="G330" s="174"/>
      <c r="H330" s="122"/>
      <c r="I330" s="123"/>
    </row>
    <row r="331" spans="7:9" ht="12.75">
      <c r="G331" s="174"/>
      <c r="H331" s="122"/>
      <c r="I331" s="123"/>
    </row>
    <row r="332" spans="7:9" ht="12.75">
      <c r="G332" s="174"/>
      <c r="H332" s="122"/>
      <c r="I332" s="123"/>
    </row>
    <row r="333" spans="7:9" ht="12.75">
      <c r="G333" s="174"/>
      <c r="H333" s="122"/>
      <c r="I333" s="123"/>
    </row>
    <row r="334" spans="7:9" ht="12.75">
      <c r="G334" s="174"/>
      <c r="H334" s="122"/>
      <c r="I334" s="123"/>
    </row>
    <row r="335" spans="7:9" ht="12.75">
      <c r="G335" s="174"/>
      <c r="H335" s="122"/>
      <c r="I335" s="123"/>
    </row>
    <row r="336" spans="7:9" ht="12.75">
      <c r="G336" s="174"/>
      <c r="H336" s="122"/>
      <c r="I336" s="123"/>
    </row>
    <row r="337" spans="7:9" ht="12.75">
      <c r="G337" s="174"/>
      <c r="H337" s="122"/>
      <c r="I337" s="123"/>
    </row>
    <row r="338" spans="7:9" ht="12.75">
      <c r="G338" s="174"/>
      <c r="H338" s="122"/>
      <c r="I338" s="123"/>
    </row>
    <row r="339" spans="7:9" ht="12.75">
      <c r="G339" s="174"/>
      <c r="H339" s="122"/>
      <c r="I339" s="123"/>
    </row>
    <row r="340" spans="7:9" ht="12.75">
      <c r="G340" s="174"/>
      <c r="H340" s="122"/>
      <c r="I340" s="123"/>
    </row>
    <row r="341" spans="7:9" ht="12.75">
      <c r="G341" s="174"/>
      <c r="H341" s="122"/>
      <c r="I341" s="123"/>
    </row>
    <row r="342" spans="7:9" ht="12.75">
      <c r="G342" s="174"/>
      <c r="H342" s="122"/>
      <c r="I342" s="123"/>
    </row>
    <row r="343" spans="7:9" ht="12.75">
      <c r="G343" s="174"/>
      <c r="H343" s="122"/>
      <c r="I343" s="123"/>
    </row>
    <row r="344" spans="7:9" ht="12.75">
      <c r="G344" s="174"/>
      <c r="H344" s="122"/>
      <c r="I344" s="123"/>
    </row>
    <row r="345" spans="7:9" ht="12.75">
      <c r="G345" s="174"/>
      <c r="H345" s="122"/>
      <c r="I345" s="123"/>
    </row>
    <row r="346" spans="7:9" ht="12.75">
      <c r="G346" s="174"/>
      <c r="H346" s="122"/>
      <c r="I346" s="123"/>
    </row>
  </sheetData>
  <sheetProtection/>
  <printOptions horizontalCentered="1"/>
  <pageMargins left="0.25" right="0.25" top="0.75" bottom="0.75" header="0.3" footer="0.2"/>
  <pageSetup fitToHeight="1" fitToWidth="1" horizontalDpi="600" verticalDpi="600" orientation="portrait" r:id="rId3"/>
  <headerFooter alignWithMargins="0">
    <oddFooter>&amp;L&amp;8NPC    &amp;F   (&amp;A)&amp;C&amp;8Page &amp;P of &amp;N&amp;R&amp;8&amp;D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PacifiCorp</dc:creator>
  <cp:keywords/>
  <dc:description/>
  <cp:lastModifiedBy>P20165</cp:lastModifiedBy>
  <cp:lastPrinted>2010-08-26T18:48:43Z</cp:lastPrinted>
  <dcterms:created xsi:type="dcterms:W3CDTF">2001-03-19T15:45:46Z</dcterms:created>
  <dcterms:modified xsi:type="dcterms:W3CDTF">2010-08-26T18:49:03Z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