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defaultThemeVersion="124226"/>
  <bookViews>
    <workbookView xWindow="30" yWindow="0" windowWidth="15480" windowHeight="11640" activeTab="1"/>
  </bookViews>
  <sheets>
    <sheet name="Total" sheetId="5" r:id="rId1"/>
    <sheet name="Incremental" sheetId="6" r:id="rId2"/>
    <sheet name="Energy" sheetId="3" r:id="rId3"/>
    <sheet name="Capacity" sheetId="2" r:id="rId4"/>
  </sheets>
  <definedNames>
    <definedName name="Discount_Rate">Total!$M$33</definedName>
    <definedName name="_xlnm.Print_Area" localSheetId="3">Capacity!$A$1:$J$39</definedName>
    <definedName name="_xlnm.Print_Area" localSheetId="2">Energy!$A$1:$K$39</definedName>
    <definedName name="_xlnm.Print_Area" localSheetId="1">Incremental!$A$1:$K$39</definedName>
    <definedName name="_xlnm.Print_Area" localSheetId="0">Total!$A$1:$K$39</definedName>
  </definedNames>
  <calcPr calcId="125725" calcOnSave="0"/>
</workbook>
</file>

<file path=xl/calcChain.xml><?xml version="1.0" encoding="utf-8"?>
<calcChain xmlns="http://schemas.openxmlformats.org/spreadsheetml/2006/main">
  <c r="B4" i="2"/>
  <c r="B3"/>
  <c r="B1"/>
  <c r="I8" i="6"/>
  <c r="I7"/>
  <c r="J8" i="5"/>
  <c r="J7"/>
  <c r="I8" l="1"/>
  <c r="I7"/>
  <c r="G8" i="2" l="1"/>
  <c r="B10" l="1"/>
  <c r="F10" s="1"/>
  <c r="B37" i="3"/>
  <c r="B37" i="6"/>
  <c r="G10" i="2" l="1"/>
  <c r="K33"/>
  <c r="F8"/>
  <c r="B11" l="1"/>
  <c r="G11" s="1"/>
  <c r="B32"/>
  <c r="B12" l="1"/>
  <c r="G12" s="1"/>
  <c r="B13" l="1"/>
  <c r="G13" s="1"/>
  <c r="B14" l="1"/>
  <c r="G14" s="1"/>
  <c r="B15" l="1"/>
  <c r="G15" s="1"/>
  <c r="B16" l="1"/>
  <c r="G16" s="1"/>
  <c r="B17" l="1"/>
  <c r="G17" s="1"/>
  <c r="B18" l="1"/>
  <c r="G18" s="1"/>
  <c r="B19" l="1"/>
  <c r="G19" s="1"/>
  <c r="B20" l="1"/>
  <c r="G20" s="1"/>
  <c r="B21" l="1"/>
  <c r="G21" s="1"/>
  <c r="B22" l="1"/>
  <c r="G22" s="1"/>
  <c r="B23" l="1"/>
  <c r="G23" s="1"/>
  <c r="B24" l="1"/>
  <c r="G24" s="1"/>
  <c r="B25" l="1"/>
  <c r="G25" s="1"/>
  <c r="B26" l="1"/>
  <c r="G26" s="1"/>
  <c r="B27" l="1"/>
  <c r="G27" s="1"/>
  <c r="B28" l="1"/>
  <c r="G28" s="1"/>
  <c r="B29" l="1"/>
  <c r="B33" l="1"/>
  <c r="B30"/>
  <c r="D33" l="1"/>
  <c r="G29"/>
  <c r="F8" i="6"/>
  <c r="E8"/>
  <c r="F7"/>
  <c r="E7"/>
  <c r="G8" i="5"/>
  <c r="F8"/>
  <c r="G7"/>
  <c r="F7"/>
  <c r="H8" i="6" l="1"/>
  <c r="G8"/>
  <c r="H7"/>
  <c r="G7"/>
  <c r="H8" i="5"/>
  <c r="H7"/>
  <c r="B32" l="1"/>
  <c r="B38" i="3"/>
  <c r="B36"/>
  <c r="B38" i="6"/>
  <c r="B39"/>
  <c r="B36"/>
  <c r="E8" i="5" l="1"/>
  <c r="D8"/>
  <c r="E7"/>
  <c r="D7"/>
  <c r="D8" i="6"/>
  <c r="M33" l="1"/>
  <c r="M33" i="3"/>
  <c r="B32" l="1"/>
  <c r="B32" i="6" l="1"/>
  <c r="C8" l="1"/>
  <c r="D7"/>
  <c r="C8" i="3"/>
  <c r="C7"/>
  <c r="B10"/>
  <c r="B10" i="6"/>
  <c r="B11" i="5"/>
  <c r="B3" i="3"/>
  <c r="B1"/>
  <c r="B3" i="6"/>
  <c r="B1"/>
  <c r="B4" i="3"/>
  <c r="B4" i="6"/>
  <c r="B11" l="1"/>
  <c r="B12" i="5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3" s="1"/>
  <c r="B11" i="3"/>
  <c r="B12" i="6" l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3" s="1"/>
  <c r="B30" i="5"/>
  <c r="B12" i="3"/>
  <c r="B30" i="6" l="1"/>
  <c r="B13" i="3"/>
  <c r="B14" l="1"/>
  <c r="B15" l="1"/>
  <c r="B16" l="1"/>
  <c r="B17" l="1"/>
  <c r="B18" l="1"/>
  <c r="B19" l="1"/>
  <c r="B20" l="1"/>
  <c r="B21" l="1"/>
  <c r="B22" l="1"/>
  <c r="B23" l="1"/>
  <c r="B24" s="1"/>
  <c r="B25" l="1"/>
  <c r="B26" l="1"/>
  <c r="B27" l="1"/>
  <c r="B28" l="1"/>
  <c r="B29" l="1"/>
  <c r="C33" s="1"/>
  <c r="B30" l="1"/>
  <c r="J30" i="5" s="1"/>
  <c r="B33" i="3"/>
  <c r="C7" i="6"/>
  <c r="C10" i="5" l="1"/>
  <c r="I10" i="2"/>
  <c r="C11" i="5"/>
  <c r="C12" l="1"/>
  <c r="C13" l="1"/>
  <c r="C14" l="1"/>
  <c r="C16" l="1"/>
  <c r="C15"/>
  <c r="C17" l="1"/>
  <c r="C18" l="1"/>
  <c r="C19" l="1"/>
  <c r="C20"/>
  <c r="C21" l="1"/>
  <c r="C22"/>
  <c r="C23" l="1"/>
  <c r="C24" l="1"/>
  <c r="C25"/>
  <c r="C26" l="1"/>
  <c r="C27"/>
  <c r="C28" l="1"/>
  <c r="G33" i="2"/>
  <c r="C29" i="5" l="1"/>
  <c r="C33" s="1"/>
  <c r="F11" i="2" l="1"/>
  <c r="F12" l="1"/>
  <c r="I11"/>
  <c r="F13" l="1"/>
  <c r="I12"/>
  <c r="I13" l="1"/>
  <c r="F27" l="1"/>
  <c r="F19"/>
  <c r="F26"/>
  <c r="F25"/>
  <c r="F23"/>
  <c r="F21"/>
  <c r="F18"/>
  <c r="F22"/>
  <c r="F16"/>
  <c r="F15"/>
  <c r="F24"/>
  <c r="F17"/>
  <c r="F20"/>
  <c r="F29"/>
  <c r="F28"/>
  <c r="I28" l="1"/>
  <c r="I20"/>
  <c r="I24"/>
  <c r="I16"/>
  <c r="I18"/>
  <c r="I21"/>
  <c r="I25"/>
  <c r="I19"/>
  <c r="F14"/>
  <c r="C33"/>
  <c r="I29"/>
  <c r="I17"/>
  <c r="I15"/>
  <c r="I22"/>
  <c r="G30" i="5"/>
  <c r="I23" i="2"/>
  <c r="I26"/>
  <c r="I27"/>
  <c r="I14" l="1"/>
  <c r="I33" s="1"/>
  <c r="F33"/>
  <c r="H30" i="5" l="1"/>
  <c r="G30" i="6" l="1"/>
  <c r="I30" i="5" l="1"/>
  <c r="H30" i="6" l="1"/>
  <c r="J30" s="1"/>
  <c r="I30"/>
  <c r="D22" i="5" l="1"/>
  <c r="C22" i="6" s="1"/>
  <c r="D21" i="5"/>
  <c r="C21" i="6" s="1"/>
  <c r="E21" i="5" l="1"/>
  <c r="D21" i="6" s="1"/>
  <c r="E22" i="5"/>
  <c r="D22" i="6" s="1"/>
  <c r="D23" i="5"/>
  <c r="C23" i="6" s="1"/>
  <c r="E23" i="5" l="1"/>
  <c r="D23" i="6" s="1"/>
  <c r="F22" i="5"/>
  <c r="E22" i="6" s="1"/>
  <c r="F21" i="5"/>
  <c r="E21" i="6" s="1"/>
  <c r="D28" i="5" l="1"/>
  <c r="C28" i="6" s="1"/>
  <c r="G21" i="5"/>
  <c r="F21" i="6" s="1"/>
  <c r="G22" i="5"/>
  <c r="F22" i="6" s="1"/>
  <c r="F23" i="5"/>
  <c r="E23" i="6" s="1"/>
  <c r="D24" i="5"/>
  <c r="C24" i="6" s="1"/>
  <c r="D26" i="5"/>
  <c r="C26" i="6" s="1"/>
  <c r="D29" i="5"/>
  <c r="C29" i="6" s="1"/>
  <c r="D25" i="5"/>
  <c r="C25" i="6" s="1"/>
  <c r="D27" i="5"/>
  <c r="C27" i="6" s="1"/>
  <c r="E27" i="5" l="1"/>
  <c r="D27" i="6" s="1"/>
  <c r="E25" i="5"/>
  <c r="D25" i="6" s="1"/>
  <c r="E29" i="5"/>
  <c r="D29" i="6" s="1"/>
  <c r="E26" i="5"/>
  <c r="D26" i="6" s="1"/>
  <c r="E24" i="5"/>
  <c r="D24" i="6" s="1"/>
  <c r="G23" i="5"/>
  <c r="F23" i="6" s="1"/>
  <c r="H22" i="5"/>
  <c r="G22" i="6" s="1"/>
  <c r="H21" i="5"/>
  <c r="G21" i="6" s="1"/>
  <c r="E28" i="5"/>
  <c r="D28" i="6" s="1"/>
  <c r="F28" i="5" l="1"/>
  <c r="E28" i="6" s="1"/>
  <c r="J21" i="5"/>
  <c r="I21"/>
  <c r="H21" i="6" s="1"/>
  <c r="J22" i="5"/>
  <c r="I22"/>
  <c r="H22" i="6" s="1"/>
  <c r="H23" i="5"/>
  <c r="G23" i="6" s="1"/>
  <c r="F24" i="5"/>
  <c r="E24" i="6" s="1"/>
  <c r="F26" i="5"/>
  <c r="E26" i="6" s="1"/>
  <c r="F29" i="5"/>
  <c r="E29" i="6" s="1"/>
  <c r="F25" i="5"/>
  <c r="E25" i="6" s="1"/>
  <c r="F27" i="5"/>
  <c r="E27" i="6" s="1"/>
  <c r="D20" i="5"/>
  <c r="C20" i="6" s="1"/>
  <c r="E20" i="5" l="1"/>
  <c r="D20" i="6" s="1"/>
  <c r="G27" i="5"/>
  <c r="F27" i="6" s="1"/>
  <c r="G25" i="5"/>
  <c r="F25" i="6" s="1"/>
  <c r="G29" i="5"/>
  <c r="F29" i="6" s="1"/>
  <c r="G26" i="5"/>
  <c r="F26" i="6" s="1"/>
  <c r="G24" i="5"/>
  <c r="F24" i="6" s="1"/>
  <c r="J23" i="5"/>
  <c r="I23"/>
  <c r="H23" i="6" s="1"/>
  <c r="J22"/>
  <c r="I22"/>
  <c r="J21"/>
  <c r="I21"/>
  <c r="G28" i="5"/>
  <c r="F28" i="6" s="1"/>
  <c r="D12" i="5" l="1"/>
  <c r="C12" i="6" s="1"/>
  <c r="D11" i="5"/>
  <c r="C11" i="6" s="1"/>
  <c r="H28" i="5"/>
  <c r="G28" i="6" s="1"/>
  <c r="I23"/>
  <c r="J23"/>
  <c r="H24" i="5"/>
  <c r="G24" i="6" s="1"/>
  <c r="H26" i="5"/>
  <c r="G26" i="6" s="1"/>
  <c r="H29" i="5"/>
  <c r="G29" i="6" s="1"/>
  <c r="H25" i="5"/>
  <c r="G25" i="6" s="1"/>
  <c r="H27" i="5"/>
  <c r="G27" i="6" s="1"/>
  <c r="F20" i="5"/>
  <c r="E20" i="6" s="1"/>
  <c r="D13" i="5" l="1"/>
  <c r="C13" i="6" s="1"/>
  <c r="G20" i="5"/>
  <c r="F20" i="6" s="1"/>
  <c r="J27" i="5"/>
  <c r="I27"/>
  <c r="H27" i="6" s="1"/>
  <c r="J25" i="5"/>
  <c r="I25"/>
  <c r="H25" i="6" s="1"/>
  <c r="J29" i="5"/>
  <c r="I29"/>
  <c r="H29" i="6" s="1"/>
  <c r="J26" i="5"/>
  <c r="I26"/>
  <c r="H26" i="6" s="1"/>
  <c r="J24" i="5"/>
  <c r="I24"/>
  <c r="H24" i="6" s="1"/>
  <c r="J28" i="5"/>
  <c r="I28"/>
  <c r="H28" i="6" s="1"/>
  <c r="E11" i="5"/>
  <c r="D11" i="6" s="1"/>
  <c r="E12" i="5"/>
  <c r="D12" i="6" s="1"/>
  <c r="D14" i="5" l="1"/>
  <c r="C14" i="6" s="1"/>
  <c r="D17" i="5"/>
  <c r="C17" i="6" s="1"/>
  <c r="D16" i="5"/>
  <c r="C16" i="6" s="1"/>
  <c r="D18" i="5"/>
  <c r="C18" i="6" s="1"/>
  <c r="D19" i="5"/>
  <c r="C19" i="6" s="1"/>
  <c r="F12" i="5"/>
  <c r="E12" i="6" s="1"/>
  <c r="F11" i="5"/>
  <c r="E11" i="6" s="1"/>
  <c r="I28"/>
  <c r="J28"/>
  <c r="I24"/>
  <c r="J24"/>
  <c r="I26"/>
  <c r="J26"/>
  <c r="I29"/>
  <c r="J29"/>
  <c r="I25"/>
  <c r="J25"/>
  <c r="I27"/>
  <c r="J27"/>
  <c r="H20" i="5"/>
  <c r="G20" i="6" s="1"/>
  <c r="E13" i="5"/>
  <c r="D13" i="6" s="1"/>
  <c r="D15" i="5"/>
  <c r="C15" i="6" s="1"/>
  <c r="E15" i="5" l="1"/>
  <c r="D15" i="6" s="1"/>
  <c r="F13" i="5"/>
  <c r="E13" i="6" s="1"/>
  <c r="J20" i="5"/>
  <c r="I20"/>
  <c r="H20" i="6" s="1"/>
  <c r="G11" i="5"/>
  <c r="F11" i="6" s="1"/>
  <c r="G12" i="5"/>
  <c r="F12" i="6" s="1"/>
  <c r="E19" i="5"/>
  <c r="D19" i="6" s="1"/>
  <c r="E18" i="5"/>
  <c r="D18" i="6" s="1"/>
  <c r="E16" i="5"/>
  <c r="D16" i="6" s="1"/>
  <c r="E17" i="5"/>
  <c r="D17" i="6" s="1"/>
  <c r="E14" i="5"/>
  <c r="D14" i="6" s="1"/>
  <c r="F14" i="5" l="1"/>
  <c r="E14" i="6" s="1"/>
  <c r="F17" i="5"/>
  <c r="E17" i="6" s="1"/>
  <c r="F16" i="5"/>
  <c r="E16" i="6" s="1"/>
  <c r="F18" i="5"/>
  <c r="E18" i="6" s="1"/>
  <c r="F19" i="5"/>
  <c r="E19" i="6" s="1"/>
  <c r="H12" i="5"/>
  <c r="G12" i="6" s="1"/>
  <c r="H11" i="5"/>
  <c r="G11" i="6" s="1"/>
  <c r="J20"/>
  <c r="I20"/>
  <c r="G13" i="5"/>
  <c r="F13" i="6" s="1"/>
  <c r="F15" i="5"/>
  <c r="E15" i="6" s="1"/>
  <c r="G15" i="5" l="1"/>
  <c r="F15" i="6" s="1"/>
  <c r="H13" i="5"/>
  <c r="G13" i="6" s="1"/>
  <c r="J11" i="5"/>
  <c r="I11"/>
  <c r="H11" i="6" s="1"/>
  <c r="J12" i="5"/>
  <c r="I12"/>
  <c r="H12" i="6" s="1"/>
  <c r="G19" i="5"/>
  <c r="F19" i="6" s="1"/>
  <c r="G18" i="5"/>
  <c r="F18" i="6" s="1"/>
  <c r="G16" i="5"/>
  <c r="F16" i="6" s="1"/>
  <c r="G17" i="5"/>
  <c r="F17" i="6" s="1"/>
  <c r="G14" i="5"/>
  <c r="F14" i="6" s="1"/>
  <c r="D33" i="3"/>
  <c r="D10" i="5"/>
  <c r="C10" i="6" l="1"/>
  <c r="D33" i="5"/>
  <c r="C33" i="6" s="1"/>
  <c r="E10" i="5"/>
  <c r="E33" i="3"/>
  <c r="H14" i="5"/>
  <c r="G14" i="6" s="1"/>
  <c r="H17" i="5"/>
  <c r="G17" i="6" s="1"/>
  <c r="H16" i="5"/>
  <c r="G16" i="6" s="1"/>
  <c r="H18" i="5"/>
  <c r="G18" i="6" s="1"/>
  <c r="H19" i="5"/>
  <c r="G19" i="6" s="1"/>
  <c r="I12"/>
  <c r="J12"/>
  <c r="I11"/>
  <c r="J11"/>
  <c r="J13" i="5"/>
  <c r="I13"/>
  <c r="H13" i="6" s="1"/>
  <c r="H15" i="5"/>
  <c r="G15" i="6" s="1"/>
  <c r="F33" i="3" l="1"/>
  <c r="F10" i="5"/>
  <c r="J15"/>
  <c r="I15"/>
  <c r="H15" i="6" s="1"/>
  <c r="J13"/>
  <c r="I13"/>
  <c r="J19" i="5"/>
  <c r="I19"/>
  <c r="H19" i="6" s="1"/>
  <c r="J18" i="5"/>
  <c r="I18"/>
  <c r="H18" i="6" s="1"/>
  <c r="J16" i="5"/>
  <c r="I16"/>
  <c r="H16" i="6" s="1"/>
  <c r="J17" i="5"/>
  <c r="I17"/>
  <c r="H17" i="6" s="1"/>
  <c r="J14" i="5"/>
  <c r="I14"/>
  <c r="H14" i="6" s="1"/>
  <c r="E33" i="5"/>
  <c r="D33" i="6" s="1"/>
  <c r="D10"/>
  <c r="F33" i="5" l="1"/>
  <c r="E33" i="6" s="1"/>
  <c r="E10"/>
  <c r="G33" i="3"/>
  <c r="G10" i="5"/>
  <c r="I14" i="6"/>
  <c r="J14"/>
  <c r="J17"/>
  <c r="I17"/>
  <c r="I16"/>
  <c r="J16"/>
  <c r="J18"/>
  <c r="I18"/>
  <c r="J19"/>
  <c r="I19"/>
  <c r="J15"/>
  <c r="I15"/>
  <c r="G33" i="5" l="1"/>
  <c r="F33" i="6" s="1"/>
  <c r="F10"/>
  <c r="H33" i="3"/>
  <c r="H10" i="5"/>
  <c r="G10" i="6" l="1"/>
  <c r="H33" i="5"/>
  <c r="G33" i="6" s="1"/>
  <c r="I10" i="5"/>
  <c r="I33" i="3"/>
  <c r="I33" i="5" l="1"/>
  <c r="H33" i="6" s="1"/>
  <c r="H10"/>
  <c r="J33" i="3"/>
  <c r="J10" i="5"/>
  <c r="I10" i="6" l="1"/>
  <c r="J10"/>
  <c r="J33" i="5"/>
  <c r="I33" i="6" l="1"/>
  <c r="J33"/>
</calcChain>
</file>

<file path=xl/sharedStrings.xml><?xml version="1.0" encoding="utf-8"?>
<sst xmlns="http://schemas.openxmlformats.org/spreadsheetml/2006/main" count="55" uniqueCount="39">
  <si>
    <t>Year</t>
  </si>
  <si>
    <t>Discount Rate</t>
  </si>
  <si>
    <t>Utah Quarterly Compliance Filing</t>
  </si>
  <si>
    <t>$/kW-Year</t>
  </si>
  <si>
    <t xml:space="preserve">(1)   Capacity costs are allocated assuming an 85% capacity factor. </t>
  </si>
  <si>
    <t>Appendix C</t>
  </si>
  <si>
    <t>Total</t>
  </si>
  <si>
    <t>Change</t>
  </si>
  <si>
    <t>Difference</t>
  </si>
  <si>
    <t>GRID Calculated Energy Avoided Cost Prices $/MWH (1)</t>
  </si>
  <si>
    <t>As Filed</t>
  </si>
  <si>
    <t>$/MWH  (1)</t>
  </si>
  <si>
    <t>$/MWH</t>
  </si>
  <si>
    <t>Capacity Avoided Cost Prices</t>
  </si>
  <si>
    <t>Official Forward</t>
  </si>
  <si>
    <t>Price Curve (2)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</si>
  <si>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</si>
  <si>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</si>
  <si>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</si>
  <si>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 xml:space="preserve"> </t>
  </si>
  <si>
    <t>Topology</t>
  </si>
  <si>
    <t>Load Forecast</t>
  </si>
  <si>
    <t>Update</t>
  </si>
  <si>
    <t>Coal</t>
  </si>
  <si>
    <t>Forecast</t>
  </si>
  <si>
    <t>2011.Q3</t>
  </si>
  <si>
    <t>Sept 2011</t>
  </si>
  <si>
    <t>2011 Q3</t>
  </si>
  <si>
    <t>(2)   Official Forward Price Curve Dated September 30, 2011</t>
  </si>
  <si>
    <t>2011.Q4</t>
  </si>
  <si>
    <t>Hydro</t>
  </si>
  <si>
    <t>(3)   2011 IRP Discount Rate</t>
  </si>
  <si>
    <t>2011 IRP</t>
  </si>
  <si>
    <t>(2)   2011 IRP Discount Rate</t>
  </si>
  <si>
    <t>Reserves</t>
  </si>
  <si>
    <t>Step Study between 2011.Q3 and 2011.Q4 Compliance Filing</t>
  </si>
  <si>
    <t>All Other</t>
  </si>
  <si>
    <t>Changes</t>
  </si>
  <si>
    <t>(1)   Studies are estimates and are sequential.  The order of the studies would effect the price impact.</t>
  </si>
</sst>
</file>

<file path=xl/styles.xml><?xml version="1.0" encoding="utf-8"?>
<styleSheet xmlns="http://schemas.openxmlformats.org/spreadsheetml/2006/main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_(* #,##0.00_);_(* \(#,##0.00\);_(* &quot;-&quot;_);_(@_)"/>
    <numFmt numFmtId="166" formatCode="_(* #,##0_);[Red]_(* \(#,##0\);_(* &quot;-&quot;_);_(@_)"/>
    <numFmt numFmtId="167" formatCode="_(&quot;$&quot;* #,##0.00_);[Red]_(&quot;$&quot;* \(#,##0.00\);_(&quot;$&quot;* &quot;-&quot;?_);_(@_)"/>
    <numFmt numFmtId="168" formatCode="_(* #,##0.00_);[Red]_(* \(#,##0.00\);_(* &quot;-&quot;_);_(@_)"/>
    <numFmt numFmtId="169" formatCode="_(&quot;$&quot;\ #,##0.00_);[Red]_(&quot;$&quot;\ \(#,##0.00\);_(\ &quot;-&quot;?_);_(@_)"/>
    <numFmt numFmtId="170" formatCode="_(* #,##0.000_);[Red]_(* \(#,##0.000\);_(* &quot;-&quot;_);_(@_)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166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43">
    <xf numFmtId="166" fontId="0" fillId="0" borderId="0" xfId="0"/>
    <xf numFmtId="166" fontId="4" fillId="0" borderId="0" xfId="0" applyFont="1"/>
    <xf numFmtId="166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4" fillId="0" borderId="0" xfId="0" applyFont="1" applyFill="1"/>
    <xf numFmtId="7" fontId="4" fillId="0" borderId="2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1" fontId="1" fillId="0" borderId="0" xfId="2" applyNumberFormat="1" applyFill="1" applyAlignment="1" applyProtection="1">
      <alignment horizontal="center"/>
      <protection locked="0"/>
    </xf>
    <xf numFmtId="166" fontId="3" fillId="0" borderId="0" xfId="0" applyFont="1" applyAlignment="1">
      <alignment horizontal="centerContinuous"/>
    </xf>
    <xf numFmtId="166" fontId="3" fillId="0" borderId="3" xfId="0" applyFont="1" applyBorder="1"/>
    <xf numFmtId="166" fontId="3" fillId="0" borderId="4" xfId="0" applyFont="1" applyBorder="1" applyAlignment="1">
      <alignment horizontal="center"/>
    </xf>
    <xf numFmtId="166" fontId="3" fillId="0" borderId="5" xfId="0" applyFont="1" applyBorder="1" applyAlignment="1">
      <alignment horizontal="center"/>
    </xf>
    <xf numFmtId="10" fontId="4" fillId="0" borderId="0" xfId="0" applyNumberFormat="1" applyFont="1"/>
    <xf numFmtId="166" fontId="4" fillId="0" borderId="0" xfId="0" quotePrefix="1" applyFont="1"/>
    <xf numFmtId="166" fontId="4" fillId="0" borderId="0" xfId="0" applyFont="1" applyAlignment="1">
      <alignment horizontal="centerContinuous"/>
    </xf>
    <xf numFmtId="166" fontId="3" fillId="0" borderId="3" xfId="0" applyFont="1" applyBorder="1" applyAlignment="1">
      <alignment horizontal="centerContinuous"/>
    </xf>
    <xf numFmtId="166" fontId="3" fillId="0" borderId="5" xfId="0" applyFont="1" applyBorder="1" applyAlignment="1">
      <alignment horizontal="centerContinuous"/>
    </xf>
    <xf numFmtId="7" fontId="4" fillId="0" borderId="0" xfId="0" applyNumberFormat="1" applyFont="1"/>
    <xf numFmtId="166" fontId="4" fillId="0" borderId="0" xfId="0" applyFont="1" applyAlignment="1">
      <alignment horizontal="center"/>
    </xf>
    <xf numFmtId="166" fontId="3" fillId="0" borderId="2" xfId="0" applyFont="1" applyBorder="1" applyAlignment="1">
      <alignment horizontal="center"/>
    </xf>
    <xf numFmtId="166" fontId="3" fillId="0" borderId="6" xfId="0" applyFont="1" applyBorder="1" applyAlignment="1">
      <alignment horizontal="center"/>
    </xf>
    <xf numFmtId="167" fontId="4" fillId="0" borderId="0" xfId="0" applyNumberFormat="1" applyFont="1"/>
    <xf numFmtId="165" fontId="4" fillId="0" borderId="0" xfId="0" applyNumberFormat="1" applyFont="1"/>
    <xf numFmtId="7" fontId="4" fillId="0" borderId="0" xfId="0" applyNumberFormat="1" applyFont="1" applyAlignment="1">
      <alignment horizontal="center"/>
    </xf>
    <xf numFmtId="164" fontId="4" fillId="0" borderId="0" xfId="3" applyNumberFormat="1" applyFont="1"/>
    <xf numFmtId="168" fontId="4" fillId="0" borderId="0" xfId="0" applyNumberFormat="1" applyFont="1"/>
    <xf numFmtId="166" fontId="3" fillId="0" borderId="5" xfId="0" applyFont="1" applyFill="1" applyBorder="1" applyAlignment="1">
      <alignment horizontal="center"/>
    </xf>
    <xf numFmtId="166" fontId="3" fillId="0" borderId="1" xfId="0" applyFont="1" applyFill="1" applyBorder="1" applyAlignment="1">
      <alignment horizontal="center"/>
    </xf>
    <xf numFmtId="166" fontId="3" fillId="0" borderId="2" xfId="0" applyFont="1" applyBorder="1" applyAlignment="1">
      <alignment horizontal="centerContinuous"/>
    </xf>
    <xf numFmtId="166" fontId="4" fillId="0" borderId="0" xfId="0" applyFont="1" applyFill="1" applyAlignment="1">
      <alignment horizontal="center"/>
    </xf>
    <xf numFmtId="166" fontId="4" fillId="0" borderId="0" xfId="0" applyFont="1" applyFill="1" applyAlignment="1"/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/>
    <xf numFmtId="166" fontId="3" fillId="0" borderId="1" xfId="0" quotePrefix="1" applyFont="1" applyBorder="1" applyAlignment="1">
      <alignment horizontal="center"/>
    </xf>
    <xf numFmtId="166" fontId="3" fillId="0" borderId="3" xfId="0" applyFont="1" applyFill="1" applyBorder="1"/>
    <xf numFmtId="166" fontId="3" fillId="0" borderId="4" xfId="0" applyFont="1" applyFill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66" fontId="4" fillId="0" borderId="0" xfId="0" quotePrefix="1" applyFont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2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</cellXfs>
  <cellStyles count="4">
    <cellStyle name="Input" xfId="1" builtinId="20" customBuiltin="1"/>
    <cellStyle name="Normal" xfId="0" builtinId="0" customBuiltin="1"/>
    <cellStyle name="Normal_T-INF-10-15-04-TEMPLATE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2"/>
    <pageSetUpPr fitToPage="1"/>
  </sheetPr>
  <dimension ref="B1:R39"/>
  <sheetViews>
    <sheetView zoomScale="85" zoomScaleNormal="85" workbookViewId="0">
      <pane xSplit="2" ySplit="6" topLeftCell="C7" activePane="bottomRight" state="frozen"/>
      <selection sqref="A1:L39"/>
      <selection pane="topRight" sqref="A1:L39"/>
      <selection pane="bottomLeft" sqref="A1:L39"/>
      <selection pane="bottomRight" activeCell="E14" sqref="E14"/>
    </sheetView>
  </sheetViews>
  <sheetFormatPr defaultRowHeight="15"/>
  <cols>
    <col min="1" max="1" width="1.85546875" style="1" customWidth="1"/>
    <col min="2" max="2" width="14.42578125" style="1" customWidth="1"/>
    <col min="3" max="10" width="18.85546875" style="1" customWidth="1"/>
    <col min="11" max="11" width="2.42578125" style="1" customWidth="1"/>
    <col min="12" max="12" width="9.140625" style="1" customWidth="1"/>
    <col min="13" max="13" width="9.140625" style="1" hidden="1" customWidth="1"/>
    <col min="14" max="16" width="9.140625" style="1"/>
    <col min="17" max="17" width="10.28515625" style="1" customWidth="1"/>
    <col min="18" max="16384" width="9.140625" style="1"/>
  </cols>
  <sheetData>
    <row r="1" spans="2:18" ht="15.75">
      <c r="B1" s="8" t="s">
        <v>5</v>
      </c>
      <c r="C1" s="8"/>
      <c r="D1" s="8"/>
      <c r="E1" s="8"/>
      <c r="F1" s="8"/>
      <c r="G1" s="8"/>
      <c r="H1" s="8"/>
      <c r="I1" s="8"/>
      <c r="J1" s="8"/>
    </row>
    <row r="2" spans="2:18" ht="8.25" customHeight="1">
      <c r="B2" s="8"/>
      <c r="C2" s="8"/>
      <c r="D2" s="8"/>
      <c r="E2" s="8"/>
      <c r="F2" s="8"/>
      <c r="G2" s="8"/>
      <c r="H2" s="8"/>
      <c r="I2" s="8"/>
      <c r="J2" s="8"/>
    </row>
    <row r="3" spans="2:18" ht="15.75">
      <c r="B3" s="8" t="s">
        <v>2</v>
      </c>
      <c r="C3" s="8"/>
      <c r="D3" s="8"/>
      <c r="E3" s="8"/>
      <c r="F3" s="8"/>
      <c r="G3" s="8"/>
      <c r="H3" s="8"/>
      <c r="I3" s="8"/>
      <c r="J3" s="8"/>
    </row>
    <row r="4" spans="2:18" ht="15.75">
      <c r="B4" s="8" t="s">
        <v>35</v>
      </c>
      <c r="C4" s="8"/>
      <c r="D4" s="8"/>
      <c r="E4" s="8"/>
      <c r="F4" s="8"/>
      <c r="G4" s="8"/>
      <c r="H4" s="8"/>
      <c r="I4" s="8"/>
      <c r="J4" s="8"/>
    </row>
    <row r="5" spans="2:18" ht="15.75">
      <c r="B5" s="8" t="s">
        <v>17</v>
      </c>
      <c r="C5" s="8"/>
      <c r="D5" s="8"/>
      <c r="E5" s="8"/>
      <c r="F5" s="8"/>
      <c r="G5" s="8"/>
      <c r="H5" s="8"/>
      <c r="I5" s="8"/>
      <c r="J5" s="8"/>
    </row>
    <row r="6" spans="2:18" ht="15.75">
      <c r="B6" s="8"/>
      <c r="C6" s="8"/>
      <c r="D6" s="8"/>
      <c r="E6" s="8"/>
      <c r="F6" s="8"/>
      <c r="G6" s="8"/>
      <c r="H6" s="8" t="s">
        <v>19</v>
      </c>
      <c r="I6" s="8" t="s">
        <v>19</v>
      </c>
      <c r="J6" s="8" t="s">
        <v>19</v>
      </c>
    </row>
    <row r="7" spans="2:18" ht="15.75">
      <c r="B7" s="9"/>
      <c r="C7" s="11" t="s">
        <v>27</v>
      </c>
      <c r="D7" s="11" t="str">
        <f>Energy!D7</f>
        <v>Load Forecast</v>
      </c>
      <c r="E7" s="11" t="str">
        <f>Energy!E7</f>
        <v>Official Forward</v>
      </c>
      <c r="F7" s="11" t="str">
        <f>Energy!F7</f>
        <v>Coal</v>
      </c>
      <c r="G7" s="11" t="str">
        <f>Energy!G7</f>
        <v>Hydro</v>
      </c>
      <c r="H7" s="11" t="str">
        <f>Energy!H7</f>
        <v>Topology</v>
      </c>
      <c r="I7" s="11" t="str">
        <f>Energy!I7</f>
        <v>Reserves</v>
      </c>
      <c r="J7" s="11" t="str">
        <f>Energy!J7</f>
        <v>All Other</v>
      </c>
    </row>
    <row r="8" spans="2:18" ht="15.75">
      <c r="B8" s="10" t="s">
        <v>0</v>
      </c>
      <c r="C8" s="2" t="s">
        <v>10</v>
      </c>
      <c r="D8" s="2" t="str">
        <f>Energy!D8</f>
        <v>Sept 2011</v>
      </c>
      <c r="E8" s="2" t="str">
        <f>Energy!E8</f>
        <v>Price Curve (2)</v>
      </c>
      <c r="F8" s="2" t="str">
        <f>Energy!F8</f>
        <v>Forecast</v>
      </c>
      <c r="G8" s="2" t="str">
        <f>Energy!G8</f>
        <v>Forecast</v>
      </c>
      <c r="H8" s="2" t="str">
        <f>Energy!H8</f>
        <v>Update</v>
      </c>
      <c r="I8" s="2" t="str">
        <f>Energy!I8</f>
        <v xml:space="preserve"> </v>
      </c>
      <c r="J8" s="2" t="str">
        <f>Energy!J8</f>
        <v>Changes</v>
      </c>
    </row>
    <row r="9" spans="2:18" ht="4.5" customHeight="1"/>
    <row r="10" spans="2:18" ht="15.75">
      <c r="B10" s="3">
        <v>2012</v>
      </c>
      <c r="C10" s="41">
        <f>ROUND(Capacity!$G10+Energy!C10,2)</f>
        <v>34.25</v>
      </c>
      <c r="D10" s="41">
        <f>ROUND(Capacity!$G10+Energy!D10,2)</f>
        <v>33.97</v>
      </c>
      <c r="E10" s="41">
        <f>ROUND(Capacity!$F10+Energy!E10,2)</f>
        <v>30.47</v>
      </c>
      <c r="F10" s="41">
        <f>ROUND(Capacity!$F10+Energy!F10,2)</f>
        <v>30.47</v>
      </c>
      <c r="G10" s="41">
        <f>ROUND(Capacity!$F10+Energy!G10,2)</f>
        <v>30.26</v>
      </c>
      <c r="H10" s="41">
        <f>ROUND(Capacity!$F10+Energy!H10,2)</f>
        <v>30.97</v>
      </c>
      <c r="I10" s="41">
        <f>ROUND(Capacity!$F10+Energy!I10,2)</f>
        <v>31.3</v>
      </c>
      <c r="J10" s="41">
        <f>ROUND(Capacity!$F10+Energy!J10,2)</f>
        <v>30.67</v>
      </c>
    </row>
    <row r="11" spans="2:18" ht="15.75">
      <c r="B11" s="3">
        <f t="shared" ref="B11:B30" si="0">B10+1</f>
        <v>2013</v>
      </c>
      <c r="C11" s="41">
        <f>ROUND(Capacity!$G11+Energy!C11,2)</f>
        <v>36.54</v>
      </c>
      <c r="D11" s="41">
        <f>ROUND(Capacity!$G11+Energy!D11,2)</f>
        <v>36.21</v>
      </c>
      <c r="E11" s="41">
        <f>ROUND(Capacity!$F11+Energy!E11,2)</f>
        <v>34.799999999999997</v>
      </c>
      <c r="F11" s="41">
        <f>ROUND(Capacity!$F11+Energy!F11,2)</f>
        <v>34.79</v>
      </c>
      <c r="G11" s="41">
        <f>ROUND(Capacity!$F11+Energy!G11,2)</f>
        <v>34.46</v>
      </c>
      <c r="H11" s="41">
        <f>ROUND(Capacity!$F11+Energy!H11,2)</f>
        <v>35.65</v>
      </c>
      <c r="I11" s="41">
        <f>ROUND(Capacity!$F11+Energy!I11,2)</f>
        <v>36.299999999999997</v>
      </c>
      <c r="J11" s="41">
        <f>ROUND(Capacity!$F11+Energy!J11,2)</f>
        <v>35.18</v>
      </c>
    </row>
    <row r="12" spans="2:18" ht="15.75">
      <c r="B12" s="3">
        <f t="shared" si="0"/>
        <v>2014</v>
      </c>
      <c r="C12" s="41">
        <f>ROUND(Capacity!$G12+Energy!C12,2)</f>
        <v>38.57</v>
      </c>
      <c r="D12" s="41">
        <f>ROUND(Capacity!$G12+Energy!D12,2)</f>
        <v>38.74</v>
      </c>
      <c r="E12" s="41">
        <f>ROUND(Capacity!$F12+Energy!E12,2)</f>
        <v>37.5</v>
      </c>
      <c r="F12" s="41">
        <f>ROUND(Capacity!$F12+Energy!F12,2)</f>
        <v>37.51</v>
      </c>
      <c r="G12" s="41">
        <f>ROUND(Capacity!$F12+Energy!G12,2)</f>
        <v>36.96</v>
      </c>
      <c r="H12" s="41">
        <f>ROUND(Capacity!$F12+Energy!H12,2)</f>
        <v>38.1</v>
      </c>
      <c r="I12" s="41">
        <f>ROUND(Capacity!$F12+Energy!I12,2)</f>
        <v>38.61</v>
      </c>
      <c r="J12" s="41">
        <f>ROUND(Capacity!$F12+Energy!J12,2)</f>
        <v>37.26</v>
      </c>
    </row>
    <row r="13" spans="2:18" ht="15.75">
      <c r="B13" s="3">
        <f t="shared" si="0"/>
        <v>2015</v>
      </c>
      <c r="C13" s="41">
        <f>ROUND(Capacity!$G13+Energy!C13,2)</f>
        <v>39.44</v>
      </c>
      <c r="D13" s="41">
        <f>ROUND(Capacity!$G13+Energy!D13,2)</f>
        <v>39.76</v>
      </c>
      <c r="E13" s="41">
        <f>ROUND(Capacity!$F13+Energy!E13,2)</f>
        <v>38.75</v>
      </c>
      <c r="F13" s="41">
        <f>ROUND(Capacity!$F13+Energy!F13,2)</f>
        <v>38.729999999999997</v>
      </c>
      <c r="G13" s="41">
        <f>ROUND(Capacity!$F13+Energy!G13,2)</f>
        <v>38.99</v>
      </c>
      <c r="H13" s="41">
        <f>ROUND(Capacity!$F13+Energy!H13,2)</f>
        <v>40.020000000000003</v>
      </c>
      <c r="I13" s="41">
        <f>ROUND(Capacity!$F13+Energy!I13,2)</f>
        <v>40.01</v>
      </c>
      <c r="J13" s="41">
        <f>ROUND(Capacity!$F13+Energy!J13,2)</f>
        <v>38.24</v>
      </c>
      <c r="R13" s="7"/>
    </row>
    <row r="14" spans="2:18" ht="15.75">
      <c r="B14" s="3">
        <f t="shared" si="0"/>
        <v>2016</v>
      </c>
      <c r="C14" s="41">
        <f>ROUND(Capacity!$G14+Energy!C14,2)</f>
        <v>47.29</v>
      </c>
      <c r="D14" s="41">
        <f>ROUND(Capacity!$G14+Energy!D14,2)</f>
        <v>47.26</v>
      </c>
      <c r="E14" s="41">
        <f>ROUND(Capacity!$F14+Energy!E14,2)</f>
        <v>46.73</v>
      </c>
      <c r="F14" s="41">
        <f>ROUND(Capacity!$F14+Energy!F14,2)</f>
        <v>46.72</v>
      </c>
      <c r="G14" s="41">
        <f>ROUND(Capacity!$F14+Energy!G14,2)</f>
        <v>46.26</v>
      </c>
      <c r="H14" s="41">
        <f>ROUND(Capacity!$F14+Energy!H14,2)</f>
        <v>47.65</v>
      </c>
      <c r="I14" s="41">
        <f>ROUND(Capacity!$F14+Energy!I14,2)</f>
        <v>47.43</v>
      </c>
      <c r="J14" s="41">
        <f>ROUND(Capacity!$F14+Energy!J14,2)</f>
        <v>45.88</v>
      </c>
    </row>
    <row r="15" spans="2:18" ht="15.75">
      <c r="B15" s="3">
        <f t="shared" si="0"/>
        <v>2017</v>
      </c>
      <c r="C15" s="41">
        <f>ROUND(Capacity!$G15+Energy!C15,2)</f>
        <v>55.89</v>
      </c>
      <c r="D15" s="41">
        <f>ROUND(Capacity!$G15+Energy!D15,2)</f>
        <v>57.42</v>
      </c>
      <c r="E15" s="41">
        <f>ROUND(Capacity!$F15+Energy!E15,2)</f>
        <v>55.83</v>
      </c>
      <c r="F15" s="41">
        <f>ROUND(Capacity!$F15+Energy!F15,2)</f>
        <v>55.82</v>
      </c>
      <c r="G15" s="41">
        <f>ROUND(Capacity!$F15+Energy!G15,2)</f>
        <v>55.83</v>
      </c>
      <c r="H15" s="41">
        <f>ROUND(Capacity!$F15+Energy!H15,2)</f>
        <v>55.86</v>
      </c>
      <c r="I15" s="41">
        <f>ROUND(Capacity!$F15+Energy!I15,2)</f>
        <v>56.04</v>
      </c>
      <c r="J15" s="41">
        <f>ROUND(Capacity!$F15+Energy!J15,2)</f>
        <v>56.5</v>
      </c>
    </row>
    <row r="16" spans="2:18" ht="15.75">
      <c r="B16" s="3">
        <f t="shared" si="0"/>
        <v>2018</v>
      </c>
      <c r="C16" s="41">
        <f>ROUND(Capacity!$G16+Energy!C16,2)</f>
        <v>58.84</v>
      </c>
      <c r="D16" s="41">
        <f>ROUND(Capacity!$G16+Energy!D16,2)</f>
        <v>59.87</v>
      </c>
      <c r="E16" s="41">
        <f>ROUND(Capacity!$F16+Energy!E16,2)</f>
        <v>59.74</v>
      </c>
      <c r="F16" s="41">
        <f>ROUND(Capacity!$F16+Energy!F16,2)</f>
        <v>59.72</v>
      </c>
      <c r="G16" s="41">
        <f>ROUND(Capacity!$F16+Energy!G16,2)</f>
        <v>60.96</v>
      </c>
      <c r="H16" s="41">
        <f>ROUND(Capacity!$F16+Energy!H16,2)</f>
        <v>60.61</v>
      </c>
      <c r="I16" s="41">
        <f>ROUND(Capacity!$F16+Energy!I16,2)</f>
        <v>60.15</v>
      </c>
      <c r="J16" s="41">
        <f>ROUND(Capacity!$F16+Energy!J16,2)</f>
        <v>59.48</v>
      </c>
    </row>
    <row r="17" spans="2:13" ht="15.75">
      <c r="B17" s="3">
        <f t="shared" si="0"/>
        <v>2019</v>
      </c>
      <c r="C17" s="41">
        <f>ROUND(Capacity!$G17+Energy!C17,2)</f>
        <v>61.75</v>
      </c>
      <c r="D17" s="41">
        <f>ROUND(Capacity!$G17+Energy!D17,2)</f>
        <v>62.36</v>
      </c>
      <c r="E17" s="41">
        <f>ROUND(Capacity!$F17+Energy!E17,2)</f>
        <v>62.36</v>
      </c>
      <c r="F17" s="41">
        <f>ROUND(Capacity!$F17+Energy!F17,2)</f>
        <v>62.34</v>
      </c>
      <c r="G17" s="41">
        <f>ROUND(Capacity!$F17+Energy!G17,2)</f>
        <v>63.5</v>
      </c>
      <c r="H17" s="41">
        <f>ROUND(Capacity!$F17+Energy!H17,2)</f>
        <v>63.86</v>
      </c>
      <c r="I17" s="41">
        <f>ROUND(Capacity!$F17+Energy!I17,2)</f>
        <v>63.32</v>
      </c>
      <c r="J17" s="41">
        <f>ROUND(Capacity!$F17+Energy!J17,2)</f>
        <v>62.11</v>
      </c>
    </row>
    <row r="18" spans="2:13" ht="15.75">
      <c r="B18" s="3">
        <f t="shared" si="0"/>
        <v>2020</v>
      </c>
      <c r="C18" s="41">
        <f>ROUND(Capacity!$G18+Energy!C18,2)</f>
        <v>65.05</v>
      </c>
      <c r="D18" s="41">
        <f>ROUND(Capacity!$G18+Energy!D18,2)</f>
        <v>63.94</v>
      </c>
      <c r="E18" s="41">
        <f>ROUND(Capacity!$F18+Energy!E18,2)</f>
        <v>63.62</v>
      </c>
      <c r="F18" s="41">
        <f>ROUND(Capacity!$F18+Energy!F18,2)</f>
        <v>63.6</v>
      </c>
      <c r="G18" s="41">
        <f>ROUND(Capacity!$F18+Energy!G18,2)</f>
        <v>65.48</v>
      </c>
      <c r="H18" s="41">
        <f>ROUND(Capacity!$F18+Energy!H18,2)</f>
        <v>67.06</v>
      </c>
      <c r="I18" s="41">
        <f>ROUND(Capacity!$F18+Energy!I18,2)</f>
        <v>62.93</v>
      </c>
      <c r="J18" s="41">
        <f>ROUND(Capacity!$F18+Energy!J18,2)</f>
        <v>60.65</v>
      </c>
    </row>
    <row r="19" spans="2:13" ht="15.75">
      <c r="B19" s="3">
        <f t="shared" si="0"/>
        <v>2021</v>
      </c>
      <c r="C19" s="41">
        <f>ROUND(Capacity!$G19+Energy!C19,2)</f>
        <v>68.5</v>
      </c>
      <c r="D19" s="41">
        <f>ROUND(Capacity!$G19+Energy!D19,2)</f>
        <v>69.13</v>
      </c>
      <c r="E19" s="41">
        <f>ROUND(Capacity!$F19+Energy!E19,2)</f>
        <v>68.3</v>
      </c>
      <c r="F19" s="41">
        <f>ROUND(Capacity!$F19+Energy!F19,2)</f>
        <v>68.28</v>
      </c>
      <c r="G19" s="41">
        <f>ROUND(Capacity!$F19+Energy!G19,2)</f>
        <v>68.88</v>
      </c>
      <c r="H19" s="41">
        <f>ROUND(Capacity!$F19+Energy!H19,2)</f>
        <v>69.67</v>
      </c>
      <c r="I19" s="41">
        <f>ROUND(Capacity!$F19+Energy!I19,2)</f>
        <v>68.31</v>
      </c>
      <c r="J19" s="41">
        <f>ROUND(Capacity!$F19+Energy!J19,2)</f>
        <v>67.3</v>
      </c>
    </row>
    <row r="20" spans="2:13" ht="15.75">
      <c r="B20" s="3">
        <f t="shared" si="0"/>
        <v>2022</v>
      </c>
      <c r="C20" s="41">
        <f>ROUND(Capacity!$G20+Energy!C20,2)</f>
        <v>69.12</v>
      </c>
      <c r="D20" s="41">
        <f>ROUND(Capacity!$G20+Energy!D20,2)</f>
        <v>69.41</v>
      </c>
      <c r="E20" s="41">
        <f>ROUND(Capacity!$F20+Energy!E20,2)</f>
        <v>69.55</v>
      </c>
      <c r="F20" s="41">
        <f>ROUND(Capacity!$F20+Energy!F20,2)</f>
        <v>69.39</v>
      </c>
      <c r="G20" s="41">
        <f>ROUND(Capacity!$F20+Energy!G20,2)</f>
        <v>70.16</v>
      </c>
      <c r="H20" s="41">
        <f>ROUND(Capacity!$F20+Energy!H20,2)</f>
        <v>71.239999999999995</v>
      </c>
      <c r="I20" s="41">
        <f>ROUND(Capacity!$F20+Energy!I20,2)</f>
        <v>69.3</v>
      </c>
      <c r="J20" s="41">
        <f>ROUND(Capacity!$F20+Energy!J20,2)</f>
        <v>67.91</v>
      </c>
    </row>
    <row r="21" spans="2:13" ht="15.75">
      <c r="B21" s="3">
        <f t="shared" si="0"/>
        <v>2023</v>
      </c>
      <c r="C21" s="41">
        <f>ROUND(Capacity!$G21+Energy!C21,2)</f>
        <v>70.48</v>
      </c>
      <c r="D21" s="41">
        <f>ROUND(Capacity!$G21+Energy!D21,2)</f>
        <v>70.739999999999995</v>
      </c>
      <c r="E21" s="41">
        <f>ROUND(Capacity!$F21+Energy!E21,2)</f>
        <v>70.97</v>
      </c>
      <c r="F21" s="41">
        <f>ROUND(Capacity!$F21+Energy!F21,2)</f>
        <v>70.31</v>
      </c>
      <c r="G21" s="41">
        <f>ROUND(Capacity!$F21+Energy!G21,2)</f>
        <v>71.760000000000005</v>
      </c>
      <c r="H21" s="41">
        <f>ROUND(Capacity!$F21+Energy!H21,2)</f>
        <v>72.45</v>
      </c>
      <c r="I21" s="41">
        <f>ROUND(Capacity!$F21+Energy!I21,2)</f>
        <v>70.58</v>
      </c>
      <c r="J21" s="41">
        <f>ROUND(Capacity!$F21+Energy!J21,2)</f>
        <v>69.14</v>
      </c>
    </row>
    <row r="22" spans="2:13" ht="15.75">
      <c r="B22" s="3">
        <f t="shared" si="0"/>
        <v>2024</v>
      </c>
      <c r="C22" s="41">
        <f>ROUND(Capacity!$G22+Energy!C22,2)</f>
        <v>70.2</v>
      </c>
      <c r="D22" s="41">
        <f>ROUND(Capacity!$G22+Energy!D22,2)</f>
        <v>70.510000000000005</v>
      </c>
      <c r="E22" s="41">
        <f>ROUND(Capacity!$F22+Energy!E22,2)</f>
        <v>70.819999999999993</v>
      </c>
      <c r="F22" s="41">
        <f>ROUND(Capacity!$F22+Energy!F22,2)</f>
        <v>70.680000000000007</v>
      </c>
      <c r="G22" s="41">
        <f>ROUND(Capacity!$F22+Energy!G22,2)</f>
        <v>71.39</v>
      </c>
      <c r="H22" s="41">
        <f>ROUND(Capacity!$F22+Energy!H22,2)</f>
        <v>71.33</v>
      </c>
      <c r="I22" s="41">
        <f>ROUND(Capacity!$F22+Energy!I22,2)</f>
        <v>71.17</v>
      </c>
      <c r="J22" s="41">
        <f>ROUND(Capacity!$F22+Energy!J22,2)</f>
        <v>70.78</v>
      </c>
    </row>
    <row r="23" spans="2:13" ht="15.75">
      <c r="B23" s="3">
        <f t="shared" si="0"/>
        <v>2025</v>
      </c>
      <c r="C23" s="41">
        <f>ROUND(Capacity!$G23+Energy!C23,2)</f>
        <v>72.209999999999994</v>
      </c>
      <c r="D23" s="41">
        <f>ROUND(Capacity!$G23+Energy!D23,2)</f>
        <v>72.010000000000005</v>
      </c>
      <c r="E23" s="41">
        <f>ROUND(Capacity!$F23+Energy!E23,2)</f>
        <v>72.180000000000007</v>
      </c>
      <c r="F23" s="41">
        <f>ROUND(Capacity!$F23+Energy!F23,2)</f>
        <v>72.180000000000007</v>
      </c>
      <c r="G23" s="41">
        <f>ROUND(Capacity!$F23+Energy!G23,2)</f>
        <v>72.510000000000005</v>
      </c>
      <c r="H23" s="41">
        <f>ROUND(Capacity!$F23+Energy!H23,2)</f>
        <v>72.650000000000006</v>
      </c>
      <c r="I23" s="41">
        <f>ROUND(Capacity!$F23+Energy!I23,2)</f>
        <v>72.7</v>
      </c>
      <c r="J23" s="41">
        <f>ROUND(Capacity!$F23+Energy!J23,2)</f>
        <v>72.290000000000006</v>
      </c>
    </row>
    <row r="24" spans="2:13" ht="15.75">
      <c r="B24" s="3">
        <f t="shared" si="0"/>
        <v>2026</v>
      </c>
      <c r="C24" s="41">
        <f>ROUND(Capacity!$G24+Energy!C24,2)</f>
        <v>76.03</v>
      </c>
      <c r="D24" s="41">
        <f>ROUND(Capacity!$G24+Energy!D24,2)</f>
        <v>76.209999999999994</v>
      </c>
      <c r="E24" s="41">
        <f>ROUND(Capacity!$F24+Energy!E24,2)</f>
        <v>76.540000000000006</v>
      </c>
      <c r="F24" s="41">
        <f>ROUND(Capacity!$F24+Energy!F24,2)</f>
        <v>75.75</v>
      </c>
      <c r="G24" s="41">
        <f>ROUND(Capacity!$F24+Energy!G24,2)</f>
        <v>76.83</v>
      </c>
      <c r="H24" s="41">
        <f>ROUND(Capacity!$F24+Energy!H24,2)</f>
        <v>76.45</v>
      </c>
      <c r="I24" s="41">
        <f>ROUND(Capacity!$F24+Energy!I24,2)</f>
        <v>76.599999999999994</v>
      </c>
      <c r="J24" s="41">
        <f>ROUND(Capacity!$F24+Energy!J24,2)</f>
        <v>76.3</v>
      </c>
    </row>
    <row r="25" spans="2:13" ht="15.75">
      <c r="B25" s="3">
        <f t="shared" si="0"/>
        <v>2027</v>
      </c>
      <c r="C25" s="41">
        <f>ROUND(Capacity!$G25+Energy!C25,2)</f>
        <v>80.3</v>
      </c>
      <c r="D25" s="41">
        <f>ROUND(Capacity!$G25+Energy!D25,2)</f>
        <v>79.59</v>
      </c>
      <c r="E25" s="41">
        <f>ROUND(Capacity!$F25+Energy!E25,2)</f>
        <v>79.739999999999995</v>
      </c>
      <c r="F25" s="41">
        <f>ROUND(Capacity!$F25+Energy!F25,2)</f>
        <v>78.06</v>
      </c>
      <c r="G25" s="41">
        <f>ROUND(Capacity!$F25+Energy!G25,2)</f>
        <v>80.069999999999993</v>
      </c>
      <c r="H25" s="41">
        <f>ROUND(Capacity!$F25+Energy!H25,2)</f>
        <v>80.02</v>
      </c>
      <c r="I25" s="41">
        <f>ROUND(Capacity!$F25+Energy!I25,2)</f>
        <v>78.86</v>
      </c>
      <c r="J25" s="41">
        <f>ROUND(Capacity!$F25+Energy!J25,2)</f>
        <v>79.17</v>
      </c>
    </row>
    <row r="26" spans="2:13" ht="15.75">
      <c r="B26" s="3">
        <f t="shared" si="0"/>
        <v>2028</v>
      </c>
      <c r="C26" s="41">
        <f>ROUND(Capacity!$G26+Energy!C26,2)</f>
        <v>81.8</v>
      </c>
      <c r="D26" s="41">
        <f>ROUND(Capacity!$G26+Energy!D26,2)</f>
        <v>81.98</v>
      </c>
      <c r="E26" s="41">
        <f>ROUND(Capacity!$F26+Energy!E26,2)</f>
        <v>82.13</v>
      </c>
      <c r="F26" s="41">
        <f>ROUND(Capacity!$F26+Energy!F26,2)</f>
        <v>80.510000000000005</v>
      </c>
      <c r="G26" s="41">
        <f>ROUND(Capacity!$F26+Energy!G26,2)</f>
        <v>81.27</v>
      </c>
      <c r="H26" s="41">
        <f>ROUND(Capacity!$F26+Energy!H26,2)</f>
        <v>81.73</v>
      </c>
      <c r="I26" s="41">
        <f>ROUND(Capacity!$F26+Energy!I26,2)</f>
        <v>80.930000000000007</v>
      </c>
      <c r="J26" s="41">
        <f>ROUND(Capacity!$F26+Energy!J26,2)</f>
        <v>81.06</v>
      </c>
    </row>
    <row r="27" spans="2:13" ht="15.75">
      <c r="B27" s="3">
        <f t="shared" si="0"/>
        <v>2029</v>
      </c>
      <c r="C27" s="41">
        <f>ROUND(Capacity!$G27+Energy!C27,2)</f>
        <v>83.62</v>
      </c>
      <c r="D27" s="41">
        <f>ROUND(Capacity!$G27+Energy!D27,2)</f>
        <v>82.24</v>
      </c>
      <c r="E27" s="41">
        <f>ROUND(Capacity!$F27+Energy!E27,2)</f>
        <v>83.6</v>
      </c>
      <c r="F27" s="41">
        <f>ROUND(Capacity!$F27+Energy!F27,2)</f>
        <v>83.07</v>
      </c>
      <c r="G27" s="41">
        <f>ROUND(Capacity!$F27+Energy!G27,2)</f>
        <v>84.48</v>
      </c>
      <c r="H27" s="41">
        <f>ROUND(Capacity!$F27+Energy!H27,2)</f>
        <v>84.63</v>
      </c>
      <c r="I27" s="41">
        <f>ROUND(Capacity!$F27+Energy!I27,2)</f>
        <v>84.56</v>
      </c>
      <c r="J27" s="41">
        <f>ROUND(Capacity!$F27+Energy!J27,2)</f>
        <v>83.28</v>
      </c>
    </row>
    <row r="28" spans="2:13" ht="15.75">
      <c r="B28" s="3">
        <f t="shared" si="0"/>
        <v>2030</v>
      </c>
      <c r="C28" s="41">
        <f>ROUND(Capacity!$G28+Energy!C28,2)</f>
        <v>84.7</v>
      </c>
      <c r="D28" s="41">
        <f>ROUND(Capacity!$G28+Energy!D28,2)</f>
        <v>85.6</v>
      </c>
      <c r="E28" s="41">
        <f>ROUND(Capacity!$F28+Energy!E28,2)</f>
        <v>84.58</v>
      </c>
      <c r="F28" s="41">
        <f>ROUND(Capacity!$F28+Energy!F28,2)</f>
        <v>83.97</v>
      </c>
      <c r="G28" s="41">
        <f>ROUND(Capacity!$F28+Energy!G28,2)</f>
        <v>84.89</v>
      </c>
      <c r="H28" s="41">
        <f>ROUND(Capacity!$F28+Energy!H28,2)</f>
        <v>84.44</v>
      </c>
      <c r="I28" s="41">
        <f>ROUND(Capacity!$F28+Energy!I28,2)</f>
        <v>84.52</v>
      </c>
      <c r="J28" s="41">
        <f>ROUND(Capacity!$F28+Energy!J28,2)</f>
        <v>84.61</v>
      </c>
    </row>
    <row r="29" spans="2:13" ht="15.75">
      <c r="B29" s="3">
        <f t="shared" si="0"/>
        <v>2031</v>
      </c>
      <c r="C29" s="41">
        <f>ROUND(Capacity!$G29+Energy!C29,2)</f>
        <v>86.85</v>
      </c>
      <c r="D29" s="41">
        <f>ROUND(Capacity!$G29+Energy!D29,2)</f>
        <v>86.96</v>
      </c>
      <c r="E29" s="41">
        <f>ROUND(Capacity!$F29+Energy!E29,2)</f>
        <v>86.37</v>
      </c>
      <c r="F29" s="41">
        <f>ROUND(Capacity!$F29+Energy!F29,2)</f>
        <v>85.89</v>
      </c>
      <c r="G29" s="41">
        <f>ROUND(Capacity!$F29+Energy!G29,2)</f>
        <v>86.38</v>
      </c>
      <c r="H29" s="41">
        <f>ROUND(Capacity!$F29+Energy!H29,2)</f>
        <v>86.35</v>
      </c>
      <c r="I29" s="41">
        <f>ROUND(Capacity!$F29+Energy!I29,2)</f>
        <v>86.22</v>
      </c>
      <c r="J29" s="41">
        <f>ROUND(Capacity!$F29+Energy!J29,2)</f>
        <v>85.96</v>
      </c>
    </row>
    <row r="30" spans="2:13" ht="15.75" hidden="1">
      <c r="B30" s="3">
        <f t="shared" si="0"/>
        <v>2032</v>
      </c>
      <c r="C30" s="41"/>
      <c r="D30" s="41"/>
      <c r="E30" s="41"/>
      <c r="F30" s="41"/>
      <c r="G30" s="41">
        <f>ROUND(Capacity!$F30+Energy!G30,2)</f>
        <v>0</v>
      </c>
      <c r="H30" s="41">
        <f>ROUND(Capacity!$F30+Energy!H30,2)</f>
        <v>0</v>
      </c>
      <c r="I30" s="41">
        <f>ROUND(Capacity!$F30+Energy!I30,2)</f>
        <v>0</v>
      </c>
      <c r="J30" s="41">
        <f>ROUND(Capacity!$F30+Energy!J30,2)</f>
        <v>0</v>
      </c>
    </row>
    <row r="31" spans="2:13">
      <c r="C31" s="42"/>
      <c r="D31" s="42"/>
      <c r="E31" s="42"/>
      <c r="F31" s="42"/>
      <c r="G31" s="42"/>
      <c r="H31" s="42"/>
      <c r="I31" s="42"/>
      <c r="J31" s="42"/>
      <c r="M31" s="1" t="s">
        <v>32</v>
      </c>
    </row>
    <row r="32" spans="2:13">
      <c r="B32" s="4" t="str">
        <f>"Nominal Levelized Payment at "&amp;TEXT(Discount_Rate,"0.00%")&amp;" Discount Rate (3)"</f>
        <v>Nominal Levelized Payment at 7.17% Discount Rate (3)</v>
      </c>
      <c r="C32" s="42"/>
      <c r="D32" s="42"/>
      <c r="E32" s="42"/>
      <c r="F32" s="42"/>
      <c r="G32" s="42"/>
      <c r="H32" s="42"/>
      <c r="I32" s="42"/>
      <c r="J32" s="42"/>
      <c r="M32" s="18" t="s">
        <v>1</v>
      </c>
    </row>
    <row r="33" spans="2:13">
      <c r="B33" s="13" t="str">
        <f>B10&amp;" - "&amp;B29</f>
        <v>2012 - 2031</v>
      </c>
      <c r="C33" s="40">
        <f t="shared" ref="C33:I33" si="1">PMT(Discount_Rate,COUNT(C10:C29),-NPV(Discount_Rate,C10:C29))</f>
        <v>57.60269987163997</v>
      </c>
      <c r="D33" s="40">
        <f t="shared" si="1"/>
        <v>57.753945871300324</v>
      </c>
      <c r="E33" s="40">
        <f t="shared" si="1"/>
        <v>57.006057233164455</v>
      </c>
      <c r="F33" s="40">
        <f t="shared" si="1"/>
        <v>56.789626063605901</v>
      </c>
      <c r="G33" s="40">
        <f t="shared" si="1"/>
        <v>57.281889094844885</v>
      </c>
      <c r="H33" s="40">
        <f t="shared" si="1"/>
        <v>57.892244239752046</v>
      </c>
      <c r="I33" s="40">
        <f t="shared" si="1"/>
        <v>57.450464854577824</v>
      </c>
      <c r="J33" s="40">
        <f t="shared" ref="J33" si="2">PMT(Discount_Rate,COUNT(J10:J29),-NPV(Discount_Rate,J10:J29))</f>
        <v>56.5329312238486</v>
      </c>
      <c r="L33" s="17"/>
      <c r="M33" s="12">
        <v>7.17E-2</v>
      </c>
    </row>
    <row r="34" spans="2:13" hidden="1">
      <c r="B34" s="13"/>
      <c r="C34" s="6"/>
      <c r="D34" s="6"/>
      <c r="E34" s="6"/>
      <c r="F34" s="6"/>
      <c r="G34" s="5"/>
      <c r="H34" s="5"/>
      <c r="I34" s="5"/>
      <c r="J34" s="5"/>
      <c r="L34" s="17"/>
    </row>
    <row r="35" spans="2:13">
      <c r="D35" s="22"/>
      <c r="E35" s="22"/>
      <c r="F35" s="22"/>
      <c r="G35" s="22"/>
      <c r="H35" s="22"/>
      <c r="I35" s="22"/>
      <c r="J35" s="22"/>
      <c r="M35" s="18"/>
    </row>
    <row r="36" spans="2:13">
      <c r="B36" s="13" t="s">
        <v>38</v>
      </c>
    </row>
    <row r="37" spans="2:13">
      <c r="B37" s="1" t="s">
        <v>28</v>
      </c>
    </row>
    <row r="38" spans="2:13">
      <c r="B38" s="1" t="s">
        <v>31</v>
      </c>
    </row>
    <row r="39" spans="2:13">
      <c r="B39" s="1" t="s">
        <v>16</v>
      </c>
      <c r="M39" s="12"/>
    </row>
  </sheetData>
  <phoneticPr fontId="2" type="noConversion"/>
  <printOptions horizontalCentered="1"/>
  <pageMargins left="0.25" right="0.25" top="0.75" bottom="0.75" header="0.3" footer="0.2"/>
  <pageSetup scale="79"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2"/>
    <pageSetUpPr fitToPage="1"/>
  </sheetPr>
  <dimension ref="B1:N39"/>
  <sheetViews>
    <sheetView tabSelected="1" zoomScale="85" zoomScaleNormal="85" workbookViewId="0">
      <pane xSplit="2" ySplit="9" topLeftCell="C10" activePane="bottomRight" state="frozen"/>
      <selection activeCell="K33" sqref="K33"/>
      <selection pane="topRight" activeCell="K33" sqref="K33"/>
      <selection pane="bottomLeft" activeCell="K33" sqref="K33"/>
      <selection pane="bottomRight" activeCell="E33" sqref="E33:H33"/>
    </sheetView>
  </sheetViews>
  <sheetFormatPr defaultRowHeight="15"/>
  <cols>
    <col min="1" max="1" width="1.85546875" style="1" customWidth="1"/>
    <col min="2" max="2" width="13.85546875" style="1" customWidth="1"/>
    <col min="3" max="10" width="18.85546875" style="1" customWidth="1"/>
    <col min="11" max="11" width="2.28515625" style="1" customWidth="1"/>
    <col min="12" max="12" width="10.140625" style="1" customWidth="1"/>
    <col min="13" max="13" width="10.5703125" style="1" hidden="1" customWidth="1"/>
    <col min="14" max="14" width="9.28515625" style="1" customWidth="1"/>
    <col min="15" max="16384" width="9.140625" style="1"/>
  </cols>
  <sheetData>
    <row r="1" spans="2:14" ht="15.75">
      <c r="B1" s="8" t="str">
        <f>Total!B1</f>
        <v>Appendix C</v>
      </c>
      <c r="C1" s="8"/>
      <c r="D1" s="8"/>
      <c r="E1" s="8"/>
      <c r="F1" s="8"/>
      <c r="G1" s="8"/>
      <c r="H1" s="8"/>
      <c r="I1" s="8"/>
      <c r="J1" s="8"/>
    </row>
    <row r="2" spans="2:14" ht="8.25" customHeight="1">
      <c r="B2" s="8"/>
      <c r="C2" s="8"/>
      <c r="D2" s="8"/>
      <c r="E2" s="8"/>
      <c r="F2" s="8"/>
      <c r="G2" s="8"/>
      <c r="H2" s="8"/>
      <c r="I2" s="8"/>
      <c r="J2" s="8"/>
    </row>
    <row r="3" spans="2:14" ht="15.75">
      <c r="B3" s="8" t="str">
        <f>Total!B3</f>
        <v>Utah Quarterly Compliance Filing</v>
      </c>
      <c r="C3" s="8"/>
      <c r="D3" s="8"/>
      <c r="E3" s="8"/>
      <c r="F3" s="8"/>
      <c r="G3" s="8"/>
      <c r="H3" s="8"/>
      <c r="I3" s="8"/>
      <c r="J3" s="8"/>
    </row>
    <row r="4" spans="2:14" ht="15.75">
      <c r="B4" s="8" t="str">
        <f>Total!B4</f>
        <v>Step Study between 2011.Q3 and 2011.Q4 Compliance Filing</v>
      </c>
      <c r="C4" s="8"/>
      <c r="D4" s="8"/>
      <c r="E4" s="8"/>
      <c r="F4" s="8"/>
      <c r="G4" s="8"/>
      <c r="H4" s="8"/>
      <c r="I4" s="8"/>
      <c r="J4" s="8"/>
    </row>
    <row r="5" spans="2:14" ht="15.75">
      <c r="B5" s="8" t="s">
        <v>18</v>
      </c>
      <c r="C5" s="8"/>
      <c r="D5" s="8"/>
      <c r="E5" s="8"/>
      <c r="F5" s="8"/>
      <c r="G5" s="8"/>
      <c r="H5" s="8"/>
      <c r="I5" s="8"/>
      <c r="J5" s="8"/>
    </row>
    <row r="6" spans="2:14" ht="15.75">
      <c r="B6" s="8"/>
      <c r="C6" s="8"/>
      <c r="D6" s="8"/>
      <c r="E6" s="8"/>
      <c r="F6" s="8"/>
      <c r="G6" s="8" t="s">
        <v>19</v>
      </c>
      <c r="H6" s="8" t="s">
        <v>19</v>
      </c>
      <c r="I6" s="8" t="s">
        <v>19</v>
      </c>
      <c r="J6" s="8"/>
    </row>
    <row r="7" spans="2:14" s="4" customFormat="1" ht="15.75">
      <c r="B7" s="35"/>
      <c r="C7" s="26" t="str">
        <f>Energy!D7</f>
        <v>Load Forecast</v>
      </c>
      <c r="D7" s="26" t="str">
        <f>Energy!E7</f>
        <v>Official Forward</v>
      </c>
      <c r="E7" s="26" t="str">
        <f>Energy!F7</f>
        <v>Coal</v>
      </c>
      <c r="F7" s="26" t="str">
        <f>Energy!G7</f>
        <v>Hydro</v>
      </c>
      <c r="G7" s="26" t="str">
        <f>Energy!H7</f>
        <v>Topology</v>
      </c>
      <c r="H7" s="26" t="str">
        <f>Energy!I7</f>
        <v>Reserves</v>
      </c>
      <c r="I7" s="26" t="str">
        <f>Energy!J7</f>
        <v>All Other</v>
      </c>
      <c r="J7" s="26" t="s">
        <v>6</v>
      </c>
      <c r="K7" s="1"/>
      <c r="L7" s="1"/>
      <c r="M7" s="1"/>
      <c r="N7" s="1"/>
    </row>
    <row r="8" spans="2:14" s="4" customFormat="1" ht="15.75">
      <c r="B8" s="36" t="s">
        <v>0</v>
      </c>
      <c r="C8" s="27" t="str">
        <f>Energy!D8</f>
        <v>Sept 2011</v>
      </c>
      <c r="D8" s="27" t="str">
        <f>Energy!E8</f>
        <v>Price Curve (2)</v>
      </c>
      <c r="E8" s="27" t="str">
        <f>Energy!F8</f>
        <v>Forecast</v>
      </c>
      <c r="F8" s="27" t="str">
        <f>Energy!G8</f>
        <v>Forecast</v>
      </c>
      <c r="G8" s="27" t="str">
        <f>Energy!H8</f>
        <v>Update</v>
      </c>
      <c r="H8" s="27" t="str">
        <f>Energy!I8</f>
        <v xml:space="preserve"> </v>
      </c>
      <c r="I8" s="27" t="str">
        <f>Energy!J8</f>
        <v>Changes</v>
      </c>
      <c r="J8" s="27" t="s">
        <v>7</v>
      </c>
      <c r="K8" s="1"/>
      <c r="L8" s="1"/>
      <c r="M8" s="1"/>
      <c r="N8" s="1"/>
    </row>
    <row r="9" spans="2:14" ht="4.5" customHeight="1"/>
    <row r="10" spans="2:14" ht="15.75">
      <c r="B10" s="3">
        <f>Total!B10</f>
        <v>2012</v>
      </c>
      <c r="C10" s="39">
        <f>ROUND(Total!D10-Total!C10,2)</f>
        <v>-0.28000000000000003</v>
      </c>
      <c r="D10" s="39">
        <f>ROUND(Total!E10-Total!D10,2)</f>
        <v>-3.5</v>
      </c>
      <c r="E10" s="39">
        <f>ROUND(Total!F10-Total!E10,2)</f>
        <v>0</v>
      </c>
      <c r="F10" s="39">
        <f>ROUND(Total!G10-Total!F10,2)</f>
        <v>-0.21</v>
      </c>
      <c r="G10" s="39">
        <f>ROUND(Total!H10-Total!G10,2)</f>
        <v>0.71</v>
      </c>
      <c r="H10" s="39">
        <f>ROUND(Total!I10-Total!H10,2)</f>
        <v>0.33</v>
      </c>
      <c r="I10" s="39">
        <f>ROUND(Total!J10-Total!I10,2)</f>
        <v>-0.63</v>
      </c>
      <c r="J10" s="39">
        <f>ROUND(Total!J10-Total!C10,2)</f>
        <v>-3.58</v>
      </c>
    </row>
    <row r="11" spans="2:14" ht="15.75">
      <c r="B11" s="3">
        <f t="shared" ref="B11:B30" si="0">B10+1</f>
        <v>2013</v>
      </c>
      <c r="C11" s="39">
        <f>ROUND(Total!D11-Total!C11,2)</f>
        <v>-0.33</v>
      </c>
      <c r="D11" s="39">
        <f>ROUND(Total!E11-Total!D11,2)</f>
        <v>-1.41</v>
      </c>
      <c r="E11" s="39">
        <f>ROUND(Total!F11-Total!E11,2)</f>
        <v>-0.01</v>
      </c>
      <c r="F11" s="39">
        <f>ROUND(Total!G11-Total!F11,2)</f>
        <v>-0.33</v>
      </c>
      <c r="G11" s="39">
        <f>ROUND(Total!H11-Total!G11,2)</f>
        <v>1.19</v>
      </c>
      <c r="H11" s="39">
        <f>ROUND(Total!I11-Total!H11,2)</f>
        <v>0.65</v>
      </c>
      <c r="I11" s="39">
        <f>ROUND(Total!J11-Total!I11,2)</f>
        <v>-1.1200000000000001</v>
      </c>
      <c r="J11" s="39">
        <f>ROUND(Total!J11-Total!C11,2)</f>
        <v>-1.36</v>
      </c>
    </row>
    <row r="12" spans="2:14" ht="15.75">
      <c r="B12" s="3">
        <f t="shared" si="0"/>
        <v>2014</v>
      </c>
      <c r="C12" s="39">
        <f>ROUND(Total!D12-Total!C12,2)</f>
        <v>0.17</v>
      </c>
      <c r="D12" s="39">
        <f>ROUND(Total!E12-Total!D12,2)</f>
        <v>-1.24</v>
      </c>
      <c r="E12" s="39">
        <f>ROUND(Total!F12-Total!E12,2)</f>
        <v>0.01</v>
      </c>
      <c r="F12" s="39">
        <f>ROUND(Total!G12-Total!F12,2)</f>
        <v>-0.55000000000000004</v>
      </c>
      <c r="G12" s="39">
        <f>ROUND(Total!H12-Total!G12,2)</f>
        <v>1.1399999999999999</v>
      </c>
      <c r="H12" s="39">
        <f>ROUND(Total!I12-Total!H12,2)</f>
        <v>0.51</v>
      </c>
      <c r="I12" s="39">
        <f>ROUND(Total!J12-Total!I12,2)</f>
        <v>-1.35</v>
      </c>
      <c r="J12" s="39">
        <f>ROUND(Total!J12-Total!C12,2)</f>
        <v>-1.31</v>
      </c>
    </row>
    <row r="13" spans="2:14" ht="15.75">
      <c r="B13" s="3">
        <f t="shared" si="0"/>
        <v>2015</v>
      </c>
      <c r="C13" s="39">
        <f>ROUND(Total!D13-Total!C13,2)</f>
        <v>0.32</v>
      </c>
      <c r="D13" s="39">
        <f>ROUND(Total!E13-Total!D13,2)</f>
        <v>-1.01</v>
      </c>
      <c r="E13" s="39">
        <f>ROUND(Total!F13-Total!E13,2)</f>
        <v>-0.02</v>
      </c>
      <c r="F13" s="39">
        <f>ROUND(Total!G13-Total!F13,2)</f>
        <v>0.26</v>
      </c>
      <c r="G13" s="39">
        <f>ROUND(Total!H13-Total!G13,2)</f>
        <v>1.03</v>
      </c>
      <c r="H13" s="39">
        <f>ROUND(Total!I13-Total!H13,2)</f>
        <v>-0.01</v>
      </c>
      <c r="I13" s="39">
        <f>ROUND(Total!J13-Total!I13,2)</f>
        <v>-1.77</v>
      </c>
      <c r="J13" s="39">
        <f>ROUND(Total!J13-Total!C13,2)</f>
        <v>-1.2</v>
      </c>
    </row>
    <row r="14" spans="2:14" ht="15.75">
      <c r="B14" s="3">
        <f t="shared" si="0"/>
        <v>2016</v>
      </c>
      <c r="C14" s="39">
        <f>ROUND(Total!D14-Total!C14,2)</f>
        <v>-0.03</v>
      </c>
      <c r="D14" s="39">
        <f>ROUND(Total!E14-Total!D14,2)</f>
        <v>-0.53</v>
      </c>
      <c r="E14" s="39">
        <f>ROUND(Total!F14-Total!E14,2)</f>
        <v>-0.01</v>
      </c>
      <c r="F14" s="39">
        <f>ROUND(Total!G14-Total!F14,2)</f>
        <v>-0.46</v>
      </c>
      <c r="G14" s="39">
        <f>ROUND(Total!H14-Total!G14,2)</f>
        <v>1.39</v>
      </c>
      <c r="H14" s="39">
        <f>ROUND(Total!I14-Total!H14,2)</f>
        <v>-0.22</v>
      </c>
      <c r="I14" s="39">
        <f>ROUND(Total!J14-Total!I14,2)</f>
        <v>-1.55</v>
      </c>
      <c r="J14" s="39">
        <f>ROUND(Total!J14-Total!C14,2)</f>
        <v>-1.41</v>
      </c>
    </row>
    <row r="15" spans="2:14" ht="15.75">
      <c r="B15" s="3">
        <f t="shared" si="0"/>
        <v>2017</v>
      </c>
      <c r="C15" s="39">
        <f>ROUND(Total!D15-Total!C15,2)</f>
        <v>1.53</v>
      </c>
      <c r="D15" s="39">
        <f>ROUND(Total!E15-Total!D15,2)</f>
        <v>-1.59</v>
      </c>
      <c r="E15" s="39">
        <f>ROUND(Total!F15-Total!E15,2)</f>
        <v>-0.01</v>
      </c>
      <c r="F15" s="39">
        <f>ROUND(Total!G15-Total!F15,2)</f>
        <v>0.01</v>
      </c>
      <c r="G15" s="39">
        <f>ROUND(Total!H15-Total!G15,2)</f>
        <v>0.03</v>
      </c>
      <c r="H15" s="39">
        <f>ROUND(Total!I15-Total!H15,2)</f>
        <v>0.18</v>
      </c>
      <c r="I15" s="39">
        <f>ROUND(Total!J15-Total!I15,2)</f>
        <v>0.46</v>
      </c>
      <c r="J15" s="39">
        <f>ROUND(Total!J15-Total!C15,2)</f>
        <v>0.61</v>
      </c>
    </row>
    <row r="16" spans="2:14" ht="15.75">
      <c r="B16" s="3">
        <f t="shared" si="0"/>
        <v>2018</v>
      </c>
      <c r="C16" s="39">
        <f>ROUND(Total!D16-Total!C16,2)</f>
        <v>1.03</v>
      </c>
      <c r="D16" s="39">
        <f>ROUND(Total!E16-Total!D16,2)</f>
        <v>-0.13</v>
      </c>
      <c r="E16" s="39">
        <f>ROUND(Total!F16-Total!E16,2)</f>
        <v>-0.02</v>
      </c>
      <c r="F16" s="39">
        <f>ROUND(Total!G16-Total!F16,2)</f>
        <v>1.24</v>
      </c>
      <c r="G16" s="39">
        <f>ROUND(Total!H16-Total!G16,2)</f>
        <v>-0.35</v>
      </c>
      <c r="H16" s="39">
        <f>ROUND(Total!I16-Total!H16,2)</f>
        <v>-0.46</v>
      </c>
      <c r="I16" s="39">
        <f>ROUND(Total!J16-Total!I16,2)</f>
        <v>-0.67</v>
      </c>
      <c r="J16" s="39">
        <f>ROUND(Total!J16-Total!C16,2)</f>
        <v>0.64</v>
      </c>
    </row>
    <row r="17" spans="2:14" ht="15.75">
      <c r="B17" s="3">
        <f t="shared" si="0"/>
        <v>2019</v>
      </c>
      <c r="C17" s="39">
        <f>ROUND(Total!D17-Total!C17,2)</f>
        <v>0.61</v>
      </c>
      <c r="D17" s="39">
        <f>ROUND(Total!E17-Total!D17,2)</f>
        <v>0</v>
      </c>
      <c r="E17" s="39">
        <f>ROUND(Total!F17-Total!E17,2)</f>
        <v>-0.02</v>
      </c>
      <c r="F17" s="39">
        <f>ROUND(Total!G17-Total!F17,2)</f>
        <v>1.1599999999999999</v>
      </c>
      <c r="G17" s="39">
        <f>ROUND(Total!H17-Total!G17,2)</f>
        <v>0.36</v>
      </c>
      <c r="H17" s="39">
        <f>ROUND(Total!I17-Total!H17,2)</f>
        <v>-0.54</v>
      </c>
      <c r="I17" s="39">
        <f>ROUND(Total!J17-Total!I17,2)</f>
        <v>-1.21</v>
      </c>
      <c r="J17" s="39">
        <f>ROUND(Total!J17-Total!C17,2)</f>
        <v>0.36</v>
      </c>
    </row>
    <row r="18" spans="2:14" ht="15.75">
      <c r="B18" s="3">
        <f t="shared" si="0"/>
        <v>2020</v>
      </c>
      <c r="C18" s="39">
        <f>ROUND(Total!D18-Total!C18,2)</f>
        <v>-1.1100000000000001</v>
      </c>
      <c r="D18" s="39">
        <f>ROUND(Total!E18-Total!D18,2)</f>
        <v>-0.32</v>
      </c>
      <c r="E18" s="39">
        <f>ROUND(Total!F18-Total!E18,2)</f>
        <v>-0.02</v>
      </c>
      <c r="F18" s="39">
        <f>ROUND(Total!G18-Total!F18,2)</f>
        <v>1.88</v>
      </c>
      <c r="G18" s="39">
        <f>ROUND(Total!H18-Total!G18,2)</f>
        <v>1.58</v>
      </c>
      <c r="H18" s="39">
        <f>ROUND(Total!I18-Total!H18,2)</f>
        <v>-4.13</v>
      </c>
      <c r="I18" s="39">
        <f>ROUND(Total!J18-Total!I18,2)</f>
        <v>-2.2799999999999998</v>
      </c>
      <c r="J18" s="39">
        <f>ROUND(Total!J18-Total!C18,2)</f>
        <v>-4.4000000000000004</v>
      </c>
    </row>
    <row r="19" spans="2:14" ht="15.75">
      <c r="B19" s="3">
        <f t="shared" si="0"/>
        <v>2021</v>
      </c>
      <c r="C19" s="39">
        <f>ROUND(Total!D19-Total!C19,2)</f>
        <v>0.63</v>
      </c>
      <c r="D19" s="39">
        <f>ROUND(Total!E19-Total!D19,2)</f>
        <v>-0.83</v>
      </c>
      <c r="E19" s="39">
        <f>ROUND(Total!F19-Total!E19,2)</f>
        <v>-0.02</v>
      </c>
      <c r="F19" s="39">
        <f>ROUND(Total!G19-Total!F19,2)</f>
        <v>0.6</v>
      </c>
      <c r="G19" s="39">
        <f>ROUND(Total!H19-Total!G19,2)</f>
        <v>0.79</v>
      </c>
      <c r="H19" s="39">
        <f>ROUND(Total!I19-Total!H19,2)</f>
        <v>-1.36</v>
      </c>
      <c r="I19" s="39">
        <f>ROUND(Total!J19-Total!I19,2)</f>
        <v>-1.01</v>
      </c>
      <c r="J19" s="39">
        <f>ROUND(Total!J19-Total!C19,2)</f>
        <v>-1.2</v>
      </c>
    </row>
    <row r="20" spans="2:14" ht="15.75">
      <c r="B20" s="3">
        <f t="shared" si="0"/>
        <v>2022</v>
      </c>
      <c r="C20" s="39">
        <f>ROUND(Total!D20-Total!C20,2)</f>
        <v>0.28999999999999998</v>
      </c>
      <c r="D20" s="39">
        <f>ROUND(Total!E20-Total!D20,2)</f>
        <v>0.14000000000000001</v>
      </c>
      <c r="E20" s="39">
        <f>ROUND(Total!F20-Total!E20,2)</f>
        <v>-0.16</v>
      </c>
      <c r="F20" s="39">
        <f>ROUND(Total!G20-Total!F20,2)</f>
        <v>0.77</v>
      </c>
      <c r="G20" s="39">
        <f>ROUND(Total!H20-Total!G20,2)</f>
        <v>1.08</v>
      </c>
      <c r="H20" s="39">
        <f>ROUND(Total!I20-Total!H20,2)</f>
        <v>-1.94</v>
      </c>
      <c r="I20" s="39">
        <f>ROUND(Total!J20-Total!I20,2)</f>
        <v>-1.39</v>
      </c>
      <c r="J20" s="39">
        <f>ROUND(Total!J20-Total!C20,2)</f>
        <v>-1.21</v>
      </c>
    </row>
    <row r="21" spans="2:14" ht="15.75">
      <c r="B21" s="3">
        <f t="shared" si="0"/>
        <v>2023</v>
      </c>
      <c r="C21" s="39">
        <f>ROUND(Total!D21-Total!C21,2)</f>
        <v>0.26</v>
      </c>
      <c r="D21" s="39">
        <f>ROUND(Total!E21-Total!D21,2)</f>
        <v>0.23</v>
      </c>
      <c r="E21" s="39">
        <f>ROUND(Total!F21-Total!E21,2)</f>
        <v>-0.66</v>
      </c>
      <c r="F21" s="39">
        <f>ROUND(Total!G21-Total!F21,2)</f>
        <v>1.45</v>
      </c>
      <c r="G21" s="39">
        <f>ROUND(Total!H21-Total!G21,2)</f>
        <v>0.69</v>
      </c>
      <c r="H21" s="39">
        <f>ROUND(Total!I21-Total!H21,2)</f>
        <v>-1.87</v>
      </c>
      <c r="I21" s="39">
        <f>ROUND(Total!J21-Total!I21,2)</f>
        <v>-1.44</v>
      </c>
      <c r="J21" s="39">
        <f>ROUND(Total!J21-Total!C21,2)</f>
        <v>-1.34</v>
      </c>
    </row>
    <row r="22" spans="2:14" ht="15.75">
      <c r="B22" s="3">
        <f t="shared" si="0"/>
        <v>2024</v>
      </c>
      <c r="C22" s="39">
        <f>ROUND(Total!D22-Total!C22,2)</f>
        <v>0.31</v>
      </c>
      <c r="D22" s="39">
        <f>ROUND(Total!E22-Total!D22,2)</f>
        <v>0.31</v>
      </c>
      <c r="E22" s="39">
        <f>ROUND(Total!F22-Total!E22,2)</f>
        <v>-0.14000000000000001</v>
      </c>
      <c r="F22" s="39">
        <f>ROUND(Total!G22-Total!F22,2)</f>
        <v>0.71</v>
      </c>
      <c r="G22" s="39">
        <f>ROUND(Total!H22-Total!G22,2)</f>
        <v>-0.06</v>
      </c>
      <c r="H22" s="39">
        <f>ROUND(Total!I22-Total!H22,2)</f>
        <v>-0.16</v>
      </c>
      <c r="I22" s="39">
        <f>ROUND(Total!J22-Total!I22,2)</f>
        <v>-0.39</v>
      </c>
      <c r="J22" s="39">
        <f>ROUND(Total!J22-Total!C22,2)</f>
        <v>0.57999999999999996</v>
      </c>
    </row>
    <row r="23" spans="2:14" ht="15.75">
      <c r="B23" s="3">
        <f t="shared" si="0"/>
        <v>2025</v>
      </c>
      <c r="C23" s="39">
        <f>ROUND(Total!D23-Total!C23,2)</f>
        <v>-0.2</v>
      </c>
      <c r="D23" s="39">
        <f>ROUND(Total!E23-Total!D23,2)</f>
        <v>0.17</v>
      </c>
      <c r="E23" s="39">
        <f>ROUND(Total!F23-Total!E23,2)</f>
        <v>0</v>
      </c>
      <c r="F23" s="39">
        <f>ROUND(Total!G23-Total!F23,2)</f>
        <v>0.33</v>
      </c>
      <c r="G23" s="39">
        <f>ROUND(Total!H23-Total!G23,2)</f>
        <v>0.14000000000000001</v>
      </c>
      <c r="H23" s="39">
        <f>ROUND(Total!I23-Total!H23,2)</f>
        <v>0.05</v>
      </c>
      <c r="I23" s="39">
        <f>ROUND(Total!J23-Total!I23,2)</f>
        <v>-0.41</v>
      </c>
      <c r="J23" s="39">
        <f>ROUND(Total!J23-Total!C23,2)</f>
        <v>0.08</v>
      </c>
    </row>
    <row r="24" spans="2:14" ht="15.75">
      <c r="B24" s="3">
        <f t="shared" si="0"/>
        <v>2026</v>
      </c>
      <c r="C24" s="39">
        <f>ROUND(Total!D24-Total!C24,2)</f>
        <v>0.18</v>
      </c>
      <c r="D24" s="39">
        <f>ROUND(Total!E24-Total!D24,2)</f>
        <v>0.33</v>
      </c>
      <c r="E24" s="39">
        <f>ROUND(Total!F24-Total!E24,2)</f>
        <v>-0.79</v>
      </c>
      <c r="F24" s="39">
        <f>ROUND(Total!G24-Total!F24,2)</f>
        <v>1.08</v>
      </c>
      <c r="G24" s="39">
        <f>ROUND(Total!H24-Total!G24,2)</f>
        <v>-0.38</v>
      </c>
      <c r="H24" s="39">
        <f>ROUND(Total!I24-Total!H24,2)</f>
        <v>0.15</v>
      </c>
      <c r="I24" s="39">
        <f>ROUND(Total!J24-Total!I24,2)</f>
        <v>-0.3</v>
      </c>
      <c r="J24" s="39">
        <f>ROUND(Total!J24-Total!C24,2)</f>
        <v>0.27</v>
      </c>
    </row>
    <row r="25" spans="2:14" ht="15.75">
      <c r="B25" s="3">
        <f t="shared" si="0"/>
        <v>2027</v>
      </c>
      <c r="C25" s="39">
        <f>ROUND(Total!D25-Total!C25,2)</f>
        <v>-0.71</v>
      </c>
      <c r="D25" s="39">
        <f>ROUND(Total!E25-Total!D25,2)</f>
        <v>0.15</v>
      </c>
      <c r="E25" s="39">
        <f>ROUND(Total!F25-Total!E25,2)</f>
        <v>-1.68</v>
      </c>
      <c r="F25" s="39">
        <f>ROUND(Total!G25-Total!F25,2)</f>
        <v>2.0099999999999998</v>
      </c>
      <c r="G25" s="39">
        <f>ROUND(Total!H25-Total!G25,2)</f>
        <v>-0.05</v>
      </c>
      <c r="H25" s="39">
        <f>ROUND(Total!I25-Total!H25,2)</f>
        <v>-1.1599999999999999</v>
      </c>
      <c r="I25" s="39">
        <f>ROUND(Total!J25-Total!I25,2)</f>
        <v>0.31</v>
      </c>
      <c r="J25" s="39">
        <f>ROUND(Total!J25-Total!C25,2)</f>
        <v>-1.1299999999999999</v>
      </c>
    </row>
    <row r="26" spans="2:14" ht="15.75">
      <c r="B26" s="3">
        <f t="shared" si="0"/>
        <v>2028</v>
      </c>
      <c r="C26" s="39">
        <f>ROUND(Total!D26-Total!C26,2)</f>
        <v>0.18</v>
      </c>
      <c r="D26" s="39">
        <f>ROUND(Total!E26-Total!D26,2)</f>
        <v>0.15</v>
      </c>
      <c r="E26" s="39">
        <f>ROUND(Total!F26-Total!E26,2)</f>
        <v>-1.62</v>
      </c>
      <c r="F26" s="39">
        <f>ROUND(Total!G26-Total!F26,2)</f>
        <v>0.76</v>
      </c>
      <c r="G26" s="39">
        <f>ROUND(Total!H26-Total!G26,2)</f>
        <v>0.46</v>
      </c>
      <c r="H26" s="39">
        <f>ROUND(Total!I26-Total!H26,2)</f>
        <v>-0.8</v>
      </c>
      <c r="I26" s="39">
        <f>ROUND(Total!J26-Total!I26,2)</f>
        <v>0.13</v>
      </c>
      <c r="J26" s="39">
        <f>ROUND(Total!J26-Total!C26,2)</f>
        <v>-0.74</v>
      </c>
    </row>
    <row r="27" spans="2:14" ht="15.75">
      <c r="B27" s="3">
        <f t="shared" si="0"/>
        <v>2029</v>
      </c>
      <c r="C27" s="39">
        <f>ROUND(Total!D27-Total!C27,2)</f>
        <v>-1.38</v>
      </c>
      <c r="D27" s="39">
        <f>ROUND(Total!E27-Total!D27,2)</f>
        <v>1.36</v>
      </c>
      <c r="E27" s="39">
        <f>ROUND(Total!F27-Total!E27,2)</f>
        <v>-0.53</v>
      </c>
      <c r="F27" s="39">
        <f>ROUND(Total!G27-Total!F27,2)</f>
        <v>1.41</v>
      </c>
      <c r="G27" s="39">
        <f>ROUND(Total!H27-Total!G27,2)</f>
        <v>0.15</v>
      </c>
      <c r="H27" s="39">
        <f>ROUND(Total!I27-Total!H27,2)</f>
        <v>-7.0000000000000007E-2</v>
      </c>
      <c r="I27" s="39">
        <f>ROUND(Total!J27-Total!I27,2)</f>
        <v>-1.28</v>
      </c>
      <c r="J27" s="39">
        <f>ROUND(Total!J27-Total!C27,2)</f>
        <v>-0.34</v>
      </c>
    </row>
    <row r="28" spans="2:14" ht="15.75">
      <c r="B28" s="3">
        <f t="shared" si="0"/>
        <v>2030</v>
      </c>
      <c r="C28" s="39">
        <f>ROUND(Total!D28-Total!C28,2)</f>
        <v>0.9</v>
      </c>
      <c r="D28" s="39">
        <f>ROUND(Total!E28-Total!D28,2)</f>
        <v>-1.02</v>
      </c>
      <c r="E28" s="39">
        <f>ROUND(Total!F28-Total!E28,2)</f>
        <v>-0.61</v>
      </c>
      <c r="F28" s="39">
        <f>ROUND(Total!G28-Total!F28,2)</f>
        <v>0.92</v>
      </c>
      <c r="G28" s="39">
        <f>ROUND(Total!H28-Total!G28,2)</f>
        <v>-0.45</v>
      </c>
      <c r="H28" s="39">
        <f>ROUND(Total!I28-Total!H28,2)</f>
        <v>0.08</v>
      </c>
      <c r="I28" s="39">
        <f>ROUND(Total!J28-Total!I28,2)</f>
        <v>0.09</v>
      </c>
      <c r="J28" s="39">
        <f>ROUND(Total!J28-Total!C28,2)</f>
        <v>-0.09</v>
      </c>
    </row>
    <row r="29" spans="2:14" ht="15.75">
      <c r="B29" s="3">
        <f t="shared" si="0"/>
        <v>2031</v>
      </c>
      <c r="C29" s="39">
        <f>ROUND(Total!D29-Total!C29,2)</f>
        <v>0.11</v>
      </c>
      <c r="D29" s="39">
        <f>ROUND(Total!E29-Total!D29,2)</f>
        <v>-0.59</v>
      </c>
      <c r="E29" s="39">
        <f>ROUND(Total!F29-Total!E29,2)</f>
        <v>-0.48</v>
      </c>
      <c r="F29" s="39">
        <f>ROUND(Total!G29-Total!F29,2)</f>
        <v>0.49</v>
      </c>
      <c r="G29" s="39">
        <f>ROUND(Total!H29-Total!G29,2)</f>
        <v>-0.03</v>
      </c>
      <c r="H29" s="39">
        <f>ROUND(Total!I29-Total!H29,2)</f>
        <v>-0.13</v>
      </c>
      <c r="I29" s="39">
        <f>ROUND(Total!J29-Total!I29,2)</f>
        <v>-0.26</v>
      </c>
      <c r="J29" s="39">
        <f>ROUND(Total!J29-Total!C29,2)</f>
        <v>-0.89</v>
      </c>
    </row>
    <row r="30" spans="2:14" ht="15.75" hidden="1">
      <c r="B30" s="3">
        <f t="shared" si="0"/>
        <v>2032</v>
      </c>
      <c r="C30" s="23"/>
      <c r="D30" s="23"/>
      <c r="E30" s="23"/>
      <c r="F30" s="31">
        <v>0</v>
      </c>
      <c r="G30" s="31">
        <f>ROUND(Total!H30-Total!G30,2)</f>
        <v>0</v>
      </c>
      <c r="H30" s="31">
        <f>ROUND(Total!I30-Total!H30,2)</f>
        <v>0</v>
      </c>
      <c r="I30" s="31">
        <f>ROUND(Total!J30-Total!I30,2)</f>
        <v>0</v>
      </c>
      <c r="J30" s="6">
        <f>SUM(C30:H30)</f>
        <v>0</v>
      </c>
    </row>
    <row r="32" spans="2:14">
      <c r="B32" s="30" t="str">
        <f>Total!B32</f>
        <v>Nominal Levelized Payment at 7.17% Discount Rate (3)</v>
      </c>
      <c r="C32" s="29"/>
      <c r="D32" s="29"/>
      <c r="E32" s="29"/>
      <c r="F32" s="29"/>
      <c r="G32" s="29"/>
      <c r="H32" s="29"/>
      <c r="I32" s="29"/>
      <c r="J32" s="18"/>
      <c r="M32" s="18" t="s">
        <v>1</v>
      </c>
      <c r="N32" s="33"/>
    </row>
    <row r="33" spans="2:14">
      <c r="B33" s="13" t="str">
        <f>B10&amp;" - "&amp;B29</f>
        <v>2012 - 2031</v>
      </c>
      <c r="C33" s="40">
        <f>ROUND(Total!D33-Total!C33,2)</f>
        <v>0.15</v>
      </c>
      <c r="D33" s="40">
        <f>ROUND(Total!E33-Total!D33,2)</f>
        <v>-0.75</v>
      </c>
      <c r="E33" s="40">
        <f>ROUND(Total!F33-Total!E33,2)</f>
        <v>-0.22</v>
      </c>
      <c r="F33" s="40">
        <f>ROUND(Total!G33-Total!F33,2)</f>
        <v>0.49</v>
      </c>
      <c r="G33" s="40">
        <f>ROUND(Total!H33-Total!G33,2)</f>
        <v>0.61</v>
      </c>
      <c r="H33" s="40">
        <f>ROUND(Total!I33-Total!H33,2)</f>
        <v>-0.44</v>
      </c>
      <c r="I33" s="40">
        <f>ROUND(Total!J33-Total!I33,2)</f>
        <v>-0.92</v>
      </c>
      <c r="J33" s="40">
        <f>ROUND(Total!J33-Total!C33,2)</f>
        <v>-1.07</v>
      </c>
      <c r="L33" s="6"/>
      <c r="M33" s="12">
        <f>Discount_Rate</f>
        <v>7.17E-2</v>
      </c>
      <c r="N33" s="33"/>
    </row>
    <row r="34" spans="2:14" hidden="1">
      <c r="J34" s="38"/>
    </row>
    <row r="35" spans="2:14">
      <c r="J35" s="38"/>
    </row>
    <row r="36" spans="2:14">
      <c r="B36" s="1" t="str">
        <f>Total!B36</f>
        <v>(1)   Studies are estimates and are sequential.  The order of the studies would effect the price impact.</v>
      </c>
    </row>
    <row r="37" spans="2:14">
      <c r="B37" s="1" t="str">
        <f>Total!B37</f>
        <v>(2)   Official Forward Price Curve Dated September 30, 2011</v>
      </c>
    </row>
    <row r="38" spans="2:14">
      <c r="B38" s="1" t="str">
        <f>Total!B38</f>
        <v>(3)   2011 IRP Discount Rate</v>
      </c>
      <c r="C38" s="13"/>
    </row>
    <row r="39" spans="2:14">
      <c r="B39" s="1" t="str">
        <f>Total!B39</f>
        <v xml:space="preserve">(4)   Capacity costs are allocated assuming an 85% capacity factor. </v>
      </c>
    </row>
  </sheetData>
  <phoneticPr fontId="2" type="noConversion"/>
  <printOptions horizontalCentered="1"/>
  <pageMargins left="0.25" right="0.25" top="0.75" bottom="0.75" header="0.3" footer="0.2"/>
  <pageSetup scale="79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42"/>
    <pageSetUpPr fitToPage="1"/>
  </sheetPr>
  <dimension ref="B1:M38"/>
  <sheetViews>
    <sheetView zoomScale="85" zoomScaleNormal="85" workbookViewId="0">
      <pane xSplit="2" ySplit="8" topLeftCell="C9" activePane="bottomRight" state="frozen"/>
      <selection activeCell="K33" sqref="K33"/>
      <selection pane="topRight" activeCell="K33" sqref="K33"/>
      <selection pane="bottomLeft" activeCell="K33" sqref="K33"/>
      <selection pane="bottomRight" activeCell="B36" sqref="B36"/>
    </sheetView>
  </sheetViews>
  <sheetFormatPr defaultRowHeight="15"/>
  <cols>
    <col min="1" max="1" width="1.85546875" style="1" customWidth="1"/>
    <col min="2" max="2" width="14.140625" style="1" customWidth="1"/>
    <col min="3" max="10" width="18.85546875" style="1" customWidth="1"/>
    <col min="11" max="11" width="2.28515625" style="1" customWidth="1"/>
    <col min="12" max="12" width="9.140625" style="1" customWidth="1"/>
    <col min="13" max="13" width="0" style="1" hidden="1" customWidth="1"/>
    <col min="14" max="14" width="15.42578125" style="1" customWidth="1"/>
    <col min="15" max="15" width="17.42578125" style="1" bestFit="1" customWidth="1"/>
    <col min="16" max="16" width="13.85546875" style="1" bestFit="1" customWidth="1"/>
    <col min="17" max="17" width="14.42578125" style="1" bestFit="1" customWidth="1"/>
    <col min="18" max="18" width="9.28515625" style="1" bestFit="1" customWidth="1"/>
    <col min="19" max="19" width="14.28515625" style="1" bestFit="1" customWidth="1"/>
    <col min="20" max="21" width="14.85546875" style="1" bestFit="1" customWidth="1"/>
    <col min="22" max="22" width="9.28515625" style="1" bestFit="1" customWidth="1"/>
    <col min="23" max="16384" width="9.140625" style="1"/>
  </cols>
  <sheetData>
    <row r="1" spans="2:13" ht="15.75">
      <c r="B1" s="8" t="str">
        <f>Total!B1</f>
        <v>Appendix C</v>
      </c>
      <c r="C1" s="8"/>
      <c r="D1" s="8"/>
      <c r="E1" s="8"/>
      <c r="F1" s="8"/>
      <c r="G1" s="8"/>
      <c r="H1" s="8"/>
      <c r="I1" s="8"/>
      <c r="J1" s="8"/>
    </row>
    <row r="2" spans="2:13" ht="8.25" customHeight="1">
      <c r="B2" s="8"/>
      <c r="C2" s="8"/>
      <c r="D2" s="8"/>
      <c r="E2" s="8"/>
      <c r="F2" s="8"/>
      <c r="G2" s="8"/>
      <c r="H2" s="8"/>
      <c r="I2" s="8"/>
      <c r="J2" s="8"/>
    </row>
    <row r="3" spans="2:13" ht="15.75">
      <c r="B3" s="8" t="str">
        <f>Total!B3</f>
        <v>Utah Quarterly Compliance Filing</v>
      </c>
      <c r="C3" s="8"/>
      <c r="D3" s="8"/>
      <c r="E3" s="8"/>
      <c r="F3" s="8"/>
      <c r="G3" s="8"/>
      <c r="H3" s="8"/>
      <c r="I3" s="8"/>
      <c r="J3" s="8"/>
    </row>
    <row r="4" spans="2:13" ht="15.75">
      <c r="B4" s="8" t="str">
        <f>Total!B4</f>
        <v>Step Study between 2011.Q3 and 2011.Q4 Compliance Filing</v>
      </c>
      <c r="C4" s="8"/>
      <c r="D4" s="8"/>
      <c r="E4" s="8"/>
      <c r="F4" s="8"/>
      <c r="G4" s="8"/>
      <c r="H4" s="8"/>
      <c r="I4" s="8"/>
      <c r="J4" s="8"/>
    </row>
    <row r="5" spans="2:13" ht="15.75">
      <c r="B5" s="8" t="s">
        <v>9</v>
      </c>
      <c r="C5" s="8"/>
      <c r="D5" s="8"/>
      <c r="E5" s="8"/>
      <c r="F5" s="8"/>
      <c r="G5" s="8"/>
      <c r="H5" s="8"/>
      <c r="I5" s="8"/>
      <c r="J5" s="8"/>
    </row>
    <row r="6" spans="2:13" ht="15.75">
      <c r="B6" s="8"/>
      <c r="C6" s="8"/>
      <c r="D6" s="8"/>
      <c r="E6" s="8"/>
      <c r="F6" s="8"/>
      <c r="G6" s="8"/>
      <c r="H6" s="8" t="s">
        <v>19</v>
      </c>
      <c r="I6" s="8" t="s">
        <v>19</v>
      </c>
      <c r="J6" s="8" t="s">
        <v>19</v>
      </c>
    </row>
    <row r="7" spans="2:13" ht="15.75">
      <c r="B7" s="9"/>
      <c r="C7" s="11" t="str">
        <f>Total!C7</f>
        <v>2011 Q3</v>
      </c>
      <c r="D7" s="11" t="s">
        <v>21</v>
      </c>
      <c r="E7" s="11" t="s">
        <v>14</v>
      </c>
      <c r="F7" s="11" t="s">
        <v>23</v>
      </c>
      <c r="G7" s="11" t="s">
        <v>30</v>
      </c>
      <c r="H7" s="11" t="s">
        <v>20</v>
      </c>
      <c r="I7" s="11" t="s">
        <v>34</v>
      </c>
      <c r="J7" s="11" t="s">
        <v>36</v>
      </c>
    </row>
    <row r="8" spans="2:13" ht="15.75">
      <c r="B8" s="10" t="s">
        <v>0</v>
      </c>
      <c r="C8" s="2" t="str">
        <f>Total!C8</f>
        <v>As Filed</v>
      </c>
      <c r="D8" s="34" t="s">
        <v>26</v>
      </c>
      <c r="E8" s="2" t="s">
        <v>15</v>
      </c>
      <c r="F8" s="2" t="s">
        <v>24</v>
      </c>
      <c r="G8" s="2" t="s">
        <v>24</v>
      </c>
      <c r="H8" s="2" t="s">
        <v>22</v>
      </c>
      <c r="I8" s="2" t="s">
        <v>19</v>
      </c>
      <c r="J8" s="2" t="s">
        <v>37</v>
      </c>
    </row>
    <row r="9" spans="2:13" ht="4.5" customHeight="1"/>
    <row r="10" spans="2:13" ht="15.75">
      <c r="B10" s="3">
        <f>Total!B10</f>
        <v>2012</v>
      </c>
      <c r="C10" s="41">
        <v>34.25</v>
      </c>
      <c r="D10" s="41">
        <v>33.97</v>
      </c>
      <c r="E10" s="41">
        <v>30.47</v>
      </c>
      <c r="F10" s="41">
        <v>30.47</v>
      </c>
      <c r="G10" s="41">
        <v>30.259999999999998</v>
      </c>
      <c r="H10" s="41">
        <v>30.97</v>
      </c>
      <c r="I10" s="41">
        <v>31.299999999999997</v>
      </c>
      <c r="J10" s="41">
        <v>30.669999999999998</v>
      </c>
      <c r="M10" s="25"/>
    </row>
    <row r="11" spans="2:13" ht="15.75">
      <c r="B11" s="3">
        <f t="shared" ref="B11:B30" si="0">B10+1</f>
        <v>2013</v>
      </c>
      <c r="C11" s="41">
        <v>36.54</v>
      </c>
      <c r="D11" s="41">
        <v>36.21</v>
      </c>
      <c r="E11" s="41">
        <v>34.800000000000004</v>
      </c>
      <c r="F11" s="41">
        <v>34.790000000000006</v>
      </c>
      <c r="G11" s="41">
        <v>34.460000000000008</v>
      </c>
      <c r="H11" s="41">
        <v>35.650000000000006</v>
      </c>
      <c r="I11" s="41">
        <v>36.300000000000004</v>
      </c>
      <c r="J11" s="41">
        <v>35.180000000000007</v>
      </c>
      <c r="L11" s="24"/>
      <c r="M11" s="25"/>
    </row>
    <row r="12" spans="2:13" ht="15.75">
      <c r="B12" s="3">
        <f t="shared" si="0"/>
        <v>2014</v>
      </c>
      <c r="C12" s="41">
        <v>38.57</v>
      </c>
      <c r="D12" s="41">
        <v>38.74</v>
      </c>
      <c r="E12" s="41">
        <v>37.5</v>
      </c>
      <c r="F12" s="41">
        <v>37.51</v>
      </c>
      <c r="G12" s="41">
        <v>36.96</v>
      </c>
      <c r="H12" s="41">
        <v>38.1</v>
      </c>
      <c r="I12" s="41">
        <v>38.61</v>
      </c>
      <c r="J12" s="41">
        <v>37.26</v>
      </c>
      <c r="L12" s="24"/>
      <c r="M12" s="25"/>
    </row>
    <row r="13" spans="2:13" ht="15.75">
      <c r="B13" s="3">
        <f t="shared" si="0"/>
        <v>2015</v>
      </c>
      <c r="C13" s="41">
        <v>39.44</v>
      </c>
      <c r="D13" s="41">
        <v>39.76</v>
      </c>
      <c r="E13" s="41">
        <v>38.75</v>
      </c>
      <c r="F13" s="41">
        <v>38.729999999999997</v>
      </c>
      <c r="G13" s="41">
        <v>38.989999999999995</v>
      </c>
      <c r="H13" s="41">
        <v>40.019999999999996</v>
      </c>
      <c r="I13" s="41">
        <v>40.01</v>
      </c>
      <c r="J13" s="41">
        <v>38.239999999999995</v>
      </c>
      <c r="L13" s="24"/>
      <c r="M13" s="25"/>
    </row>
    <row r="14" spans="2:13" ht="15.75">
      <c r="B14" s="3">
        <f t="shared" si="0"/>
        <v>2016</v>
      </c>
      <c r="C14" s="41">
        <v>35.96</v>
      </c>
      <c r="D14" s="41">
        <v>35.93</v>
      </c>
      <c r="E14" s="41">
        <v>35.4</v>
      </c>
      <c r="F14" s="41">
        <v>35.39</v>
      </c>
      <c r="G14" s="41">
        <v>34.93</v>
      </c>
      <c r="H14" s="41">
        <v>36.32</v>
      </c>
      <c r="I14" s="41">
        <v>36.1</v>
      </c>
      <c r="J14" s="41">
        <v>34.550000000000004</v>
      </c>
      <c r="L14" s="24"/>
      <c r="M14" s="25"/>
    </row>
    <row r="15" spans="2:13" ht="15.75">
      <c r="B15" s="3">
        <f t="shared" si="0"/>
        <v>2017</v>
      </c>
      <c r="C15" s="41">
        <v>36.04</v>
      </c>
      <c r="D15" s="41">
        <v>37.57</v>
      </c>
      <c r="E15" s="41">
        <v>35.979999999999997</v>
      </c>
      <c r="F15" s="41">
        <v>35.97</v>
      </c>
      <c r="G15" s="41">
        <v>35.979999999999997</v>
      </c>
      <c r="H15" s="41">
        <v>36.01</v>
      </c>
      <c r="I15" s="41">
        <v>36.19</v>
      </c>
      <c r="J15" s="41">
        <v>36.65</v>
      </c>
      <c r="L15" s="24"/>
      <c r="M15" s="25"/>
    </row>
    <row r="16" spans="2:13" ht="15.75">
      <c r="B16" s="3">
        <f t="shared" si="0"/>
        <v>2018</v>
      </c>
      <c r="C16" s="41">
        <v>38.61</v>
      </c>
      <c r="D16" s="41">
        <v>39.64</v>
      </c>
      <c r="E16" s="41">
        <v>39.51</v>
      </c>
      <c r="F16" s="41">
        <v>39.489999999999995</v>
      </c>
      <c r="G16" s="41">
        <v>40.729999999999997</v>
      </c>
      <c r="H16" s="41">
        <v>40.379999999999995</v>
      </c>
      <c r="I16" s="41">
        <v>39.919999999999995</v>
      </c>
      <c r="J16" s="41">
        <v>39.249999999999993</v>
      </c>
      <c r="L16" s="24"/>
      <c r="M16" s="25"/>
    </row>
    <row r="17" spans="2:13" ht="15.75">
      <c r="B17" s="3">
        <f t="shared" si="0"/>
        <v>2019</v>
      </c>
      <c r="C17" s="41">
        <v>41.16</v>
      </c>
      <c r="D17" s="41">
        <v>41.769999999999996</v>
      </c>
      <c r="E17" s="41">
        <v>41.769999999999996</v>
      </c>
      <c r="F17" s="41">
        <v>41.749999999999993</v>
      </c>
      <c r="G17" s="41">
        <v>42.909999999999989</v>
      </c>
      <c r="H17" s="41">
        <v>43.269999999999989</v>
      </c>
      <c r="I17" s="41">
        <v>42.72999999999999</v>
      </c>
      <c r="J17" s="41">
        <v>41.519999999999989</v>
      </c>
      <c r="L17" s="24"/>
      <c r="M17" s="25"/>
    </row>
    <row r="18" spans="2:13" ht="15.75">
      <c r="B18" s="3">
        <f t="shared" si="0"/>
        <v>2020</v>
      </c>
      <c r="C18" s="41">
        <v>44.17</v>
      </c>
      <c r="D18" s="41">
        <v>43.06</v>
      </c>
      <c r="E18" s="41">
        <v>42.74</v>
      </c>
      <c r="F18" s="41">
        <v>42.72</v>
      </c>
      <c r="G18" s="41">
        <v>44.6</v>
      </c>
      <c r="H18" s="41">
        <v>46.18</v>
      </c>
      <c r="I18" s="41">
        <v>42.05</v>
      </c>
      <c r="J18" s="41">
        <v>39.769999999999996</v>
      </c>
      <c r="L18" s="24"/>
      <c r="M18" s="25"/>
    </row>
    <row r="19" spans="2:13" ht="15.75">
      <c r="B19" s="3">
        <f t="shared" si="0"/>
        <v>2021</v>
      </c>
      <c r="C19" s="41">
        <v>47.18</v>
      </c>
      <c r="D19" s="41">
        <v>47.809999999999995</v>
      </c>
      <c r="E19" s="41">
        <v>46.98</v>
      </c>
      <c r="F19" s="41">
        <v>46.959999999999994</v>
      </c>
      <c r="G19" s="41">
        <v>47.559999999999995</v>
      </c>
      <c r="H19" s="41">
        <v>48.349999999999994</v>
      </c>
      <c r="I19" s="41">
        <v>46.989999999999995</v>
      </c>
      <c r="J19" s="41">
        <v>45.98</v>
      </c>
      <c r="L19" s="24"/>
      <c r="M19" s="25"/>
    </row>
    <row r="20" spans="2:13" ht="15.75">
      <c r="B20" s="3">
        <f t="shared" si="0"/>
        <v>2022</v>
      </c>
      <c r="C20" s="41">
        <v>47.42</v>
      </c>
      <c r="D20" s="41">
        <v>47.71</v>
      </c>
      <c r="E20" s="41">
        <v>47.85</v>
      </c>
      <c r="F20" s="41">
        <v>47.690000000000005</v>
      </c>
      <c r="G20" s="41">
        <v>48.460000000000008</v>
      </c>
      <c r="H20" s="41">
        <v>49.540000000000006</v>
      </c>
      <c r="I20" s="41">
        <v>47.600000000000009</v>
      </c>
      <c r="J20" s="41">
        <v>46.210000000000008</v>
      </c>
      <c r="L20" s="24"/>
      <c r="M20" s="24"/>
    </row>
    <row r="21" spans="2:13" ht="15.75">
      <c r="B21" s="3">
        <f t="shared" si="0"/>
        <v>2023</v>
      </c>
      <c r="C21" s="41">
        <v>48.39</v>
      </c>
      <c r="D21" s="41">
        <v>48.65</v>
      </c>
      <c r="E21" s="41">
        <v>48.879999999999995</v>
      </c>
      <c r="F21" s="41">
        <v>48.22</v>
      </c>
      <c r="G21" s="41">
        <v>49.67</v>
      </c>
      <c r="H21" s="41">
        <v>50.36</v>
      </c>
      <c r="I21" s="41">
        <v>48.49</v>
      </c>
      <c r="J21" s="41">
        <v>47.050000000000004</v>
      </c>
      <c r="L21" s="24"/>
      <c r="M21" s="24"/>
    </row>
    <row r="22" spans="2:13" ht="15.75">
      <c r="B22" s="3">
        <f t="shared" si="0"/>
        <v>2024</v>
      </c>
      <c r="C22" s="41">
        <v>47.77</v>
      </c>
      <c r="D22" s="41">
        <v>48.080000000000005</v>
      </c>
      <c r="E22" s="41">
        <v>48.390000000000008</v>
      </c>
      <c r="F22" s="41">
        <v>48.250000000000007</v>
      </c>
      <c r="G22" s="41">
        <v>48.960000000000008</v>
      </c>
      <c r="H22" s="41">
        <v>48.900000000000006</v>
      </c>
      <c r="I22" s="41">
        <v>48.740000000000009</v>
      </c>
      <c r="J22" s="41">
        <v>48.350000000000009</v>
      </c>
      <c r="L22" s="24"/>
      <c r="M22" s="24"/>
    </row>
    <row r="23" spans="2:13" ht="15.75">
      <c r="B23" s="3">
        <f t="shared" si="0"/>
        <v>2025</v>
      </c>
      <c r="C23" s="41">
        <v>49.31</v>
      </c>
      <c r="D23" s="41">
        <v>49.11</v>
      </c>
      <c r="E23" s="41">
        <v>49.28</v>
      </c>
      <c r="F23" s="41">
        <v>49.28</v>
      </c>
      <c r="G23" s="41">
        <v>49.61</v>
      </c>
      <c r="H23" s="41">
        <v>49.75</v>
      </c>
      <c r="I23" s="41">
        <v>49.8</v>
      </c>
      <c r="J23" s="41">
        <v>49.39</v>
      </c>
      <c r="L23" s="24"/>
      <c r="M23" s="24"/>
    </row>
    <row r="24" spans="2:13" ht="15.75">
      <c r="B24" s="3">
        <f t="shared" si="0"/>
        <v>2026</v>
      </c>
      <c r="C24" s="41">
        <v>52.72</v>
      </c>
      <c r="D24" s="41">
        <v>52.9</v>
      </c>
      <c r="E24" s="41">
        <v>53.23</v>
      </c>
      <c r="F24" s="41">
        <v>52.44</v>
      </c>
      <c r="G24" s="41">
        <v>53.519999999999996</v>
      </c>
      <c r="H24" s="41">
        <v>53.139999999999993</v>
      </c>
      <c r="I24" s="41">
        <v>53.289999999999992</v>
      </c>
      <c r="J24" s="41">
        <v>52.989999999999995</v>
      </c>
      <c r="L24" s="24"/>
      <c r="M24" s="24"/>
    </row>
    <row r="25" spans="2:13" ht="15.75">
      <c r="B25" s="3">
        <f t="shared" si="0"/>
        <v>2027</v>
      </c>
      <c r="C25" s="41">
        <v>56.55</v>
      </c>
      <c r="D25" s="41">
        <v>55.839999999999996</v>
      </c>
      <c r="E25" s="41">
        <v>55.989999999999995</v>
      </c>
      <c r="F25" s="41">
        <v>54.309999999999995</v>
      </c>
      <c r="G25" s="41">
        <v>56.319999999999993</v>
      </c>
      <c r="H25" s="41">
        <v>56.269999999999996</v>
      </c>
      <c r="I25" s="41">
        <v>55.11</v>
      </c>
      <c r="J25" s="41">
        <v>55.42</v>
      </c>
      <c r="L25" s="24"/>
      <c r="M25" s="24"/>
    </row>
    <row r="26" spans="2:13" ht="15.75">
      <c r="B26" s="3">
        <f t="shared" si="0"/>
        <v>2028</v>
      </c>
      <c r="C26" s="41">
        <v>57.66</v>
      </c>
      <c r="D26" s="41">
        <v>57.839999999999996</v>
      </c>
      <c r="E26" s="41">
        <v>57.989999999999995</v>
      </c>
      <c r="F26" s="41">
        <v>56.37</v>
      </c>
      <c r="G26" s="41">
        <v>57.129999999999995</v>
      </c>
      <c r="H26" s="41">
        <v>57.589999999999996</v>
      </c>
      <c r="I26" s="41">
        <v>56.79</v>
      </c>
      <c r="J26" s="41">
        <v>56.92</v>
      </c>
      <c r="L26" s="24"/>
      <c r="M26" s="24"/>
    </row>
    <row r="27" spans="2:13" ht="15.75">
      <c r="B27" s="3">
        <f t="shared" si="0"/>
        <v>2029</v>
      </c>
      <c r="C27" s="41">
        <v>58.96</v>
      </c>
      <c r="D27" s="41">
        <v>57.58</v>
      </c>
      <c r="E27" s="41">
        <v>58.94</v>
      </c>
      <c r="F27" s="41">
        <v>58.41</v>
      </c>
      <c r="G27" s="41">
        <v>59.819999999999993</v>
      </c>
      <c r="H27" s="41">
        <v>59.969999999999992</v>
      </c>
      <c r="I27" s="41">
        <v>59.899999999999991</v>
      </c>
      <c r="J27" s="41">
        <v>58.61999999999999</v>
      </c>
      <c r="L27" s="24"/>
      <c r="M27" s="24"/>
    </row>
    <row r="28" spans="2:13" ht="15.75">
      <c r="B28" s="3">
        <f t="shared" si="0"/>
        <v>2030</v>
      </c>
      <c r="C28" s="41">
        <v>59.57</v>
      </c>
      <c r="D28" s="41">
        <v>60.47</v>
      </c>
      <c r="E28" s="41">
        <v>59.449999999999996</v>
      </c>
      <c r="F28" s="41">
        <v>58.839999999999996</v>
      </c>
      <c r="G28" s="41">
        <v>59.76</v>
      </c>
      <c r="H28" s="41">
        <v>59.309999999999995</v>
      </c>
      <c r="I28" s="41">
        <v>59.389999999999993</v>
      </c>
      <c r="J28" s="41">
        <v>59.48</v>
      </c>
      <c r="L28" s="24"/>
      <c r="M28" s="24"/>
    </row>
    <row r="29" spans="2:13" ht="15.75">
      <c r="B29" s="3">
        <f t="shared" si="0"/>
        <v>2031</v>
      </c>
      <c r="C29" s="41">
        <v>61.22</v>
      </c>
      <c r="D29" s="41">
        <v>61.33</v>
      </c>
      <c r="E29" s="41">
        <v>60.739999999999995</v>
      </c>
      <c r="F29" s="41">
        <v>60.26</v>
      </c>
      <c r="G29" s="41">
        <v>60.75</v>
      </c>
      <c r="H29" s="41">
        <v>60.72</v>
      </c>
      <c r="I29" s="41">
        <v>60.589999999999996</v>
      </c>
      <c r="J29" s="41">
        <v>60.33</v>
      </c>
      <c r="L29" s="24"/>
      <c r="M29" s="24"/>
    </row>
    <row r="30" spans="2:13" ht="15.75" hidden="1">
      <c r="B30" s="3">
        <f t="shared" si="0"/>
        <v>2032</v>
      </c>
      <c r="C30" s="41"/>
      <c r="D30" s="41"/>
      <c r="E30" s="41"/>
      <c r="F30" s="41"/>
      <c r="G30" s="41"/>
      <c r="H30" s="41"/>
      <c r="I30" s="41"/>
      <c r="J30" s="41"/>
      <c r="L30" s="24"/>
      <c r="M30" s="24"/>
    </row>
    <row r="31" spans="2:13">
      <c r="C31" s="42"/>
      <c r="D31" s="42"/>
      <c r="E31" s="42"/>
      <c r="F31" s="42"/>
      <c r="G31" s="42"/>
      <c r="H31" s="42"/>
      <c r="I31" s="42"/>
      <c r="J31" s="42"/>
    </row>
    <row r="32" spans="2:13">
      <c r="B32" s="4" t="str">
        <f>"Nominal Levelized Payment at "&amp;TEXT($M$33,"0.00%")&amp;" Discount Rate (3)"</f>
        <v>Nominal Levelized Payment at 7.17% Discount Rate (3)</v>
      </c>
      <c r="C32" s="42"/>
      <c r="D32" s="42"/>
      <c r="E32" s="42"/>
      <c r="F32" s="42"/>
      <c r="G32" s="42"/>
      <c r="H32" s="42"/>
      <c r="I32" s="42"/>
      <c r="J32" s="42"/>
      <c r="M32" s="18" t="s">
        <v>1</v>
      </c>
    </row>
    <row r="33" spans="2:13">
      <c r="B33" s="13" t="str">
        <f>B10&amp;" - "&amp;B29</f>
        <v>2012 - 2031</v>
      </c>
      <c r="C33" s="40">
        <f>ROUND(PMT($P$33,COUNT(C10:C29),-NPV($P$33,C10:C29)),2)</f>
        <v>46.57</v>
      </c>
      <c r="D33" s="40">
        <f t="shared" ref="D33:I33" si="1">-PMT($M$33,COUNT(D10:D29),NPV($M$33,D10:D29))</f>
        <v>43.540452976564296</v>
      </c>
      <c r="E33" s="40">
        <f t="shared" si="1"/>
        <v>42.792564338428434</v>
      </c>
      <c r="F33" s="40">
        <f t="shared" si="1"/>
        <v>42.576133168869852</v>
      </c>
      <c r="G33" s="40">
        <f t="shared" si="1"/>
        <v>43.068396200108857</v>
      </c>
      <c r="H33" s="40">
        <f t="shared" si="1"/>
        <v>43.678751345016032</v>
      </c>
      <c r="I33" s="40">
        <f t="shared" si="1"/>
        <v>43.236971959841789</v>
      </c>
      <c r="J33" s="40">
        <f t="shared" ref="J33" si="2">-PMT($M$33,COUNT(J10:J29),NPV($M$33,J10:J29))</f>
        <v>42.319438329112565</v>
      </c>
      <c r="M33" s="12">
        <f>Discount_Rate</f>
        <v>7.17E-2</v>
      </c>
    </row>
    <row r="34" spans="2:13" hidden="1">
      <c r="B34" s="13"/>
      <c r="C34" s="6"/>
      <c r="D34" s="6"/>
      <c r="E34" s="6"/>
      <c r="F34" s="6"/>
      <c r="G34" s="5"/>
      <c r="H34" s="5"/>
      <c r="I34" s="5"/>
      <c r="J34" s="5"/>
      <c r="L34" s="12"/>
    </row>
    <row r="35" spans="2:13">
      <c r="D35" s="21"/>
    </row>
    <row r="36" spans="2:13">
      <c r="B36" s="13" t="str">
        <f>Total!B36</f>
        <v>(1)   Studies are estimates and are sequential.  The order of the studies would effect the price impact.</v>
      </c>
    </row>
    <row r="37" spans="2:13">
      <c r="B37" s="13" t="str">
        <f>Total!B37</f>
        <v>(2)   Official Forward Price Curve Dated September 30, 2011</v>
      </c>
    </row>
    <row r="38" spans="2:13">
      <c r="B38" s="13" t="str">
        <f>Total!B38</f>
        <v>(3)   2011 IRP Discount Rate</v>
      </c>
    </row>
  </sheetData>
  <phoneticPr fontId="2" type="noConversion"/>
  <printOptions horizontalCentered="1"/>
  <pageMargins left="0.25" right="0.25" top="0.75" bottom="0.75" header="0.3" footer="0.2"/>
  <pageSetup scale="79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2"/>
    <pageSetUpPr fitToPage="1"/>
  </sheetPr>
  <dimension ref="B1:K37"/>
  <sheetViews>
    <sheetView zoomScale="85" zoomScaleNormal="85" workbookViewId="0">
      <pane xSplit="2" ySplit="6" topLeftCell="C7" activePane="bottomRight" state="frozen"/>
      <selection activeCell="K33" sqref="K33"/>
      <selection pane="topRight" activeCell="K33" sqref="K33"/>
      <selection pane="bottomLeft" activeCell="K33" sqref="K33"/>
      <selection pane="bottomRight"/>
    </sheetView>
  </sheetViews>
  <sheetFormatPr defaultRowHeight="15"/>
  <cols>
    <col min="1" max="1" width="1.85546875" style="1" customWidth="1"/>
    <col min="2" max="2" width="13.85546875" style="1" customWidth="1"/>
    <col min="3" max="3" width="23.85546875" style="1" customWidth="1"/>
    <col min="4" max="4" width="23.42578125" style="1" customWidth="1"/>
    <col min="5" max="5" width="1.140625" style="1" customWidth="1"/>
    <col min="6" max="6" width="24.42578125" style="1" customWidth="1"/>
    <col min="7" max="7" width="17.5703125" style="1" customWidth="1"/>
    <col min="8" max="8" width="1.5703125" style="1" customWidth="1"/>
    <col min="9" max="9" width="17.7109375" style="1" customWidth="1"/>
    <col min="10" max="10" width="2" style="1" customWidth="1"/>
    <col min="11" max="11" width="19.140625" style="1" hidden="1" customWidth="1"/>
    <col min="12" max="16384" width="9.140625" style="1"/>
  </cols>
  <sheetData>
    <row r="1" spans="2:9" ht="15.75">
      <c r="B1" s="8" t="str">
        <f>Total!B1</f>
        <v>Appendix C</v>
      </c>
      <c r="C1" s="8"/>
      <c r="D1" s="8"/>
      <c r="E1" s="14"/>
      <c r="F1" s="8"/>
      <c r="G1" s="8"/>
      <c r="H1" s="14"/>
      <c r="I1" s="8"/>
    </row>
    <row r="2" spans="2:9" ht="8.25" customHeight="1">
      <c r="B2" s="8"/>
      <c r="C2" s="8"/>
      <c r="D2" s="8"/>
      <c r="E2" s="14"/>
      <c r="F2" s="8"/>
      <c r="G2" s="8"/>
      <c r="H2" s="14"/>
      <c r="I2" s="8"/>
    </row>
    <row r="3" spans="2:9" ht="15.75">
      <c r="B3" s="8" t="str">
        <f>Total!B3</f>
        <v>Utah Quarterly Compliance Filing</v>
      </c>
      <c r="C3" s="8"/>
      <c r="D3" s="8"/>
      <c r="E3" s="14"/>
      <c r="F3" s="8"/>
      <c r="G3" s="8"/>
      <c r="H3" s="14"/>
      <c r="I3" s="8"/>
    </row>
    <row r="4" spans="2:9" ht="15.75">
      <c r="B4" s="8" t="str">
        <f>Total!B4</f>
        <v>Step Study between 2011.Q3 and 2011.Q4 Compliance Filing</v>
      </c>
      <c r="C4" s="8"/>
      <c r="D4" s="8"/>
      <c r="E4" s="14"/>
      <c r="F4" s="8"/>
      <c r="G4" s="8"/>
      <c r="H4" s="14"/>
      <c r="I4" s="8"/>
    </row>
    <row r="5" spans="2:9" ht="15.75">
      <c r="B5" s="8" t="s">
        <v>13</v>
      </c>
      <c r="C5" s="8"/>
      <c r="D5" s="8"/>
      <c r="E5" s="14"/>
      <c r="F5" s="8"/>
      <c r="G5" s="8"/>
      <c r="H5" s="14"/>
      <c r="I5" s="8"/>
    </row>
    <row r="6" spans="2:9" ht="15.75">
      <c r="B6" s="8"/>
      <c r="C6" s="8"/>
      <c r="D6" s="8"/>
      <c r="F6" s="8"/>
      <c r="G6" s="8"/>
      <c r="I6" s="8"/>
    </row>
    <row r="7" spans="2:9" ht="15.75">
      <c r="B7" s="9"/>
      <c r="C7" s="15" t="s">
        <v>3</v>
      </c>
      <c r="D7" s="16"/>
      <c r="F7" s="15" t="s">
        <v>11</v>
      </c>
      <c r="G7" s="16"/>
      <c r="I7" s="28" t="s">
        <v>12</v>
      </c>
    </row>
    <row r="8" spans="2:9" ht="15.75">
      <c r="B8" s="10" t="s">
        <v>0</v>
      </c>
      <c r="C8" s="19" t="s">
        <v>29</v>
      </c>
      <c r="D8" s="19" t="s">
        <v>25</v>
      </c>
      <c r="F8" s="20" t="str">
        <f>C8</f>
        <v>2011.Q4</v>
      </c>
      <c r="G8" s="19" t="str">
        <f>D8</f>
        <v>2011.Q3</v>
      </c>
      <c r="I8" s="28" t="s">
        <v>8</v>
      </c>
    </row>
    <row r="9" spans="2:9" ht="4.5" customHeight="1"/>
    <row r="10" spans="2:9" ht="15.75">
      <c r="B10" s="3">
        <f>Total!B10</f>
        <v>2012</v>
      </c>
      <c r="C10" s="32">
        <v>0</v>
      </c>
      <c r="D10" s="32">
        <v>0</v>
      </c>
      <c r="F10" s="32">
        <f t="shared" ref="F10:F14" si="0">C10*1000/(IF(MOD($B10,4)=0,8784,8760)*0.85)</f>
        <v>0</v>
      </c>
      <c r="G10" s="32">
        <f t="shared" ref="G10:G13" si="1">D10*1000/(IF(MOD($B10,4)=0,8784,8760)*0.85)</f>
        <v>0</v>
      </c>
      <c r="I10" s="32">
        <f>F10-G10</f>
        <v>0</v>
      </c>
    </row>
    <row r="11" spans="2:9" ht="15.75">
      <c r="B11" s="3">
        <f t="shared" ref="B11:B30" si="2">B10+1</f>
        <v>2013</v>
      </c>
      <c r="C11" s="32">
        <v>0</v>
      </c>
      <c r="D11" s="32">
        <v>0</v>
      </c>
      <c r="F11" s="32">
        <f t="shared" si="0"/>
        <v>0</v>
      </c>
      <c r="G11" s="32">
        <f t="shared" si="1"/>
        <v>0</v>
      </c>
      <c r="I11" s="32">
        <f t="shared" ref="I11:I29" si="3">F11-G11</f>
        <v>0</v>
      </c>
    </row>
    <row r="12" spans="2:9" ht="15.75">
      <c r="B12" s="3">
        <f t="shared" si="2"/>
        <v>2014</v>
      </c>
      <c r="C12" s="32">
        <v>0</v>
      </c>
      <c r="D12" s="32">
        <v>0</v>
      </c>
      <c r="F12" s="32">
        <f t="shared" si="0"/>
        <v>0</v>
      </c>
      <c r="G12" s="32">
        <f t="shared" si="1"/>
        <v>0</v>
      </c>
      <c r="I12" s="32">
        <f t="shared" si="3"/>
        <v>0</v>
      </c>
    </row>
    <row r="13" spans="2:9" ht="15.75">
      <c r="B13" s="3">
        <f t="shared" si="2"/>
        <v>2015</v>
      </c>
      <c r="C13" s="32">
        <v>0</v>
      </c>
      <c r="D13" s="32">
        <v>0</v>
      </c>
      <c r="F13" s="32">
        <f t="shared" si="0"/>
        <v>0</v>
      </c>
      <c r="G13" s="32">
        <f t="shared" si="1"/>
        <v>0</v>
      </c>
      <c r="I13" s="32">
        <f t="shared" si="3"/>
        <v>0</v>
      </c>
    </row>
    <row r="14" spans="2:9" ht="15.75">
      <c r="B14" s="3">
        <f t="shared" si="2"/>
        <v>2016</v>
      </c>
      <c r="C14" s="41">
        <v>84.612500000000011</v>
      </c>
      <c r="D14" s="41">
        <v>84.612500000000011</v>
      </c>
      <c r="E14" s="42"/>
      <c r="F14" s="41">
        <f t="shared" si="0"/>
        <v>11.332435979856426</v>
      </c>
      <c r="G14" s="41">
        <f>D14*1000/(IF(MOD($B14,4)=0,8784,8760)*0.85)</f>
        <v>11.332435979856426</v>
      </c>
      <c r="H14" s="42"/>
      <c r="I14" s="41">
        <f t="shared" si="3"/>
        <v>0</v>
      </c>
    </row>
    <row r="15" spans="2:9" ht="15.75">
      <c r="B15" s="3">
        <f t="shared" si="2"/>
        <v>2017</v>
      </c>
      <c r="C15" s="41">
        <v>147.80000000000001</v>
      </c>
      <c r="D15" s="41">
        <v>147.80000000000001</v>
      </c>
      <c r="E15" s="42"/>
      <c r="F15" s="41">
        <f>C15*1000/(IF(MOD($B15,4)=0,8784,8760)*0.85)</f>
        <v>19.849583669084073</v>
      </c>
      <c r="G15" s="41">
        <f t="shared" ref="G15:G29" si="4">D15*1000/(IF(MOD($B15,4)=0,8784,8760)*0.85)</f>
        <v>19.849583669084073</v>
      </c>
      <c r="H15" s="42"/>
      <c r="I15" s="41">
        <f t="shared" si="3"/>
        <v>0</v>
      </c>
    </row>
    <row r="16" spans="2:9" ht="15.75">
      <c r="B16" s="3">
        <f t="shared" si="2"/>
        <v>2018</v>
      </c>
      <c r="C16" s="41">
        <v>150.6</v>
      </c>
      <c r="D16" s="41">
        <v>150.6</v>
      </c>
      <c r="E16" s="42"/>
      <c r="F16" s="41">
        <f t="shared" ref="F16:F29" si="5">C16*1000/(IF(MOD($B16,4)=0,8784,8760)*0.85)</f>
        <v>20.225624496373893</v>
      </c>
      <c r="G16" s="41">
        <f t="shared" si="4"/>
        <v>20.225624496373893</v>
      </c>
      <c r="H16" s="42"/>
      <c r="I16" s="41">
        <f t="shared" si="3"/>
        <v>0</v>
      </c>
    </row>
    <row r="17" spans="2:11" ht="15.75">
      <c r="B17" s="3">
        <f t="shared" si="2"/>
        <v>2019</v>
      </c>
      <c r="C17" s="41">
        <v>153.32</v>
      </c>
      <c r="D17" s="41">
        <v>153.32</v>
      </c>
      <c r="E17" s="42"/>
      <c r="F17" s="41">
        <f t="shared" si="5"/>
        <v>20.59092130002686</v>
      </c>
      <c r="G17" s="41">
        <f t="shared" si="4"/>
        <v>20.59092130002686</v>
      </c>
      <c r="H17" s="42"/>
      <c r="I17" s="41">
        <f t="shared" si="3"/>
        <v>0</v>
      </c>
    </row>
    <row r="18" spans="2:11" ht="15.75">
      <c r="B18" s="3">
        <f t="shared" si="2"/>
        <v>2020</v>
      </c>
      <c r="C18" s="41">
        <v>155.93</v>
      </c>
      <c r="D18" s="41">
        <v>155.93</v>
      </c>
      <c r="E18" s="42"/>
      <c r="F18" s="41">
        <f t="shared" si="5"/>
        <v>20.88422800814315</v>
      </c>
      <c r="G18" s="41">
        <f t="shared" si="4"/>
        <v>20.88422800814315</v>
      </c>
      <c r="H18" s="42"/>
      <c r="I18" s="41">
        <f t="shared" si="3"/>
        <v>0</v>
      </c>
    </row>
    <row r="19" spans="2:11" ht="15.75">
      <c r="B19" s="3">
        <f t="shared" si="2"/>
        <v>2021</v>
      </c>
      <c r="C19" s="41">
        <v>158.72999999999999</v>
      </c>
      <c r="D19" s="41">
        <v>158.72999999999999</v>
      </c>
      <c r="E19" s="42"/>
      <c r="F19" s="41">
        <f t="shared" si="5"/>
        <v>21.317485898468977</v>
      </c>
      <c r="G19" s="41">
        <f t="shared" si="4"/>
        <v>21.317485898468977</v>
      </c>
      <c r="H19" s="42"/>
      <c r="I19" s="41">
        <f t="shared" si="3"/>
        <v>0</v>
      </c>
    </row>
    <row r="20" spans="2:11" ht="15.75">
      <c r="B20" s="3">
        <f t="shared" si="2"/>
        <v>2022</v>
      </c>
      <c r="C20" s="41">
        <v>161.6</v>
      </c>
      <c r="D20" s="41">
        <v>161.6</v>
      </c>
      <c r="E20" s="42"/>
      <c r="F20" s="41">
        <f t="shared" si="5"/>
        <v>21.702927746441041</v>
      </c>
      <c r="G20" s="41">
        <f t="shared" si="4"/>
        <v>21.702927746441041</v>
      </c>
      <c r="H20" s="42"/>
      <c r="I20" s="41">
        <f t="shared" si="3"/>
        <v>0</v>
      </c>
    </row>
    <row r="21" spans="2:11" ht="15.75">
      <c r="B21" s="3">
        <f t="shared" si="2"/>
        <v>2023</v>
      </c>
      <c r="C21" s="41">
        <v>164.51</v>
      </c>
      <c r="D21" s="41">
        <v>164.51</v>
      </c>
      <c r="E21" s="42"/>
      <c r="F21" s="41">
        <f t="shared" si="5"/>
        <v>22.093741606231532</v>
      </c>
      <c r="G21" s="41">
        <f t="shared" si="4"/>
        <v>22.093741606231532</v>
      </c>
      <c r="H21" s="42"/>
      <c r="I21" s="41">
        <f t="shared" si="3"/>
        <v>0</v>
      </c>
    </row>
    <row r="22" spans="2:11" ht="15.75">
      <c r="B22" s="3">
        <f t="shared" si="2"/>
        <v>2024</v>
      </c>
      <c r="C22" s="41">
        <v>167.47</v>
      </c>
      <c r="D22" s="41">
        <v>167.47</v>
      </c>
      <c r="E22" s="42"/>
      <c r="F22" s="41">
        <f t="shared" si="5"/>
        <v>22.429818922104364</v>
      </c>
      <c r="G22" s="41">
        <f t="shared" si="4"/>
        <v>22.429818922104364</v>
      </c>
      <c r="H22" s="42"/>
      <c r="I22" s="41">
        <f t="shared" si="3"/>
        <v>0</v>
      </c>
    </row>
    <row r="23" spans="2:11" ht="15.75">
      <c r="B23" s="3">
        <f t="shared" si="2"/>
        <v>2025</v>
      </c>
      <c r="C23" s="41">
        <v>170.5</v>
      </c>
      <c r="D23" s="41">
        <v>170.5</v>
      </c>
      <c r="E23" s="42"/>
      <c r="F23" s="41">
        <f t="shared" si="5"/>
        <v>22.898200376040826</v>
      </c>
      <c r="G23" s="41">
        <f t="shared" si="4"/>
        <v>22.898200376040826</v>
      </c>
      <c r="H23" s="42"/>
      <c r="I23" s="41">
        <f t="shared" si="3"/>
        <v>0</v>
      </c>
    </row>
    <row r="24" spans="2:11" ht="15.75">
      <c r="B24" s="3">
        <f t="shared" si="2"/>
        <v>2026</v>
      </c>
      <c r="C24" s="41">
        <v>173.58</v>
      </c>
      <c r="D24" s="41">
        <v>173.58</v>
      </c>
      <c r="E24" s="42"/>
      <c r="F24" s="41">
        <f t="shared" si="5"/>
        <v>23.311845286059629</v>
      </c>
      <c r="G24" s="41">
        <f t="shared" si="4"/>
        <v>23.311845286059629</v>
      </c>
      <c r="H24" s="42"/>
      <c r="I24" s="41">
        <f t="shared" si="3"/>
        <v>0</v>
      </c>
    </row>
    <row r="25" spans="2:11" ht="15.75">
      <c r="B25" s="3">
        <f t="shared" si="2"/>
        <v>2027</v>
      </c>
      <c r="C25" s="41">
        <v>176.86</v>
      </c>
      <c r="D25" s="41">
        <v>176.86</v>
      </c>
      <c r="E25" s="42"/>
      <c r="F25" s="41">
        <f t="shared" si="5"/>
        <v>23.752350255170562</v>
      </c>
      <c r="G25" s="41">
        <f t="shared" si="4"/>
        <v>23.752350255170562</v>
      </c>
      <c r="H25" s="42"/>
      <c r="I25" s="41">
        <f t="shared" si="3"/>
        <v>0</v>
      </c>
    </row>
    <row r="26" spans="2:11" ht="15.75">
      <c r="B26" s="3">
        <f t="shared" si="2"/>
        <v>2028</v>
      </c>
      <c r="C26" s="41">
        <v>180.24</v>
      </c>
      <c r="D26" s="41">
        <v>180.24</v>
      </c>
      <c r="E26" s="42"/>
      <c r="F26" s="41">
        <f t="shared" si="5"/>
        <v>24.14014786242366</v>
      </c>
      <c r="G26" s="41">
        <f t="shared" si="4"/>
        <v>24.14014786242366</v>
      </c>
      <c r="H26" s="42"/>
      <c r="I26" s="41">
        <f t="shared" si="3"/>
        <v>0</v>
      </c>
    </row>
    <row r="27" spans="2:11" ht="15.75">
      <c r="B27" s="3">
        <f t="shared" si="2"/>
        <v>2029</v>
      </c>
      <c r="C27" s="41">
        <v>183.65</v>
      </c>
      <c r="D27" s="41">
        <v>183.65</v>
      </c>
      <c r="E27" s="42"/>
      <c r="F27" s="41">
        <f t="shared" si="5"/>
        <v>24.664249261348374</v>
      </c>
      <c r="G27" s="41">
        <f t="shared" si="4"/>
        <v>24.664249261348374</v>
      </c>
      <c r="H27" s="42"/>
      <c r="I27" s="41">
        <f t="shared" si="3"/>
        <v>0</v>
      </c>
    </row>
    <row r="28" spans="2:11" ht="15.75">
      <c r="B28" s="3">
        <f t="shared" si="2"/>
        <v>2030</v>
      </c>
      <c r="C28" s="41">
        <v>187.13</v>
      </c>
      <c r="D28" s="41">
        <v>187.13</v>
      </c>
      <c r="E28" s="42"/>
      <c r="F28" s="41">
        <f t="shared" si="5"/>
        <v>25.131614289551436</v>
      </c>
      <c r="G28" s="41">
        <f t="shared" si="4"/>
        <v>25.131614289551436</v>
      </c>
      <c r="H28" s="42"/>
      <c r="I28" s="41">
        <f t="shared" si="3"/>
        <v>0</v>
      </c>
    </row>
    <row r="29" spans="2:11" ht="15.75">
      <c r="B29" s="3">
        <f t="shared" si="2"/>
        <v>2031</v>
      </c>
      <c r="C29" s="41">
        <v>190.87</v>
      </c>
      <c r="D29" s="41">
        <v>190.87</v>
      </c>
      <c r="E29" s="42"/>
      <c r="F29" s="41">
        <f t="shared" si="5"/>
        <v>25.633897394574269</v>
      </c>
      <c r="G29" s="41">
        <f t="shared" si="4"/>
        <v>25.633897394574269</v>
      </c>
      <c r="H29" s="42"/>
      <c r="I29" s="41">
        <f t="shared" si="3"/>
        <v>0</v>
      </c>
    </row>
    <row r="30" spans="2:11" ht="15.75">
      <c r="B30" s="3">
        <f t="shared" si="2"/>
        <v>2032</v>
      </c>
      <c r="C30" s="32"/>
      <c r="D30" s="6"/>
      <c r="F30" s="32"/>
      <c r="G30" s="6"/>
      <c r="I30" s="6"/>
    </row>
    <row r="31" spans="2:11" ht="15.75">
      <c r="B31" s="3"/>
      <c r="C31" s="6"/>
      <c r="F31" s="6"/>
    </row>
    <row r="32" spans="2:11">
      <c r="B32" s="4" t="str">
        <f>"Nominal Levelized Payment at "&amp;TEXT($K$33,"0.00%")&amp;" Discount Rate (2)"</f>
        <v>Nominal Levelized Payment at 7.17% Discount Rate (2)</v>
      </c>
      <c r="D32" s="4"/>
      <c r="K32" s="18" t="s">
        <v>1</v>
      </c>
    </row>
    <row r="33" spans="2:11">
      <c r="B33" s="13" t="str">
        <f>$B$10&amp;" - "&amp;B29</f>
        <v>2012 - 2031</v>
      </c>
      <c r="C33" s="5">
        <f>PMT($K$33,COUNT(C10:C29),-NPV($K$33,C10:C29))</f>
        <v>105.90818877075651</v>
      </c>
      <c r="D33" s="5">
        <f>PMT($K$33,COUNT(D10:D29),-NPV($K$33,D10:D29))</f>
        <v>105.90818877075651</v>
      </c>
      <c r="F33" s="5">
        <f>PMT($K$33,COUNT(F10:F29),-NPV($K$33,F10:F29))</f>
        <v>14.214127800476803</v>
      </c>
      <c r="G33" s="5">
        <f>PMT($K$33,COUNT(G10:G29),-NPV($K$33,G10:G29))</f>
        <v>14.214127800476803</v>
      </c>
      <c r="I33" s="5">
        <f>PMT($K$33,COUNT(I10:I29),-NPV($K$33,I10:I29))</f>
        <v>0</v>
      </c>
      <c r="K33" s="37">
        <f>Discount_Rate</f>
        <v>7.17E-2</v>
      </c>
    </row>
    <row r="34" spans="2:11" hidden="1">
      <c r="B34" s="13"/>
      <c r="K34" s="37"/>
    </row>
    <row r="36" spans="2:11">
      <c r="B36" s="1" t="s">
        <v>4</v>
      </c>
    </row>
    <row r="37" spans="2:11">
      <c r="B37" s="1" t="s">
        <v>33</v>
      </c>
    </row>
  </sheetData>
  <phoneticPr fontId="2" type="noConversion"/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Total</vt:lpstr>
      <vt:lpstr>Incremental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MPaschal</cp:lastModifiedBy>
  <cp:lastPrinted>2011-11-16T17:17:06Z</cp:lastPrinted>
  <dcterms:created xsi:type="dcterms:W3CDTF">2006-07-10T20:43:15Z</dcterms:created>
  <dcterms:modified xsi:type="dcterms:W3CDTF">2011-12-05T21:20:17Z</dcterms:modified>
</cp:coreProperties>
</file>