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4226"/>
  <bookViews>
    <workbookView xWindow="60" yWindow="15" windowWidth="9540" windowHeight="10575"/>
  </bookViews>
  <sheets>
    <sheet name="Appendix B" sheetId="32" r:id="rId1"/>
    <sheet name="Table 1" sheetId="25" r:id="rId2"/>
    <sheet name="Table 2" sheetId="17" r:id="rId3"/>
    <sheet name="Table 3" sheetId="26" r:id="rId4"/>
    <sheet name="Table 4" sheetId="29" r:id="rId5"/>
    <sheet name="Table 5" sheetId="28" r:id="rId6"/>
  </sheets>
  <definedNames>
    <definedName name="_xlnm.Print_Area" localSheetId="0">'Appendix B'!$A$1:$F$38</definedName>
    <definedName name="_xlnm.Print_Area" localSheetId="1">'Table 1'!$A$1:$H$45</definedName>
    <definedName name="_xlnm.Print_Area" localSheetId="2">'Table 2'!$B$10:$Q$34</definedName>
    <definedName name="_xlnm.Print_Area" localSheetId="3">'Table 3'!$B$10:$Q$34</definedName>
    <definedName name="_xlnm.Print_Area" localSheetId="4">'Table 4'!$B$1:$K$91</definedName>
    <definedName name="_xlnm.Print_Area" localSheetId="5">'Table 5'!$A$1:$D$35</definedName>
    <definedName name="_xlnm.Print_Titles" localSheetId="2">'Table 2'!$1:$9</definedName>
    <definedName name="_xlnm.Print_Titles" localSheetId="3">'Table 3'!$1:$9</definedName>
  </definedNames>
  <calcPr calcId="125725" calcOnSave="0"/>
</workbook>
</file>

<file path=xl/calcChain.xml><?xml version="1.0" encoding="utf-8"?>
<calcChain xmlns="http://schemas.openxmlformats.org/spreadsheetml/2006/main">
  <c r="C10" i="25"/>
  <c r="B45"/>
  <c r="I33" l="1"/>
  <c r="G28" i="32" l="1"/>
  <c r="B36"/>
  <c r="C82" i="29" l="1"/>
  <c r="C83" l="1"/>
  <c r="C84" l="1"/>
  <c r="C85" l="1"/>
  <c r="C86" l="1"/>
  <c r="C87" l="1"/>
  <c r="C88" l="1"/>
  <c r="C89" l="1"/>
  <c r="F81" l="1"/>
  <c r="F82" l="1"/>
  <c r="F83" l="1"/>
  <c r="F84" l="1"/>
  <c r="F85" l="1"/>
  <c r="F86" l="1"/>
  <c r="F87" l="1"/>
  <c r="F88" l="1"/>
  <c r="F89" l="1"/>
  <c r="I81" l="1"/>
  <c r="I82" l="1"/>
  <c r="I83" l="1"/>
  <c r="I84" l="1"/>
  <c r="I85" l="1"/>
  <c r="I86" l="1"/>
  <c r="I87" l="1"/>
  <c r="I88" l="1"/>
  <c r="I89" l="1"/>
  <c r="B4" i="32"/>
  <c r="G29"/>
  <c r="B29" s="1"/>
  <c r="C7"/>
  <c r="F57" i="29" l="1"/>
  <c r="F56"/>
  <c r="I279" i="28" l="1"/>
  <c r="I277"/>
  <c r="I275"/>
  <c r="I273"/>
  <c r="I271"/>
  <c r="I269"/>
  <c r="I267"/>
  <c r="I265"/>
  <c r="I263"/>
  <c r="I261"/>
  <c r="I259"/>
  <c r="I257"/>
  <c r="I255"/>
  <c r="I253"/>
  <c r="I251"/>
  <c r="I249"/>
  <c r="I247"/>
  <c r="I245"/>
  <c r="I243"/>
  <c r="I241"/>
  <c r="I239"/>
  <c r="I237"/>
  <c r="I235"/>
  <c r="I233"/>
  <c r="I231"/>
  <c r="I229"/>
  <c r="I227"/>
  <c r="I225"/>
  <c r="I223"/>
  <c r="I221"/>
  <c r="I219"/>
  <c r="I217"/>
  <c r="I215"/>
  <c r="I213"/>
  <c r="I211"/>
  <c r="I209"/>
  <c r="I207"/>
  <c r="I205"/>
  <c r="I203"/>
  <c r="I201"/>
  <c r="I199"/>
  <c r="I197"/>
  <c r="I195"/>
  <c r="I193"/>
  <c r="I191"/>
  <c r="I189"/>
  <c r="I187"/>
  <c r="I185"/>
  <c r="I183"/>
  <c r="I181"/>
  <c r="I179"/>
  <c r="I177"/>
  <c r="I175"/>
  <c r="I173"/>
  <c r="I171"/>
  <c r="I169"/>
  <c r="I167"/>
  <c r="I165"/>
  <c r="I163"/>
  <c r="I161"/>
  <c r="I159"/>
  <c r="I157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8" l="1"/>
  <c r="I120"/>
  <c r="I122"/>
  <c r="I124"/>
  <c r="I126"/>
  <c r="I128"/>
  <c r="I130"/>
  <c r="I132"/>
  <c r="I134"/>
  <c r="I136"/>
  <c r="I138"/>
  <c r="I140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6"/>
  <c r="I18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116" l="1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B12" i="29"/>
  <c r="E66"/>
  <c r="B5"/>
  <c r="B6" i="26"/>
  <c r="B5" i="17"/>
  <c r="B6"/>
  <c r="B3"/>
  <c r="B3" i="26" s="1"/>
  <c r="B3" i="29" s="1"/>
  <c r="B3" i="28" s="1"/>
  <c r="D48" i="29" s="1"/>
  <c r="G61"/>
  <c r="F61"/>
  <c r="G62"/>
  <c r="F62"/>
  <c r="I57"/>
  <c r="I56"/>
  <c r="H57"/>
  <c r="H56"/>
  <c r="B15"/>
  <c r="B16" s="1"/>
  <c r="B17" s="1"/>
  <c r="B18" s="1"/>
  <c r="B19" s="1"/>
  <c r="B20" s="1"/>
  <c r="K61"/>
  <c r="K62"/>
  <c r="D74"/>
  <c r="D50"/>
  <c r="C50"/>
  <c r="C49"/>
  <c r="C48"/>
  <c r="D47"/>
  <c r="C47"/>
  <c r="C46"/>
  <c r="D45"/>
  <c r="C45"/>
  <c r="B15" i="28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5"/>
  <c r="B5" i="26"/>
  <c r="B21" i="29" l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C72"/>
  <c r="D72"/>
  <c r="H61"/>
  <c r="F58"/>
  <c r="G56" s="1"/>
  <c r="C30" i="28"/>
  <c r="C32"/>
  <c r="I38" i="29" s="1"/>
  <c r="C34" i="28"/>
  <c r="C31"/>
  <c r="I37" i="29" s="1"/>
  <c r="C33" i="28"/>
  <c r="H62" i="29"/>
  <c r="C24" i="28"/>
  <c r="C20"/>
  <c r="I26" i="29" s="1"/>
  <c r="C16" i="28"/>
  <c r="C26"/>
  <c r="I32" i="29" s="1"/>
  <c r="C22" i="28"/>
  <c r="C18"/>
  <c r="I24" i="29" s="1"/>
  <c r="C14" i="28"/>
  <c r="C29"/>
  <c r="I35" i="29" s="1"/>
  <c r="C27" i="28"/>
  <c r="C25"/>
  <c r="I31" i="29" s="1"/>
  <c r="C23" i="28"/>
  <c r="C21"/>
  <c r="I27" i="29" s="1"/>
  <c r="C19" i="28"/>
  <c r="I25" i="29" s="1"/>
  <c r="C17" i="28"/>
  <c r="I23" i="29" s="1"/>
  <c r="C15" i="28"/>
  <c r="H58" i="29"/>
  <c r="C14" s="1"/>
  <c r="D14" s="1"/>
  <c r="D15" s="1"/>
  <c r="D16" s="1"/>
  <c r="D17" s="1"/>
  <c r="D18" s="1"/>
  <c r="D19" s="1"/>
  <c r="D20" s="1"/>
  <c r="I58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F63"/>
  <c r="I29" l="1"/>
  <c r="I33"/>
  <c r="I28"/>
  <c r="J62"/>
  <c r="J61"/>
  <c r="I30"/>
  <c r="I39"/>
  <c r="I40"/>
  <c r="I36"/>
  <c r="D21"/>
  <c r="H63"/>
  <c r="C28" i="28"/>
  <c r="I34" i="29" s="1"/>
  <c r="G57"/>
  <c r="G58" s="1"/>
  <c r="D22" l="1"/>
  <c r="I61"/>
  <c r="I62" s="1"/>
  <c r="J63" s="1"/>
  <c r="F14" s="1"/>
  <c r="F15" s="1"/>
  <c r="D76"/>
  <c r="D77" s="1"/>
  <c r="G63"/>
  <c r="D46" s="1"/>
  <c r="I63"/>
  <c r="K63"/>
  <c r="J38" s="1"/>
  <c r="E77"/>
  <c r="J30" l="1"/>
  <c r="J34"/>
  <c r="J26"/>
  <c r="D49"/>
  <c r="J32"/>
  <c r="J28"/>
  <c r="J24"/>
  <c r="J40"/>
  <c r="D23"/>
  <c r="G15"/>
  <c r="F16"/>
  <c r="J35"/>
  <c r="J33"/>
  <c r="J31"/>
  <c r="J29"/>
  <c r="J27"/>
  <c r="J25"/>
  <c r="J23"/>
  <c r="J37"/>
  <c r="G14"/>
  <c r="H14" s="1"/>
  <c r="J36"/>
  <c r="J39"/>
  <c r="D24" l="1"/>
  <c r="F17"/>
  <c r="G16"/>
  <c r="H15"/>
  <c r="D25" l="1"/>
  <c r="F18"/>
  <c r="G17"/>
  <c r="H16"/>
  <c r="D26" l="1"/>
  <c r="F19"/>
  <c r="G18"/>
  <c r="H17"/>
  <c r="D27" l="1"/>
  <c r="G19"/>
  <c r="F20"/>
  <c r="H18"/>
  <c r="D28" l="1"/>
  <c r="F21"/>
  <c r="G20"/>
  <c r="H19"/>
  <c r="D29" l="1"/>
  <c r="G21"/>
  <c r="H21" s="1"/>
  <c r="F22"/>
  <c r="H20"/>
  <c r="D30" l="1"/>
  <c r="F23"/>
  <c r="G22"/>
  <c r="H22" s="1"/>
  <c r="D31" l="1"/>
  <c r="G23"/>
  <c r="H23" s="1"/>
  <c r="F24"/>
  <c r="D32" l="1"/>
  <c r="F25"/>
  <c r="G24"/>
  <c r="H24" s="1"/>
  <c r="K23"/>
  <c r="D33" l="1"/>
  <c r="F26"/>
  <c r="G25"/>
  <c r="H25" s="1"/>
  <c r="K24"/>
  <c r="D34" l="1"/>
  <c r="F27"/>
  <c r="G26"/>
  <c r="H26" s="1"/>
  <c r="K25"/>
  <c r="D35" l="1"/>
  <c r="F28"/>
  <c r="G27"/>
  <c r="H27" s="1"/>
  <c r="K26"/>
  <c r="D36" l="1"/>
  <c r="G28"/>
  <c r="H28" s="1"/>
  <c r="F29"/>
  <c r="K27"/>
  <c r="D37" l="1"/>
  <c r="F30"/>
  <c r="G29"/>
  <c r="H29" s="1"/>
  <c r="K28"/>
  <c r="D38" l="1"/>
  <c r="D39" s="1"/>
  <c r="D40" s="1"/>
  <c r="G30"/>
  <c r="H30" s="1"/>
  <c r="F31"/>
  <c r="K29"/>
  <c r="F32" l="1"/>
  <c r="G31"/>
  <c r="H31" s="1"/>
  <c r="K30"/>
  <c r="G32" l="1"/>
  <c r="H32" s="1"/>
  <c r="F33"/>
  <c r="K31"/>
  <c r="G33" l="1"/>
  <c r="H33" s="1"/>
  <c r="F34"/>
  <c r="K32"/>
  <c r="G34" l="1"/>
  <c r="H34" s="1"/>
  <c r="F35"/>
  <c r="K33"/>
  <c r="K34" l="1"/>
  <c r="F36"/>
  <c r="G35"/>
  <c r="H35" s="1"/>
  <c r="F37" l="1"/>
  <c r="G36"/>
  <c r="H36" s="1"/>
  <c r="K35"/>
  <c r="F38" l="1"/>
  <c r="G37"/>
  <c r="H37" s="1"/>
  <c r="K36"/>
  <c r="K37" l="1"/>
  <c r="F39"/>
  <c r="G38"/>
  <c r="H38" s="1"/>
  <c r="K38" s="1"/>
  <c r="F40" l="1"/>
  <c r="G40" s="1"/>
  <c r="H40" s="1"/>
  <c r="K40" s="1"/>
  <c r="G39"/>
  <c r="H39" s="1"/>
  <c r="K39" s="1"/>
  <c r="B13" i="17" l="1"/>
  <c r="Q12"/>
  <c r="B13" i="25"/>
  <c r="B12" i="26"/>
  <c r="B13" l="1"/>
  <c r="Q12"/>
  <c r="B14" i="25"/>
  <c r="C13"/>
  <c r="B8" i="32"/>
  <c r="B14" i="17"/>
  <c r="Q13"/>
  <c r="Q14" l="1"/>
  <c r="B15"/>
  <c r="B9" i="32"/>
  <c r="C14" i="25"/>
  <c r="B15"/>
  <c r="D14"/>
  <c r="B14" i="26"/>
  <c r="Q13"/>
  <c r="B15" l="1"/>
  <c r="Q14"/>
  <c r="D15" i="25"/>
  <c r="C15"/>
  <c r="B16"/>
  <c r="D16" s="1"/>
  <c r="B10" i="32"/>
  <c r="Q15" i="17"/>
  <c r="B16"/>
  <c r="B17" l="1"/>
  <c r="Q16"/>
  <c r="B11" i="32"/>
  <c r="C16" i="25"/>
  <c r="B17"/>
  <c r="D17" s="1"/>
  <c r="Q15" i="26"/>
  <c r="B16"/>
  <c r="Q16" l="1"/>
  <c r="B17"/>
  <c r="B12" i="32"/>
  <c r="C17" i="25"/>
  <c r="B18"/>
  <c r="D18" s="1"/>
  <c r="Q17" i="17"/>
  <c r="B18"/>
  <c r="Q18" l="1"/>
  <c r="B19"/>
  <c r="B13" i="32"/>
  <c r="C18" i="25"/>
  <c r="B19"/>
  <c r="D19" s="1"/>
  <c r="Q17" i="26"/>
  <c r="B18"/>
  <c r="Q19" i="17" l="1"/>
  <c r="B20"/>
  <c r="Q18" i="26"/>
  <c r="B19"/>
  <c r="C19" i="25"/>
  <c r="B20"/>
  <c r="B14" i="32"/>
  <c r="B15" l="1"/>
  <c r="Q19" i="26"/>
  <c r="B20"/>
  <c r="B21" i="17"/>
  <c r="Q20"/>
  <c r="C20" i="25"/>
  <c r="B21"/>
  <c r="D20"/>
  <c r="D21" l="1"/>
  <c r="C21"/>
  <c r="B22"/>
  <c r="Q21" i="17"/>
  <c r="B22"/>
  <c r="B16" i="32"/>
  <c r="Q20" i="26"/>
  <c r="B21"/>
  <c r="Q21" l="1"/>
  <c r="B22"/>
  <c r="B17" i="32"/>
  <c r="C22" i="25"/>
  <c r="D22"/>
  <c r="B23"/>
  <c r="B23" i="17"/>
  <c r="Q22"/>
  <c r="E23" i="25" s="1"/>
  <c r="Q22" i="26" l="1"/>
  <c r="B23"/>
  <c r="B24" i="17"/>
  <c r="Q23"/>
  <c r="E24" i="25" s="1"/>
  <c r="C23"/>
  <c r="G23" s="1"/>
  <c r="C18" i="32" s="1"/>
  <c r="D23" i="25"/>
  <c r="B24"/>
  <c r="B18" i="32"/>
  <c r="C24" i="25" l="1"/>
  <c r="G24" s="1"/>
  <c r="C19" i="32" s="1"/>
  <c r="D24" i="25"/>
  <c r="B25"/>
  <c r="Q24" i="17"/>
  <c r="E25" i="25" s="1"/>
  <c r="B25" i="17"/>
  <c r="Q23" i="26"/>
  <c r="B24"/>
  <c r="B19" i="32"/>
  <c r="E18"/>
  <c r="D22" i="26"/>
  <c r="G22"/>
  <c r="E22"/>
  <c r="H22"/>
  <c r="L22"/>
  <c r="O22"/>
  <c r="M22"/>
  <c r="F22"/>
  <c r="K22"/>
  <c r="J22"/>
  <c r="I22"/>
  <c r="N22"/>
  <c r="B20" i="32" l="1"/>
  <c r="E19"/>
  <c r="Q24" i="26"/>
  <c r="B25"/>
  <c r="B26" i="17"/>
  <c r="Q25"/>
  <c r="E26" i="25" s="1"/>
  <c r="C25"/>
  <c r="G25" s="1"/>
  <c r="C20" i="32" s="1"/>
  <c r="B26" i="25"/>
  <c r="D25"/>
  <c r="N23" i="26"/>
  <c r="M23"/>
  <c r="I23"/>
  <c r="D23"/>
  <c r="G23"/>
  <c r="E23"/>
  <c r="F23"/>
  <c r="H23"/>
  <c r="K23"/>
  <c r="J23"/>
  <c r="O23"/>
  <c r="L23"/>
  <c r="Q26" i="17" l="1"/>
  <c r="E27" i="25" s="1"/>
  <c r="B27" i="17"/>
  <c r="N24" i="26"/>
  <c r="G24"/>
  <c r="K24"/>
  <c r="L24"/>
  <c r="J24"/>
  <c r="O24"/>
  <c r="D24"/>
  <c r="H24"/>
  <c r="M24"/>
  <c r="E24"/>
  <c r="I24"/>
  <c r="F24"/>
  <c r="B21" i="32"/>
  <c r="E20"/>
  <c r="B27" i="25"/>
  <c r="C26"/>
  <c r="G26" s="1"/>
  <c r="C21" i="32" s="1"/>
  <c r="Q25" i="26"/>
  <c r="B26"/>
  <c r="B27" l="1"/>
  <c r="Q26"/>
  <c r="M25"/>
  <c r="L25"/>
  <c r="H25"/>
  <c r="J25"/>
  <c r="F25"/>
  <c r="D25"/>
  <c r="O25"/>
  <c r="G25"/>
  <c r="I25"/>
  <c r="E25"/>
  <c r="N25"/>
  <c r="K25"/>
  <c r="C27" i="25"/>
  <c r="G27" s="1"/>
  <c r="C22" i="32" s="1"/>
  <c r="B28" i="25"/>
  <c r="B22" i="32"/>
  <c r="E21"/>
  <c r="B28" i="17"/>
  <c r="Q27"/>
  <c r="E28" i="25" s="1"/>
  <c r="C28" l="1"/>
  <c r="G28" s="1"/>
  <c r="C23" i="32" s="1"/>
  <c r="B29" i="25"/>
  <c r="Q27" i="26"/>
  <c r="B28"/>
  <c r="Q28" i="17"/>
  <c r="E29" i="25" s="1"/>
  <c r="B29" i="17"/>
  <c r="B23" i="32"/>
  <c r="E22"/>
  <c r="N26" i="26"/>
  <c r="O26"/>
  <c r="F26"/>
  <c r="J26"/>
  <c r="G26"/>
  <c r="M26"/>
  <c r="H26"/>
  <c r="E26"/>
  <c r="K26"/>
  <c r="L26"/>
  <c r="I26"/>
  <c r="D26"/>
  <c r="B24" i="32" l="1"/>
  <c r="E23"/>
  <c r="L27" i="26"/>
  <c r="M27"/>
  <c r="I27"/>
  <c r="E27"/>
  <c r="G27"/>
  <c r="H27"/>
  <c r="O27"/>
  <c r="D27"/>
  <c r="K27"/>
  <c r="J27"/>
  <c r="N27"/>
  <c r="F27"/>
  <c r="B30" i="17"/>
  <c r="Q29"/>
  <c r="E30" i="25" s="1"/>
  <c r="Q28" i="26"/>
  <c r="B29"/>
  <c r="C29" i="25"/>
  <c r="G29" s="1"/>
  <c r="C24" i="32" s="1"/>
  <c r="B30" i="25"/>
  <c r="B31" l="1"/>
  <c r="C30"/>
  <c r="G30" s="1"/>
  <c r="C25" i="32" s="1"/>
  <c r="Q29" i="26"/>
  <c r="B30"/>
  <c r="B25" i="32"/>
  <c r="E24"/>
  <c r="D28" i="26"/>
  <c r="E28"/>
  <c r="K28"/>
  <c r="H28"/>
  <c r="G28"/>
  <c r="M28"/>
  <c r="I28"/>
  <c r="F28"/>
  <c r="L28"/>
  <c r="O28"/>
  <c r="N28"/>
  <c r="J28"/>
  <c r="B31" i="17"/>
  <c r="Q31" s="1"/>
  <c r="E32" i="25" s="1"/>
  <c r="Q30" i="17"/>
  <c r="E31" i="25" s="1"/>
  <c r="B26" i="32" l="1"/>
  <c r="E25"/>
  <c r="O29" i="26"/>
  <c r="N29"/>
  <c r="D29"/>
  <c r="K29"/>
  <c r="L29"/>
  <c r="H29"/>
  <c r="E29"/>
  <c r="M29"/>
  <c r="G29"/>
  <c r="F29"/>
  <c r="J29"/>
  <c r="I29"/>
  <c r="C31" i="25"/>
  <c r="G31" s="1"/>
  <c r="C26" i="32" s="1"/>
  <c r="B32" i="25"/>
  <c r="Q30" i="26"/>
  <c r="B31"/>
  <c r="Q31" s="1"/>
  <c r="O31" l="1"/>
  <c r="H31"/>
  <c r="K31"/>
  <c r="J31"/>
  <c r="D31"/>
  <c r="F31"/>
  <c r="G31"/>
  <c r="L31"/>
  <c r="I31"/>
  <c r="N31"/>
  <c r="M31"/>
  <c r="E31"/>
  <c r="C32" i="25"/>
  <c r="B41"/>
  <c r="B27" i="32"/>
  <c r="E26"/>
  <c r="E30" i="26"/>
  <c r="L30"/>
  <c r="K30"/>
  <c r="O30"/>
  <c r="D30"/>
  <c r="H30"/>
  <c r="J30"/>
  <c r="I30"/>
  <c r="M30"/>
  <c r="F30"/>
  <c r="N30"/>
  <c r="G30"/>
  <c r="B35" i="32" l="1"/>
  <c r="G32" i="25"/>
  <c r="C35"/>
  <c r="C27" i="32" l="1"/>
  <c r="E27" s="1"/>
  <c r="D30"/>
  <c r="J16" i="26" l="1"/>
  <c r="G17"/>
  <c r="G19"/>
  <c r="L19"/>
  <c r="K20"/>
  <c r="O20"/>
  <c r="M13"/>
  <c r="O13"/>
  <c r="L13"/>
  <c r="J12"/>
  <c r="K14" l="1"/>
  <c r="E15"/>
  <c r="K16"/>
  <c r="M16"/>
  <c r="G13"/>
  <c r="I12"/>
  <c r="M17"/>
  <c r="K13"/>
  <c r="F12"/>
  <c r="H17"/>
  <c r="N19"/>
  <c r="F14"/>
  <c r="N14"/>
  <c r="O17"/>
  <c r="K17"/>
  <c r="N12"/>
  <c r="E17"/>
  <c r="I13"/>
  <c r="J13"/>
  <c r="O21"/>
  <c r="N20"/>
  <c r="I19"/>
  <c r="O15"/>
  <c r="G15"/>
  <c r="J15"/>
  <c r="I20"/>
  <c r="F13"/>
  <c r="F17"/>
  <c r="E13"/>
  <c r="J18"/>
  <c r="I17"/>
  <c r="M20"/>
  <c r="K12"/>
  <c r="K18"/>
  <c r="E18"/>
  <c r="G16"/>
  <c r="J20"/>
  <c r="I15"/>
  <c r="O16"/>
  <c r="K15"/>
  <c r="F20"/>
  <c r="H16"/>
  <c r="F18"/>
  <c r="L17"/>
  <c r="L18"/>
  <c r="M19"/>
  <c r="F19"/>
  <c r="N16"/>
  <c r="N15"/>
  <c r="J21"/>
  <c r="N17"/>
  <c r="N13"/>
  <c r="E19"/>
  <c r="I18"/>
  <c r="F21" l="1"/>
  <c r="G21"/>
  <c r="O18"/>
  <c r="J17"/>
  <c r="H13"/>
  <c r="N21"/>
  <c r="L21"/>
  <c r="N18"/>
  <c r="O19"/>
  <c r="E14"/>
  <c r="L16"/>
  <c r="L15"/>
  <c r="M14"/>
  <c r="J19"/>
  <c r="G20"/>
  <c r="H20"/>
  <c r="M18"/>
  <c r="M12"/>
  <c r="O14"/>
  <c r="H19"/>
  <c r="G14"/>
  <c r="I16"/>
  <c r="F15"/>
  <c r="H14"/>
  <c r="L14"/>
  <c r="E16"/>
  <c r="E12"/>
  <c r="H15"/>
  <c r="M15"/>
  <c r="F16"/>
  <c r="H18"/>
  <c r="L12"/>
  <c r="I14"/>
  <c r="I21"/>
  <c r="E20"/>
  <c r="M21"/>
  <c r="G18"/>
  <c r="J14"/>
  <c r="H12"/>
  <c r="O12"/>
  <c r="G12"/>
  <c r="K19"/>
  <c r="L20"/>
  <c r="E21" l="1"/>
  <c r="H21"/>
  <c r="K21"/>
  <c r="D20" l="1"/>
  <c r="D13"/>
  <c r="D14"/>
  <c r="D12"/>
  <c r="D21"/>
  <c r="D15"/>
  <c r="D19" l="1"/>
  <c r="D18"/>
  <c r="D17"/>
  <c r="D16"/>
  <c r="E16" i="25"/>
  <c r="G16" s="1"/>
  <c r="E22"/>
  <c r="G22" s="1"/>
  <c r="E13"/>
  <c r="E15"/>
  <c r="G15" s="1"/>
  <c r="E14"/>
  <c r="G14" s="1"/>
  <c r="E21"/>
  <c r="G21" s="1"/>
  <c r="C16" i="32" l="1"/>
  <c r="E16" s="1"/>
  <c r="C9"/>
  <c r="E9" s="1"/>
  <c r="C10"/>
  <c r="E10" s="1"/>
  <c r="G13" i="25"/>
  <c r="C17" i="32"/>
  <c r="E17" s="1"/>
  <c r="C11"/>
  <c r="E11" s="1"/>
  <c r="E19" i="25"/>
  <c r="G19" s="1"/>
  <c r="E17"/>
  <c r="G17" s="1"/>
  <c r="E18"/>
  <c r="G18" s="1"/>
  <c r="E20"/>
  <c r="G20" s="1"/>
  <c r="C15" i="32" l="1"/>
  <c r="E15" s="1"/>
  <c r="C13"/>
  <c r="E13" s="1"/>
  <c r="C12"/>
  <c r="E12" s="1"/>
  <c r="C14"/>
  <c r="E14" s="1"/>
  <c r="E36" i="25"/>
  <c r="C8" i="32"/>
  <c r="C30" l="1"/>
  <c r="E8"/>
  <c r="E30" s="1"/>
</calcChain>
</file>

<file path=xl/comments1.xml><?xml version="1.0" encoding="utf-8"?>
<comments xmlns="http://schemas.openxmlformats.org/spreadsheetml/2006/main">
  <authors>
    <author>PacifiCorp</author>
  </authors>
  <commentList>
    <comment ref="G5" author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<sst xmlns="http://schemas.openxmlformats.org/spreadsheetml/2006/main" count="165" uniqueCount="116">
  <si>
    <t>Year</t>
  </si>
  <si>
    <t>Energy Cost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</si>
  <si>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</si>
  <si>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</si>
  <si>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</si>
  <si>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</si>
  <si>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</si>
  <si>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</si>
  <si>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</si>
  <si>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</si>
  <si>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</si>
  <si>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</si>
  <si>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</si>
  <si>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</si>
  <si>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</si>
  <si>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</si>
  <si>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</si>
  <si>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</si>
  <si>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</si>
  <si>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</si>
  <si>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</si>
  <si>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</si>
  <si>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</si>
  <si>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</si>
  <si>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</si>
  <si>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</si>
  <si>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</si>
  <si>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</si>
  <si>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</si>
  <si>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</si>
  <si>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</si>
  <si>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</si>
  <si>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</si>
  <si>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</si>
  <si>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</si>
  <si>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</si>
  <si>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</si>
  <si>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</si>
  <si>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</si>
  <si>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</si>
  <si>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Annual</t>
  </si>
  <si>
    <t>(2)   'Energy Only' is the GRID calculated costs and includes some capacity costs.</t>
  </si>
  <si>
    <t>Fuel Cost</t>
  </si>
  <si>
    <t>$/MMBtu</t>
  </si>
  <si>
    <t>(g)</t>
  </si>
  <si>
    <t>(h)</t>
  </si>
  <si>
    <t>Energy Only</t>
  </si>
  <si>
    <t>IRP Resource</t>
  </si>
  <si>
    <t>No</t>
  </si>
  <si>
    <t>Cap Energy Prices (Yes / No)</t>
  </si>
  <si>
    <t>Denotes months with capped energy prices</t>
  </si>
  <si>
    <t>Energy Price escalated at</t>
  </si>
  <si>
    <t>Energy Only costs are calculated by GRID and are capped at the IRP Resource Energy Cost</t>
  </si>
  <si>
    <t>IRP Resource Energy Costs are provided for comparison purposes only.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</si>
  <si>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</si>
  <si>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</si>
  <si>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</si>
  <si>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</si>
  <si>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</si>
  <si>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</si>
  <si>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</si>
  <si>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</si>
  <si>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</si>
  <si>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r>
      <t>$/MWh</t>
    </r>
    <r>
      <rPr>
        <vertAlign val="superscript"/>
        <sz val="9"/>
        <rFont val="Times New Roman"/>
        <family val="1"/>
      </rPr>
      <t xml:space="preserve"> (2) (3)</t>
    </r>
  </si>
  <si>
    <t>$/MWh</t>
  </si>
  <si>
    <t>Avoided Energy Costs - Scheduled Hours ($/MWh)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</si>
  <si>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</si>
  <si>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</si>
  <si>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</si>
  <si>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</si>
  <si>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</si>
  <si>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</si>
  <si>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</si>
  <si>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</si>
  <si>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</si>
  <si>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</si>
  <si>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</si>
  <si>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</si>
  <si>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</si>
  <si>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>East Side</t>
  </si>
  <si>
    <t>East Side Natural Gas</t>
  </si>
  <si>
    <t xml:space="preserve">  MW Plant capacity</t>
  </si>
  <si>
    <t xml:space="preserve">  Fixed O&amp;M plus on-going capital cost</t>
  </si>
  <si>
    <t xml:space="preserve">  Heat Rate in btu/kWh</t>
  </si>
  <si>
    <t xml:space="preserve">  Payment Factor</t>
  </si>
  <si>
    <t xml:space="preserve">  Capacity Factor</t>
  </si>
  <si>
    <t xml:space="preserve">  Plant capacity cost</t>
  </si>
  <si>
    <t xml:space="preserve">  Energy Weighted Capacity Factor</t>
  </si>
  <si>
    <t>CCCT (Wet "F" 2x1) *</t>
  </si>
  <si>
    <t>CCCT Duct Firing (Wet "F" 2x1)</t>
  </si>
  <si>
    <t>2008 IRP Resource Cost</t>
  </si>
  <si>
    <t>Avoided Energy Costs - Unscheduled or Non-dispatch hours($/MWh)</t>
  </si>
  <si>
    <t>20 Year Levelized Prices (Nominal) @ 7.17% Discount Rate (1) (3)</t>
  </si>
  <si>
    <t xml:space="preserve">  Variable O&amp;M Costs in $/MWh includes Fixed Pipeline Costs (See Below)</t>
  </si>
  <si>
    <t xml:space="preserve">  Fixed Pipeline Costs in $/MWH</t>
  </si>
  <si>
    <t>(1)   Discount Rate - Company Official Discount Rate</t>
  </si>
  <si>
    <t>Plant Costs 2008 IRP Update - [Modeled in PAR]</t>
  </si>
  <si>
    <t>East</t>
  </si>
  <si>
    <t>Avoided Cost Prices $/MWh</t>
  </si>
  <si>
    <t>Avoided Cost at</t>
  </si>
  <si>
    <t>Difference</t>
  </si>
  <si>
    <t xml:space="preserve">Partial Displacement of East Side 607 MW CCCT (Wet "F" 2x1) </t>
  </si>
  <si>
    <t xml:space="preserve">Adjust Capacity payment for Partial Displacement </t>
  </si>
  <si>
    <t>Total Resource Energy Cost</t>
  </si>
  <si>
    <t>Total Resource Costs</t>
  </si>
  <si>
    <t>2010.Q3 Compliance</t>
  </si>
  <si>
    <t>(2)   Total Avoided Costs with Capacity included at an 85% capacity factor</t>
  </si>
  <si>
    <t>(4) Capacity payment for 2018 is 7/12 of annual.  CCCT start 6/1/2018.</t>
  </si>
  <si>
    <t>CCCT (Dry "F" 2x1)  - East Side Resource (4500')</t>
  </si>
  <si>
    <t>Filing (2)</t>
  </si>
  <si>
    <t xml:space="preserve">      Avoided Costs calculated monthly are  $55.87/MWH</t>
  </si>
  <si>
    <t>$55.88 (5)</t>
  </si>
  <si>
    <t xml:space="preserve">     Avoided Costs calculated monthly are  $55.87/MWH</t>
  </si>
  <si>
    <t>(5) Avoided Costs calculated annually starting January 2011</t>
  </si>
  <si>
    <t>Company Official Inflation Forecast Dated 2010 December</t>
  </si>
  <si>
    <t>Utah 2011.Q1 Compliance Filing - 100 MW and 85% Capacity Factor</t>
  </si>
</sst>
</file>

<file path=xl/styles.xml><?xml version="1.0" encoding="utf-8"?>
<styleSheet xmlns="http://schemas.openxmlformats.org/spreadsheetml/2006/main">
  <numFmts count="1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&quot;$&quot;#,##0.000_);[Red]\(&quot;$&quot;#,##0.000\)"/>
    <numFmt numFmtId="170" formatCode="_(* #,##0.000_);_(* \(#,##0.000\);_(* &quot;-&quot;_);_(@_)"/>
    <numFmt numFmtId="171" formatCode="_(&quot;$&quot;* #,##0_);_(&quot;$&quot;* \(#,##0\);_(&quot;$&quot;* &quot;-&quot;??_);_(@_)"/>
    <numFmt numFmtId="172" formatCode="mmm\ yyyy&quot;   &quot;"/>
    <numFmt numFmtId="173" formatCode="_(* #,##0_);[Red]_(* \(#,##0\);_(* &quot;-&quot;_);_(@_)"/>
    <numFmt numFmtId="174" formatCode="_(* #,##0.00_);[Red]_(* \(#,##0.00\);_(* &quot;-&quot;_);_(@_)"/>
  </numFmts>
  <fonts count="29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17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>
      <protection locked="0"/>
    </xf>
    <xf numFmtId="41" fontId="3" fillId="0" borderId="0"/>
    <xf numFmtId="173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0" fontId="1" fillId="0" borderId="0"/>
  </cellStyleXfs>
  <cellXfs count="214">
    <xf numFmtId="173" fontId="0" fillId="0" borderId="0" xfId="0"/>
    <xf numFmtId="173" fontId="4" fillId="0" borderId="0" xfId="0" applyFont="1" applyFill="1" applyAlignment="1">
      <alignment horizontal="centerContinuous"/>
    </xf>
    <xf numFmtId="173" fontId="6" fillId="0" borderId="0" xfId="0" quotePrefix="1" applyFont="1" applyFill="1" applyBorder="1" applyAlignment="1">
      <alignment horizontal="center"/>
    </xf>
    <xf numFmtId="173" fontId="10" fillId="0" borderId="0" xfId="0" applyFont="1" applyFill="1"/>
    <xf numFmtId="173" fontId="10" fillId="0" borderId="1" xfId="0" applyFont="1" applyFill="1" applyBorder="1" applyAlignment="1">
      <alignment horizontal="center"/>
    </xf>
    <xf numFmtId="173" fontId="11" fillId="0" borderId="0" xfId="0" applyFont="1" applyFill="1" applyAlignment="1">
      <alignment horizontal="centerContinuous"/>
    </xf>
    <xf numFmtId="173" fontId="3" fillId="0" borderId="0" xfId="0" applyFont="1" applyFill="1"/>
    <xf numFmtId="173" fontId="5" fillId="0" borderId="0" xfId="0" applyFont="1" applyFill="1" applyAlignment="1">
      <alignment horizontal="centerContinuous"/>
    </xf>
    <xf numFmtId="173" fontId="3" fillId="0" borderId="0" xfId="0" applyFont="1" applyFill="1" applyBorder="1"/>
    <xf numFmtId="173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3" fontId="8" fillId="0" borderId="0" xfId="0" applyFont="1" applyFill="1"/>
    <xf numFmtId="173" fontId="12" fillId="0" borderId="0" xfId="0" applyFont="1" applyFill="1"/>
    <xf numFmtId="173" fontId="3" fillId="0" borderId="0" xfId="0" quotePrefix="1" applyFont="1" applyFill="1" applyBorder="1" applyAlignment="1">
      <alignment horizontal="center"/>
    </xf>
    <xf numFmtId="173" fontId="8" fillId="0" borderId="0" xfId="0" applyFont="1" applyFill="1" applyAlignment="1">
      <alignment horizontal="centerContinuous"/>
    </xf>
    <xf numFmtId="173" fontId="9" fillId="0" borderId="0" xfId="0" applyFont="1" applyFill="1"/>
    <xf numFmtId="173" fontId="3" fillId="0" borderId="0" xfId="0" quotePrefix="1" applyFont="1" applyFill="1"/>
    <xf numFmtId="173" fontId="2" fillId="0" borderId="0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center"/>
    </xf>
    <xf numFmtId="173" fontId="9" fillId="0" borderId="0" xfId="0" applyFont="1" applyFill="1" applyAlignment="1">
      <alignment horizontal="centerContinuous"/>
    </xf>
    <xf numFmtId="173" fontId="4" fillId="0" borderId="0" xfId="0" applyFont="1" applyFill="1" applyBorder="1" applyAlignment="1">
      <alignment horizontal="centerContinuous"/>
    </xf>
    <xf numFmtId="173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3" fontId="3" fillId="0" borderId="0" xfId="0" quotePrefix="1" applyFont="1" applyFill="1" applyBorder="1"/>
    <xf numFmtId="173" fontId="3" fillId="0" borderId="0" xfId="0" applyFont="1" applyFill="1" applyBorder="1" applyAlignment="1">
      <alignment horizontal="left"/>
    </xf>
    <xf numFmtId="164" fontId="3" fillId="0" borderId="0" xfId="0" applyNumberFormat="1" applyFont="1" applyFill="1"/>
    <xf numFmtId="173" fontId="10" fillId="0" borderId="3" xfId="0" applyFont="1" applyFill="1" applyBorder="1" applyAlignment="1">
      <alignment horizontal="centerContinuous"/>
    </xf>
    <xf numFmtId="173" fontId="10" fillId="0" borderId="4" xfId="0" applyFont="1" applyFill="1" applyBorder="1" applyAlignment="1">
      <alignment horizontal="centerContinuous"/>
    </xf>
    <xf numFmtId="173" fontId="10" fillId="0" borderId="5" xfId="0" applyFont="1" applyFill="1" applyBorder="1"/>
    <xf numFmtId="173" fontId="10" fillId="0" borderId="6" xfId="0" applyFont="1" applyFill="1" applyBorder="1" applyAlignment="1">
      <alignment horizontal="center"/>
    </xf>
    <xf numFmtId="173" fontId="10" fillId="0" borderId="0" xfId="0" quotePrefix="1" applyFont="1" applyFill="1" applyBorder="1" applyAlignment="1">
      <alignment horizontal="center"/>
    </xf>
    <xf numFmtId="173" fontId="10" fillId="0" borderId="7" xfId="0" applyFont="1" applyFill="1" applyBorder="1" applyAlignment="1">
      <alignment horizontal="centerContinuous"/>
    </xf>
    <xf numFmtId="173" fontId="10" fillId="0" borderId="5" xfId="0" applyFont="1" applyFill="1" applyBorder="1" applyAlignment="1">
      <alignment horizontal="centerContinuous"/>
    </xf>
    <xf numFmtId="173" fontId="10" fillId="0" borderId="8" xfId="0" applyFont="1" applyFill="1" applyBorder="1" applyAlignment="1">
      <alignment horizontal="centerContinuous"/>
    </xf>
    <xf numFmtId="173" fontId="10" fillId="0" borderId="9" xfId="0" applyFont="1" applyFill="1" applyBorder="1" applyAlignment="1">
      <alignment horizontal="centerContinuous"/>
    </xf>
    <xf numFmtId="173" fontId="10" fillId="0" borderId="8" xfId="0" applyFont="1" applyFill="1" applyBorder="1" applyAlignment="1">
      <alignment horizontal="center"/>
    </xf>
    <xf numFmtId="173" fontId="10" fillId="0" borderId="10" xfId="0" applyFont="1" applyFill="1" applyBorder="1" applyAlignment="1">
      <alignment horizontal="center"/>
    </xf>
    <xf numFmtId="173" fontId="10" fillId="0" borderId="5" xfId="0" quotePrefix="1" applyFont="1" applyFill="1" applyBorder="1" applyAlignment="1">
      <alignment horizontal="centerContinuous"/>
    </xf>
    <xf numFmtId="173" fontId="10" fillId="0" borderId="3" xfId="0" applyFont="1" applyFill="1" applyBorder="1" applyAlignment="1">
      <alignment horizontal="center"/>
    </xf>
    <xf numFmtId="173" fontId="10" fillId="0" borderId="11" xfId="0" applyFont="1" applyFill="1" applyBorder="1" applyAlignment="1">
      <alignment horizontal="center"/>
    </xf>
    <xf numFmtId="173" fontId="10" fillId="0" borderId="4" xfId="0" applyFont="1" applyFill="1" applyBorder="1" applyAlignment="1">
      <alignment horizontal="center"/>
    </xf>
    <xf numFmtId="173" fontId="10" fillId="0" borderId="2" xfId="0" applyFont="1" applyFill="1" applyBorder="1" applyAlignment="1">
      <alignment horizontal="centerContinuous"/>
    </xf>
    <xf numFmtId="43" fontId="3" fillId="0" borderId="0" xfId="1" applyFont="1" applyFill="1"/>
    <xf numFmtId="0" fontId="3" fillId="0" borderId="0" xfId="7" applyFont="1" applyFill="1" applyBorder="1" applyAlignment="1">
      <alignment horizontal="center"/>
    </xf>
    <xf numFmtId="173" fontId="3" fillId="0" borderId="0" xfId="0" applyFont="1" applyFill="1" applyAlignment="1">
      <alignment horizontal="centerContinuous"/>
    </xf>
    <xf numFmtId="8" fontId="3" fillId="0" borderId="0" xfId="0" applyNumberFormat="1" applyFont="1" applyFill="1" applyBorder="1"/>
    <xf numFmtId="173" fontId="3" fillId="0" borderId="0" xfId="0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73" fontId="3" fillId="0" borderId="0" xfId="0" applyFont="1" applyFill="1" applyAlignment="1">
      <alignment horizontal="left"/>
    </xf>
    <xf numFmtId="173" fontId="3" fillId="0" borderId="0" xfId="0" applyFont="1" applyFill="1" applyBorder="1" applyAlignment="1">
      <alignment horizontal="centerContinuous"/>
    </xf>
    <xf numFmtId="168" fontId="3" fillId="0" borderId="0" xfId="0" applyNumberFormat="1" applyFont="1" applyFill="1"/>
    <xf numFmtId="173" fontId="3" fillId="0" borderId="7" xfId="0" applyFont="1" applyFill="1" applyBorder="1" applyAlignment="1">
      <alignment horizontal="centerContinuous"/>
    </xf>
    <xf numFmtId="173" fontId="3" fillId="0" borderId="4" xfId="0" applyFont="1" applyFill="1" applyBorder="1" applyAlignment="1">
      <alignment horizontal="centerContinuous"/>
    </xf>
    <xf numFmtId="173" fontId="3" fillId="0" borderId="8" xfId="0" applyFont="1" applyFill="1" applyBorder="1" applyAlignment="1">
      <alignment horizontal="centerContinuous"/>
    </xf>
    <xf numFmtId="173" fontId="3" fillId="0" borderId="2" xfId="0" applyFont="1" applyFill="1" applyBorder="1" applyAlignment="1">
      <alignment horizontal="centerContinuous"/>
    </xf>
    <xf numFmtId="173" fontId="3" fillId="0" borderId="9" xfId="0" applyFont="1" applyFill="1" applyBorder="1" applyAlignment="1">
      <alignment horizontal="centerContinuous"/>
    </xf>
    <xf numFmtId="8" fontId="3" fillId="0" borderId="15" xfId="1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173" fontId="3" fillId="2" borderId="0" xfId="0" applyFont="1" applyFill="1"/>
    <xf numFmtId="173" fontId="3" fillId="0" borderId="8" xfId="0" applyFont="1" applyFill="1" applyBorder="1" applyAlignment="1">
      <alignment horizontal="center"/>
    </xf>
    <xf numFmtId="173" fontId="3" fillId="0" borderId="5" xfId="0" applyFont="1" applyFill="1" applyBorder="1" applyAlignment="1">
      <alignment horizontal="centerContinuous"/>
    </xf>
    <xf numFmtId="173" fontId="3" fillId="0" borderId="5" xfId="0" quotePrefix="1" applyFont="1" applyFill="1" applyBorder="1" applyAlignment="1">
      <alignment horizontal="centerContinuous"/>
    </xf>
    <xf numFmtId="173" fontId="3" fillId="0" borderId="3" xfId="0" applyFont="1" applyFill="1" applyBorder="1" applyAlignment="1">
      <alignment horizontal="centerContinuous"/>
    </xf>
    <xf numFmtId="173" fontId="3" fillId="0" borderId="5" xfId="0" applyFont="1" applyFill="1" applyBorder="1"/>
    <xf numFmtId="173" fontId="3" fillId="0" borderId="10" xfId="0" applyFont="1" applyFill="1" applyBorder="1" applyAlignment="1">
      <alignment horizontal="center"/>
    </xf>
    <xf numFmtId="173" fontId="3" fillId="0" borderId="3" xfId="0" applyFont="1" applyFill="1" applyBorder="1" applyAlignment="1">
      <alignment horizontal="center"/>
    </xf>
    <xf numFmtId="173" fontId="3" fillId="0" borderId="11" xfId="0" applyFont="1" applyFill="1" applyBorder="1" applyAlignment="1">
      <alignment horizontal="center"/>
    </xf>
    <xf numFmtId="173" fontId="3" fillId="0" borderId="4" xfId="0" applyFont="1" applyFill="1" applyBorder="1" applyAlignment="1">
      <alignment horizontal="center"/>
    </xf>
    <xf numFmtId="173" fontId="3" fillId="0" borderId="1" xfId="0" applyFont="1" applyFill="1" applyBorder="1" applyAlignment="1">
      <alignment horizontal="center"/>
    </xf>
    <xf numFmtId="173" fontId="3" fillId="0" borderId="6" xfId="0" applyFont="1" applyFill="1" applyBorder="1" applyAlignment="1">
      <alignment horizontal="center"/>
    </xf>
    <xf numFmtId="8" fontId="3" fillId="0" borderId="5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8" fontId="3" fillId="0" borderId="15" xfId="0" applyNumberFormat="1" applyFont="1" applyFill="1" applyBorder="1"/>
    <xf numFmtId="8" fontId="3" fillId="0" borderId="6" xfId="0" applyNumberFormat="1" applyFont="1" applyFill="1" applyBorder="1"/>
    <xf numFmtId="173" fontId="15" fillId="2" borderId="0" xfId="0" applyFont="1" applyFill="1"/>
    <xf numFmtId="10" fontId="0" fillId="0" borderId="0" xfId="0" applyNumberFormat="1"/>
    <xf numFmtId="173" fontId="0" fillId="0" borderId="0" xfId="0" applyAlignment="1">
      <alignment horizontal="center"/>
    </xf>
    <xf numFmtId="173" fontId="2" fillId="0" borderId="0" xfId="0" applyFont="1" applyFill="1" applyAlignment="1">
      <alignment horizontal="right"/>
    </xf>
    <xf numFmtId="173" fontId="2" fillId="0" borderId="5" xfId="0" applyFont="1" applyFill="1" applyBorder="1" applyAlignment="1">
      <alignment horizontal="center"/>
    </xf>
    <xf numFmtId="173" fontId="2" fillId="0" borderId="5" xfId="0" applyFont="1" applyFill="1" applyBorder="1" applyAlignment="1">
      <alignment horizontal="center" wrapText="1"/>
    </xf>
    <xf numFmtId="173" fontId="2" fillId="0" borderId="5" xfId="0" applyFont="1" applyFill="1" applyBorder="1" applyAlignment="1">
      <alignment horizontal="centerContinuous" wrapText="1"/>
    </xf>
    <xf numFmtId="173" fontId="11" fillId="0" borderId="6" xfId="0" applyFont="1" applyFill="1" applyBorder="1" applyAlignment="1">
      <alignment horizontal="centerContinuous"/>
    </xf>
    <xf numFmtId="173" fontId="16" fillId="0" borderId="6" xfId="0" quotePrefix="1" applyFont="1" applyFill="1" applyBorder="1" applyAlignment="1">
      <alignment horizontal="center" wrapText="1"/>
    </xf>
    <xf numFmtId="173" fontId="16" fillId="0" borderId="6" xfId="0" applyFont="1" applyFill="1" applyBorder="1" applyAlignment="1">
      <alignment horizontal="center" wrapText="1"/>
    </xf>
    <xf numFmtId="173" fontId="2" fillId="0" borderId="0" xfId="0" applyFont="1" applyFill="1" applyAlignment="1">
      <alignment horizontal="centerContinuous"/>
    </xf>
    <xf numFmtId="169" fontId="3" fillId="0" borderId="0" xfId="0" applyNumberFormat="1" applyFont="1" applyFill="1" applyBorder="1"/>
    <xf numFmtId="171" fontId="3" fillId="0" borderId="0" xfId="2" applyNumberFormat="1" applyFont="1" applyFill="1"/>
    <xf numFmtId="173" fontId="2" fillId="0" borderId="5" xfId="0" applyFont="1" applyFill="1" applyBorder="1"/>
    <xf numFmtId="173" fontId="2" fillId="0" borderId="15" xfId="0" applyFont="1" applyFill="1" applyBorder="1" applyAlignment="1">
      <alignment horizontal="center"/>
    </xf>
    <xf numFmtId="173" fontId="2" fillId="0" borderId="6" xfId="0" applyFont="1" applyFill="1" applyBorder="1"/>
    <xf numFmtId="173" fontId="2" fillId="0" borderId="6" xfId="0" applyFont="1" applyFill="1" applyBorder="1" applyAlignment="1">
      <alignment horizontal="center"/>
    </xf>
    <xf numFmtId="8" fontId="17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3" fontId="2" fillId="0" borderId="11" xfId="0" applyFont="1" applyFill="1" applyBorder="1" applyAlignment="1">
      <alignment horizontal="centerContinuous"/>
    </xf>
    <xf numFmtId="0" fontId="3" fillId="0" borderId="0" xfId="0" applyNumberFormat="1" applyFont="1" applyFill="1"/>
    <xf numFmtId="6" fontId="3" fillId="0" borderId="0" xfId="2" applyNumberFormat="1" applyFont="1" applyFill="1"/>
    <xf numFmtId="8" fontId="3" fillId="0" borderId="0" xfId="2" applyNumberFormat="1" applyFont="1" applyFill="1"/>
    <xf numFmtId="173" fontId="5" fillId="0" borderId="7" xfId="0" applyFont="1" applyFill="1" applyBorder="1" applyAlignment="1">
      <alignment horizontal="centerContinuous"/>
    </xf>
    <xf numFmtId="167" fontId="3" fillId="0" borderId="0" xfId="8" applyNumberFormat="1" applyFont="1" applyFill="1"/>
    <xf numFmtId="173" fontId="18" fillId="3" borderId="0" xfId="0" applyFont="1" applyFill="1" applyAlignment="1">
      <alignment horizontal="centerContinuous"/>
    </xf>
    <xf numFmtId="173" fontId="19" fillId="3" borderId="0" xfId="0" applyFont="1" applyFill="1" applyAlignment="1">
      <alignment horizontal="centerContinuous"/>
    </xf>
    <xf numFmtId="14" fontId="20" fillId="3" borderId="0" xfId="0" applyNumberFormat="1" applyFont="1" applyFill="1" applyBorder="1" applyAlignment="1">
      <alignment horizontal="centerContinuous" vertical="center"/>
    </xf>
    <xf numFmtId="173" fontId="21" fillId="3" borderId="0" xfId="0" applyFont="1" applyFill="1" applyBorder="1" applyAlignment="1">
      <alignment horizontal="centerContinuous" wrapText="1"/>
    </xf>
    <xf numFmtId="173" fontId="22" fillId="3" borderId="0" xfId="0" applyFont="1" applyFill="1" applyBorder="1" applyAlignment="1">
      <alignment horizontal="centerContinuous"/>
    </xf>
    <xf numFmtId="172" fontId="18" fillId="3" borderId="0" xfId="1" applyNumberFormat="1" applyFont="1" applyFill="1" applyAlignment="1">
      <alignment horizontal="centerContinuous"/>
    </xf>
    <xf numFmtId="173" fontId="18" fillId="0" borderId="0" xfId="0" applyFont="1" applyFill="1" applyBorder="1"/>
    <xf numFmtId="173" fontId="0" fillId="0" borderId="0" xfId="0" applyFill="1" applyBorder="1"/>
    <xf numFmtId="173" fontId="0" fillId="0" borderId="0" xfId="0" applyFill="1" applyBorder="1" applyAlignment="1">
      <alignment horizontal="center"/>
    </xf>
    <xf numFmtId="173" fontId="22" fillId="0" borderId="0" xfId="0" applyFont="1" applyFill="1" applyBorder="1" applyAlignment="1">
      <alignment wrapText="1"/>
    </xf>
    <xf numFmtId="173" fontId="18" fillId="0" borderId="0" xfId="0" applyFont="1" applyFill="1" applyBorder="1" applyAlignment="1">
      <alignment horizontal="center"/>
    </xf>
    <xf numFmtId="173" fontId="19" fillId="3" borderId="0" xfId="0" applyFont="1" applyFill="1" applyBorder="1" applyAlignment="1">
      <alignment horizontal="center"/>
    </xf>
    <xf numFmtId="14" fontId="23" fillId="4" borderId="7" xfId="0" applyNumberFormat="1" applyFont="1" applyFill="1" applyBorder="1" applyAlignment="1">
      <alignment horizontal="center"/>
    </xf>
    <xf numFmtId="168" fontId="18" fillId="0" borderId="0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8" fontId="3" fillId="0" borderId="6" xfId="1" applyNumberFormat="1" applyFont="1" applyFill="1" applyBorder="1" applyAlignment="1">
      <alignment horizontal="center"/>
    </xf>
    <xf numFmtId="173" fontId="2" fillId="0" borderId="7" xfId="0" applyFont="1" applyFill="1" applyBorder="1" applyAlignment="1">
      <alignment horizontal="center"/>
    </xf>
    <xf numFmtId="167" fontId="3" fillId="0" borderId="0" xfId="0" applyNumberFormat="1" applyFont="1" applyFill="1"/>
    <xf numFmtId="173" fontId="2" fillId="0" borderId="7" xfId="0" applyFont="1" applyFill="1" applyBorder="1" applyAlignment="1">
      <alignment horizontal="centerContinuous"/>
    </xf>
    <xf numFmtId="164" fontId="3" fillId="0" borderId="0" xfId="0" applyNumberFormat="1" applyFont="1" applyFill="1" applyAlignment="1">
      <alignment horizontal="center"/>
    </xf>
    <xf numFmtId="173" fontId="26" fillId="0" borderId="0" xfId="0" applyFont="1" applyFill="1"/>
    <xf numFmtId="167" fontId="26" fillId="0" borderId="0" xfId="8" applyNumberFormat="1" applyFont="1" applyFill="1"/>
    <xf numFmtId="43" fontId="26" fillId="0" borderId="0" xfId="2" applyNumberFormat="1" applyFont="1" applyFill="1"/>
    <xf numFmtId="164" fontId="2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73" fontId="3" fillId="0" borderId="11" xfId="0" applyFont="1" applyFill="1" applyBorder="1" applyAlignment="1">
      <alignment horizontal="centerContinuous"/>
    </xf>
    <xf numFmtId="9" fontId="3" fillId="0" borderId="0" xfId="0" applyNumberFormat="1" applyFont="1" applyFill="1"/>
    <xf numFmtId="41" fontId="3" fillId="0" borderId="0" xfId="0" applyNumberFormat="1" applyFont="1" applyFill="1"/>
    <xf numFmtId="41" fontId="26" fillId="0" borderId="0" xfId="0" applyNumberFormat="1" applyFont="1" applyFill="1"/>
    <xf numFmtId="6" fontId="26" fillId="0" borderId="0" xfId="2" applyNumberFormat="1" applyFont="1" applyFill="1"/>
    <xf numFmtId="8" fontId="26" fillId="0" borderId="0" xfId="2" applyNumberFormat="1" applyFont="1" applyFill="1"/>
    <xf numFmtId="41" fontId="3" fillId="0" borderId="0" xfId="0" applyNumberFormat="1" applyFont="1" applyFill="1" applyBorder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3" fontId="2" fillId="0" borderId="0" xfId="0" applyFont="1" applyFill="1" applyBorder="1" applyAlignment="1">
      <alignment horizontal="center"/>
    </xf>
    <xf numFmtId="173" fontId="3" fillId="5" borderId="16" xfId="0" applyFont="1" applyFill="1" applyBorder="1"/>
    <xf numFmtId="173" fontId="27" fillId="0" borderId="17" xfId="0" applyFont="1" applyBorder="1" applyAlignment="1">
      <alignment horizontal="center"/>
    </xf>
    <xf numFmtId="6" fontId="3" fillId="0" borderId="0" xfId="0" applyNumberFormat="1" applyFont="1" applyFill="1" applyAlignment="1">
      <alignment horizontal="right"/>
    </xf>
    <xf numFmtId="8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Border="1" applyAlignment="1">
      <alignment horizontal="right"/>
    </xf>
    <xf numFmtId="0" fontId="3" fillId="0" borderId="18" xfId="0" applyNumberFormat="1" applyFont="1" applyFill="1" applyBorder="1"/>
    <xf numFmtId="165" fontId="3" fillId="0" borderId="18" xfId="0" applyNumberFormat="1" applyFont="1" applyFill="1" applyBorder="1" applyAlignment="1">
      <alignment horizontal="center"/>
    </xf>
    <xf numFmtId="8" fontId="3" fillId="0" borderId="18" xfId="0" applyNumberFormat="1" applyFont="1" applyFill="1" applyBorder="1" applyAlignment="1">
      <alignment horizontal="right"/>
    </xf>
    <xf numFmtId="8" fontId="3" fillId="0" borderId="18" xfId="0" applyNumberFormat="1" applyFont="1" applyFill="1" applyBorder="1"/>
    <xf numFmtId="170" fontId="3" fillId="0" borderId="0" xfId="0" applyNumberFormat="1" applyFont="1" applyFill="1"/>
    <xf numFmtId="173" fontId="2" fillId="0" borderId="19" xfId="0" applyFont="1" applyFill="1" applyBorder="1" applyAlignment="1">
      <alignment horizontal="centerContinuous"/>
    </xf>
    <xf numFmtId="173" fontId="2" fillId="0" borderId="20" xfId="0" applyFont="1" applyFill="1" applyBorder="1" applyAlignment="1">
      <alignment horizontal="centerContinuous"/>
    </xf>
    <xf numFmtId="173" fontId="2" fillId="0" borderId="21" xfId="0" applyFont="1" applyFill="1" applyBorder="1" applyAlignment="1">
      <alignment horizontal="centerContinuous"/>
    </xf>
    <xf numFmtId="173" fontId="3" fillId="0" borderId="22" xfId="0" applyFont="1" applyFill="1" applyBorder="1" applyAlignment="1">
      <alignment horizontal="centerContinuous"/>
    </xf>
    <xf numFmtId="43" fontId="3" fillId="0" borderId="0" xfId="2" applyNumberFormat="1" applyFont="1" applyFill="1"/>
    <xf numFmtId="10" fontId="3" fillId="0" borderId="0" xfId="0" applyNumberFormat="1" applyFont="1" applyFill="1" applyBorder="1"/>
    <xf numFmtId="1" fontId="1" fillId="0" borderId="0" xfId="6" applyNumberFormat="1" applyFill="1" applyAlignment="1" applyProtection="1">
      <alignment horizontal="center"/>
      <protection locked="0"/>
    </xf>
    <xf numFmtId="167" fontId="0" fillId="0" borderId="0" xfId="8" applyNumberFormat="1" applyFont="1" applyFill="1"/>
    <xf numFmtId="43" fontId="3" fillId="0" borderId="0" xfId="0" applyNumberFormat="1" applyFont="1" applyFill="1" applyAlignment="1">
      <alignment horizontal="centerContinuous"/>
    </xf>
    <xf numFmtId="173" fontId="2" fillId="0" borderId="19" xfId="5" applyFont="1" applyFill="1" applyBorder="1" applyAlignment="1">
      <alignment horizontal="centerContinuous"/>
    </xf>
    <xf numFmtId="173" fontId="2" fillId="0" borderId="3" xfId="5" applyFont="1" applyFill="1" applyBorder="1" applyAlignment="1">
      <alignment horizontal="centerContinuous"/>
    </xf>
    <xf numFmtId="41" fontId="3" fillId="0" borderId="0" xfId="4" applyFont="1" applyFill="1"/>
    <xf numFmtId="173" fontId="28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2" fontId="18" fillId="0" borderId="0" xfId="1" applyNumberFormat="1" applyFont="1" applyFill="1" applyAlignment="1">
      <alignment horizontal="centerContinuous"/>
    </xf>
    <xf numFmtId="173" fontId="18" fillId="0" borderId="0" xfId="0" applyFont="1" applyFill="1" applyAlignment="1">
      <alignment horizontal="centerContinuous"/>
    </xf>
    <xf numFmtId="173" fontId="3" fillId="0" borderId="0" xfId="0" applyFont="1" applyFill="1" applyBorder="1" applyAlignment="1">
      <alignment horizontal="left" indent="1"/>
    </xf>
    <xf numFmtId="173" fontId="3" fillId="0" borderId="0" xfId="0" applyFont="1" applyFill="1" applyAlignment="1">
      <alignment horizontal="left" indent="1"/>
    </xf>
    <xf numFmtId="167" fontId="0" fillId="6" borderId="0" xfId="8" applyNumberFormat="1" applyFont="1" applyFill="1"/>
    <xf numFmtId="10" fontId="3" fillId="0" borderId="0" xfId="8" applyNumberFormat="1" applyFont="1" applyFill="1"/>
    <xf numFmtId="173" fontId="3" fillId="0" borderId="0" xfId="5" applyFont="1" applyFill="1"/>
    <xf numFmtId="173" fontId="0" fillId="0" borderId="0" xfId="0" applyFill="1"/>
    <xf numFmtId="43" fontId="0" fillId="0" borderId="0" xfId="1" applyFont="1" applyFill="1"/>
    <xf numFmtId="174" fontId="3" fillId="0" borderId="0" xfId="0" applyNumberFormat="1" applyFont="1" applyFill="1"/>
    <xf numFmtId="173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4" fillId="0" borderId="0" xfId="11" applyFont="1" applyFill="1" applyAlignment="1">
      <alignment horizontal="centerContinuous"/>
    </xf>
    <xf numFmtId="41" fontId="11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2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3" fillId="0" borderId="0" xfId="11"/>
    <xf numFmtId="41" fontId="5" fillId="0" borderId="0" xfId="11" applyFont="1" applyFill="1" applyAlignment="1">
      <alignment horizontal="centerContinuous"/>
    </xf>
    <xf numFmtId="41" fontId="3" fillId="0" borderId="0" xfId="11" applyFont="1" applyFill="1"/>
    <xf numFmtId="41" fontId="3" fillId="0" borderId="0" xfId="11" applyFont="1" applyFill="1" applyAlignment="1">
      <alignment horizontal="center"/>
    </xf>
    <xf numFmtId="17" fontId="3" fillId="0" borderId="0" xfId="11" applyNumberFormat="1" applyFont="1" applyFill="1" applyAlignment="1">
      <alignment horizontal="center"/>
    </xf>
    <xf numFmtId="9" fontId="3" fillId="0" borderId="0" xfId="8" applyFont="1" applyFill="1" applyAlignment="1">
      <alignment horizontal="center"/>
    </xf>
    <xf numFmtId="41" fontId="3" fillId="0" borderId="0" xfId="11" applyFont="1" applyFill="1" applyBorder="1" applyAlignment="1">
      <alignment horizontal="center"/>
    </xf>
    <xf numFmtId="41" fontId="3" fillId="0" borderId="0" xfId="11" applyFont="1" applyFill="1" applyBorder="1" applyAlignment="1">
      <alignment horizontal="centerContinuous"/>
    </xf>
    <xf numFmtId="1" fontId="3" fillId="0" borderId="8" xfId="11" applyNumberFormat="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8" fontId="3" fillId="0" borderId="9" xfId="11" applyNumberFormat="1" applyFont="1" applyFill="1" applyBorder="1" applyAlignment="1">
      <alignment horizontal="center"/>
    </xf>
    <xf numFmtId="2" fontId="3" fillId="0" borderId="0" xfId="11" applyNumberFormat="1" applyFont="1" applyFill="1" applyBorder="1" applyAlignment="1">
      <alignment horizontal="center"/>
    </xf>
    <xf numFmtId="0" fontId="3" fillId="0" borderId="12" xfId="11" applyNumberFormat="1" applyFont="1" applyFill="1" applyBorder="1" applyAlignment="1">
      <alignment horizontal="center"/>
    </xf>
    <xf numFmtId="8" fontId="3" fillId="0" borderId="0" xfId="11" applyNumberFormat="1" applyFont="1" applyFill="1" applyBorder="1" applyAlignment="1">
      <alignment horizontal="center"/>
    </xf>
    <xf numFmtId="8" fontId="3" fillId="0" borderId="13" xfId="11" applyNumberFormat="1" applyFont="1" applyFill="1" applyBorder="1" applyAlignment="1">
      <alignment horizontal="center"/>
    </xf>
    <xf numFmtId="0" fontId="3" fillId="0" borderId="10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8" fontId="3" fillId="0" borderId="14" xfId="11" applyNumberFormat="1" applyFont="1" applyFill="1" applyBorder="1" applyAlignment="1">
      <alignment horizontal="center"/>
    </xf>
    <xf numFmtId="0" fontId="0" fillId="0" borderId="0" xfId="11" applyNumberFormat="1" applyFont="1" applyFill="1" applyAlignment="1">
      <alignment horizontal="left"/>
    </xf>
    <xf numFmtId="41" fontId="3" fillId="0" borderId="0" xfId="11" applyFont="1" applyFill="1" applyAlignment="1">
      <alignment horizontal="left" indent="1"/>
    </xf>
    <xf numFmtId="39" fontId="3" fillId="0" borderId="0" xfId="12" quotePrefix="1" applyNumberFormat="1" applyFont="1" applyFill="1" applyBorder="1" applyAlignment="1">
      <alignment horizontal="center"/>
    </xf>
    <xf numFmtId="39" fontId="3" fillId="0" borderId="0" xfId="11" applyNumberFormat="1" applyFont="1" applyFill="1" applyBorder="1" applyAlignment="1">
      <alignment horizontal="center"/>
    </xf>
    <xf numFmtId="8" fontId="3" fillId="0" borderId="0" xfId="11" applyNumberFormat="1" applyFont="1" applyFill="1"/>
  </cellXfs>
  <cellStyles count="13">
    <cellStyle name="Comma" xfId="1" builtinId="3"/>
    <cellStyle name="Currency" xfId="2" builtinId="4"/>
    <cellStyle name="Input" xfId="3" builtinId="20" customBuiltin="1"/>
    <cellStyle name="Normal" xfId="0" builtinId="0" customBuiltin="1"/>
    <cellStyle name="Normal 2" xfId="9"/>
    <cellStyle name="Normal 3" xfId="10"/>
    <cellStyle name="Normal_DRR AC Study - Utah Valley - 53 MW 90 CF (2.28.2005)" xfId="4"/>
    <cellStyle name="Normal_Exhibit GND-1 - 5.24.2005" xfId="12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Percent" xfId="8" builtinId="5"/>
  </cellStyles>
  <dxfs count="2">
    <dxf>
      <font>
        <b/>
        <i/>
        <condense val="0"/>
        <extend val="0"/>
      </font>
      <fill>
        <patternFill>
          <bgColor indexed="42"/>
        </patternFill>
      </fill>
    </dxf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workbookViewId="0">
      <selection activeCell="B38" sqref="B38"/>
    </sheetView>
  </sheetViews>
  <sheetFormatPr defaultRowHeight="12.75"/>
  <cols>
    <col min="1" max="1" width="2.83203125" style="193" customWidth="1"/>
    <col min="2" max="2" width="19.1640625" style="193" customWidth="1"/>
    <col min="3" max="5" width="21.6640625" style="193" customWidth="1"/>
    <col min="6" max="6" width="3" style="193" customWidth="1"/>
    <col min="7" max="7" width="9.33203125" style="193" hidden="1" customWidth="1"/>
    <col min="8" max="8" width="9.33203125" style="191" customWidth="1"/>
    <col min="9" max="16384" width="9.33203125" style="191"/>
  </cols>
  <sheetData>
    <row r="1" spans="2:7" ht="15.75">
      <c r="B1" s="186" t="s">
        <v>78</v>
      </c>
      <c r="C1" s="187"/>
      <c r="D1" s="187"/>
      <c r="E1" s="188"/>
      <c r="F1" s="189"/>
      <c r="G1" s="190"/>
    </row>
    <row r="2" spans="2:7" ht="6.75" customHeight="1">
      <c r="B2" s="186"/>
      <c r="C2" s="187"/>
      <c r="D2" s="187"/>
      <c r="E2" s="188"/>
      <c r="F2" s="189"/>
      <c r="G2" s="190"/>
    </row>
    <row r="3" spans="2:7" ht="15.75">
      <c r="B3" s="192" t="s">
        <v>98</v>
      </c>
      <c r="C3" s="192"/>
      <c r="D3" s="192"/>
      <c r="E3" s="186"/>
      <c r="F3" s="189"/>
      <c r="G3" s="190"/>
    </row>
    <row r="4" spans="2:7" ht="15.75">
      <c r="B4" s="7" t="str">
        <f>'Table 1'!B5</f>
        <v>Utah 2011.Q1 Compliance Filing - 100 MW and 85% Capacity Factor</v>
      </c>
      <c r="C4" s="192"/>
      <c r="D4" s="192"/>
      <c r="E4" s="186"/>
      <c r="F4" s="189"/>
      <c r="G4" s="190"/>
    </row>
    <row r="5" spans="2:7">
      <c r="C5" s="194"/>
      <c r="F5" s="189"/>
      <c r="G5" s="190"/>
    </row>
    <row r="6" spans="2:7">
      <c r="B6" s="194" t="s">
        <v>0</v>
      </c>
      <c r="C6" s="195" t="s">
        <v>99</v>
      </c>
      <c r="D6" s="195" t="s">
        <v>105</v>
      </c>
      <c r="E6" s="196" t="s">
        <v>100</v>
      </c>
      <c r="F6" s="189"/>
      <c r="G6" s="190"/>
    </row>
    <row r="7" spans="2:7">
      <c r="B7" s="194"/>
      <c r="C7" s="46" t="str">
        <f>TEXT('Table 1'!G9,"0.0%")&amp;" CF"</f>
        <v>85.0% CF</v>
      </c>
      <c r="D7" s="188" t="s">
        <v>109</v>
      </c>
      <c r="E7" s="197"/>
      <c r="F7" s="189"/>
      <c r="G7" s="198"/>
    </row>
    <row r="8" spans="2:7">
      <c r="B8" s="199">
        <f>'Table 1'!B13</f>
        <v>2011</v>
      </c>
      <c r="C8" s="200">
        <f>'Table 1'!G13</f>
        <v>30.7</v>
      </c>
      <c r="D8" s="200">
        <v>30.79</v>
      </c>
      <c r="E8" s="201">
        <f t="shared" ref="E8:E27" si="0">C8-D8</f>
        <v>-8.9999999999999858E-2</v>
      </c>
      <c r="F8" s="189"/>
      <c r="G8" s="198"/>
    </row>
    <row r="9" spans="2:7">
      <c r="B9" s="203">
        <f t="shared" ref="B9:B27" si="1">B8+1</f>
        <v>2012</v>
      </c>
      <c r="C9" s="204">
        <f>'Table 1'!G14</f>
        <v>37.57</v>
      </c>
      <c r="D9" s="204">
        <v>36.28</v>
      </c>
      <c r="E9" s="205">
        <f t="shared" si="0"/>
        <v>1.2899999999999991</v>
      </c>
      <c r="F9" s="189"/>
      <c r="G9" s="198"/>
    </row>
    <row r="10" spans="2:7">
      <c r="B10" s="203">
        <f t="shared" si="1"/>
        <v>2013</v>
      </c>
      <c r="C10" s="204">
        <f>'Table 1'!G15</f>
        <v>40.18</v>
      </c>
      <c r="D10" s="204">
        <v>37.619999999999997</v>
      </c>
      <c r="E10" s="205">
        <f t="shared" si="0"/>
        <v>2.5600000000000023</v>
      </c>
      <c r="F10" s="189"/>
      <c r="G10" s="198"/>
    </row>
    <row r="11" spans="2:7">
      <c r="B11" s="203">
        <f t="shared" si="1"/>
        <v>2014</v>
      </c>
      <c r="C11" s="204">
        <f>'Table 1'!G16</f>
        <v>42.33</v>
      </c>
      <c r="D11" s="204">
        <v>39.979999999999997</v>
      </c>
      <c r="E11" s="205">
        <f t="shared" si="0"/>
        <v>2.3500000000000014</v>
      </c>
      <c r="F11" s="189"/>
      <c r="G11" s="198"/>
    </row>
    <row r="12" spans="2:7">
      <c r="B12" s="203">
        <f t="shared" si="1"/>
        <v>2015</v>
      </c>
      <c r="C12" s="204">
        <f>'Table 1'!G17</f>
        <v>44.93</v>
      </c>
      <c r="D12" s="204">
        <v>46.77</v>
      </c>
      <c r="E12" s="205">
        <f t="shared" si="0"/>
        <v>-1.8400000000000034</v>
      </c>
      <c r="F12" s="189"/>
      <c r="G12" s="198"/>
    </row>
    <row r="13" spans="2:7">
      <c r="B13" s="203">
        <f t="shared" si="1"/>
        <v>2016</v>
      </c>
      <c r="C13" s="204">
        <f>'Table 1'!G18</f>
        <v>47.77</v>
      </c>
      <c r="D13" s="204">
        <v>54.5</v>
      </c>
      <c r="E13" s="205">
        <f t="shared" si="0"/>
        <v>-6.7299999999999969</v>
      </c>
      <c r="F13" s="189"/>
      <c r="G13" s="198"/>
    </row>
    <row r="14" spans="2:7">
      <c r="B14" s="203">
        <f t="shared" si="1"/>
        <v>2017</v>
      </c>
      <c r="C14" s="204">
        <f>'Table 1'!G19</f>
        <v>55.82</v>
      </c>
      <c r="D14" s="204">
        <v>58.56</v>
      </c>
      <c r="E14" s="205">
        <f t="shared" si="0"/>
        <v>-2.740000000000002</v>
      </c>
      <c r="F14" s="189"/>
      <c r="G14" s="198"/>
    </row>
    <row r="15" spans="2:7">
      <c r="B15" s="203">
        <f t="shared" si="1"/>
        <v>2018</v>
      </c>
      <c r="C15" s="204">
        <f>'Table 1'!G20</f>
        <v>62.2</v>
      </c>
      <c r="D15" s="204">
        <v>63.69</v>
      </c>
      <c r="E15" s="205">
        <f t="shared" si="0"/>
        <v>-1.4899999999999949</v>
      </c>
      <c r="F15" s="189"/>
      <c r="G15" s="198"/>
    </row>
    <row r="16" spans="2:7">
      <c r="B16" s="203">
        <f t="shared" si="1"/>
        <v>2019</v>
      </c>
      <c r="C16" s="204">
        <f>'Table 1'!G21</f>
        <v>66.709999999999994</v>
      </c>
      <c r="D16" s="204">
        <v>65.92</v>
      </c>
      <c r="E16" s="205">
        <f t="shared" si="0"/>
        <v>0.78999999999999204</v>
      </c>
      <c r="F16" s="189"/>
      <c r="G16" s="198"/>
    </row>
    <row r="17" spans="2:7">
      <c r="B17" s="203">
        <f t="shared" si="1"/>
        <v>2020</v>
      </c>
      <c r="C17" s="204">
        <f>'Table 1'!G22</f>
        <v>67.489999999999995</v>
      </c>
      <c r="D17" s="204">
        <v>66.069999999999993</v>
      </c>
      <c r="E17" s="205">
        <f t="shared" si="0"/>
        <v>1.4200000000000017</v>
      </c>
      <c r="F17" s="189"/>
      <c r="G17" s="198"/>
    </row>
    <row r="18" spans="2:7">
      <c r="B18" s="203">
        <f t="shared" si="1"/>
        <v>2021</v>
      </c>
      <c r="C18" s="204">
        <f>'Table 1'!G23</f>
        <v>68.42</v>
      </c>
      <c r="D18" s="204">
        <v>67.42</v>
      </c>
      <c r="E18" s="205">
        <f t="shared" si="0"/>
        <v>1</v>
      </c>
      <c r="F18" s="189"/>
      <c r="G18" s="198"/>
    </row>
    <row r="19" spans="2:7">
      <c r="B19" s="203">
        <f t="shared" si="1"/>
        <v>2022</v>
      </c>
      <c r="C19" s="204">
        <f>'Table 1'!G24</f>
        <v>69.930000000000007</v>
      </c>
      <c r="D19" s="204">
        <v>69.099999999999994</v>
      </c>
      <c r="E19" s="205">
        <f t="shared" si="0"/>
        <v>0.83000000000001251</v>
      </c>
      <c r="F19" s="189"/>
      <c r="G19" s="198"/>
    </row>
    <row r="20" spans="2:7">
      <c r="B20" s="203">
        <f t="shared" si="1"/>
        <v>2023</v>
      </c>
      <c r="C20" s="204">
        <f>'Table 1'!G25</f>
        <v>73.73</v>
      </c>
      <c r="D20" s="204">
        <v>72.66</v>
      </c>
      <c r="E20" s="205">
        <f t="shared" si="0"/>
        <v>1.0700000000000074</v>
      </c>
      <c r="F20" s="189"/>
      <c r="G20" s="198"/>
    </row>
    <row r="21" spans="2:7">
      <c r="B21" s="203">
        <f t="shared" si="1"/>
        <v>2024</v>
      </c>
      <c r="C21" s="204">
        <f>'Table 1'!G26</f>
        <v>77.849999999999994</v>
      </c>
      <c r="D21" s="204">
        <v>76.47</v>
      </c>
      <c r="E21" s="205">
        <f t="shared" si="0"/>
        <v>1.3799999999999955</v>
      </c>
      <c r="F21" s="189"/>
      <c r="G21" s="198"/>
    </row>
    <row r="22" spans="2:7">
      <c r="B22" s="203">
        <f t="shared" si="1"/>
        <v>2025</v>
      </c>
      <c r="C22" s="204">
        <f>'Table 1'!G27</f>
        <v>76.400000000000006</v>
      </c>
      <c r="D22" s="204">
        <v>75.760000000000005</v>
      </c>
      <c r="E22" s="205">
        <f t="shared" si="0"/>
        <v>0.64000000000000057</v>
      </c>
      <c r="F22" s="189"/>
      <c r="G22" s="198"/>
    </row>
    <row r="23" spans="2:7">
      <c r="B23" s="203">
        <f t="shared" si="1"/>
        <v>2026</v>
      </c>
      <c r="C23" s="204">
        <f>'Table 1'!G28</f>
        <v>71.31</v>
      </c>
      <c r="D23" s="204">
        <v>70.790000000000006</v>
      </c>
      <c r="E23" s="205">
        <f t="shared" si="0"/>
        <v>0.51999999999999602</v>
      </c>
      <c r="F23" s="189"/>
      <c r="G23" s="198"/>
    </row>
    <row r="24" spans="2:7">
      <c r="B24" s="203">
        <f t="shared" si="1"/>
        <v>2027</v>
      </c>
      <c r="C24" s="204">
        <f>'Table 1'!G29</f>
        <v>70.239999999999995</v>
      </c>
      <c r="D24" s="204">
        <v>70.14</v>
      </c>
      <c r="E24" s="205">
        <f t="shared" si="0"/>
        <v>9.9999999999994316E-2</v>
      </c>
      <c r="F24" s="189"/>
      <c r="G24" s="198"/>
    </row>
    <row r="25" spans="2:7">
      <c r="B25" s="203">
        <f t="shared" si="1"/>
        <v>2028</v>
      </c>
      <c r="C25" s="204">
        <f>'Table 1'!G30</f>
        <v>74.2</v>
      </c>
      <c r="D25" s="204">
        <v>73.45</v>
      </c>
      <c r="E25" s="205">
        <f t="shared" si="0"/>
        <v>0.75</v>
      </c>
      <c r="F25" s="189"/>
      <c r="G25" s="198"/>
    </row>
    <row r="26" spans="2:7">
      <c r="B26" s="203">
        <f t="shared" si="1"/>
        <v>2029</v>
      </c>
      <c r="C26" s="204">
        <f>'Table 1'!G31</f>
        <v>75.78</v>
      </c>
      <c r="D26" s="204">
        <v>75.53</v>
      </c>
      <c r="E26" s="205">
        <f t="shared" si="0"/>
        <v>0.25</v>
      </c>
      <c r="F26" s="202"/>
      <c r="G26" s="198"/>
    </row>
    <row r="27" spans="2:7">
      <c r="B27" s="206">
        <f t="shared" si="1"/>
        <v>2030</v>
      </c>
      <c r="C27" s="207">
        <f>'Table 1'!G32</f>
        <v>77.58</v>
      </c>
      <c r="D27" s="207">
        <v>77.040000000000006</v>
      </c>
      <c r="E27" s="208">
        <f t="shared" si="0"/>
        <v>0.53999999999999204</v>
      </c>
      <c r="F27" s="202"/>
      <c r="G27" s="198"/>
    </row>
    <row r="28" spans="2:7">
      <c r="D28" s="194"/>
      <c r="F28" s="189"/>
      <c r="G28" s="193" t="str">
        <f>'Table 1'!$I$33</f>
        <v>Official Discount Rate (Dec 31 2010)</v>
      </c>
    </row>
    <row r="29" spans="2:7">
      <c r="B29" s="209" t="str">
        <f>"20-Year Levelized Prices (Nominal) @ "&amp;TEXT(G29,"0.00%")&amp;" Discount Rate (1) (3) (4)"</f>
        <v>20-Year Levelized Prices (Nominal) @ 7.17% Discount Rate (1) (3) (4)</v>
      </c>
      <c r="D29" s="194"/>
      <c r="G29" s="179">
        <f>'Table 1'!I34</f>
        <v>7.17E-2</v>
      </c>
    </row>
    <row r="30" spans="2:7">
      <c r="B30" s="210" t="s">
        <v>64</v>
      </c>
      <c r="C30" s="204" t="str">
        <f>TEXT(-PMT($G$29,COUNT(C8:C27),NPV($G$29,C8:C27)),"$00.00")&amp;" (4)"</f>
        <v>$55.88 (4)</v>
      </c>
      <c r="D30" s="204" t="str">
        <f>TEXT(-PMT($G$29,COUNT(D8:D27),NPV($G$29,D8:D27)),"$00.00")&amp;" (5)"</f>
        <v>$55.85 (5)</v>
      </c>
      <c r="E30" s="204">
        <f>-PMT($G$29,COUNT(E8:E27),NPV($G$29,E8:E27))</f>
        <v>3.6447421084760609E-2</v>
      </c>
      <c r="F30" s="189"/>
    </row>
    <row r="31" spans="2:7">
      <c r="D31" s="204"/>
      <c r="F31" s="189"/>
    </row>
    <row r="32" spans="2:7">
      <c r="B32" s="193" t="s">
        <v>34</v>
      </c>
      <c r="C32" s="211"/>
      <c r="D32" s="212"/>
      <c r="E32" s="212"/>
      <c r="F32" s="189"/>
    </row>
    <row r="33" spans="2:6">
      <c r="B33" s="45" t="s">
        <v>95</v>
      </c>
      <c r="D33" s="189"/>
      <c r="E33" s="189"/>
      <c r="F33" s="189"/>
    </row>
    <row r="34" spans="2:6">
      <c r="B34" s="45" t="s">
        <v>106</v>
      </c>
      <c r="F34" s="189"/>
    </row>
    <row r="35" spans="2:6">
      <c r="B35" s="193" t="str">
        <f>"(3)   20-Year NPC is "&amp;B8&amp;" - "&amp;B27</f>
        <v>(3)   20-Year NPC is 2011 - 2030</v>
      </c>
    </row>
    <row r="36" spans="2:6">
      <c r="B36" s="19" t="str">
        <f>"(4)  Avoided Costs calculated annually"</f>
        <v>(4)  Avoided Costs calculated annually</v>
      </c>
    </row>
    <row r="37" spans="2:6">
      <c r="B37" s="19" t="s">
        <v>110</v>
      </c>
    </row>
    <row r="38" spans="2:6">
      <c r="B38" s="19"/>
    </row>
    <row r="41" spans="2:6">
      <c r="C41" s="213"/>
      <c r="D41" s="213"/>
      <c r="E41" s="213"/>
    </row>
  </sheetData>
  <printOptions horizontalCentered="1"/>
  <pageMargins left="0.8" right="0.3" top="0.4" bottom="0.4" header="0.5" footer="0.2"/>
  <pageSetup orientation="portrait" r:id="rId1"/>
  <headerFooter alignWithMargins="0">
    <oddFooter>&amp;L&amp;8NPC Group - &amp;F   ( &amp;A )&amp;C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46"/>
  <sheetViews>
    <sheetView zoomScaleNormal="100" zoomScaleSheetLayoutView="100" workbookViewId="0">
      <pane xSplit="2" ySplit="12" topLeftCell="C13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RowHeight="12.75"/>
  <cols>
    <col min="1" max="1" width="2.83203125" style="6" customWidth="1"/>
    <col min="2" max="2" width="10.83203125" style="6" customWidth="1"/>
    <col min="3" max="3" width="18.83203125" style="6" customWidth="1"/>
    <col min="4" max="4" width="3.1640625" style="6" customWidth="1"/>
    <col min="5" max="5" width="18.83203125" style="6" customWidth="1"/>
    <col min="6" max="6" width="3.5" style="6" bestFit="1" customWidth="1"/>
    <col min="7" max="7" width="27.83203125" style="6" customWidth="1"/>
    <col min="8" max="8" width="3.83203125" style="6" customWidth="1"/>
    <col min="9" max="9" width="9.33203125" style="6" hidden="1" customWidth="1"/>
    <col min="10" max="10" width="9.33203125" customWidth="1"/>
  </cols>
  <sheetData>
    <row r="1" spans="2:9" ht="15.75">
      <c r="B1" s="1" t="s">
        <v>78</v>
      </c>
      <c r="C1" s="5"/>
      <c r="D1" s="5"/>
      <c r="E1" s="5"/>
      <c r="F1" s="5"/>
      <c r="G1" s="47"/>
      <c r="H1" s="143"/>
      <c r="I1" s="8"/>
    </row>
    <row r="2" spans="2:9" ht="15.75">
      <c r="B2" s="1"/>
      <c r="C2" s="5"/>
      <c r="D2" s="5"/>
      <c r="E2" s="5"/>
      <c r="G2" s="47"/>
      <c r="H2" s="143"/>
      <c r="I2" s="8"/>
    </row>
    <row r="3" spans="2:9" ht="15.75">
      <c r="B3" s="1" t="s">
        <v>39</v>
      </c>
      <c r="C3" s="5"/>
      <c r="D3" s="5"/>
      <c r="E3" s="5"/>
      <c r="F3" s="5"/>
      <c r="G3" s="47"/>
      <c r="H3" s="143"/>
      <c r="I3" s="8"/>
    </row>
    <row r="4" spans="2:9" ht="15.75">
      <c r="B4" s="7" t="s">
        <v>36</v>
      </c>
      <c r="C4" s="7"/>
      <c r="D4" s="7"/>
      <c r="E4" s="7"/>
      <c r="F4" s="7"/>
      <c r="G4" s="1"/>
      <c r="H4" s="143"/>
      <c r="I4" s="8"/>
    </row>
    <row r="5" spans="2:9" ht="15.75">
      <c r="B5" s="7" t="s">
        <v>115</v>
      </c>
      <c r="C5" s="7"/>
      <c r="D5" s="7"/>
      <c r="E5" s="7"/>
      <c r="F5" s="7"/>
      <c r="G5" s="1"/>
      <c r="H5" s="143"/>
      <c r="I5" s="8"/>
    </row>
    <row r="6" spans="2:9" ht="14.25">
      <c r="B6" s="7" t="s">
        <v>101</v>
      </c>
      <c r="C6" s="7"/>
      <c r="D6" s="7"/>
      <c r="E6" s="7"/>
      <c r="F6" s="7"/>
      <c r="G6" s="47"/>
      <c r="H6" s="143"/>
      <c r="I6" s="8"/>
    </row>
    <row r="7" spans="2:9">
      <c r="C7" s="10"/>
      <c r="D7" s="10"/>
      <c r="H7" s="143"/>
      <c r="I7" t="s">
        <v>102</v>
      </c>
    </row>
    <row r="8" spans="2:9">
      <c r="E8" s="49"/>
      <c r="F8" s="146"/>
      <c r="G8" s="9" t="s">
        <v>32</v>
      </c>
      <c r="H8" s="143"/>
      <c r="I8" s="178">
        <v>1</v>
      </c>
    </row>
    <row r="9" spans="2:9">
      <c r="C9" s="9" t="s">
        <v>7</v>
      </c>
      <c r="D9" s="9"/>
      <c r="E9" s="49" t="s">
        <v>37</v>
      </c>
      <c r="F9" s="146"/>
      <c r="G9" s="185">
        <v>0.85</v>
      </c>
      <c r="H9" s="143"/>
      <c r="I9"/>
    </row>
    <row r="10" spans="2:9">
      <c r="B10" s="9" t="s">
        <v>0</v>
      </c>
      <c r="C10" s="9" t="str">
        <f>"Price (5) "&amp;IF(I8&lt;&gt;1,"(6)","")</f>
        <v xml:space="preserve">Price (5) </v>
      </c>
      <c r="D10" s="9"/>
      <c r="E10" s="49" t="s">
        <v>38</v>
      </c>
      <c r="F10" s="146"/>
      <c r="G10" s="49" t="s">
        <v>33</v>
      </c>
      <c r="H10" s="143"/>
      <c r="I10"/>
    </row>
    <row r="11" spans="2:9" ht="13.5">
      <c r="B11" s="9"/>
      <c r="C11" s="9" t="s">
        <v>35</v>
      </c>
      <c r="D11" s="9"/>
      <c r="E11" s="46" t="s">
        <v>63</v>
      </c>
      <c r="F11" s="146"/>
      <c r="G11" s="49" t="s">
        <v>64</v>
      </c>
      <c r="H11" s="143"/>
      <c r="I11"/>
    </row>
    <row r="12" spans="2:9">
      <c r="B12" s="9"/>
      <c r="C12" s="16"/>
      <c r="D12" s="49"/>
      <c r="E12" s="49"/>
      <c r="F12" s="49"/>
      <c r="H12" s="143"/>
      <c r="I12"/>
    </row>
    <row r="13" spans="2:9">
      <c r="B13" s="78">
        <f>'Table 2'!B12</f>
        <v>2011</v>
      </c>
      <c r="C13" s="11">
        <f>IF(VLOOKUP(B13,'Table 4'!$B$11:$K$41,9,FALSE)&lt;&gt;0,VLOOKUP(B13,'Table 4'!$B$11:$K$41,7,FALSE),0)*$I$8*IF(B13=2015,7/12,1)</f>
        <v>0</v>
      </c>
      <c r="D13" s="11"/>
      <c r="E13" s="11">
        <f>'Table 2'!C12</f>
        <v>30.704128648801344</v>
      </c>
      <c r="F13" s="171"/>
      <c r="G13" s="50">
        <f>ROUND((C13*1000/(IF(MOD(B13,4)=0,8784,8760)*$G$9)+E13),2)</f>
        <v>30.7</v>
      </c>
      <c r="H13" s="143"/>
      <c r="I13"/>
    </row>
    <row r="14" spans="2:9">
      <c r="B14" s="79">
        <f t="shared" ref="B14:B32" si="0">B13+1</f>
        <v>2012</v>
      </c>
      <c r="C14" s="12">
        <f>IF(VLOOKUP(B14,'Table 4'!$B$11:$K$41,9,FALSE)&lt;&gt;0,VLOOKUP(B14,'Table 4'!$B$11:$K$41,7,FALSE),0)*$I$8*IF(B14=2018,7/12,1)</f>
        <v>0</v>
      </c>
      <c r="D14" s="173" t="str">
        <f t="shared" ref="D14" si="1">IF(B14=2018,"(5)","")</f>
        <v/>
      </c>
      <c r="E14" s="12">
        <f>'Table 2'!C13</f>
        <v>37.572013171368027</v>
      </c>
      <c r="F14" s="144"/>
      <c r="G14" s="51">
        <f>ROUND((C14*1000/(IF(MOD(B14,4)=0,8784,8760)*$G$9)+E14),2)</f>
        <v>37.57</v>
      </c>
      <c r="H14" s="143"/>
      <c r="I14"/>
    </row>
    <row r="15" spans="2:9">
      <c r="B15" s="79">
        <f t="shared" si="0"/>
        <v>2013</v>
      </c>
      <c r="C15" s="12">
        <f>IF(VLOOKUP(B15,'Table 4'!$B$11:$K$41,9,FALSE)&lt;&gt;0,VLOOKUP(B15,'Table 4'!$B$11:$K$41,7,FALSE),0)*$I$8*IF(B15=2018,7/12,1)</f>
        <v>0</v>
      </c>
      <c r="D15" s="173" t="str">
        <f>IF(B15=2018,"(5)","")</f>
        <v/>
      </c>
      <c r="E15" s="12">
        <f>'Table 2'!C14</f>
        <v>40.180010616919674</v>
      </c>
      <c r="F15" s="144"/>
      <c r="G15" s="51">
        <f t="shared" ref="G15:G32" si="2">ROUND((C15*1000/(IF(MOD(B15,4)=0,8784,8760)*$G$9)+E15),2)</f>
        <v>40.18</v>
      </c>
      <c r="H15" s="143"/>
      <c r="I15"/>
    </row>
    <row r="16" spans="2:9">
      <c r="B16" s="79">
        <f t="shared" si="0"/>
        <v>2014</v>
      </c>
      <c r="C16" s="12">
        <f>IF(VLOOKUP(B16,'Table 4'!$B$11:$K$41,9,FALSE)&lt;&gt;0,VLOOKUP(B16,'Table 4'!$B$11:$K$41,7,FALSE),0)*$I$8*IF(B16=2018,7/12,1)</f>
        <v>0</v>
      </c>
      <c r="D16" s="173" t="str">
        <f t="shared" ref="D16:D19" si="3">IF(B16=2018,"(5)","")</f>
        <v/>
      </c>
      <c r="E16" s="12">
        <f>'Table 2'!C15</f>
        <v>42.3323242259764</v>
      </c>
      <c r="F16" s="144"/>
      <c r="G16" s="51">
        <f t="shared" si="2"/>
        <v>42.33</v>
      </c>
      <c r="H16" s="143"/>
      <c r="I16"/>
    </row>
    <row r="17" spans="2:9">
      <c r="B17" s="79">
        <f t="shared" si="0"/>
        <v>2015</v>
      </c>
      <c r="C17" s="12">
        <f>IF(VLOOKUP(B17,'Table 4'!$B$11:$K$41,9,FALSE)&lt;&gt;0,VLOOKUP(B17,'Table 4'!$B$11:$K$41,7,FALSE),0)*$I$8*IF(B17=2018,7/12,1)</f>
        <v>0</v>
      </c>
      <c r="D17" s="173" t="str">
        <f t="shared" si="3"/>
        <v/>
      </c>
      <c r="E17" s="12">
        <f>'Table 2'!C16</f>
        <v>44.929972664136365</v>
      </c>
      <c r="F17" s="144"/>
      <c r="G17" s="51">
        <f t="shared" si="2"/>
        <v>44.93</v>
      </c>
      <c r="H17" s="143"/>
      <c r="I17"/>
    </row>
    <row r="18" spans="2:9">
      <c r="B18" s="79">
        <f t="shared" si="0"/>
        <v>2016</v>
      </c>
      <c r="C18" s="12">
        <f>IF(VLOOKUP(B18,'Table 4'!$B$11:$K$41,9,FALSE)&lt;&gt;0,VLOOKUP(B18,'Table 4'!$B$11:$K$41,7,FALSE),0)*$I$8*IF(B18=2018,7/12,1)</f>
        <v>0</v>
      </c>
      <c r="D18" s="173" t="str">
        <f t="shared" si="3"/>
        <v/>
      </c>
      <c r="E18" s="12">
        <f>'Table 2'!C17</f>
        <v>47.765256069042387</v>
      </c>
      <c r="F18" s="144"/>
      <c r="G18" s="51">
        <f t="shared" si="2"/>
        <v>47.77</v>
      </c>
      <c r="H18" s="143"/>
      <c r="I18"/>
    </row>
    <row r="19" spans="2:9">
      <c r="B19" s="79">
        <f t="shared" si="0"/>
        <v>2017</v>
      </c>
      <c r="C19" s="12">
        <f>IF(VLOOKUP(B19,'Table 4'!$B$11:$K$41,9,FALSE)&lt;&gt;0,VLOOKUP(B19,'Table 4'!$B$11:$K$41,7,FALSE),0)*$I$8*IF(B19=2018,7/12,1)</f>
        <v>0</v>
      </c>
      <c r="D19" s="173" t="str">
        <f t="shared" si="3"/>
        <v/>
      </c>
      <c r="E19" s="12">
        <f>'Table 2'!C18</f>
        <v>55.824753644498223</v>
      </c>
      <c r="F19" s="144"/>
      <c r="G19" s="51">
        <f t="shared" si="2"/>
        <v>55.82</v>
      </c>
      <c r="H19" s="143"/>
      <c r="I19"/>
    </row>
    <row r="20" spans="2:9">
      <c r="B20" s="79">
        <f t="shared" si="0"/>
        <v>2018</v>
      </c>
      <c r="C20" s="12">
        <f>IF(VLOOKUP(B20,'Table 4'!$B$11:$K$41,9,FALSE)&lt;&gt;0,VLOOKUP(B20,'Table 4'!$B$11:$K$41,7,FALSE),0)*$I$8*IF(B20=2018,7/12,1)</f>
        <v>96.215000000000003</v>
      </c>
      <c r="D20" s="173" t="str">
        <f t="shared" ref="D20:D25" si="4">IF(B20=2018,"(5)","")</f>
        <v>(5)</v>
      </c>
      <c r="E20" s="12">
        <f>'Table 2'!C19</f>
        <v>49.283009992163912</v>
      </c>
      <c r="F20" s="144"/>
      <c r="G20" s="51">
        <f t="shared" si="2"/>
        <v>62.2</v>
      </c>
      <c r="H20" s="143"/>
      <c r="I20"/>
    </row>
    <row r="21" spans="2:9">
      <c r="B21" s="79">
        <f t="shared" si="0"/>
        <v>2019</v>
      </c>
      <c r="C21" s="12">
        <f>IF(VLOOKUP(B21,'Table 4'!$B$11:$K$41,9,FALSE)&lt;&gt;0,VLOOKUP(B21,'Table 4'!$B$11:$K$41,7,FALSE),0)*$I$8*IF(B21=2018,7/12,1)</f>
        <v>168.05</v>
      </c>
      <c r="D21" s="173" t="str">
        <f t="shared" si="4"/>
        <v/>
      </c>
      <c r="E21" s="12">
        <f>'Table 2'!C20</f>
        <v>44.138722972240004</v>
      </c>
      <c r="F21" s="144"/>
      <c r="G21" s="51">
        <f t="shared" si="2"/>
        <v>66.709999999999994</v>
      </c>
      <c r="H21" s="143"/>
      <c r="I21"/>
    </row>
    <row r="22" spans="2:9">
      <c r="B22" s="79">
        <f t="shared" si="0"/>
        <v>2020</v>
      </c>
      <c r="C22" s="12">
        <f>IF(VLOOKUP(B22,'Table 4'!$B$11:$K$41,9,FALSE)&lt;&gt;0,VLOOKUP(B22,'Table 4'!$B$11:$K$41,7,FALSE),0)*$I$8*IF(B22=2018,7/12,1)</f>
        <v>171.26</v>
      </c>
      <c r="D22" s="173" t="str">
        <f t="shared" si="4"/>
        <v/>
      </c>
      <c r="E22" s="12">
        <f>'Table 2'!C21</f>
        <v>44.555743499812692</v>
      </c>
      <c r="F22" s="144"/>
      <c r="G22" s="51">
        <f t="shared" si="2"/>
        <v>67.489999999999995</v>
      </c>
      <c r="H22" s="143"/>
      <c r="I22"/>
    </row>
    <row r="23" spans="2:9">
      <c r="B23" s="79">
        <f t="shared" si="0"/>
        <v>2021</v>
      </c>
      <c r="C23" s="12">
        <f>IF(VLOOKUP(B23,'Table 4'!$B$11:$K$41,9,FALSE)&lt;&gt;0,VLOOKUP(B23,'Table 4'!$B$11:$K$41,7,FALSE),0)*$I$8*IF(B23=2018,7/12,1)</f>
        <v>174.17</v>
      </c>
      <c r="D23" s="173" t="str">
        <f t="shared" si="4"/>
        <v/>
      </c>
      <c r="E23" s="12">
        <f>'Table 2'!C22</f>
        <v>45.033044015525121</v>
      </c>
      <c r="F23" s="144"/>
      <c r="G23" s="51">
        <f t="shared" si="2"/>
        <v>68.42</v>
      </c>
      <c r="H23" s="143"/>
      <c r="I23"/>
    </row>
    <row r="24" spans="2:9">
      <c r="B24" s="79">
        <f t="shared" si="0"/>
        <v>2022</v>
      </c>
      <c r="C24" s="12">
        <f>IF(VLOOKUP(B24,'Table 4'!$B$11:$K$41,9,FALSE)&lt;&gt;0,VLOOKUP(B24,'Table 4'!$B$11:$K$41,7,FALSE),0)*$I$8*IF(B24=2018,7/12,1)</f>
        <v>177.28</v>
      </c>
      <c r="D24" s="173" t="str">
        <f t="shared" si="4"/>
        <v/>
      </c>
      <c r="E24" s="12">
        <f>'Table 2'!C23</f>
        <v>46.125738411657423</v>
      </c>
      <c r="F24" s="144"/>
      <c r="G24" s="51">
        <f t="shared" si="2"/>
        <v>69.930000000000007</v>
      </c>
      <c r="H24" s="143"/>
      <c r="I24"/>
    </row>
    <row r="25" spans="2:9">
      <c r="B25" s="79">
        <f t="shared" si="0"/>
        <v>2023</v>
      </c>
      <c r="C25" s="12">
        <f>IF(VLOOKUP(B25,'Table 4'!$B$11:$K$41,9,FALSE)&lt;&gt;0,VLOOKUP(B25,'Table 4'!$B$11:$K$41,7,FALSE),0)*$I$8*IF(B25=2018,7/12,1)</f>
        <v>180.65</v>
      </c>
      <c r="D25" s="173" t="str">
        <f t="shared" si="4"/>
        <v/>
      </c>
      <c r="E25" s="12">
        <f>'Table 2'!C24</f>
        <v>49.464863477679081</v>
      </c>
      <c r="F25" s="144"/>
      <c r="G25" s="51">
        <f t="shared" si="2"/>
        <v>73.73</v>
      </c>
      <c r="H25" s="143"/>
      <c r="I25"/>
    </row>
    <row r="26" spans="2:9">
      <c r="B26" s="79">
        <f t="shared" si="0"/>
        <v>2024</v>
      </c>
      <c r="C26" s="12">
        <f>IF(VLOOKUP(B26,'Table 4'!$B$11:$K$41,9,FALSE)&lt;&gt;0,VLOOKUP(B26,'Table 4'!$B$11:$K$41,7,FALSE),0)*$I$8*IF(B26=2018,7/12,1)</f>
        <v>184.06</v>
      </c>
      <c r="D26" s="12"/>
      <c r="E26" s="12">
        <f>'Table 2'!C25</f>
        <v>53.197554515924502</v>
      </c>
      <c r="F26" s="144"/>
      <c r="G26" s="51">
        <f t="shared" si="2"/>
        <v>77.849999999999994</v>
      </c>
      <c r="H26" s="143"/>
      <c r="I26"/>
    </row>
    <row r="27" spans="2:9">
      <c r="B27" s="79">
        <f t="shared" si="0"/>
        <v>2025</v>
      </c>
      <c r="C27" s="12">
        <f>IF(VLOOKUP(B27,'Table 4'!$B$11:$K$41,9,FALSE)&lt;&gt;0,VLOOKUP(B27,'Table 4'!$B$11:$K$41,7,FALSE),0)*$I$8*IF(B27=2018,7/12,1)</f>
        <v>187.57</v>
      </c>
      <c r="D27" s="12"/>
      <c r="E27" s="12">
        <f>'Table 2'!C26</f>
        <v>51.208046309857629</v>
      </c>
      <c r="F27" s="144"/>
      <c r="G27" s="51">
        <f t="shared" si="2"/>
        <v>76.400000000000006</v>
      </c>
      <c r="H27" s="143"/>
      <c r="I27"/>
    </row>
    <row r="28" spans="2:9">
      <c r="B28" s="79">
        <f t="shared" si="0"/>
        <v>2026</v>
      </c>
      <c r="C28" s="12">
        <f>IF(VLOOKUP(B28,'Table 4'!$B$11:$K$41,9,FALSE)&lt;&gt;0,VLOOKUP(B28,'Table 4'!$B$11:$K$41,7,FALSE),0)*$I$8*IF(B28=2018,7/12,1)</f>
        <v>191.12</v>
      </c>
      <c r="D28" s="12"/>
      <c r="E28" s="12">
        <f>'Table 2'!C27</f>
        <v>45.646048453397768</v>
      </c>
      <c r="F28" s="144"/>
      <c r="G28" s="51">
        <f t="shared" si="2"/>
        <v>71.31</v>
      </c>
      <c r="H28" s="143"/>
      <c r="I28"/>
    </row>
    <row r="29" spans="2:9">
      <c r="B29" s="79">
        <f t="shared" si="0"/>
        <v>2027</v>
      </c>
      <c r="C29" s="12">
        <f>IF(VLOOKUP(B29,'Table 4'!$B$11:$K$41,9,FALSE)&lt;&gt;0,VLOOKUP(B29,'Table 4'!$B$11:$K$41,7,FALSE),0)*$I$8*IF(B29=2018,7/12,1)</f>
        <v>194.76</v>
      </c>
      <c r="D29" s="12"/>
      <c r="E29" s="12">
        <f>'Table 2'!C28</f>
        <v>44.078931999785055</v>
      </c>
      <c r="F29" s="144"/>
      <c r="G29" s="51">
        <f t="shared" si="2"/>
        <v>70.239999999999995</v>
      </c>
      <c r="H29" s="143"/>
      <c r="I29"/>
    </row>
    <row r="30" spans="2:9">
      <c r="B30" s="79">
        <f t="shared" si="0"/>
        <v>2028</v>
      </c>
      <c r="C30" s="12">
        <f>IF(VLOOKUP(B30,'Table 4'!$B$11:$K$41,9,FALSE)&lt;&gt;0,VLOOKUP(B30,'Table 4'!$B$11:$K$41,7,FALSE),0)*$I$8*IF(B30=2018,7/12,1)</f>
        <v>198.64</v>
      </c>
      <c r="D30" s="12"/>
      <c r="E30" s="12">
        <f>'Table 2'!C29</f>
        <v>47.598682554617973</v>
      </c>
      <c r="F30" s="144"/>
      <c r="G30" s="51">
        <f t="shared" si="2"/>
        <v>74.2</v>
      </c>
      <c r="H30" s="143"/>
      <c r="I30"/>
    </row>
    <row r="31" spans="2:9">
      <c r="B31" s="79">
        <f t="shared" si="0"/>
        <v>2029</v>
      </c>
      <c r="C31" s="12">
        <f>IF(VLOOKUP(B31,'Table 4'!$B$11:$K$41,9,FALSE)&lt;&gt;0,VLOOKUP(B31,'Table 4'!$B$11:$K$41,7,FALSE),0)*$I$8*IF(B31=2018,7/12,1)</f>
        <v>202.43</v>
      </c>
      <c r="D31" s="12"/>
      <c r="E31" s="12">
        <f>'Table 2'!C30</f>
        <v>48.598521957467185</v>
      </c>
      <c r="F31" s="144"/>
      <c r="G31" s="51">
        <f t="shared" si="2"/>
        <v>75.78</v>
      </c>
      <c r="H31" s="143"/>
      <c r="I31"/>
    </row>
    <row r="32" spans="2:9">
      <c r="B32" s="80">
        <f t="shared" si="0"/>
        <v>2030</v>
      </c>
      <c r="C32" s="21">
        <f>IF(VLOOKUP(B32,'Table 4'!$B$11:$K$41,9,FALSE)&lt;&gt;0,VLOOKUP(B32,'Table 4'!$B$11:$K$41,7,FALSE),0)*$I$8*IF(B32=2018,7/12,1)</f>
        <v>206.07</v>
      </c>
      <c r="D32" s="21"/>
      <c r="E32" s="21">
        <f>'Table 2'!C31</f>
        <v>49.902841808742735</v>
      </c>
      <c r="F32" s="172"/>
      <c r="G32" s="52">
        <f t="shared" si="2"/>
        <v>77.58</v>
      </c>
      <c r="H32" s="143"/>
      <c r="I32"/>
    </row>
    <row r="33" spans="2:9">
      <c r="D33" s="12"/>
      <c r="F33" s="144"/>
      <c r="H33" s="143"/>
      <c r="I33" s="181" t="str">
        <f>"Official Discount Rate ("&amp;TEXT('Table 5'!G5,"MMM dd YYYY")&amp;")"</f>
        <v>Official Discount Rate (Dec 31 2010)</v>
      </c>
    </row>
    <row r="34" spans="2:9">
      <c r="B34" s="53" t="s">
        <v>92</v>
      </c>
      <c r="E34" s="8"/>
      <c r="I34" s="179">
        <v>7.17E-2</v>
      </c>
    </row>
    <row r="35" spans="2:9">
      <c r="B35" s="176" t="s">
        <v>9</v>
      </c>
      <c r="C35" s="12">
        <f>-PMT($I$34,COUNT(C13:C32),NPV($I$34,C13:C32))</f>
        <v>84.683627335899558</v>
      </c>
      <c r="D35" s="12"/>
      <c r="H35" s="143"/>
    </row>
    <row r="36" spans="2:9">
      <c r="B36" s="177" t="s">
        <v>64</v>
      </c>
      <c r="E36" s="12">
        <f>-PMT($I$34,COUNT(E13:E32),NPV($I$34,E13:E32))</f>
        <v>44.519031336042403</v>
      </c>
      <c r="G36" s="12" t="s">
        <v>111</v>
      </c>
      <c r="H36" s="143"/>
    </row>
    <row r="37" spans="2:9">
      <c r="F37" s="145"/>
      <c r="H37" s="143"/>
    </row>
    <row r="38" spans="2:9">
      <c r="B38" s="6" t="s">
        <v>34</v>
      </c>
      <c r="E38" s="145"/>
      <c r="G38" s="145"/>
      <c r="H38" s="143"/>
    </row>
    <row r="39" spans="2:9">
      <c r="B39" s="182" t="s">
        <v>95</v>
      </c>
      <c r="E39" s="143"/>
      <c r="F39" s="145"/>
      <c r="G39" s="143"/>
      <c r="H39" s="143"/>
    </row>
    <row r="40" spans="2:9">
      <c r="B40" s="6" t="s">
        <v>41</v>
      </c>
      <c r="F40" s="145"/>
      <c r="H40" s="143"/>
    </row>
    <row r="41" spans="2:9">
      <c r="B41" s="6" t="str">
        <f>"(3)   20 Year NPC is "&amp;TEXT(B13,"???0")&amp;" - "&amp;TEXT(B32,"???0")</f>
        <v>(3)   20 Year NPC is 2011 - 2030</v>
      </c>
    </row>
    <row r="42" spans="2:9">
      <c r="B42" s="19" t="s">
        <v>107</v>
      </c>
      <c r="F42" s="143"/>
    </row>
    <row r="43" spans="2:9">
      <c r="B43" s="19" t="s">
        <v>113</v>
      </c>
      <c r="C43" s="10"/>
      <c r="D43" s="10"/>
      <c r="E43" s="10"/>
      <c r="G43" s="10"/>
    </row>
    <row r="44" spans="2:9">
      <c r="B44" s="19" t="s">
        <v>112</v>
      </c>
    </row>
    <row r="45" spans="2:9">
      <c r="B45" s="184" t="str">
        <f>IF(I8&lt;&gt;1,"(6) Capacity Payment is adjusted by "&amp;TEXT(I8,"0.0%")&amp;" Capacity Contribution.","")</f>
        <v/>
      </c>
    </row>
    <row r="46" spans="2:9">
      <c r="F46" s="10"/>
    </row>
  </sheetData>
  <phoneticPr fontId="6" type="noConversion"/>
  <printOptions horizontalCentered="1"/>
  <pageMargins left="0.8" right="0.3" top="0.4" bottom="0.4" header="0.5" footer="0.2"/>
  <pageSetup orientation="portrait" r:id="rId1"/>
  <headerFooter alignWithMargins="0">
    <oddFooter>&amp;L&amp;8NPC Group -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1">
    <pageSetUpPr fitToPage="1"/>
  </sheetPr>
  <dimension ref="B1:Q52"/>
  <sheetViews>
    <sheetView zoomScale="85" zoomScaleNormal="85" zoomScaleSheetLayoutView="85" workbookViewId="0">
      <pane xSplit="2" ySplit="6" topLeftCell="C7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RowHeight="12.75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4.83203125" style="6" customWidth="1"/>
    <col min="18" max="16384" width="9.33203125" style="6"/>
  </cols>
  <sheetData>
    <row r="1" spans="2:17" s="14" customFormat="1" ht="15.75">
      <c r="B1" s="1" t="s">
        <v>78</v>
      </c>
      <c r="C1" s="1"/>
      <c r="D1" s="1"/>
      <c r="E1" s="1"/>
      <c r="F1" s="1"/>
      <c r="G1" s="17"/>
      <c r="H1" s="1"/>
      <c r="I1" s="1"/>
      <c r="J1" s="1"/>
      <c r="K1" s="1"/>
      <c r="L1" s="22"/>
      <c r="M1" s="23"/>
      <c r="N1" s="23"/>
      <c r="O1" s="23"/>
      <c r="P1" s="23"/>
      <c r="Q1" s="23"/>
    </row>
    <row r="2" spans="2:17" s="14" customFormat="1" ht="15.75">
      <c r="B2" s="1"/>
      <c r="C2" s="1"/>
      <c r="D2" s="1"/>
      <c r="E2" s="1"/>
      <c r="F2" s="1"/>
      <c r="G2" s="17"/>
      <c r="H2" s="1"/>
      <c r="I2" s="1"/>
      <c r="J2" s="1"/>
      <c r="K2" s="1"/>
      <c r="L2" s="22"/>
      <c r="M2" s="23"/>
      <c r="N2" s="23"/>
      <c r="O2" s="23"/>
      <c r="P2" s="23"/>
      <c r="Q2" s="23"/>
    </row>
    <row r="3" spans="2:17" s="14" customFormat="1" ht="15.75">
      <c r="B3" s="1" t="str">
        <f>"Table "&amp;RIGHT('Table 1'!B3,1)+1</f>
        <v>Table 2</v>
      </c>
      <c r="C3" s="1"/>
      <c r="D3" s="1"/>
      <c r="E3" s="1"/>
      <c r="F3" s="1"/>
      <c r="G3" s="17"/>
      <c r="H3" s="1"/>
      <c r="I3" s="1"/>
      <c r="J3" s="1"/>
      <c r="K3" s="1"/>
      <c r="L3" s="22"/>
      <c r="M3" s="23"/>
      <c r="N3" s="23"/>
      <c r="O3" s="23"/>
      <c r="P3" s="23"/>
      <c r="Q3" s="23"/>
    </row>
    <row r="4" spans="2:17" s="18" customFormat="1" ht="15">
      <c r="B4" s="7" t="s">
        <v>65</v>
      </c>
      <c r="C4" s="7"/>
      <c r="D4" s="7"/>
      <c r="E4" s="7"/>
      <c r="F4" s="7"/>
      <c r="G4" s="7"/>
      <c r="H4" s="7"/>
      <c r="I4" s="7"/>
      <c r="J4" s="7"/>
      <c r="K4" s="7"/>
      <c r="L4" s="7"/>
      <c r="M4" s="24"/>
      <c r="N4" s="24"/>
      <c r="O4" s="24"/>
      <c r="P4" s="24"/>
      <c r="Q4" s="24"/>
    </row>
    <row r="5" spans="2:17" s="18" customFormat="1" ht="15">
      <c r="B5" s="7" t="str">
        <f>'Table 1'!$B$5</f>
        <v>Utah 2011.Q1 Compliance Filing - 100 MW and 85% Capacity Factor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8" customFormat="1" ht="15">
      <c r="B6" s="7" t="str">
        <f>'Table 1'!$B$6</f>
        <v xml:space="preserve">Partial Displacement of East Side 607 MW CCCT (Wet "F" 2x1) </v>
      </c>
      <c r="C6" s="7"/>
      <c r="D6" s="7"/>
      <c r="E6" s="7"/>
      <c r="F6" s="7"/>
      <c r="G6" s="7"/>
      <c r="H6" s="7"/>
      <c r="I6" s="7"/>
      <c r="J6" s="7"/>
      <c r="K6" s="7"/>
      <c r="L6" s="7"/>
      <c r="M6" s="24"/>
      <c r="N6" s="24"/>
      <c r="O6" s="24"/>
      <c r="P6" s="24"/>
      <c r="Q6" s="24"/>
    </row>
    <row r="7" spans="2:17" s="3" customFormat="1">
      <c r="D7" s="33"/>
      <c r="E7" s="33"/>
      <c r="F7" s="33"/>
      <c r="G7" s="13"/>
      <c r="H7" s="13"/>
      <c r="I7" s="13"/>
      <c r="J7" s="13"/>
      <c r="K7" s="13"/>
      <c r="L7" s="13"/>
      <c r="M7" s="25"/>
    </row>
    <row r="8" spans="2:17" s="3" customFormat="1">
      <c r="B8" s="38" t="s">
        <v>0</v>
      </c>
      <c r="C8" s="38"/>
      <c r="D8" s="35" t="s">
        <v>29</v>
      </c>
      <c r="E8" s="40"/>
      <c r="F8" s="40"/>
      <c r="G8" s="35"/>
      <c r="H8" s="35"/>
      <c r="I8" s="30" t="s">
        <v>30</v>
      </c>
      <c r="J8" s="34"/>
      <c r="K8" s="34"/>
      <c r="L8" s="29"/>
      <c r="M8" s="36" t="s">
        <v>29</v>
      </c>
      <c r="N8" s="44"/>
      <c r="O8" s="37"/>
      <c r="Q8" s="31" t="s">
        <v>47</v>
      </c>
    </row>
    <row r="9" spans="2:17" s="3" customFormat="1">
      <c r="B9" s="39"/>
      <c r="C9" s="39" t="s">
        <v>40</v>
      </c>
      <c r="D9" s="41" t="s">
        <v>17</v>
      </c>
      <c r="E9" s="42" t="s">
        <v>18</v>
      </c>
      <c r="F9" s="42" t="s">
        <v>19</v>
      </c>
      <c r="G9" s="42" t="s">
        <v>20</v>
      </c>
      <c r="H9" s="43" t="s">
        <v>21</v>
      </c>
      <c r="I9" s="4" t="s">
        <v>22</v>
      </c>
      <c r="J9" s="4" t="s">
        <v>23</v>
      </c>
      <c r="K9" s="4" t="s">
        <v>24</v>
      </c>
      <c r="L9" s="4" t="s">
        <v>25</v>
      </c>
      <c r="M9" s="41" t="s">
        <v>26</v>
      </c>
      <c r="N9" s="42" t="s">
        <v>27</v>
      </c>
      <c r="O9" s="43" t="s">
        <v>28</v>
      </c>
      <c r="Q9" s="32" t="s">
        <v>1</v>
      </c>
    </row>
    <row r="10" spans="2:17" ht="12.75" customHeight="1">
      <c r="B10" s="9"/>
      <c r="C10" s="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8"/>
    </row>
    <row r="11" spans="2:17" ht="12.75" customHeight="1">
      <c r="B11" s="20" t="s">
        <v>46</v>
      </c>
      <c r="C11" s="2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8"/>
      <c r="Q11" s="9"/>
    </row>
    <row r="12" spans="2:17" ht="12.75" customHeight="1">
      <c r="B12" s="78">
        <v>2011</v>
      </c>
      <c r="C12" s="77">
        <v>30.704128648801344</v>
      </c>
      <c r="D12" s="11">
        <v>29.077354312902063</v>
      </c>
      <c r="E12" s="11">
        <v>30.101172188697358</v>
      </c>
      <c r="F12" s="11">
        <v>29.197418553644177</v>
      </c>
      <c r="G12" s="11">
        <v>26.316348875647083</v>
      </c>
      <c r="H12" s="50">
        <v>21.007416778061348</v>
      </c>
      <c r="I12" s="63">
        <v>22.320387741879262</v>
      </c>
      <c r="J12" s="11">
        <v>37.27902374222149</v>
      </c>
      <c r="K12" s="11">
        <v>40.297720243960413</v>
      </c>
      <c r="L12" s="50">
        <v>31.550351252676613</v>
      </c>
      <c r="M12" s="63">
        <v>32.77880699115061</v>
      </c>
      <c r="N12" s="11">
        <v>32.592404881491767</v>
      </c>
      <c r="O12" s="50">
        <v>35.549012699934835</v>
      </c>
      <c r="Q12" s="64">
        <f>VLOOKUP(B12,'Table 4'!$B$11:$K$41,9,FALSE)</f>
        <v>0</v>
      </c>
    </row>
    <row r="13" spans="2:17" ht="12.75" customHeight="1">
      <c r="B13" s="79">
        <f>B12+1</f>
        <v>2012</v>
      </c>
      <c r="C13" s="81">
        <v>37.572013171368027</v>
      </c>
      <c r="D13" s="12">
        <v>36.276047143350482</v>
      </c>
      <c r="E13" s="12">
        <v>35.510956672305255</v>
      </c>
      <c r="F13" s="12">
        <v>35.003419846450413</v>
      </c>
      <c r="G13" s="12">
        <v>30.109641900261973</v>
      </c>
      <c r="H13" s="51">
        <v>26.373340711071805</v>
      </c>
      <c r="I13" s="62">
        <v>28.538992187135847</v>
      </c>
      <c r="J13" s="12">
        <v>51.666151794788391</v>
      </c>
      <c r="K13" s="12">
        <v>49.463209832280143</v>
      </c>
      <c r="L13" s="51">
        <v>44.240978906184338</v>
      </c>
      <c r="M13" s="62">
        <v>38.16667154854909</v>
      </c>
      <c r="N13" s="12">
        <v>37.330615667421249</v>
      </c>
      <c r="O13" s="51">
        <v>37.726391942662666</v>
      </c>
      <c r="Q13" s="61">
        <f>VLOOKUP(B13,'Table 4'!$B$11:$K$41,9,FALSE)</f>
        <v>0</v>
      </c>
    </row>
    <row r="14" spans="2:17" ht="12.75" customHeight="1">
      <c r="B14" s="79">
        <f t="shared" ref="B14:B31" si="0">B13+1</f>
        <v>2013</v>
      </c>
      <c r="C14" s="81">
        <v>40.180010616919674</v>
      </c>
      <c r="D14" s="12">
        <v>38.433819305465086</v>
      </c>
      <c r="E14" s="12">
        <v>39.08919358641139</v>
      </c>
      <c r="F14" s="12">
        <v>37.439217060717652</v>
      </c>
      <c r="G14" s="12">
        <v>32.218949381379666</v>
      </c>
      <c r="H14" s="51">
        <v>29.264511230206242</v>
      </c>
      <c r="I14" s="62">
        <v>29.992327073307987</v>
      </c>
      <c r="J14" s="12">
        <v>51.560880964088675</v>
      </c>
      <c r="K14" s="12">
        <v>52.953125203185486</v>
      </c>
      <c r="L14" s="51">
        <v>50.237492330231113</v>
      </c>
      <c r="M14" s="62">
        <v>38.631804298587817</v>
      </c>
      <c r="N14" s="12">
        <v>40.883706234305414</v>
      </c>
      <c r="O14" s="51">
        <v>41.111229169343765</v>
      </c>
      <c r="Q14" s="61">
        <f>VLOOKUP(B14,'Table 4'!$B$11:$K$41,9,FALSE)</f>
        <v>0</v>
      </c>
    </row>
    <row r="15" spans="2:17" ht="12.75" customHeight="1">
      <c r="B15" s="79">
        <f t="shared" si="0"/>
        <v>2014</v>
      </c>
      <c r="C15" s="81">
        <v>42.3323242259764</v>
      </c>
      <c r="D15" s="12">
        <v>43.513440703096165</v>
      </c>
      <c r="E15" s="12">
        <v>43.583626480653351</v>
      </c>
      <c r="F15" s="12">
        <v>40.298642815138663</v>
      </c>
      <c r="G15" s="12">
        <v>34.541699831372775</v>
      </c>
      <c r="H15" s="51">
        <v>31.484848002677783</v>
      </c>
      <c r="I15" s="62">
        <v>29.311800061310429</v>
      </c>
      <c r="J15" s="12">
        <v>52.724671884620967</v>
      </c>
      <c r="K15" s="12">
        <v>54.081251021506176</v>
      </c>
      <c r="L15" s="51">
        <v>53.461476601747421</v>
      </c>
      <c r="M15" s="62">
        <v>39.182489384472802</v>
      </c>
      <c r="N15" s="12">
        <v>42.493223563370606</v>
      </c>
      <c r="O15" s="51">
        <v>43.124681972005391</v>
      </c>
      <c r="Q15" s="61">
        <f>VLOOKUP(B15,'Table 4'!$B$11:$K$41,9,FALSE)</f>
        <v>0</v>
      </c>
    </row>
    <row r="16" spans="2:17" ht="12.75" customHeight="1">
      <c r="B16" s="79">
        <f t="shared" si="0"/>
        <v>2015</v>
      </c>
      <c r="C16" s="81">
        <v>44.929972664136365</v>
      </c>
      <c r="D16" s="12">
        <v>44.81052908109033</v>
      </c>
      <c r="E16" s="12">
        <v>45.653943735334749</v>
      </c>
      <c r="F16" s="12">
        <v>43.690471511693282</v>
      </c>
      <c r="G16" s="12">
        <v>36.567802547191583</v>
      </c>
      <c r="H16" s="51">
        <v>35.08816531527691</v>
      </c>
      <c r="I16" s="62">
        <v>35.536474969018911</v>
      </c>
      <c r="J16" s="12">
        <v>54.241013539106049</v>
      </c>
      <c r="K16" s="12">
        <v>56.216041039322505</v>
      </c>
      <c r="L16" s="51">
        <v>55.605547445765119</v>
      </c>
      <c r="M16" s="62">
        <v>41.228920554226896</v>
      </c>
      <c r="N16" s="12">
        <v>44.872787384823255</v>
      </c>
      <c r="O16" s="51">
        <v>45.487801779169004</v>
      </c>
      <c r="Q16" s="61">
        <f>VLOOKUP(B16,'Table 4'!$B$11:$K$41,9,FALSE)</f>
        <v>0</v>
      </c>
    </row>
    <row r="17" spans="2:17" ht="12.75" customHeight="1">
      <c r="B17" s="79">
        <f t="shared" si="0"/>
        <v>2016</v>
      </c>
      <c r="C17" s="81">
        <v>47.765256069042387</v>
      </c>
      <c r="D17" s="12">
        <v>47.278291882793219</v>
      </c>
      <c r="E17" s="12">
        <v>47.267182744071746</v>
      </c>
      <c r="F17" s="12">
        <v>45.754183239051997</v>
      </c>
      <c r="G17" s="12">
        <v>38.211595817620747</v>
      </c>
      <c r="H17" s="51">
        <v>36.505659394750367</v>
      </c>
      <c r="I17" s="62">
        <v>37.140099037538945</v>
      </c>
      <c r="J17" s="12">
        <v>58.578141656688103</v>
      </c>
      <c r="K17" s="12">
        <v>62.726806684508027</v>
      </c>
      <c r="L17" s="51">
        <v>61.319511794717677</v>
      </c>
      <c r="M17" s="62">
        <v>43.767125312339545</v>
      </c>
      <c r="N17" s="12">
        <v>46.66764187878205</v>
      </c>
      <c r="O17" s="51">
        <v>47.685597179276819</v>
      </c>
      <c r="Q17" s="61">
        <f>VLOOKUP(B17,'Table 4'!$B$11:$K$41,9,FALSE)</f>
        <v>0</v>
      </c>
    </row>
    <row r="18" spans="2:17" ht="12.75" customHeight="1">
      <c r="B18" s="79">
        <f t="shared" si="0"/>
        <v>2017</v>
      </c>
      <c r="C18" s="81">
        <v>55.824753644498223</v>
      </c>
      <c r="D18" s="12">
        <v>48.582851406732061</v>
      </c>
      <c r="E18" s="12">
        <v>55.196444116298018</v>
      </c>
      <c r="F18" s="12">
        <v>52.67116042697905</v>
      </c>
      <c r="G18" s="12">
        <v>48.39391190940551</v>
      </c>
      <c r="H18" s="51">
        <v>47.105583281397045</v>
      </c>
      <c r="I18" s="62">
        <v>48.601308041341554</v>
      </c>
      <c r="J18" s="12">
        <v>68.108472413438207</v>
      </c>
      <c r="K18" s="12">
        <v>70.964542212585144</v>
      </c>
      <c r="L18" s="51">
        <v>70.197046504364494</v>
      </c>
      <c r="M18" s="62">
        <v>50.98562599552217</v>
      </c>
      <c r="N18" s="12">
        <v>53.951108677446157</v>
      </c>
      <c r="O18" s="51">
        <v>55.008647844274535</v>
      </c>
      <c r="Q18" s="61">
        <f>VLOOKUP(B18,'Table 4'!$B$11:$K$41,9,FALSE)</f>
        <v>0</v>
      </c>
    </row>
    <row r="19" spans="2:17" ht="12.75" customHeight="1">
      <c r="B19" s="79">
        <f t="shared" si="0"/>
        <v>2018</v>
      </c>
      <c r="C19" s="81">
        <v>49.283009992163912</v>
      </c>
      <c r="D19" s="12">
        <v>56.418408535248417</v>
      </c>
      <c r="E19" s="12">
        <v>61.274617345196766</v>
      </c>
      <c r="F19" s="12">
        <v>58.703424592481561</v>
      </c>
      <c r="G19" s="12">
        <v>59.251171721732305</v>
      </c>
      <c r="H19" s="51">
        <v>57.985651620335119</v>
      </c>
      <c r="I19" s="62">
        <v>43.427142211763687</v>
      </c>
      <c r="J19" s="12">
        <v>43.094129529569926</v>
      </c>
      <c r="K19" s="12">
        <v>43.984232732764362</v>
      </c>
      <c r="L19" s="51">
        <v>43.797906900816692</v>
      </c>
      <c r="M19" s="62">
        <v>38.797320089500531</v>
      </c>
      <c r="N19" s="12">
        <v>42.310200672548973</v>
      </c>
      <c r="O19" s="51">
        <v>43.243178586179717</v>
      </c>
      <c r="Q19" s="61">
        <f>VLOOKUP(B19,'Table 4'!$B$11:$K$41,9,FALSE)</f>
        <v>51.32</v>
      </c>
    </row>
    <row r="20" spans="2:17" ht="12.75" customHeight="1">
      <c r="B20" s="79">
        <f t="shared" si="0"/>
        <v>2019</v>
      </c>
      <c r="C20" s="81">
        <v>44.138722972240004</v>
      </c>
      <c r="D20" s="12">
        <v>43.398960193548682</v>
      </c>
      <c r="E20" s="12">
        <v>43.142292921217965</v>
      </c>
      <c r="F20" s="12">
        <v>43.776721532416168</v>
      </c>
      <c r="G20" s="12">
        <v>50.605564299835976</v>
      </c>
      <c r="H20" s="51">
        <v>43.761544737033667</v>
      </c>
      <c r="I20" s="62">
        <v>44.561927729901534</v>
      </c>
      <c r="J20" s="12">
        <v>44.974574956673941</v>
      </c>
      <c r="K20" s="12">
        <v>45.853136681213478</v>
      </c>
      <c r="L20" s="51">
        <v>45.634828350000035</v>
      </c>
      <c r="M20" s="62">
        <v>40.903573709518511</v>
      </c>
      <c r="N20" s="12">
        <v>40.6668939776144</v>
      </c>
      <c r="O20" s="51">
        <v>42.446754394529137</v>
      </c>
      <c r="Q20" s="61">
        <f>VLOOKUP(B20,'Table 4'!$B$11:$K$41,9,FALSE)</f>
        <v>53.86</v>
      </c>
    </row>
    <row r="21" spans="2:17" ht="12.75" customHeight="1">
      <c r="B21" s="79">
        <f t="shared" si="0"/>
        <v>2020</v>
      </c>
      <c r="C21" s="82">
        <v>44.555743499812692</v>
      </c>
      <c r="D21" s="12">
        <v>42.019545248102759</v>
      </c>
      <c r="E21" s="12">
        <v>40.988868962136614</v>
      </c>
      <c r="F21" s="12">
        <v>46.205617450031582</v>
      </c>
      <c r="G21" s="12">
        <v>50.797915955882736</v>
      </c>
      <c r="H21" s="51">
        <v>45.473435012651237</v>
      </c>
      <c r="I21" s="62">
        <v>46.981944526143714</v>
      </c>
      <c r="J21" s="12">
        <v>46.539072405756613</v>
      </c>
      <c r="K21" s="12">
        <v>47.025000727387791</v>
      </c>
      <c r="L21" s="51">
        <v>44.386019349509695</v>
      </c>
      <c r="M21" s="62">
        <v>41.680045420620388</v>
      </c>
      <c r="N21" s="12">
        <v>41.053781790032104</v>
      </c>
      <c r="O21" s="51">
        <v>41.448737683270188</v>
      </c>
      <c r="Q21" s="61">
        <f>VLOOKUP(B21,'Table 4'!$B$11:$K$41,9,FALSE)</f>
        <v>54.61</v>
      </c>
    </row>
    <row r="22" spans="2:17" ht="12.75" customHeight="1">
      <c r="B22" s="124">
        <f t="shared" si="0"/>
        <v>2021</v>
      </c>
      <c r="C22" s="81">
        <v>45.033044015525121</v>
      </c>
      <c r="D22" s="11">
        <v>42.825223390258977</v>
      </c>
      <c r="E22" s="11">
        <v>42.058392474615125</v>
      </c>
      <c r="F22" s="11">
        <v>42.564715120018207</v>
      </c>
      <c r="G22" s="11">
        <v>51.548947756535867</v>
      </c>
      <c r="H22" s="50">
        <v>47.121631206199289</v>
      </c>
      <c r="I22" s="63">
        <v>48.254783838398609</v>
      </c>
      <c r="J22" s="11">
        <v>46.308379407811401</v>
      </c>
      <c r="K22" s="11">
        <v>44.884176853256726</v>
      </c>
      <c r="L22" s="50">
        <v>45.939015359150041</v>
      </c>
      <c r="M22" s="63">
        <v>44.668173353890502</v>
      </c>
      <c r="N22" s="11">
        <v>41.75429057026124</v>
      </c>
      <c r="O22" s="50">
        <v>42.418505528147918</v>
      </c>
      <c r="Q22" s="64">
        <f>VLOOKUP(B22,'Table 4'!$B$11:$K$41,9,FALSE)</f>
        <v>55.28</v>
      </c>
    </row>
    <row r="23" spans="2:17" ht="12.75" customHeight="1">
      <c r="B23" s="79">
        <f t="shared" si="0"/>
        <v>2022</v>
      </c>
      <c r="C23" s="81">
        <v>46.125738411657423</v>
      </c>
      <c r="D23" s="12">
        <v>43.161774171885533</v>
      </c>
      <c r="E23" s="12">
        <v>43.499295559348099</v>
      </c>
      <c r="F23" s="12">
        <v>43.166848522454856</v>
      </c>
      <c r="G23" s="12">
        <v>53.116779462418528</v>
      </c>
      <c r="H23" s="51">
        <v>48.113597991461241</v>
      </c>
      <c r="I23" s="62">
        <v>47.337161074673723</v>
      </c>
      <c r="J23" s="12">
        <v>46.667985342820941</v>
      </c>
      <c r="K23" s="12">
        <v>46.18917285736832</v>
      </c>
      <c r="L23" s="51">
        <v>47.464967353921509</v>
      </c>
      <c r="M23" s="62">
        <v>46.372971007274082</v>
      </c>
      <c r="N23" s="12">
        <v>43.475800267810527</v>
      </c>
      <c r="O23" s="51">
        <v>44.910650101202265</v>
      </c>
      <c r="Q23" s="61">
        <f>VLOOKUP(B23,'Table 4'!$B$11:$K$41,9,FALSE)</f>
        <v>56.92</v>
      </c>
    </row>
    <row r="24" spans="2:17" ht="12.75" customHeight="1">
      <c r="B24" s="79">
        <f t="shared" si="0"/>
        <v>2023</v>
      </c>
      <c r="C24" s="81">
        <v>49.464863477679081</v>
      </c>
      <c r="D24" s="12">
        <v>45.540500347248404</v>
      </c>
      <c r="E24" s="12">
        <v>44.941372124474569</v>
      </c>
      <c r="F24" s="12">
        <v>46.267954712206993</v>
      </c>
      <c r="G24" s="12">
        <v>56.394791346404681</v>
      </c>
      <c r="H24" s="51">
        <v>50.900332142630852</v>
      </c>
      <c r="I24" s="62">
        <v>50.972184166993969</v>
      </c>
      <c r="J24" s="12">
        <v>51.005586746995732</v>
      </c>
      <c r="K24" s="12">
        <v>48.469593708095559</v>
      </c>
      <c r="L24" s="51">
        <v>51.103359626470244</v>
      </c>
      <c r="M24" s="62">
        <v>49.963366489562901</v>
      </c>
      <c r="N24" s="12">
        <v>48.98386702205913</v>
      </c>
      <c r="O24" s="51">
        <v>48.907204079380108</v>
      </c>
      <c r="Q24" s="61">
        <f>VLOOKUP(B24,'Table 4'!$B$11:$K$41,9,FALSE)</f>
        <v>60.43</v>
      </c>
    </row>
    <row r="25" spans="2:17" ht="12.75" customHeight="1">
      <c r="B25" s="79">
        <f t="shared" si="0"/>
        <v>2024</v>
      </c>
      <c r="C25" s="81">
        <v>53.197554515924502</v>
      </c>
      <c r="D25" s="12">
        <v>51.768580322580235</v>
      </c>
      <c r="E25" s="12">
        <v>51.215869219067173</v>
      </c>
      <c r="F25" s="12">
        <v>48.97389098197354</v>
      </c>
      <c r="G25" s="12">
        <v>61.220357653594093</v>
      </c>
      <c r="H25" s="51">
        <v>55.425285761700657</v>
      </c>
      <c r="I25" s="62">
        <v>54.508953416994196</v>
      </c>
      <c r="J25" s="12">
        <v>54.411439549334816</v>
      </c>
      <c r="K25" s="12">
        <v>52.031057662871689</v>
      </c>
      <c r="L25" s="51">
        <v>54.630638966993764</v>
      </c>
      <c r="M25" s="62">
        <v>52.270694573054882</v>
      </c>
      <c r="N25" s="12">
        <v>51.256473308823075</v>
      </c>
      <c r="O25" s="51">
        <v>50.814278409234674</v>
      </c>
      <c r="Q25" s="61">
        <f>VLOOKUP(B25,'Table 4'!$B$11:$K$41,9,FALSE)</f>
        <v>64.38</v>
      </c>
    </row>
    <row r="26" spans="2:17" ht="12.75" customHeight="1">
      <c r="B26" s="79">
        <f t="shared" si="0"/>
        <v>2025</v>
      </c>
      <c r="C26" s="81">
        <v>51.208046309857629</v>
      </c>
      <c r="D26" s="12">
        <v>53.546101684060602</v>
      </c>
      <c r="E26" s="12">
        <v>53.894689817926967</v>
      </c>
      <c r="F26" s="12">
        <v>48.963452658127899</v>
      </c>
      <c r="G26" s="12">
        <v>58.930049511438689</v>
      </c>
      <c r="H26" s="51">
        <v>49.513233783996178</v>
      </c>
      <c r="I26" s="62">
        <v>52.695830836274652</v>
      </c>
      <c r="J26" s="12">
        <v>51.905396774826848</v>
      </c>
      <c r="K26" s="12">
        <v>47.119701543326883</v>
      </c>
      <c r="L26" s="51">
        <v>51.050904602941152</v>
      </c>
      <c r="M26" s="62">
        <v>49.848992386148332</v>
      </c>
      <c r="N26" s="12">
        <v>48.936091192809776</v>
      </c>
      <c r="O26" s="51">
        <v>48.570840649905271</v>
      </c>
      <c r="Q26" s="61">
        <f>VLOOKUP(B26,'Table 4'!$B$11:$K$41,9,FALSE)</f>
        <v>62.66</v>
      </c>
    </row>
    <row r="27" spans="2:17" ht="12.75" customHeight="1">
      <c r="B27" s="79">
        <f t="shared" si="0"/>
        <v>2026</v>
      </c>
      <c r="C27" s="81">
        <v>45.646048453397768</v>
      </c>
      <c r="D27" s="12">
        <v>50.628872129979918</v>
      </c>
      <c r="E27" s="12">
        <v>50.284764320727867</v>
      </c>
      <c r="F27" s="12">
        <v>44.188894682796523</v>
      </c>
      <c r="G27" s="12">
        <v>55.636932444444867</v>
      </c>
      <c r="H27" s="51">
        <v>43.08871322106252</v>
      </c>
      <c r="I27" s="62">
        <v>44.767538660784176</v>
      </c>
      <c r="J27" s="12">
        <v>47.122825029412262</v>
      </c>
      <c r="K27" s="12">
        <v>42.085343763440527</v>
      </c>
      <c r="L27" s="51">
        <v>42.11170700669873</v>
      </c>
      <c r="M27" s="62">
        <v>45.207538095983729</v>
      </c>
      <c r="N27" s="12">
        <v>42.646712329412011</v>
      </c>
      <c r="O27" s="51">
        <v>40.514831505376542</v>
      </c>
      <c r="Q27" s="61">
        <f>VLOOKUP(B27,'Table 4'!$B$11:$K$41,9,FALSE)</f>
        <v>56.77</v>
      </c>
    </row>
    <row r="28" spans="2:17" ht="12.75" customHeight="1">
      <c r="B28" s="79">
        <f t="shared" si="0"/>
        <v>2027</v>
      </c>
      <c r="C28" s="81">
        <v>44.078931999785055</v>
      </c>
      <c r="D28" s="12">
        <v>43.434581842188173</v>
      </c>
      <c r="E28" s="12">
        <v>43.745897081583031</v>
      </c>
      <c r="F28" s="12">
        <v>43.389746402593296</v>
      </c>
      <c r="G28" s="12">
        <v>55.685424397057957</v>
      </c>
      <c r="H28" s="51">
        <v>43.546453586654302</v>
      </c>
      <c r="I28" s="62">
        <v>44.977889890687337</v>
      </c>
      <c r="J28" s="12">
        <v>44.45756681846958</v>
      </c>
      <c r="K28" s="12">
        <v>40.899833354206869</v>
      </c>
      <c r="L28" s="51">
        <v>41.028123795750481</v>
      </c>
      <c r="M28" s="62">
        <v>42.813032757589369</v>
      </c>
      <c r="N28" s="12">
        <v>43.926496575163078</v>
      </c>
      <c r="O28" s="51">
        <v>41.309979492409894</v>
      </c>
      <c r="Q28" s="61">
        <f>VLOOKUP(B28,'Table 4'!$B$11:$K$41,9,FALSE)</f>
        <v>52.74</v>
      </c>
    </row>
    <row r="29" spans="2:17" ht="12.75" customHeight="1">
      <c r="B29" s="79">
        <f t="shared" si="0"/>
        <v>2028</v>
      </c>
      <c r="C29" s="81">
        <v>47.598682554617973</v>
      </c>
      <c r="D29" s="12">
        <v>43.043833606895163</v>
      </c>
      <c r="E29" s="12">
        <v>42.701968512508294</v>
      </c>
      <c r="F29" s="12">
        <v>42.626307101517554</v>
      </c>
      <c r="G29" s="12">
        <v>59.39499923186267</v>
      </c>
      <c r="H29" s="51">
        <v>46.364003935800291</v>
      </c>
      <c r="I29" s="62">
        <v>48.641282299019736</v>
      </c>
      <c r="J29" s="12">
        <v>51.575930776406999</v>
      </c>
      <c r="K29" s="12">
        <v>46.520568951610933</v>
      </c>
      <c r="L29" s="51">
        <v>50.642638008824363</v>
      </c>
      <c r="M29" s="62">
        <v>50.239496762334248</v>
      </c>
      <c r="N29" s="12">
        <v>45.276552745097995</v>
      </c>
      <c r="O29" s="51">
        <v>44.278134981024913</v>
      </c>
      <c r="Q29" s="61">
        <f>VLOOKUP(B29,'Table 4'!$B$11:$K$41,9,FALSE)</f>
        <v>59.75</v>
      </c>
    </row>
    <row r="30" spans="2:17" ht="12.75" customHeight="1">
      <c r="B30" s="79">
        <f t="shared" si="0"/>
        <v>2029</v>
      </c>
      <c r="C30" s="81">
        <v>48.598521957467185</v>
      </c>
      <c r="D30" s="12">
        <v>44.592503798229458</v>
      </c>
      <c r="E30" s="12">
        <v>44.736601335783838</v>
      </c>
      <c r="F30" s="12">
        <v>44.340881688804245</v>
      </c>
      <c r="G30" s="12">
        <v>61.178798220588099</v>
      </c>
      <c r="H30" s="51">
        <v>46.836053117173783</v>
      </c>
      <c r="I30" s="62">
        <v>51.225634440031705</v>
      </c>
      <c r="J30" s="12">
        <v>51.9469453526252</v>
      </c>
      <c r="K30" s="12">
        <v>46.963262735610705</v>
      </c>
      <c r="L30" s="51">
        <v>46.787722308824655</v>
      </c>
      <c r="M30" s="62">
        <v>51.426306954932919</v>
      </c>
      <c r="N30" s="12">
        <v>47.7671180725497</v>
      </c>
      <c r="O30" s="51">
        <v>45.412029765970452</v>
      </c>
      <c r="Q30" s="61">
        <f>VLOOKUP(B30,'Table 4'!$B$11:$K$41,9,FALSE)</f>
        <v>61.62</v>
      </c>
    </row>
    <row r="31" spans="2:17" ht="12.75" customHeight="1">
      <c r="B31" s="80">
        <f t="shared" si="0"/>
        <v>2030</v>
      </c>
      <c r="C31" s="82">
        <v>49.902841808742735</v>
      </c>
      <c r="D31" s="21">
        <v>46.911597803131379</v>
      </c>
      <c r="E31" s="21">
        <v>46.859660435923971</v>
      </c>
      <c r="F31" s="21">
        <v>45.418864605470709</v>
      </c>
      <c r="G31" s="21">
        <v>64.226427004901211</v>
      </c>
      <c r="H31" s="52">
        <v>49.77961276407288</v>
      </c>
      <c r="I31" s="125">
        <v>52.638645156863468</v>
      </c>
      <c r="J31" s="21">
        <v>52.424368634408104</v>
      </c>
      <c r="K31" s="21">
        <v>45.499822317044959</v>
      </c>
      <c r="L31" s="52">
        <v>46.642633184640623</v>
      </c>
      <c r="M31" s="125">
        <v>50.687394057559217</v>
      </c>
      <c r="N31" s="21">
        <v>49.868794501634206</v>
      </c>
      <c r="O31" s="52">
        <v>48.025816351991523</v>
      </c>
      <c r="Q31" s="126">
        <f>VLOOKUP(B31,'Table 4'!$B$11:$K$41,9,FALSE)</f>
        <v>62.59</v>
      </c>
    </row>
    <row r="32" spans="2:17" ht="12.75" customHeight="1">
      <c r="D32" s="19"/>
      <c r="E32" s="19"/>
      <c r="F32" s="19"/>
      <c r="M32" s="27"/>
    </row>
    <row r="33" spans="2:6">
      <c r="B33" s="15"/>
      <c r="C33" s="6" t="s">
        <v>53</v>
      </c>
    </row>
    <row r="34" spans="2:6">
      <c r="C34" s="15"/>
    </row>
    <row r="36" spans="2:6" hidden="1">
      <c r="D36" s="9" t="s">
        <v>49</v>
      </c>
    </row>
    <row r="37" spans="2:6" hidden="1">
      <c r="C37" s="55"/>
      <c r="D37" s="65" t="s">
        <v>48</v>
      </c>
    </row>
    <row r="38" spans="2:6" hidden="1"/>
    <row r="39" spans="2:6" hidden="1"/>
    <row r="40" spans="2:6" hidden="1"/>
    <row r="41" spans="2:6" hidden="1"/>
    <row r="42" spans="2:6" hidden="1"/>
    <row r="43" spans="2:6" hidden="1">
      <c r="F43" s="85" t="s">
        <v>51</v>
      </c>
    </row>
    <row r="44" spans="2:6" hidden="1">
      <c r="F44" s="84">
        <v>1.9E-2</v>
      </c>
    </row>
    <row r="46" spans="2:6">
      <c r="C46" s="183"/>
    </row>
    <row r="47" spans="2:6">
      <c r="C47" s="183"/>
    </row>
    <row r="48" spans="2:6">
      <c r="C48" s="183"/>
    </row>
    <row r="49" spans="3:3">
      <c r="C49" s="183"/>
    </row>
    <row r="50" spans="3:3">
      <c r="C50" s="183"/>
    </row>
    <row r="51" spans="3:3">
      <c r="C51" s="183"/>
    </row>
    <row r="52" spans="3:3">
      <c r="C52" s="183"/>
    </row>
  </sheetData>
  <phoneticPr fontId="6" type="noConversion"/>
  <conditionalFormatting sqref="C17:O31">
    <cfRule type="cellIs" dxfId="1" priority="1" stopIfTrue="1" operator="equal">
      <formula>$Q17</formula>
    </cfRule>
  </conditionalFormatting>
  <printOptions horizontalCentered="1"/>
  <pageMargins left="0.8" right="0.3" top="0.4" bottom="0.4" header="0.5" footer="0.2"/>
  <pageSetup scale="96" orientation="landscape" r:id="rId1"/>
  <headerFooter alignWithMargins="0">
    <oddFooter>&amp;L&amp;8NPC Group -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2">
    <pageSetUpPr fitToPage="1"/>
  </sheetPr>
  <dimension ref="B1:Q34"/>
  <sheetViews>
    <sheetView zoomScale="85" zoomScaleNormal="85" zoomScaleSheetLayoutView="85" workbookViewId="0">
      <pane xSplit="2" ySplit="6" topLeftCell="C7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RowHeight="12.75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4.83203125" style="6" customWidth="1"/>
    <col min="18" max="16384" width="9.33203125" style="6"/>
  </cols>
  <sheetData>
    <row r="1" spans="2:17" s="14" customFormat="1" ht="15.75">
      <c r="B1" s="1" t="s">
        <v>78</v>
      </c>
      <c r="C1" s="1"/>
      <c r="D1" s="1"/>
      <c r="E1" s="1"/>
      <c r="F1" s="1"/>
      <c r="G1" s="17"/>
      <c r="H1" s="1"/>
      <c r="I1" s="1"/>
      <c r="J1" s="1"/>
      <c r="K1" s="1"/>
      <c r="L1" s="22"/>
      <c r="M1" s="23"/>
      <c r="N1" s="23"/>
      <c r="O1" s="23"/>
      <c r="P1" s="23"/>
      <c r="Q1" s="23"/>
    </row>
    <row r="2" spans="2:17" s="14" customFormat="1" ht="15.75">
      <c r="B2" s="1"/>
      <c r="C2" s="1"/>
      <c r="D2" s="1"/>
      <c r="E2" s="1"/>
      <c r="F2" s="1"/>
      <c r="G2" s="17"/>
      <c r="H2" s="1"/>
      <c r="I2" s="1"/>
      <c r="J2" s="1"/>
      <c r="K2" s="1"/>
      <c r="L2" s="22"/>
      <c r="M2" s="23"/>
      <c r="N2" s="23"/>
      <c r="O2" s="23"/>
      <c r="P2" s="23"/>
      <c r="Q2" s="23"/>
    </row>
    <row r="3" spans="2:17" s="14" customFormat="1" ht="15.75">
      <c r="B3" s="1" t="str">
        <f>"Table "&amp;RIGHT('Table 2'!B3,1)+1</f>
        <v>Table 3</v>
      </c>
      <c r="C3" s="1"/>
      <c r="D3" s="1"/>
      <c r="E3" s="1"/>
      <c r="F3" s="1"/>
      <c r="G3" s="17"/>
      <c r="H3" s="1"/>
      <c r="I3" s="1"/>
      <c r="J3" s="1"/>
      <c r="K3" s="1"/>
      <c r="L3" s="22"/>
      <c r="M3" s="23"/>
      <c r="N3" s="23"/>
      <c r="O3" s="23"/>
      <c r="P3" s="23"/>
      <c r="Q3" s="23"/>
    </row>
    <row r="4" spans="2:17" s="18" customFormat="1" ht="15">
      <c r="B4" s="7" t="s">
        <v>91</v>
      </c>
      <c r="C4" s="7"/>
      <c r="D4" s="7"/>
      <c r="E4" s="7"/>
      <c r="F4" s="7"/>
      <c r="G4" s="7"/>
      <c r="H4" s="7"/>
      <c r="I4" s="7"/>
      <c r="J4" s="7"/>
      <c r="K4" s="7"/>
      <c r="L4" s="7"/>
      <c r="M4" s="24"/>
      <c r="N4" s="24"/>
      <c r="O4" s="24"/>
      <c r="P4" s="24"/>
      <c r="Q4" s="24"/>
    </row>
    <row r="5" spans="2:17" s="18" customFormat="1" ht="15">
      <c r="B5" s="7" t="str">
        <f>'Table 1'!$B$5</f>
        <v>Utah 2011.Q1 Compliance Filing - 100 MW and 85% Capacity Factor</v>
      </c>
      <c r="C5" s="7"/>
      <c r="D5" s="7"/>
      <c r="E5" s="7"/>
      <c r="F5" s="7"/>
      <c r="G5" s="7"/>
      <c r="H5" s="7"/>
      <c r="I5" s="7"/>
      <c r="J5" s="7"/>
      <c r="K5" s="7"/>
      <c r="L5" s="7"/>
      <c r="M5" s="24"/>
      <c r="N5" s="24"/>
      <c r="O5" s="24"/>
      <c r="P5" s="24"/>
      <c r="Q5" s="24"/>
    </row>
    <row r="6" spans="2:17" s="18" customFormat="1" ht="15">
      <c r="B6" s="7" t="str">
        <f>'Table 1'!$B$6</f>
        <v xml:space="preserve">Partial Displacement of East Side 607 MW CCCT (Wet "F" 2x1) </v>
      </c>
      <c r="C6" s="7"/>
      <c r="D6" s="7"/>
      <c r="E6" s="7"/>
      <c r="F6" s="7"/>
      <c r="G6" s="7"/>
      <c r="H6" s="7"/>
      <c r="I6" s="7"/>
      <c r="J6" s="7"/>
      <c r="K6" s="7"/>
      <c r="L6" s="7"/>
      <c r="M6" s="24"/>
      <c r="N6" s="24"/>
      <c r="O6" s="24"/>
      <c r="P6" s="24"/>
      <c r="Q6" s="24"/>
    </row>
    <row r="7" spans="2:17">
      <c r="D7" s="16"/>
      <c r="E7" s="16"/>
      <c r="F7" s="16"/>
      <c r="G7" s="13"/>
      <c r="H7" s="13"/>
      <c r="I7" s="13"/>
      <c r="J7" s="13"/>
      <c r="K7" s="13"/>
      <c r="L7" s="13"/>
      <c r="M7" s="25"/>
    </row>
    <row r="8" spans="2:17">
      <c r="B8" s="66" t="s">
        <v>0</v>
      </c>
      <c r="C8" s="66"/>
      <c r="D8" s="67" t="s">
        <v>29</v>
      </c>
      <c r="E8" s="68"/>
      <c r="F8" s="68"/>
      <c r="G8" s="67"/>
      <c r="H8" s="67"/>
      <c r="I8" s="57" t="s">
        <v>30</v>
      </c>
      <c r="J8" s="56"/>
      <c r="K8" s="56"/>
      <c r="L8" s="69"/>
      <c r="M8" s="58" t="s">
        <v>29</v>
      </c>
      <c r="N8" s="59"/>
      <c r="O8" s="60"/>
      <c r="Q8" s="70" t="s">
        <v>47</v>
      </c>
    </row>
    <row r="9" spans="2:17">
      <c r="B9" s="71"/>
      <c r="C9" s="71" t="s">
        <v>40</v>
      </c>
      <c r="D9" s="72" t="s">
        <v>17</v>
      </c>
      <c r="E9" s="73" t="s">
        <v>18</v>
      </c>
      <c r="F9" s="73" t="s">
        <v>19</v>
      </c>
      <c r="G9" s="73" t="s">
        <v>20</v>
      </c>
      <c r="H9" s="74" t="s">
        <v>21</v>
      </c>
      <c r="I9" s="75" t="s">
        <v>22</v>
      </c>
      <c r="J9" s="75" t="s">
        <v>23</v>
      </c>
      <c r="K9" s="75" t="s">
        <v>24</v>
      </c>
      <c r="L9" s="75" t="s">
        <v>25</v>
      </c>
      <c r="M9" s="72" t="s">
        <v>26</v>
      </c>
      <c r="N9" s="73" t="s">
        <v>27</v>
      </c>
      <c r="O9" s="74" t="s">
        <v>28</v>
      </c>
      <c r="Q9" s="76" t="s">
        <v>1</v>
      </c>
    </row>
    <row r="10" spans="2:17" ht="12.75" customHeight="1">
      <c r="B10" s="9"/>
      <c r="C10" s="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8"/>
    </row>
    <row r="11" spans="2:17" ht="12.75" customHeight="1">
      <c r="B11" s="20" t="s">
        <v>46</v>
      </c>
      <c r="C11" s="2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8"/>
      <c r="Q11" s="9"/>
    </row>
    <row r="12" spans="2:17" ht="12.75" customHeight="1">
      <c r="B12" s="78">
        <f>'Table 2'!B12</f>
        <v>2011</v>
      </c>
      <c r="C12" s="77">
        <v>30.704128648801344</v>
      </c>
      <c r="D12" s="11">
        <f>IF($Q12&lt;&gt;0,MIN('Table 2'!D12,'Table 3'!$Q12),'Table 2'!D12)</f>
        <v>29.077354312902063</v>
      </c>
      <c r="E12" s="11">
        <f>IF($Q12&lt;&gt;0,MIN('Table 2'!E12,'Table 3'!$Q12),'Table 2'!E12)</f>
        <v>30.101172188697358</v>
      </c>
      <c r="F12" s="11">
        <f>IF($Q12&lt;&gt;0,MIN('Table 2'!F12,'Table 3'!$Q12),'Table 2'!F12)</f>
        <v>29.197418553644177</v>
      </c>
      <c r="G12" s="11">
        <f>IF($Q12&lt;&gt;0,MIN('Table 2'!G12,'Table 3'!$Q12),'Table 2'!G12)</f>
        <v>26.316348875647083</v>
      </c>
      <c r="H12" s="50">
        <f>IF($Q12&lt;&gt;0,MIN('Table 2'!H12,'Table 3'!$Q12),'Table 2'!H12)</f>
        <v>21.007416778061348</v>
      </c>
      <c r="I12" s="11">
        <f>IF($Q12&lt;&gt;0,MIN('Table 2'!I12,'Table 3'!$Q12),'Table 2'!I12)</f>
        <v>22.320387741879262</v>
      </c>
      <c r="J12" s="11">
        <f>IF($Q12&lt;&gt;0,MIN('Table 2'!J12,'Table 3'!$Q12),'Table 2'!J12)</f>
        <v>37.27902374222149</v>
      </c>
      <c r="K12" s="11">
        <f>IF($Q12&lt;&gt;0,MIN('Table 2'!K12,'Table 3'!$Q12),'Table 2'!K12)</f>
        <v>40.297720243960413</v>
      </c>
      <c r="L12" s="50">
        <f>IF($Q12&lt;&gt;0,MIN('Table 2'!L12,'Table 3'!$Q12),'Table 2'!L12)</f>
        <v>31.550351252676613</v>
      </c>
      <c r="M12" s="63">
        <f>IF($Q12&lt;&gt;0,MIN('Table 2'!M12,'Table 3'!$Q12),'Table 2'!M12)</f>
        <v>32.77880699115061</v>
      </c>
      <c r="N12" s="11">
        <f>IF($Q12&lt;&gt;0,MIN('Table 2'!N12,'Table 3'!$Q12),'Table 2'!N12)</f>
        <v>32.592404881491767</v>
      </c>
      <c r="O12" s="50">
        <f>IF($Q12&lt;&gt;0,MIN('Table 2'!O12,'Table 3'!$Q12),'Table 2'!O12)</f>
        <v>35.549012699934835</v>
      </c>
      <c r="Q12" s="64">
        <f>VLOOKUP(B12,'Table 4'!$B$11:$K$41,9,FALSE)</f>
        <v>0</v>
      </c>
    </row>
    <row r="13" spans="2:17" ht="12.75" customHeight="1">
      <c r="B13" s="79">
        <f t="shared" ref="B13:B31" si="0">B12+1</f>
        <v>2012</v>
      </c>
      <c r="C13" s="81">
        <v>37.572013171368027</v>
      </c>
      <c r="D13" s="12">
        <f>IF($Q13&lt;&gt;0,MIN('Table 2'!D13,'Table 3'!$Q13),'Table 2'!D13)</f>
        <v>36.276047143350482</v>
      </c>
      <c r="E13" s="12">
        <f>IF($Q13&lt;&gt;0,MIN('Table 2'!E13,'Table 3'!$Q13),'Table 2'!E13)</f>
        <v>35.510956672305255</v>
      </c>
      <c r="F13" s="12">
        <f>IF($Q13&lt;&gt;0,MIN('Table 2'!F13,'Table 3'!$Q13),'Table 2'!F13)</f>
        <v>35.003419846450413</v>
      </c>
      <c r="G13" s="12">
        <f>IF($Q13&lt;&gt;0,MIN('Table 2'!G13,'Table 3'!$Q13),'Table 2'!G13)</f>
        <v>30.109641900261973</v>
      </c>
      <c r="H13" s="51">
        <f>IF($Q13&lt;&gt;0,MIN('Table 2'!H13,'Table 3'!$Q13),'Table 2'!H13)</f>
        <v>26.373340711071805</v>
      </c>
      <c r="I13" s="12">
        <f>IF($Q13&lt;&gt;0,MIN('Table 2'!I13,'Table 3'!$Q13),'Table 2'!I13)</f>
        <v>28.538992187135847</v>
      </c>
      <c r="J13" s="12">
        <f>IF($Q13&lt;&gt;0,MIN('Table 2'!J13,'Table 3'!$Q13),'Table 2'!J13)</f>
        <v>51.666151794788391</v>
      </c>
      <c r="K13" s="12">
        <f>IF($Q13&lt;&gt;0,MIN('Table 2'!K13,'Table 3'!$Q13),'Table 2'!K13)</f>
        <v>49.463209832280143</v>
      </c>
      <c r="L13" s="51">
        <f>IF($Q13&lt;&gt;0,MIN('Table 2'!L13,'Table 3'!$Q13),'Table 2'!L13)</f>
        <v>44.240978906184338</v>
      </c>
      <c r="M13" s="62">
        <f>IF($Q13&lt;&gt;0,MIN('Table 2'!M13,'Table 3'!$Q13),'Table 2'!M13)</f>
        <v>38.16667154854909</v>
      </c>
      <c r="N13" s="12">
        <f>IF($Q13&lt;&gt;0,MIN('Table 2'!N13,'Table 3'!$Q13),'Table 2'!N13)</f>
        <v>37.330615667421249</v>
      </c>
      <c r="O13" s="51">
        <f>IF($Q13&lt;&gt;0,MIN('Table 2'!O13,'Table 3'!$Q13),'Table 2'!O13)</f>
        <v>37.726391942662666</v>
      </c>
      <c r="Q13" s="61">
        <f>VLOOKUP(B13,'Table 4'!$B$11:$K$41,9,FALSE)</f>
        <v>0</v>
      </c>
    </row>
    <row r="14" spans="2:17" ht="12.75" customHeight="1">
      <c r="B14" s="79">
        <f t="shared" si="0"/>
        <v>2013</v>
      </c>
      <c r="C14" s="81">
        <v>40.180010616919674</v>
      </c>
      <c r="D14" s="12">
        <f>IF($Q14&lt;&gt;0,MIN('Table 2'!D14,'Table 3'!$Q14),'Table 2'!D14)</f>
        <v>38.433819305465086</v>
      </c>
      <c r="E14" s="12">
        <f>IF($Q14&lt;&gt;0,MIN('Table 2'!E14,'Table 3'!$Q14),'Table 2'!E14)</f>
        <v>39.08919358641139</v>
      </c>
      <c r="F14" s="12">
        <f>IF($Q14&lt;&gt;0,MIN('Table 2'!F14,'Table 3'!$Q14),'Table 2'!F14)</f>
        <v>37.439217060717652</v>
      </c>
      <c r="G14" s="12">
        <f>IF($Q14&lt;&gt;0,MIN('Table 2'!G14,'Table 3'!$Q14),'Table 2'!G14)</f>
        <v>32.218949381379666</v>
      </c>
      <c r="H14" s="51">
        <f>IF($Q14&lt;&gt;0,MIN('Table 2'!H14,'Table 3'!$Q14),'Table 2'!H14)</f>
        <v>29.264511230206242</v>
      </c>
      <c r="I14" s="12">
        <f>IF($Q14&lt;&gt;0,MIN('Table 2'!I14,'Table 3'!$Q14),'Table 2'!I14)</f>
        <v>29.992327073307987</v>
      </c>
      <c r="J14" s="12">
        <f>IF($Q14&lt;&gt;0,MIN('Table 2'!J14,'Table 3'!$Q14),'Table 2'!J14)</f>
        <v>51.560880964088675</v>
      </c>
      <c r="K14" s="12">
        <f>IF($Q14&lt;&gt;0,MIN('Table 2'!K14,'Table 3'!$Q14),'Table 2'!K14)</f>
        <v>52.953125203185486</v>
      </c>
      <c r="L14" s="51">
        <f>IF($Q14&lt;&gt;0,MIN('Table 2'!L14,'Table 3'!$Q14),'Table 2'!L14)</f>
        <v>50.237492330231113</v>
      </c>
      <c r="M14" s="62">
        <f>IF($Q14&lt;&gt;0,MIN('Table 2'!M14,'Table 3'!$Q14),'Table 2'!M14)</f>
        <v>38.631804298587817</v>
      </c>
      <c r="N14" s="12">
        <f>IF($Q14&lt;&gt;0,MIN('Table 2'!N14,'Table 3'!$Q14),'Table 2'!N14)</f>
        <v>40.883706234305414</v>
      </c>
      <c r="O14" s="51">
        <f>IF($Q14&lt;&gt;0,MIN('Table 2'!O14,'Table 3'!$Q14),'Table 2'!O14)</f>
        <v>41.111229169343765</v>
      </c>
      <c r="Q14" s="61">
        <f>VLOOKUP(B14,'Table 4'!$B$11:$K$41,9,FALSE)</f>
        <v>0</v>
      </c>
    </row>
    <row r="15" spans="2:17" ht="12.75" customHeight="1">
      <c r="B15" s="79">
        <f t="shared" si="0"/>
        <v>2014</v>
      </c>
      <c r="C15" s="81">
        <v>42.3323242259764</v>
      </c>
      <c r="D15" s="12">
        <f>IF($Q15&lt;&gt;0,MIN('Table 2'!D15,'Table 3'!$Q15),'Table 2'!D15)</f>
        <v>43.513440703096165</v>
      </c>
      <c r="E15" s="12">
        <f>IF($Q15&lt;&gt;0,MIN('Table 2'!E15,'Table 3'!$Q15),'Table 2'!E15)</f>
        <v>43.583626480653351</v>
      </c>
      <c r="F15" s="12">
        <f>IF($Q15&lt;&gt;0,MIN('Table 2'!F15,'Table 3'!$Q15),'Table 2'!F15)</f>
        <v>40.298642815138663</v>
      </c>
      <c r="G15" s="12">
        <f>IF($Q15&lt;&gt;0,MIN('Table 2'!G15,'Table 3'!$Q15),'Table 2'!G15)</f>
        <v>34.541699831372775</v>
      </c>
      <c r="H15" s="51">
        <f>IF($Q15&lt;&gt;0,MIN('Table 2'!H15,'Table 3'!$Q15),'Table 2'!H15)</f>
        <v>31.484848002677783</v>
      </c>
      <c r="I15" s="12">
        <f>IF($Q15&lt;&gt;0,MIN('Table 2'!I15,'Table 3'!$Q15),'Table 2'!I15)</f>
        <v>29.311800061310429</v>
      </c>
      <c r="J15" s="12">
        <f>IF($Q15&lt;&gt;0,MIN('Table 2'!J15,'Table 3'!$Q15),'Table 2'!J15)</f>
        <v>52.724671884620967</v>
      </c>
      <c r="K15" s="12">
        <f>IF($Q15&lt;&gt;0,MIN('Table 2'!K15,'Table 3'!$Q15),'Table 2'!K15)</f>
        <v>54.081251021506176</v>
      </c>
      <c r="L15" s="51">
        <f>IF($Q15&lt;&gt;0,MIN('Table 2'!L15,'Table 3'!$Q15),'Table 2'!L15)</f>
        <v>53.461476601747421</v>
      </c>
      <c r="M15" s="62">
        <f>IF($Q15&lt;&gt;0,MIN('Table 2'!M15,'Table 3'!$Q15),'Table 2'!M15)</f>
        <v>39.182489384472802</v>
      </c>
      <c r="N15" s="12">
        <f>IF($Q15&lt;&gt;0,MIN('Table 2'!N15,'Table 3'!$Q15),'Table 2'!N15)</f>
        <v>42.493223563370606</v>
      </c>
      <c r="O15" s="51">
        <f>IF($Q15&lt;&gt;0,MIN('Table 2'!O15,'Table 3'!$Q15),'Table 2'!O15)</f>
        <v>43.124681972005391</v>
      </c>
      <c r="Q15" s="61">
        <f>VLOOKUP(B15,'Table 4'!$B$11:$K$41,9,FALSE)</f>
        <v>0</v>
      </c>
    </row>
    <row r="16" spans="2:17" ht="12.75" customHeight="1">
      <c r="B16" s="79">
        <f t="shared" si="0"/>
        <v>2015</v>
      </c>
      <c r="C16" s="81">
        <v>44.929972664136365</v>
      </c>
      <c r="D16" s="12">
        <f>IF($Q16&lt;&gt;0,MIN('Table 2'!D16,'Table 3'!$Q16),'Table 2'!D16)</f>
        <v>44.81052908109033</v>
      </c>
      <c r="E16" s="12">
        <f>IF($Q16&lt;&gt;0,MIN('Table 2'!E16,'Table 3'!$Q16),'Table 2'!E16)</f>
        <v>45.653943735334749</v>
      </c>
      <c r="F16" s="12">
        <f>IF($Q16&lt;&gt;0,MIN('Table 2'!F16,'Table 3'!$Q16),'Table 2'!F16)</f>
        <v>43.690471511693282</v>
      </c>
      <c r="G16" s="12">
        <f>IF($Q16&lt;&gt;0,MIN('Table 2'!G16,'Table 3'!$Q16),'Table 2'!G16)</f>
        <v>36.567802547191583</v>
      </c>
      <c r="H16" s="51">
        <f>IF($Q16&lt;&gt;0,MIN('Table 2'!H16,'Table 3'!$Q16),'Table 2'!H16)</f>
        <v>35.08816531527691</v>
      </c>
      <c r="I16" s="12">
        <f>IF($Q16&lt;&gt;0,MIN('Table 2'!I16,'Table 3'!$Q16),'Table 2'!I16)</f>
        <v>35.536474969018911</v>
      </c>
      <c r="J16" s="12">
        <f>IF($Q16&lt;&gt;0,MIN('Table 2'!J16,'Table 3'!$Q16),'Table 2'!J16)</f>
        <v>54.241013539106049</v>
      </c>
      <c r="K16" s="12">
        <f>IF($Q16&lt;&gt;0,MIN('Table 2'!K16,'Table 3'!$Q16),'Table 2'!K16)</f>
        <v>56.216041039322505</v>
      </c>
      <c r="L16" s="51">
        <f>IF($Q16&lt;&gt;0,MIN('Table 2'!L16,'Table 3'!$Q16),'Table 2'!L16)</f>
        <v>55.605547445765119</v>
      </c>
      <c r="M16" s="62">
        <f>IF($Q16&lt;&gt;0,MIN('Table 2'!M16,'Table 3'!$Q16),'Table 2'!M16)</f>
        <v>41.228920554226896</v>
      </c>
      <c r="N16" s="12">
        <f>IF($Q16&lt;&gt;0,MIN('Table 2'!N16,'Table 3'!$Q16),'Table 2'!N16)</f>
        <v>44.872787384823255</v>
      </c>
      <c r="O16" s="51">
        <f>IF($Q16&lt;&gt;0,MIN('Table 2'!O16,'Table 3'!$Q16),'Table 2'!O16)</f>
        <v>45.487801779169004</v>
      </c>
      <c r="Q16" s="61">
        <f>VLOOKUP(B16,'Table 4'!$B$11:$K$41,9,FALSE)</f>
        <v>0</v>
      </c>
    </row>
    <row r="17" spans="2:17" ht="12.75" customHeight="1">
      <c r="B17" s="79">
        <f t="shared" si="0"/>
        <v>2016</v>
      </c>
      <c r="C17" s="81">
        <v>47.765256069042387</v>
      </c>
      <c r="D17" s="12">
        <f>'Table 2'!D17</f>
        <v>47.278291882793219</v>
      </c>
      <c r="E17" s="12">
        <f>'Table 2'!E17</f>
        <v>47.267182744071746</v>
      </c>
      <c r="F17" s="12">
        <f>'Table 2'!F17</f>
        <v>45.754183239051997</v>
      </c>
      <c r="G17" s="12">
        <f>'Table 2'!G17</f>
        <v>38.211595817620747</v>
      </c>
      <c r="H17" s="51">
        <f>'Table 2'!H17</f>
        <v>36.505659394750367</v>
      </c>
      <c r="I17" s="12">
        <f>IF($Q17&lt;&gt;0,MIN('Table 2'!I17,'Table 3'!$Q17),'Table 2'!I17)</f>
        <v>37.140099037538945</v>
      </c>
      <c r="J17" s="12">
        <f>IF($Q17&lt;&gt;0,MIN('Table 2'!J17,'Table 3'!$Q17),'Table 2'!J17)</f>
        <v>58.578141656688103</v>
      </c>
      <c r="K17" s="12">
        <f>IF($Q17&lt;&gt;0,MIN('Table 2'!K17,'Table 3'!$Q17),'Table 2'!K17)</f>
        <v>62.726806684508027</v>
      </c>
      <c r="L17" s="51">
        <f>IF($Q17&lt;&gt;0,MIN('Table 2'!L17,'Table 3'!$Q17),'Table 2'!L17)</f>
        <v>61.319511794717677</v>
      </c>
      <c r="M17" s="62">
        <f>IF($Q17&lt;&gt;0,MIN('Table 2'!M17,'Table 3'!$Q17),'Table 2'!M17)</f>
        <v>43.767125312339545</v>
      </c>
      <c r="N17" s="12">
        <f>IF($Q17&lt;&gt;0,MIN('Table 2'!N17,'Table 3'!$Q17),'Table 2'!N17)</f>
        <v>46.66764187878205</v>
      </c>
      <c r="O17" s="51">
        <f>IF($Q17&lt;&gt;0,MIN('Table 2'!O17,'Table 3'!$Q17),'Table 2'!O17)</f>
        <v>47.685597179276819</v>
      </c>
      <c r="Q17" s="61">
        <f>VLOOKUP(B17,'Table 4'!$B$11:$K$41,9,FALSE)</f>
        <v>0</v>
      </c>
    </row>
    <row r="18" spans="2:17" ht="12.75" customHeight="1">
      <c r="B18" s="79">
        <f t="shared" si="0"/>
        <v>2017</v>
      </c>
      <c r="C18" s="81">
        <v>55.824753644498223</v>
      </c>
      <c r="D18" s="12">
        <f>IF($Q18&lt;&gt;0,MIN('Table 2'!D18,'Table 3'!$Q18),'Table 2'!D18)</f>
        <v>48.582851406732061</v>
      </c>
      <c r="E18" s="12">
        <f>IF($Q18&lt;&gt;0,MIN('Table 2'!E18,'Table 3'!$Q18),'Table 2'!E18)</f>
        <v>55.196444116298018</v>
      </c>
      <c r="F18" s="12">
        <f>IF($Q18&lt;&gt;0,MIN('Table 2'!F18,'Table 3'!$Q18),'Table 2'!F18)</f>
        <v>52.67116042697905</v>
      </c>
      <c r="G18" s="12">
        <f>IF($Q18&lt;&gt;0,MIN('Table 2'!G18,'Table 3'!$Q18),'Table 2'!G18)</f>
        <v>48.39391190940551</v>
      </c>
      <c r="H18" s="51">
        <f>IF($Q18&lt;&gt;0,MIN('Table 2'!H18,'Table 3'!$Q18),'Table 2'!H18)</f>
        <v>47.105583281397045</v>
      </c>
      <c r="I18" s="12">
        <f>IF($Q18&lt;&gt;0,MIN('Table 2'!I18,'Table 3'!$Q18),'Table 2'!I18)</f>
        <v>48.601308041341554</v>
      </c>
      <c r="J18" s="12">
        <f>IF($Q18&lt;&gt;0,MIN('Table 2'!J18,'Table 3'!$Q18),'Table 2'!J18)</f>
        <v>68.108472413438207</v>
      </c>
      <c r="K18" s="12">
        <f>IF($Q18&lt;&gt;0,MIN('Table 2'!K18,'Table 3'!$Q18),'Table 2'!K18)</f>
        <v>70.964542212585144</v>
      </c>
      <c r="L18" s="51">
        <f>IF($Q18&lt;&gt;0,MIN('Table 2'!L18,'Table 3'!$Q18),'Table 2'!L18)</f>
        <v>70.197046504364494</v>
      </c>
      <c r="M18" s="62">
        <f>IF($Q18&lt;&gt;0,MIN('Table 2'!M18,'Table 3'!$Q18),'Table 2'!M18)</f>
        <v>50.98562599552217</v>
      </c>
      <c r="N18" s="12">
        <f>IF($Q18&lt;&gt;0,MIN('Table 2'!N18,'Table 3'!$Q18),'Table 2'!N18)</f>
        <v>53.951108677446157</v>
      </c>
      <c r="O18" s="51">
        <f>IF($Q18&lt;&gt;0,MIN('Table 2'!O18,'Table 3'!$Q18),'Table 2'!O18)</f>
        <v>55.008647844274535</v>
      </c>
      <c r="Q18" s="61">
        <f>VLOOKUP(B18,'Table 4'!$B$11:$K$41,9,FALSE)</f>
        <v>0</v>
      </c>
    </row>
    <row r="19" spans="2:17" ht="12.75" customHeight="1">
      <c r="B19" s="79">
        <f t="shared" si="0"/>
        <v>2018</v>
      </c>
      <c r="C19" s="81">
        <v>46.271175893595334</v>
      </c>
      <c r="D19" s="12">
        <f>IF($Q19&lt;&gt;0,MIN('Table 2'!D19,'Table 3'!$Q19),'Table 2'!D19)</f>
        <v>51.32</v>
      </c>
      <c r="E19" s="12">
        <f>IF($Q19&lt;&gt;0,MIN('Table 2'!E19,'Table 3'!$Q19),'Table 2'!E19)</f>
        <v>51.32</v>
      </c>
      <c r="F19" s="12">
        <f>IF($Q19&lt;&gt;0,MIN('Table 2'!F19,'Table 3'!$Q19),'Table 2'!F19)</f>
        <v>51.32</v>
      </c>
      <c r="G19" s="12">
        <f>IF($Q19&lt;&gt;0,MIN('Table 2'!G19,'Table 3'!$Q19),'Table 2'!G19)</f>
        <v>51.32</v>
      </c>
      <c r="H19" s="51">
        <f>IF($Q19&lt;&gt;0,MIN('Table 2'!H19,'Table 3'!$Q19),'Table 2'!H19)</f>
        <v>51.32</v>
      </c>
      <c r="I19" s="12">
        <f>IF($Q19&lt;&gt;0,MIN('Table 2'!I19,'Table 3'!$Q19),'Table 2'!I19)</f>
        <v>43.427142211763687</v>
      </c>
      <c r="J19" s="12">
        <f>IF($Q19&lt;&gt;0,MIN('Table 2'!J19,'Table 3'!$Q19),'Table 2'!J19)</f>
        <v>43.094129529569926</v>
      </c>
      <c r="K19" s="12">
        <f>IF($Q19&lt;&gt;0,MIN('Table 2'!K19,'Table 3'!$Q19),'Table 2'!K19)</f>
        <v>43.984232732764362</v>
      </c>
      <c r="L19" s="51">
        <f>IF($Q19&lt;&gt;0,MIN('Table 2'!L19,'Table 3'!$Q19),'Table 2'!L19)</f>
        <v>43.797906900816692</v>
      </c>
      <c r="M19" s="62">
        <f>IF($Q19&lt;&gt;0,MIN('Table 2'!M19,'Table 3'!$Q19),'Table 2'!M19)</f>
        <v>38.797320089500531</v>
      </c>
      <c r="N19" s="12">
        <f>IF($Q19&lt;&gt;0,MIN('Table 2'!N19,'Table 3'!$Q19),'Table 2'!N19)</f>
        <v>42.310200672548973</v>
      </c>
      <c r="O19" s="51">
        <f>IF($Q19&lt;&gt;0,MIN('Table 2'!O19,'Table 3'!$Q19),'Table 2'!O19)</f>
        <v>43.243178586179717</v>
      </c>
      <c r="Q19" s="61">
        <f>VLOOKUP(B19,'Table 4'!$B$11:$K$41,9,FALSE)</f>
        <v>51.32</v>
      </c>
    </row>
    <row r="20" spans="2:17" ht="12.75" customHeight="1">
      <c r="B20" s="79">
        <f t="shared" si="0"/>
        <v>2019</v>
      </c>
      <c r="C20" s="81">
        <v>44.138722972240004</v>
      </c>
      <c r="D20" s="12">
        <f>IF($Q20&lt;&gt;0,MIN('Table 2'!D20,'Table 3'!$Q20),'Table 2'!D20)</f>
        <v>43.398960193548682</v>
      </c>
      <c r="E20" s="12">
        <f>IF($Q20&lt;&gt;0,MIN('Table 2'!E20,'Table 3'!$Q20),'Table 2'!E20)</f>
        <v>43.142292921217965</v>
      </c>
      <c r="F20" s="12">
        <f>IF($Q20&lt;&gt;0,MIN('Table 2'!F20,'Table 3'!$Q20),'Table 2'!F20)</f>
        <v>43.776721532416168</v>
      </c>
      <c r="G20" s="12">
        <f>IF($Q20&lt;&gt;0,MIN('Table 2'!G20,'Table 3'!$Q20),'Table 2'!G20)</f>
        <v>50.605564299835976</v>
      </c>
      <c r="H20" s="51">
        <f>IF($Q20&lt;&gt;0,MIN('Table 2'!H20,'Table 3'!$Q20),'Table 2'!H20)</f>
        <v>43.761544737033667</v>
      </c>
      <c r="I20" s="12">
        <f>IF($Q20&lt;&gt;0,MIN('Table 2'!I20,'Table 3'!$Q20),'Table 2'!I20)</f>
        <v>44.561927729901534</v>
      </c>
      <c r="J20" s="12">
        <f>IF($Q20&lt;&gt;0,MIN('Table 2'!J20,'Table 3'!$Q20),'Table 2'!J20)</f>
        <v>44.974574956673941</v>
      </c>
      <c r="K20" s="12">
        <f>IF($Q20&lt;&gt;0,MIN('Table 2'!K20,'Table 3'!$Q20),'Table 2'!K20)</f>
        <v>45.853136681213478</v>
      </c>
      <c r="L20" s="51">
        <f>IF($Q20&lt;&gt;0,MIN('Table 2'!L20,'Table 3'!$Q20),'Table 2'!L20)</f>
        <v>45.634828350000035</v>
      </c>
      <c r="M20" s="62">
        <f>IF($Q20&lt;&gt;0,MIN('Table 2'!M20,'Table 3'!$Q20),'Table 2'!M20)</f>
        <v>40.903573709518511</v>
      </c>
      <c r="N20" s="12">
        <f>IF($Q20&lt;&gt;0,MIN('Table 2'!N20,'Table 3'!$Q20),'Table 2'!N20)</f>
        <v>40.6668939776144</v>
      </c>
      <c r="O20" s="51">
        <f>IF($Q20&lt;&gt;0,MIN('Table 2'!O20,'Table 3'!$Q20),'Table 2'!O20)</f>
        <v>42.446754394529137</v>
      </c>
      <c r="Q20" s="61">
        <f>VLOOKUP(B20,'Table 4'!$B$11:$K$41,9,FALSE)</f>
        <v>53.86</v>
      </c>
    </row>
    <row r="21" spans="2:17" ht="12.75" customHeight="1">
      <c r="B21" s="80">
        <f t="shared" si="0"/>
        <v>2020</v>
      </c>
      <c r="C21" s="82">
        <v>44.555743499812692</v>
      </c>
      <c r="D21" s="21">
        <f>IF($Q21&lt;&gt;0,MIN('Table 2'!D21,'Table 3'!$Q21),'Table 2'!D21)</f>
        <v>42.019545248102759</v>
      </c>
      <c r="E21" s="21">
        <f>IF($Q21&lt;&gt;0,MIN('Table 2'!E21,'Table 3'!$Q21),'Table 2'!E21)</f>
        <v>40.988868962136614</v>
      </c>
      <c r="F21" s="21">
        <f>IF($Q21&lt;&gt;0,MIN('Table 2'!F21,'Table 3'!$Q21),'Table 2'!F21)</f>
        <v>46.205617450031582</v>
      </c>
      <c r="G21" s="21">
        <f>IF($Q21&lt;&gt;0,MIN('Table 2'!G21,'Table 3'!$Q21),'Table 2'!G21)</f>
        <v>50.797915955882736</v>
      </c>
      <c r="H21" s="52">
        <f>IF($Q21&lt;&gt;0,MIN('Table 2'!H21,'Table 3'!$Q21),'Table 2'!H21)</f>
        <v>45.473435012651237</v>
      </c>
      <c r="I21" s="12">
        <f>IF($Q21&lt;&gt;0,MIN('Table 2'!I21,'Table 3'!$Q21),'Table 2'!I21)</f>
        <v>46.981944526143714</v>
      </c>
      <c r="J21" s="12">
        <f>IF($Q21&lt;&gt;0,MIN('Table 2'!J21,'Table 3'!$Q21),'Table 2'!J21)</f>
        <v>46.539072405756613</v>
      </c>
      <c r="K21" s="12">
        <f>IF($Q21&lt;&gt;0,MIN('Table 2'!K21,'Table 3'!$Q21),'Table 2'!K21)</f>
        <v>47.025000727387791</v>
      </c>
      <c r="L21" s="51">
        <f>IF($Q21&lt;&gt;0,MIN('Table 2'!L21,'Table 3'!$Q21),'Table 2'!L21)</f>
        <v>44.386019349509695</v>
      </c>
      <c r="M21" s="62">
        <f>IF($Q21&lt;&gt;0,MIN('Table 2'!M21,'Table 3'!$Q21),'Table 2'!M21)</f>
        <v>41.680045420620388</v>
      </c>
      <c r="N21" s="12">
        <f>IF($Q21&lt;&gt;0,MIN('Table 2'!N21,'Table 3'!$Q21),'Table 2'!N21)</f>
        <v>41.053781790032104</v>
      </c>
      <c r="O21" s="51">
        <f>IF($Q21&lt;&gt;0,MIN('Table 2'!O21,'Table 3'!$Q21),'Table 2'!O21)</f>
        <v>41.448737683270188</v>
      </c>
      <c r="Q21" s="61">
        <f>VLOOKUP(B21,'Table 4'!$B$11:$K$41,9,FALSE)</f>
        <v>54.61</v>
      </c>
    </row>
    <row r="22" spans="2:17" ht="12.75" customHeight="1">
      <c r="B22" s="124">
        <f t="shared" si="0"/>
        <v>2021</v>
      </c>
      <c r="C22" s="81">
        <v>45.033044015525121</v>
      </c>
      <c r="D22" s="11">
        <f>IF($Q22&lt;&gt;0,MIN('Table 2'!D22,'Table 3'!$Q22),'Table 2'!D22)</f>
        <v>42.825223390258977</v>
      </c>
      <c r="E22" s="11">
        <f>IF($Q22&lt;&gt;0,MIN('Table 2'!E22,'Table 3'!$Q22),'Table 2'!E22)</f>
        <v>42.058392474615125</v>
      </c>
      <c r="F22" s="11">
        <f>IF($Q22&lt;&gt;0,MIN('Table 2'!F22,'Table 3'!$Q22),'Table 2'!F22)</f>
        <v>42.564715120018207</v>
      </c>
      <c r="G22" s="11">
        <f>IF($Q22&lt;&gt;0,MIN('Table 2'!G22,'Table 3'!$Q22),'Table 2'!G22)</f>
        <v>51.548947756535867</v>
      </c>
      <c r="H22" s="50">
        <f>IF($Q22&lt;&gt;0,MIN('Table 2'!H22,'Table 3'!$Q22),'Table 2'!H22)</f>
        <v>47.121631206199289</v>
      </c>
      <c r="I22" s="63">
        <f>IF($Q22&lt;&gt;0,MIN('Table 2'!I22,'Table 3'!$Q22),'Table 2'!I22)</f>
        <v>48.254783838398609</v>
      </c>
      <c r="J22" s="11">
        <f>IF($Q22&lt;&gt;0,MIN('Table 2'!J22,'Table 3'!$Q22),'Table 2'!J22)</f>
        <v>46.308379407811401</v>
      </c>
      <c r="K22" s="11">
        <f>IF($Q22&lt;&gt;0,MIN('Table 2'!K22,'Table 3'!$Q22),'Table 2'!K22)</f>
        <v>44.884176853256726</v>
      </c>
      <c r="L22" s="50">
        <f>IF($Q22&lt;&gt;0,MIN('Table 2'!L22,'Table 3'!$Q22),'Table 2'!L22)</f>
        <v>45.939015359150041</v>
      </c>
      <c r="M22" s="63">
        <f>IF($Q22&lt;&gt;0,MIN('Table 2'!M22,'Table 3'!$Q22),'Table 2'!M22)</f>
        <v>44.668173353890502</v>
      </c>
      <c r="N22" s="11">
        <f>IF($Q22&lt;&gt;0,MIN('Table 2'!N22,'Table 3'!$Q22),'Table 2'!N22)</f>
        <v>41.75429057026124</v>
      </c>
      <c r="O22" s="50">
        <f>IF($Q22&lt;&gt;0,MIN('Table 2'!O22,'Table 3'!$Q22),'Table 2'!O22)</f>
        <v>42.418505528147918</v>
      </c>
      <c r="Q22" s="64">
        <f>VLOOKUP(B22,'Table 4'!$B$11:$K$41,9,FALSE)</f>
        <v>55.28</v>
      </c>
    </row>
    <row r="23" spans="2:17" ht="12.75" customHeight="1">
      <c r="B23" s="79">
        <f t="shared" si="0"/>
        <v>2022</v>
      </c>
      <c r="C23" s="81">
        <v>46.125738411657423</v>
      </c>
      <c r="D23" s="12">
        <f>IF($Q23&lt;&gt;0,MIN('Table 2'!D23,'Table 3'!$Q23),'Table 2'!D23)</f>
        <v>43.161774171885533</v>
      </c>
      <c r="E23" s="12">
        <f>IF($Q23&lt;&gt;0,MIN('Table 2'!E23,'Table 3'!$Q23),'Table 2'!E23)</f>
        <v>43.499295559348099</v>
      </c>
      <c r="F23" s="12">
        <f>IF($Q23&lt;&gt;0,MIN('Table 2'!F23,'Table 3'!$Q23),'Table 2'!F23)</f>
        <v>43.166848522454856</v>
      </c>
      <c r="G23" s="12">
        <f>IF($Q23&lt;&gt;0,MIN('Table 2'!G23,'Table 3'!$Q23),'Table 2'!G23)</f>
        <v>53.116779462418528</v>
      </c>
      <c r="H23" s="51">
        <f>IF($Q23&lt;&gt;0,MIN('Table 2'!H23,'Table 3'!$Q23),'Table 2'!H23)</f>
        <v>48.113597991461241</v>
      </c>
      <c r="I23" s="62">
        <f>IF($Q23&lt;&gt;0,MIN('Table 2'!I23,'Table 3'!$Q23),'Table 2'!I23)</f>
        <v>47.337161074673723</v>
      </c>
      <c r="J23" s="12">
        <f>IF($Q23&lt;&gt;0,MIN('Table 2'!J23,'Table 3'!$Q23),'Table 2'!J23)</f>
        <v>46.667985342820941</v>
      </c>
      <c r="K23" s="12">
        <f>IF($Q23&lt;&gt;0,MIN('Table 2'!K23,'Table 3'!$Q23),'Table 2'!K23)</f>
        <v>46.18917285736832</v>
      </c>
      <c r="L23" s="51">
        <f>IF($Q23&lt;&gt;0,MIN('Table 2'!L23,'Table 3'!$Q23),'Table 2'!L23)</f>
        <v>47.464967353921509</v>
      </c>
      <c r="M23" s="62">
        <f>IF($Q23&lt;&gt;0,MIN('Table 2'!M23,'Table 3'!$Q23),'Table 2'!M23)</f>
        <v>46.372971007274082</v>
      </c>
      <c r="N23" s="12">
        <f>IF($Q23&lt;&gt;0,MIN('Table 2'!N23,'Table 3'!$Q23),'Table 2'!N23)</f>
        <v>43.475800267810527</v>
      </c>
      <c r="O23" s="51">
        <f>IF($Q23&lt;&gt;0,MIN('Table 2'!O23,'Table 3'!$Q23),'Table 2'!O23)</f>
        <v>44.910650101202265</v>
      </c>
      <c r="Q23" s="61">
        <f>VLOOKUP(B23,'Table 4'!$B$11:$K$41,9,FALSE)</f>
        <v>56.92</v>
      </c>
    </row>
    <row r="24" spans="2:17" ht="12.75" customHeight="1">
      <c r="B24" s="79">
        <f t="shared" si="0"/>
        <v>2023</v>
      </c>
      <c r="C24" s="81">
        <v>49.464863477679081</v>
      </c>
      <c r="D24" s="12">
        <f>IF($Q24&lt;&gt;0,MIN('Table 2'!D24,'Table 3'!$Q24),'Table 2'!D24)</f>
        <v>45.540500347248404</v>
      </c>
      <c r="E24" s="12">
        <f>IF($Q24&lt;&gt;0,MIN('Table 2'!E24,'Table 3'!$Q24),'Table 2'!E24)</f>
        <v>44.941372124474569</v>
      </c>
      <c r="F24" s="12">
        <f>IF($Q24&lt;&gt;0,MIN('Table 2'!F24,'Table 3'!$Q24),'Table 2'!F24)</f>
        <v>46.267954712206993</v>
      </c>
      <c r="G24" s="12">
        <f>IF($Q24&lt;&gt;0,MIN('Table 2'!G24,'Table 3'!$Q24),'Table 2'!G24)</f>
        <v>56.394791346404681</v>
      </c>
      <c r="H24" s="51">
        <f>IF($Q24&lt;&gt;0,MIN('Table 2'!H24,'Table 3'!$Q24),'Table 2'!H24)</f>
        <v>50.900332142630852</v>
      </c>
      <c r="I24" s="62">
        <f>IF($Q24&lt;&gt;0,MIN('Table 2'!I24,'Table 3'!$Q24),'Table 2'!I24)</f>
        <v>50.972184166993969</v>
      </c>
      <c r="J24" s="12">
        <f>IF($Q24&lt;&gt;0,MIN('Table 2'!J24,'Table 3'!$Q24),'Table 2'!J24)</f>
        <v>51.005586746995732</v>
      </c>
      <c r="K24" s="12">
        <f>IF($Q24&lt;&gt;0,MIN('Table 2'!K24,'Table 3'!$Q24),'Table 2'!K24)</f>
        <v>48.469593708095559</v>
      </c>
      <c r="L24" s="51">
        <f>IF($Q24&lt;&gt;0,MIN('Table 2'!L24,'Table 3'!$Q24),'Table 2'!L24)</f>
        <v>51.103359626470244</v>
      </c>
      <c r="M24" s="62">
        <f>IF($Q24&lt;&gt;0,MIN('Table 2'!M24,'Table 3'!$Q24),'Table 2'!M24)</f>
        <v>49.963366489562901</v>
      </c>
      <c r="N24" s="12">
        <f>IF($Q24&lt;&gt;0,MIN('Table 2'!N24,'Table 3'!$Q24),'Table 2'!N24)</f>
        <v>48.98386702205913</v>
      </c>
      <c r="O24" s="51">
        <f>IF($Q24&lt;&gt;0,MIN('Table 2'!O24,'Table 3'!$Q24),'Table 2'!O24)</f>
        <v>48.907204079380108</v>
      </c>
      <c r="Q24" s="61">
        <f>VLOOKUP(B24,'Table 4'!$B$11:$K$41,9,FALSE)</f>
        <v>60.43</v>
      </c>
    </row>
    <row r="25" spans="2:17" ht="12.75" customHeight="1">
      <c r="B25" s="79">
        <f t="shared" si="0"/>
        <v>2024</v>
      </c>
      <c r="C25" s="81">
        <v>53.197554515924502</v>
      </c>
      <c r="D25" s="12">
        <f>IF($Q25&lt;&gt;0,MIN('Table 2'!D25,'Table 3'!$Q25),'Table 2'!D25)</f>
        <v>51.768580322580235</v>
      </c>
      <c r="E25" s="12">
        <f>IF($Q25&lt;&gt;0,MIN('Table 2'!E25,'Table 3'!$Q25),'Table 2'!E25)</f>
        <v>51.215869219067173</v>
      </c>
      <c r="F25" s="12">
        <f>IF($Q25&lt;&gt;0,MIN('Table 2'!F25,'Table 3'!$Q25),'Table 2'!F25)</f>
        <v>48.97389098197354</v>
      </c>
      <c r="G25" s="12">
        <f>IF($Q25&lt;&gt;0,MIN('Table 2'!G25,'Table 3'!$Q25),'Table 2'!G25)</f>
        <v>61.220357653594093</v>
      </c>
      <c r="H25" s="51">
        <f>IF($Q25&lt;&gt;0,MIN('Table 2'!H25,'Table 3'!$Q25),'Table 2'!H25)</f>
        <v>55.425285761700657</v>
      </c>
      <c r="I25" s="62">
        <f>IF($Q25&lt;&gt;0,MIN('Table 2'!I25,'Table 3'!$Q25),'Table 2'!I25)</f>
        <v>54.508953416994196</v>
      </c>
      <c r="J25" s="12">
        <f>IF($Q25&lt;&gt;0,MIN('Table 2'!J25,'Table 3'!$Q25),'Table 2'!J25)</f>
        <v>54.411439549334816</v>
      </c>
      <c r="K25" s="12">
        <f>IF($Q25&lt;&gt;0,MIN('Table 2'!K25,'Table 3'!$Q25),'Table 2'!K25)</f>
        <v>52.031057662871689</v>
      </c>
      <c r="L25" s="51">
        <f>IF($Q25&lt;&gt;0,MIN('Table 2'!L25,'Table 3'!$Q25),'Table 2'!L25)</f>
        <v>54.630638966993764</v>
      </c>
      <c r="M25" s="62">
        <f>IF($Q25&lt;&gt;0,MIN('Table 2'!M25,'Table 3'!$Q25),'Table 2'!M25)</f>
        <v>52.270694573054882</v>
      </c>
      <c r="N25" s="12">
        <f>IF($Q25&lt;&gt;0,MIN('Table 2'!N25,'Table 3'!$Q25),'Table 2'!N25)</f>
        <v>51.256473308823075</v>
      </c>
      <c r="O25" s="51">
        <f>IF($Q25&lt;&gt;0,MIN('Table 2'!O25,'Table 3'!$Q25),'Table 2'!O25)</f>
        <v>50.814278409234674</v>
      </c>
      <c r="Q25" s="61">
        <f>VLOOKUP(B25,'Table 4'!$B$11:$K$41,9,FALSE)</f>
        <v>64.38</v>
      </c>
    </row>
    <row r="26" spans="2:17" ht="12.75" customHeight="1">
      <c r="B26" s="79">
        <f t="shared" si="0"/>
        <v>2025</v>
      </c>
      <c r="C26" s="81">
        <v>51.208046309857629</v>
      </c>
      <c r="D26" s="12">
        <f>IF($Q26&lt;&gt;0,MIN('Table 2'!D26,'Table 3'!$Q26),'Table 2'!D26)</f>
        <v>53.546101684060602</v>
      </c>
      <c r="E26" s="12">
        <f>IF($Q26&lt;&gt;0,MIN('Table 2'!E26,'Table 3'!$Q26),'Table 2'!E26)</f>
        <v>53.894689817926967</v>
      </c>
      <c r="F26" s="12">
        <f>IF($Q26&lt;&gt;0,MIN('Table 2'!F26,'Table 3'!$Q26),'Table 2'!F26)</f>
        <v>48.963452658127899</v>
      </c>
      <c r="G26" s="12">
        <f>IF($Q26&lt;&gt;0,MIN('Table 2'!G26,'Table 3'!$Q26),'Table 2'!G26)</f>
        <v>58.930049511438689</v>
      </c>
      <c r="H26" s="51">
        <f>IF($Q26&lt;&gt;0,MIN('Table 2'!H26,'Table 3'!$Q26),'Table 2'!H26)</f>
        <v>49.513233783996178</v>
      </c>
      <c r="I26" s="62">
        <f>IF($Q26&lt;&gt;0,MIN('Table 2'!I26,'Table 3'!$Q26),'Table 2'!I26)</f>
        <v>52.695830836274652</v>
      </c>
      <c r="J26" s="12">
        <f>IF($Q26&lt;&gt;0,MIN('Table 2'!J26,'Table 3'!$Q26),'Table 2'!J26)</f>
        <v>51.905396774826848</v>
      </c>
      <c r="K26" s="12">
        <f>IF($Q26&lt;&gt;0,MIN('Table 2'!K26,'Table 3'!$Q26),'Table 2'!K26)</f>
        <v>47.119701543326883</v>
      </c>
      <c r="L26" s="51">
        <f>IF($Q26&lt;&gt;0,MIN('Table 2'!L26,'Table 3'!$Q26),'Table 2'!L26)</f>
        <v>51.050904602941152</v>
      </c>
      <c r="M26" s="62">
        <f>IF($Q26&lt;&gt;0,MIN('Table 2'!M26,'Table 3'!$Q26),'Table 2'!M26)</f>
        <v>49.848992386148332</v>
      </c>
      <c r="N26" s="12">
        <f>IF($Q26&lt;&gt;0,MIN('Table 2'!N26,'Table 3'!$Q26),'Table 2'!N26)</f>
        <v>48.936091192809776</v>
      </c>
      <c r="O26" s="51">
        <f>IF($Q26&lt;&gt;0,MIN('Table 2'!O26,'Table 3'!$Q26),'Table 2'!O26)</f>
        <v>48.570840649905271</v>
      </c>
      <c r="Q26" s="61">
        <f>VLOOKUP(B26,'Table 4'!$B$11:$K$41,9,FALSE)</f>
        <v>62.66</v>
      </c>
    </row>
    <row r="27" spans="2:17" ht="12.75" customHeight="1">
      <c r="B27" s="79">
        <f t="shared" si="0"/>
        <v>2026</v>
      </c>
      <c r="C27" s="81">
        <v>45.646048453397768</v>
      </c>
      <c r="D27" s="12">
        <f>IF($Q27&lt;&gt;0,MIN('Table 2'!D27,'Table 3'!$Q27),'Table 2'!D27)</f>
        <v>50.628872129979918</v>
      </c>
      <c r="E27" s="12">
        <f>IF($Q27&lt;&gt;0,MIN('Table 2'!E27,'Table 3'!$Q27),'Table 2'!E27)</f>
        <v>50.284764320727867</v>
      </c>
      <c r="F27" s="12">
        <f>IF($Q27&lt;&gt;0,MIN('Table 2'!F27,'Table 3'!$Q27),'Table 2'!F27)</f>
        <v>44.188894682796523</v>
      </c>
      <c r="G27" s="12">
        <f>IF($Q27&lt;&gt;0,MIN('Table 2'!G27,'Table 3'!$Q27),'Table 2'!G27)</f>
        <v>55.636932444444867</v>
      </c>
      <c r="H27" s="51">
        <f>IF($Q27&lt;&gt;0,MIN('Table 2'!H27,'Table 3'!$Q27),'Table 2'!H27)</f>
        <v>43.08871322106252</v>
      </c>
      <c r="I27" s="62">
        <f>IF($Q27&lt;&gt;0,MIN('Table 2'!I27,'Table 3'!$Q27),'Table 2'!I27)</f>
        <v>44.767538660784176</v>
      </c>
      <c r="J27" s="12">
        <f>IF($Q27&lt;&gt;0,MIN('Table 2'!J27,'Table 3'!$Q27),'Table 2'!J27)</f>
        <v>47.122825029412262</v>
      </c>
      <c r="K27" s="12">
        <f>IF($Q27&lt;&gt;0,MIN('Table 2'!K27,'Table 3'!$Q27),'Table 2'!K27)</f>
        <v>42.085343763440527</v>
      </c>
      <c r="L27" s="51">
        <f>IF($Q27&lt;&gt;0,MIN('Table 2'!L27,'Table 3'!$Q27),'Table 2'!L27)</f>
        <v>42.11170700669873</v>
      </c>
      <c r="M27" s="62">
        <f>IF($Q27&lt;&gt;0,MIN('Table 2'!M27,'Table 3'!$Q27),'Table 2'!M27)</f>
        <v>45.207538095983729</v>
      </c>
      <c r="N27" s="12">
        <f>IF($Q27&lt;&gt;0,MIN('Table 2'!N27,'Table 3'!$Q27),'Table 2'!N27)</f>
        <v>42.646712329412011</v>
      </c>
      <c r="O27" s="51">
        <f>IF($Q27&lt;&gt;0,MIN('Table 2'!O27,'Table 3'!$Q27),'Table 2'!O27)</f>
        <v>40.514831505376542</v>
      </c>
      <c r="Q27" s="61">
        <f>VLOOKUP(B27,'Table 4'!$B$11:$K$41,9,FALSE)</f>
        <v>56.77</v>
      </c>
    </row>
    <row r="28" spans="2:17" ht="12.75" customHeight="1">
      <c r="B28" s="79">
        <f t="shared" si="0"/>
        <v>2027</v>
      </c>
      <c r="C28" s="81">
        <v>43.855800133107948</v>
      </c>
      <c r="D28" s="12">
        <f>IF($Q28&lt;&gt;0,MIN('Table 2'!D28,'Table 3'!$Q28),'Table 2'!D28)</f>
        <v>43.434581842188173</v>
      </c>
      <c r="E28" s="12">
        <f>IF($Q28&lt;&gt;0,MIN('Table 2'!E28,'Table 3'!$Q28),'Table 2'!E28)</f>
        <v>43.745897081583031</v>
      </c>
      <c r="F28" s="12">
        <f>IF($Q28&lt;&gt;0,MIN('Table 2'!F28,'Table 3'!$Q28),'Table 2'!F28)</f>
        <v>43.389746402593296</v>
      </c>
      <c r="G28" s="12">
        <f>IF($Q28&lt;&gt;0,MIN('Table 2'!G28,'Table 3'!$Q28),'Table 2'!G28)</f>
        <v>52.74</v>
      </c>
      <c r="H28" s="51">
        <f>IF($Q28&lt;&gt;0,MIN('Table 2'!H28,'Table 3'!$Q28),'Table 2'!H28)</f>
        <v>43.546453586654302</v>
      </c>
      <c r="I28" s="62">
        <f>IF($Q28&lt;&gt;0,MIN('Table 2'!I28,'Table 3'!$Q28),'Table 2'!I28)</f>
        <v>44.977889890687337</v>
      </c>
      <c r="J28" s="12">
        <f>IF($Q28&lt;&gt;0,MIN('Table 2'!J28,'Table 3'!$Q28),'Table 2'!J28)</f>
        <v>44.45756681846958</v>
      </c>
      <c r="K28" s="12">
        <f>IF($Q28&lt;&gt;0,MIN('Table 2'!K28,'Table 3'!$Q28),'Table 2'!K28)</f>
        <v>40.899833354206869</v>
      </c>
      <c r="L28" s="51">
        <f>IF($Q28&lt;&gt;0,MIN('Table 2'!L28,'Table 3'!$Q28),'Table 2'!L28)</f>
        <v>41.028123795750481</v>
      </c>
      <c r="M28" s="62">
        <f>IF($Q28&lt;&gt;0,MIN('Table 2'!M28,'Table 3'!$Q28),'Table 2'!M28)</f>
        <v>42.813032757589369</v>
      </c>
      <c r="N28" s="12">
        <f>IF($Q28&lt;&gt;0,MIN('Table 2'!N28,'Table 3'!$Q28),'Table 2'!N28)</f>
        <v>43.926496575163078</v>
      </c>
      <c r="O28" s="51">
        <f>IF($Q28&lt;&gt;0,MIN('Table 2'!O28,'Table 3'!$Q28),'Table 2'!O28)</f>
        <v>41.309979492409894</v>
      </c>
      <c r="Q28" s="61">
        <f>VLOOKUP(B28,'Table 4'!$B$11:$K$41,9,FALSE)</f>
        <v>52.74</v>
      </c>
    </row>
    <row r="29" spans="2:17" ht="12.75" customHeight="1">
      <c r="B29" s="79">
        <f t="shared" si="0"/>
        <v>2028</v>
      </c>
      <c r="C29" s="81">
        <v>47.598682554617973</v>
      </c>
      <c r="D29" s="12">
        <f>IF($Q29&lt;&gt;0,MIN('Table 2'!D29,'Table 3'!$Q29),'Table 2'!D29)</f>
        <v>43.043833606895163</v>
      </c>
      <c r="E29" s="12">
        <f>IF($Q29&lt;&gt;0,MIN('Table 2'!E29,'Table 3'!$Q29),'Table 2'!E29)</f>
        <v>42.701968512508294</v>
      </c>
      <c r="F29" s="12">
        <f>IF($Q29&lt;&gt;0,MIN('Table 2'!F29,'Table 3'!$Q29),'Table 2'!F29)</f>
        <v>42.626307101517554</v>
      </c>
      <c r="G29" s="12">
        <f>IF($Q29&lt;&gt;0,MIN('Table 2'!G29,'Table 3'!$Q29),'Table 2'!G29)</f>
        <v>59.39499923186267</v>
      </c>
      <c r="H29" s="51">
        <f>IF($Q29&lt;&gt;0,MIN('Table 2'!H29,'Table 3'!$Q29),'Table 2'!H29)</f>
        <v>46.364003935800291</v>
      </c>
      <c r="I29" s="62">
        <f>IF($Q29&lt;&gt;0,MIN('Table 2'!I29,'Table 3'!$Q29),'Table 2'!I29)</f>
        <v>48.641282299019736</v>
      </c>
      <c r="J29" s="12">
        <f>IF($Q29&lt;&gt;0,MIN('Table 2'!J29,'Table 3'!$Q29),'Table 2'!J29)</f>
        <v>51.575930776406999</v>
      </c>
      <c r="K29" s="12">
        <f>IF($Q29&lt;&gt;0,MIN('Table 2'!K29,'Table 3'!$Q29),'Table 2'!K29)</f>
        <v>46.520568951610933</v>
      </c>
      <c r="L29" s="51">
        <f>IF($Q29&lt;&gt;0,MIN('Table 2'!L29,'Table 3'!$Q29),'Table 2'!L29)</f>
        <v>50.642638008824363</v>
      </c>
      <c r="M29" s="62">
        <f>IF($Q29&lt;&gt;0,MIN('Table 2'!M29,'Table 3'!$Q29),'Table 2'!M29)</f>
        <v>50.239496762334248</v>
      </c>
      <c r="N29" s="12">
        <f>IF($Q29&lt;&gt;0,MIN('Table 2'!N29,'Table 3'!$Q29),'Table 2'!N29)</f>
        <v>45.276552745097995</v>
      </c>
      <c r="O29" s="51">
        <f>IF($Q29&lt;&gt;0,MIN('Table 2'!O29,'Table 3'!$Q29),'Table 2'!O29)</f>
        <v>44.278134981024913</v>
      </c>
      <c r="Q29" s="61">
        <f>VLOOKUP(B29,'Table 4'!$B$11:$K$41,9,FALSE)</f>
        <v>59.75</v>
      </c>
    </row>
    <row r="30" spans="2:17" ht="12.75" customHeight="1">
      <c r="B30" s="79">
        <f t="shared" si="0"/>
        <v>2029</v>
      </c>
      <c r="C30" s="81">
        <v>48.598521957467185</v>
      </c>
      <c r="D30" s="12">
        <f>IF($Q30&lt;&gt;0,MIN('Table 2'!D30,'Table 3'!$Q30),'Table 2'!D30)</f>
        <v>44.592503798229458</v>
      </c>
      <c r="E30" s="12">
        <f>IF($Q30&lt;&gt;0,MIN('Table 2'!E30,'Table 3'!$Q30),'Table 2'!E30)</f>
        <v>44.736601335783838</v>
      </c>
      <c r="F30" s="12">
        <f>IF($Q30&lt;&gt;0,MIN('Table 2'!F30,'Table 3'!$Q30),'Table 2'!F30)</f>
        <v>44.340881688804245</v>
      </c>
      <c r="G30" s="12">
        <f>IF($Q30&lt;&gt;0,MIN('Table 2'!G30,'Table 3'!$Q30),'Table 2'!G30)</f>
        <v>61.178798220588099</v>
      </c>
      <c r="H30" s="51">
        <f>IF($Q30&lt;&gt;0,MIN('Table 2'!H30,'Table 3'!$Q30),'Table 2'!H30)</f>
        <v>46.836053117173783</v>
      </c>
      <c r="I30" s="62">
        <f>IF($Q30&lt;&gt;0,MIN('Table 2'!I30,'Table 3'!$Q30),'Table 2'!I30)</f>
        <v>51.225634440031705</v>
      </c>
      <c r="J30" s="12">
        <f>IF($Q30&lt;&gt;0,MIN('Table 2'!J30,'Table 3'!$Q30),'Table 2'!J30)</f>
        <v>51.9469453526252</v>
      </c>
      <c r="K30" s="12">
        <f>IF($Q30&lt;&gt;0,MIN('Table 2'!K30,'Table 3'!$Q30),'Table 2'!K30)</f>
        <v>46.963262735610705</v>
      </c>
      <c r="L30" s="51">
        <f>IF($Q30&lt;&gt;0,MIN('Table 2'!L30,'Table 3'!$Q30),'Table 2'!L30)</f>
        <v>46.787722308824655</v>
      </c>
      <c r="M30" s="62">
        <f>IF($Q30&lt;&gt;0,MIN('Table 2'!M30,'Table 3'!$Q30),'Table 2'!M30)</f>
        <v>51.426306954932919</v>
      </c>
      <c r="N30" s="12">
        <f>IF($Q30&lt;&gt;0,MIN('Table 2'!N30,'Table 3'!$Q30),'Table 2'!N30)</f>
        <v>47.7671180725497</v>
      </c>
      <c r="O30" s="51">
        <f>IF($Q30&lt;&gt;0,MIN('Table 2'!O30,'Table 3'!$Q30),'Table 2'!O30)</f>
        <v>45.412029765970452</v>
      </c>
      <c r="Q30" s="61">
        <f>VLOOKUP(B30,'Table 4'!$B$11:$K$41,9,FALSE)</f>
        <v>61.62</v>
      </c>
    </row>
    <row r="31" spans="2:17" ht="12.75" customHeight="1">
      <c r="B31" s="80">
        <f t="shared" si="0"/>
        <v>2030</v>
      </c>
      <c r="C31" s="82">
        <v>49.778934151061755</v>
      </c>
      <c r="D31" s="21">
        <f>IF($Q31&lt;&gt;0,MIN('Table 2'!D31,'Table 3'!$Q31),'Table 2'!D31)</f>
        <v>46.911597803131379</v>
      </c>
      <c r="E31" s="21">
        <f>IF($Q31&lt;&gt;0,MIN('Table 2'!E31,'Table 3'!$Q31),'Table 2'!E31)</f>
        <v>46.859660435923971</v>
      </c>
      <c r="F31" s="21">
        <f>IF($Q31&lt;&gt;0,MIN('Table 2'!F31,'Table 3'!$Q31),'Table 2'!F31)</f>
        <v>45.418864605470709</v>
      </c>
      <c r="G31" s="21">
        <f>IF($Q31&lt;&gt;0,MIN('Table 2'!G31,'Table 3'!$Q31),'Table 2'!G31)</f>
        <v>62.59</v>
      </c>
      <c r="H31" s="52">
        <f>IF($Q31&lt;&gt;0,MIN('Table 2'!H31,'Table 3'!$Q31),'Table 2'!H31)</f>
        <v>49.77961276407288</v>
      </c>
      <c r="I31" s="125">
        <f>IF($Q31&lt;&gt;0,MIN('Table 2'!I31,'Table 3'!$Q31),'Table 2'!I31)</f>
        <v>52.638645156863468</v>
      </c>
      <c r="J31" s="21">
        <f>IF($Q31&lt;&gt;0,MIN('Table 2'!J31,'Table 3'!$Q31),'Table 2'!J31)</f>
        <v>52.424368634408104</v>
      </c>
      <c r="K31" s="21">
        <f>IF($Q31&lt;&gt;0,MIN('Table 2'!K31,'Table 3'!$Q31),'Table 2'!K31)</f>
        <v>45.499822317044959</v>
      </c>
      <c r="L31" s="52">
        <f>IF($Q31&lt;&gt;0,MIN('Table 2'!L31,'Table 3'!$Q31),'Table 2'!L31)</f>
        <v>46.642633184640623</v>
      </c>
      <c r="M31" s="125">
        <f>IF($Q31&lt;&gt;0,MIN('Table 2'!M31,'Table 3'!$Q31),'Table 2'!M31)</f>
        <v>50.687394057559217</v>
      </c>
      <c r="N31" s="21">
        <f>IF($Q31&lt;&gt;0,MIN('Table 2'!N31,'Table 3'!$Q31),'Table 2'!N31)</f>
        <v>49.868794501634206</v>
      </c>
      <c r="O31" s="52">
        <f>IF($Q31&lt;&gt;0,MIN('Table 2'!O31,'Table 3'!$Q31),'Table 2'!O31)</f>
        <v>48.025816351991523</v>
      </c>
      <c r="Q31" s="126">
        <f>VLOOKUP(B31,'Table 4'!$B$11:$K$41,9,FALSE)</f>
        <v>62.59</v>
      </c>
    </row>
    <row r="32" spans="2:17" ht="12.75" customHeight="1">
      <c r="D32" s="19"/>
      <c r="E32" s="19"/>
      <c r="F32" s="19"/>
      <c r="M32" s="27"/>
    </row>
    <row r="33" spans="3:14">
      <c r="C33" s="6" t="s">
        <v>52</v>
      </c>
    </row>
    <row r="34" spans="3:14">
      <c r="C34" s="83" t="s">
        <v>50</v>
      </c>
      <c r="D34" s="83"/>
      <c r="E34" s="83"/>
      <c r="F34" s="83"/>
      <c r="G34" s="83"/>
      <c r="M34" s="6"/>
      <c r="N34" s="8"/>
    </row>
  </sheetData>
  <phoneticPr fontId="6" type="noConversion"/>
  <conditionalFormatting sqref="D13:O31">
    <cfRule type="cellIs" dxfId="0" priority="1" stopIfTrue="1" operator="equal">
      <formula>$Q13</formula>
    </cfRule>
  </conditionalFormatting>
  <printOptions horizontalCentered="1"/>
  <pageMargins left="0.8" right="0.3" top="0.4" bottom="0.4" header="0.5" footer="0.2"/>
  <pageSetup scale="96" orientation="landscape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B1:O91"/>
  <sheetViews>
    <sheetView zoomScale="85" zoomScaleNormal="85" zoomScaleSheetLayoutView="85" workbookViewId="0">
      <pane xSplit="2" ySplit="10" topLeftCell="C11" activePane="bottomRight" state="frozen"/>
      <selection activeCell="B38" sqref="B38"/>
      <selection pane="topRight" activeCell="B38" sqref="B38"/>
      <selection pane="bottomLeft" activeCell="B38" sqref="B38"/>
      <selection pane="bottomRight" activeCell="B38" sqref="B38"/>
    </sheetView>
  </sheetViews>
  <sheetFormatPr defaultRowHeight="12.75"/>
  <cols>
    <col min="1" max="1" width="2.83203125" style="6" customWidth="1"/>
    <col min="2" max="2" width="10.83203125" style="6" customWidth="1"/>
    <col min="3" max="3" width="14.1640625" style="6" customWidth="1"/>
    <col min="4" max="4" width="12.33203125" style="6" customWidth="1"/>
    <col min="5" max="5" width="9.1640625" style="6" customWidth="1"/>
    <col min="6" max="6" width="10.5" style="6" customWidth="1"/>
    <col min="7" max="7" width="10.5" style="6" bestFit="1" customWidth="1"/>
    <col min="8" max="8" width="11.6640625" style="6" bestFit="1" customWidth="1"/>
    <col min="9" max="9" width="11.1640625" style="6" customWidth="1"/>
    <col min="10" max="10" width="12" style="6" bestFit="1" customWidth="1"/>
    <col min="11" max="11" width="12" style="6" customWidth="1"/>
    <col min="12" max="13" width="9.33203125" style="6"/>
    <col min="14" max="15" width="9.33203125" style="6" customWidth="1"/>
    <col min="16" max="16384" width="9.33203125" style="6"/>
  </cols>
  <sheetData>
    <row r="1" spans="2:14" ht="15.75">
      <c r="B1" s="1" t="s">
        <v>78</v>
      </c>
      <c r="C1" s="47"/>
      <c r="D1" s="47"/>
      <c r="E1" s="47"/>
      <c r="F1" s="47"/>
      <c r="G1" s="47"/>
      <c r="H1" s="47"/>
      <c r="I1" s="47"/>
      <c r="J1" s="47"/>
      <c r="K1" s="47"/>
    </row>
    <row r="2" spans="2:14" ht="15.75">
      <c r="B2" s="1"/>
      <c r="C2" s="47"/>
      <c r="D2" s="47"/>
      <c r="E2" s="47"/>
      <c r="F2" s="47"/>
      <c r="G2" s="47"/>
      <c r="H2" s="47"/>
      <c r="I2" s="47"/>
      <c r="J2" s="47"/>
      <c r="K2" s="47"/>
    </row>
    <row r="3" spans="2:14" ht="15.75">
      <c r="B3" s="1" t="str">
        <f>"Table "&amp;RIGHT('Table 3'!B3,1)+1</f>
        <v>Table 4</v>
      </c>
      <c r="C3" s="47"/>
      <c r="D3" s="47"/>
      <c r="E3" s="47"/>
      <c r="F3" s="47"/>
      <c r="G3" s="47"/>
      <c r="H3" s="47"/>
      <c r="I3" s="47"/>
      <c r="J3" s="47"/>
      <c r="K3" s="47"/>
    </row>
    <row r="4" spans="2:14" ht="15.75">
      <c r="B4" s="1" t="s">
        <v>90</v>
      </c>
      <c r="C4" s="47"/>
      <c r="D4" s="47"/>
      <c r="E4" s="47"/>
      <c r="F4" s="47"/>
      <c r="G4" s="47"/>
      <c r="H4" s="47"/>
      <c r="I4" s="47"/>
      <c r="J4" s="47"/>
      <c r="K4" s="47"/>
    </row>
    <row r="5" spans="2:14" ht="15.75">
      <c r="B5" s="1" t="str">
        <f>C52</f>
        <v>CCCT (Dry "F" 2x1)  - East Side Resource (4500')</v>
      </c>
      <c r="C5" s="47"/>
      <c r="D5" s="47"/>
      <c r="E5" s="47"/>
      <c r="F5" s="47"/>
      <c r="G5" s="47"/>
      <c r="H5" s="47"/>
      <c r="I5" s="47"/>
      <c r="J5" s="47"/>
      <c r="K5" s="47"/>
    </row>
    <row r="6" spans="2:14" ht="15.75">
      <c r="B6" s="1"/>
      <c r="C6" s="47"/>
      <c r="D6" s="47"/>
      <c r="E6" s="47"/>
      <c r="F6" s="47"/>
      <c r="G6" s="47"/>
      <c r="H6" s="47"/>
      <c r="I6" s="47"/>
      <c r="K6" s="86"/>
    </row>
    <row r="7" spans="2:14">
      <c r="B7" s="54"/>
      <c r="C7" s="54"/>
      <c r="D7" s="54"/>
      <c r="E7" s="54"/>
      <c r="F7" s="54"/>
      <c r="G7" s="54"/>
      <c r="H7" s="54"/>
      <c r="I7" s="47"/>
      <c r="J7" s="8"/>
      <c r="K7" s="8"/>
      <c r="L7" s="8"/>
      <c r="M7" s="8"/>
      <c r="N7" s="8"/>
    </row>
    <row r="8" spans="2:14" ht="51.75" customHeight="1">
      <c r="B8" s="87" t="s">
        <v>0</v>
      </c>
      <c r="C8" s="88" t="s">
        <v>11</v>
      </c>
      <c r="D8" s="88" t="s">
        <v>12</v>
      </c>
      <c r="E8" s="88" t="s">
        <v>13</v>
      </c>
      <c r="F8" s="88" t="s">
        <v>14</v>
      </c>
      <c r="G8" s="88" t="s">
        <v>15</v>
      </c>
      <c r="H8" s="88" t="s">
        <v>16</v>
      </c>
      <c r="I8" s="89" t="s">
        <v>42</v>
      </c>
      <c r="J8" s="89" t="s">
        <v>103</v>
      </c>
      <c r="K8" s="88" t="s">
        <v>104</v>
      </c>
      <c r="L8" s="8"/>
    </row>
    <row r="9" spans="2:14" ht="18.75" customHeight="1">
      <c r="B9" s="90"/>
      <c r="C9" s="91" t="s">
        <v>9</v>
      </c>
      <c r="D9" s="92" t="s">
        <v>10</v>
      </c>
      <c r="E9" s="92" t="s">
        <v>10</v>
      </c>
      <c r="F9" s="91" t="s">
        <v>64</v>
      </c>
      <c r="G9" s="92" t="s">
        <v>10</v>
      </c>
      <c r="H9" s="92" t="s">
        <v>10</v>
      </c>
      <c r="I9" s="92" t="s">
        <v>43</v>
      </c>
      <c r="J9" s="91" t="s">
        <v>64</v>
      </c>
      <c r="K9" s="91" t="s">
        <v>64</v>
      </c>
      <c r="L9" s="8"/>
    </row>
    <row r="10" spans="2:14"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8</v>
      </c>
      <c r="I10" s="2" t="s">
        <v>44</v>
      </c>
      <c r="J10" s="2" t="s">
        <v>45</v>
      </c>
      <c r="K10" s="2" t="s">
        <v>54</v>
      </c>
    </row>
    <row r="11" spans="2:14" ht="6" customHeight="1"/>
    <row r="12" spans="2:14" ht="15.75">
      <c r="B12" s="170" t="str">
        <f>C52</f>
        <v>CCCT (Dry "F" 2x1)  - East Side Resource (4500')</v>
      </c>
      <c r="C12" s="8"/>
      <c r="E12" s="8"/>
      <c r="F12" s="8"/>
      <c r="G12" s="8"/>
      <c r="H12" s="8"/>
      <c r="I12" s="54"/>
      <c r="J12" s="54"/>
      <c r="K12" s="54"/>
      <c r="L12" s="8"/>
    </row>
    <row r="13" spans="2:14" ht="4.5" customHeight="1">
      <c r="B13" s="104"/>
      <c r="C13" s="149"/>
      <c r="D13" s="150"/>
      <c r="E13" s="10"/>
      <c r="F13" s="10"/>
      <c r="G13" s="48"/>
      <c r="H13" s="48"/>
      <c r="I13" s="48"/>
      <c r="J13" s="48"/>
      <c r="K13" s="48"/>
    </row>
    <row r="14" spans="2:14">
      <c r="B14" s="104">
        <v>2009</v>
      </c>
      <c r="C14" s="149">
        <f>$H$58</f>
        <v>1127</v>
      </c>
      <c r="D14" s="150">
        <f>ROUND(C14*$C$74,2)</f>
        <v>93.05</v>
      </c>
      <c r="E14" s="10">
        <f>$I$58</f>
        <v>8.7100000000000009</v>
      </c>
      <c r="F14" s="10">
        <f>$J$63</f>
        <v>9.2100000000000009</v>
      </c>
      <c r="G14" s="48">
        <f>ROUND(F14*(8.76*$G$63)+E14,2)</f>
        <v>48</v>
      </c>
      <c r="H14" s="48">
        <f>ROUND(D14+G14,2)</f>
        <v>141.05000000000001</v>
      </c>
      <c r="I14" s="48"/>
      <c r="J14" s="48"/>
      <c r="K14" s="48"/>
    </row>
    <row r="15" spans="2:14">
      <c r="B15" s="104">
        <f t="shared" ref="B15:B29" si="0">B14+1</f>
        <v>2010</v>
      </c>
      <c r="C15" s="151"/>
      <c r="D15" s="150">
        <f>ROUND(D14*(1+$D82),2)</f>
        <v>94.26</v>
      </c>
      <c r="E15" s="150">
        <f t="shared" ref="E15:F22" si="1">ROUND(E14*(1+$D82),2)</f>
        <v>8.82</v>
      </c>
      <c r="F15" s="150">
        <f t="shared" si="1"/>
        <v>9.33</v>
      </c>
      <c r="G15" s="152">
        <f t="shared" ref="G15:G40" si="2">ROUND(F15*(8.76*$G$63)+E15,2)</f>
        <v>48.62</v>
      </c>
      <c r="H15" s="152">
        <f t="shared" ref="H15:H29" si="3">ROUND(D15+G15,2)</f>
        <v>142.88</v>
      </c>
      <c r="I15" s="48"/>
      <c r="J15" s="48"/>
      <c r="K15" s="48"/>
    </row>
    <row r="16" spans="2:14">
      <c r="B16" s="104">
        <f t="shared" si="0"/>
        <v>2011</v>
      </c>
      <c r="C16" s="151"/>
      <c r="D16" s="150">
        <f t="shared" ref="D16:D22" si="4">ROUND(D15*(1+$D83),2)</f>
        <v>95.39</v>
      </c>
      <c r="E16" s="150">
        <f t="shared" si="1"/>
        <v>8.93</v>
      </c>
      <c r="F16" s="150">
        <f t="shared" si="1"/>
        <v>9.44</v>
      </c>
      <c r="G16" s="48">
        <f t="shared" si="2"/>
        <v>49.2</v>
      </c>
      <c r="H16" s="48">
        <f t="shared" si="3"/>
        <v>144.59</v>
      </c>
      <c r="I16" s="48"/>
      <c r="J16" s="48"/>
      <c r="K16" s="48"/>
    </row>
    <row r="17" spans="2:11">
      <c r="B17" s="104">
        <f t="shared" si="0"/>
        <v>2012</v>
      </c>
      <c r="C17" s="151"/>
      <c r="D17" s="152">
        <f t="shared" si="4"/>
        <v>96.82</v>
      </c>
      <c r="E17" s="152">
        <f t="shared" si="1"/>
        <v>9.06</v>
      </c>
      <c r="F17" s="152">
        <f t="shared" si="1"/>
        <v>9.58</v>
      </c>
      <c r="G17" s="48">
        <f t="shared" si="2"/>
        <v>49.93</v>
      </c>
      <c r="H17" s="48">
        <f t="shared" si="3"/>
        <v>146.75</v>
      </c>
      <c r="I17" s="48"/>
      <c r="J17" s="48"/>
      <c r="K17" s="48"/>
    </row>
    <row r="18" spans="2:11">
      <c r="B18" s="104">
        <f>B17+1</f>
        <v>2013</v>
      </c>
      <c r="C18" s="151"/>
      <c r="D18" s="152">
        <f t="shared" si="4"/>
        <v>98.56</v>
      </c>
      <c r="E18" s="152">
        <f t="shared" si="1"/>
        <v>9.2200000000000006</v>
      </c>
      <c r="F18" s="152">
        <f t="shared" si="1"/>
        <v>9.75</v>
      </c>
      <c r="G18" s="48">
        <f t="shared" si="2"/>
        <v>50.81</v>
      </c>
      <c r="H18" s="48">
        <f t="shared" si="3"/>
        <v>149.37</v>
      </c>
      <c r="I18" s="48"/>
      <c r="J18" s="48"/>
      <c r="K18" s="48"/>
    </row>
    <row r="19" spans="2:11">
      <c r="B19" s="104">
        <f t="shared" si="0"/>
        <v>2014</v>
      </c>
      <c r="C19" s="151"/>
      <c r="D19" s="48">
        <f t="shared" si="4"/>
        <v>100.53</v>
      </c>
      <c r="E19" s="150">
        <f t="shared" si="1"/>
        <v>9.4</v>
      </c>
      <c r="F19" s="150">
        <f t="shared" si="1"/>
        <v>9.9499999999999993</v>
      </c>
      <c r="G19" s="48">
        <f t="shared" si="2"/>
        <v>51.85</v>
      </c>
      <c r="H19" s="48">
        <f t="shared" si="3"/>
        <v>152.38</v>
      </c>
      <c r="I19" s="48"/>
      <c r="J19" s="48"/>
      <c r="K19" s="48"/>
    </row>
    <row r="20" spans="2:11">
      <c r="B20" s="104">
        <f t="shared" si="0"/>
        <v>2015</v>
      </c>
      <c r="C20" s="151"/>
      <c r="D20" s="48">
        <f t="shared" si="4"/>
        <v>102.54</v>
      </c>
      <c r="E20" s="150">
        <f t="shared" si="1"/>
        <v>9.59</v>
      </c>
      <c r="F20" s="150">
        <f t="shared" si="1"/>
        <v>10.15</v>
      </c>
      <c r="G20" s="48">
        <f t="shared" si="2"/>
        <v>52.89</v>
      </c>
      <c r="H20" s="48">
        <f t="shared" si="3"/>
        <v>155.43</v>
      </c>
      <c r="I20" s="48"/>
      <c r="J20" s="48"/>
      <c r="K20" s="48"/>
    </row>
    <row r="21" spans="2:11">
      <c r="B21" s="104">
        <f t="shared" si="0"/>
        <v>2016</v>
      </c>
      <c r="C21" s="151"/>
      <c r="D21" s="48">
        <f t="shared" si="4"/>
        <v>104.59</v>
      </c>
      <c r="E21" s="150">
        <f t="shared" si="1"/>
        <v>9.7799999999999994</v>
      </c>
      <c r="F21" s="150">
        <f t="shared" si="1"/>
        <v>10.35</v>
      </c>
      <c r="G21" s="48">
        <f t="shared" si="2"/>
        <v>53.93</v>
      </c>
      <c r="H21" s="48">
        <f t="shared" si="3"/>
        <v>158.52000000000001</v>
      </c>
      <c r="I21" s="48"/>
      <c r="J21" s="48"/>
      <c r="K21" s="48"/>
    </row>
    <row r="22" spans="2:11" ht="13.5" thickBot="1">
      <c r="B22" s="153">
        <f t="shared" si="0"/>
        <v>2017</v>
      </c>
      <c r="C22" s="154"/>
      <c r="D22" s="155">
        <f t="shared" si="4"/>
        <v>106.68</v>
      </c>
      <c r="E22" s="155">
        <f t="shared" si="1"/>
        <v>9.98</v>
      </c>
      <c r="F22" s="155">
        <f t="shared" si="1"/>
        <v>10.56</v>
      </c>
      <c r="G22" s="156">
        <f t="shared" si="2"/>
        <v>55.03</v>
      </c>
      <c r="H22" s="156">
        <f t="shared" si="3"/>
        <v>161.71</v>
      </c>
      <c r="I22" s="156"/>
      <c r="J22" s="156"/>
      <c r="K22" s="156"/>
    </row>
    <row r="23" spans="2:11">
      <c r="B23" s="104">
        <f t="shared" si="0"/>
        <v>2018</v>
      </c>
      <c r="C23" s="151"/>
      <c r="D23" s="150">
        <f t="shared" ref="D23:D31" si="5">ROUND(D22*(1+$G81),2)</f>
        <v>108.81</v>
      </c>
      <c r="E23" s="150">
        <f t="shared" ref="E23:E31" si="6">ROUND(E22*(1+$G81),2)</f>
        <v>10.18</v>
      </c>
      <c r="F23" s="150">
        <f t="shared" ref="F23:F31" si="7">ROUND(F22*(1+$G81),2)</f>
        <v>10.77</v>
      </c>
      <c r="G23" s="48">
        <f t="shared" si="2"/>
        <v>56.13</v>
      </c>
      <c r="H23" s="48">
        <f t="shared" si="3"/>
        <v>164.94</v>
      </c>
      <c r="I23" s="48">
        <f>VLOOKUP(B23,'Table 5'!$B$12:$C$39,2,FALSE)</f>
        <v>6.88</v>
      </c>
      <c r="J23" s="48">
        <f t="shared" ref="J23:J35" si="8">ROUND($K$63*I23/1000,2)</f>
        <v>51.32</v>
      </c>
      <c r="K23" s="48">
        <f t="shared" ref="K23:K29" si="9">ROUND(H23*1000/8760/$G$63+J23,2)</f>
        <v>89.98</v>
      </c>
    </row>
    <row r="24" spans="2:11">
      <c r="B24" s="104">
        <f t="shared" si="0"/>
        <v>2019</v>
      </c>
      <c r="C24" s="151"/>
      <c r="D24" s="48">
        <f t="shared" si="5"/>
        <v>110.88</v>
      </c>
      <c r="E24" s="150">
        <f t="shared" si="6"/>
        <v>10.37</v>
      </c>
      <c r="F24" s="150">
        <f t="shared" si="7"/>
        <v>10.97</v>
      </c>
      <c r="G24" s="48">
        <f t="shared" si="2"/>
        <v>57.17</v>
      </c>
      <c r="H24" s="48">
        <f t="shared" si="3"/>
        <v>168.05</v>
      </c>
      <c r="I24" s="48">
        <f>VLOOKUP(B24,'Table 5'!$B$12:$C$39,2,FALSE)</f>
        <v>7.22</v>
      </c>
      <c r="J24" s="48">
        <f t="shared" si="8"/>
        <v>53.86</v>
      </c>
      <c r="K24" s="48">
        <f t="shared" si="9"/>
        <v>93.25</v>
      </c>
    </row>
    <row r="25" spans="2:11">
      <c r="B25" s="104">
        <f t="shared" si="0"/>
        <v>2020</v>
      </c>
      <c r="C25" s="151"/>
      <c r="D25" s="48">
        <f t="shared" si="5"/>
        <v>112.99</v>
      </c>
      <c r="E25" s="150">
        <f t="shared" si="6"/>
        <v>10.57</v>
      </c>
      <c r="F25" s="150">
        <f t="shared" si="7"/>
        <v>11.18</v>
      </c>
      <c r="G25" s="48">
        <f t="shared" si="2"/>
        <v>58.27</v>
      </c>
      <c r="H25" s="48">
        <f t="shared" si="3"/>
        <v>171.26</v>
      </c>
      <c r="I25" s="48">
        <f>VLOOKUP(B25,'Table 5'!$B$12:$C$39,2,FALSE)</f>
        <v>7.32</v>
      </c>
      <c r="J25" s="48">
        <f t="shared" si="8"/>
        <v>54.61</v>
      </c>
      <c r="K25" s="48">
        <f t="shared" si="9"/>
        <v>94.75</v>
      </c>
    </row>
    <row r="26" spans="2:11">
      <c r="B26" s="104">
        <f t="shared" si="0"/>
        <v>2021</v>
      </c>
      <c r="C26" s="151"/>
      <c r="D26" s="48">
        <f t="shared" si="5"/>
        <v>114.91</v>
      </c>
      <c r="E26" s="150">
        <f t="shared" si="6"/>
        <v>10.75</v>
      </c>
      <c r="F26" s="150">
        <f t="shared" si="7"/>
        <v>11.37</v>
      </c>
      <c r="G26" s="48">
        <f t="shared" si="2"/>
        <v>59.26</v>
      </c>
      <c r="H26" s="48">
        <f t="shared" si="3"/>
        <v>174.17</v>
      </c>
      <c r="I26" s="48">
        <f>VLOOKUP(B26,'Table 5'!$B$12:$C$39,2,FALSE)</f>
        <v>7.41</v>
      </c>
      <c r="J26" s="48">
        <f t="shared" si="8"/>
        <v>55.28</v>
      </c>
      <c r="K26" s="48">
        <f t="shared" si="9"/>
        <v>96.11</v>
      </c>
    </row>
    <row r="27" spans="2:11">
      <c r="B27" s="104">
        <f t="shared" si="0"/>
        <v>2022</v>
      </c>
      <c r="C27" s="151"/>
      <c r="D27" s="48">
        <f t="shared" si="5"/>
        <v>116.98</v>
      </c>
      <c r="E27" s="150">
        <f t="shared" si="6"/>
        <v>10.94</v>
      </c>
      <c r="F27" s="150">
        <f t="shared" si="7"/>
        <v>11.57</v>
      </c>
      <c r="G27" s="48">
        <f t="shared" si="2"/>
        <v>60.3</v>
      </c>
      <c r="H27" s="48">
        <f t="shared" si="3"/>
        <v>177.28</v>
      </c>
      <c r="I27" s="48">
        <f>VLOOKUP(B27,'Table 5'!$B$12:$C$39,2,FALSE)</f>
        <v>7.63</v>
      </c>
      <c r="J27" s="48">
        <f t="shared" si="8"/>
        <v>56.92</v>
      </c>
      <c r="K27" s="48">
        <f t="shared" si="9"/>
        <v>98.48</v>
      </c>
    </row>
    <row r="28" spans="2:11">
      <c r="B28" s="104">
        <f t="shared" si="0"/>
        <v>2023</v>
      </c>
      <c r="C28" s="151"/>
      <c r="D28" s="48">
        <f t="shared" si="5"/>
        <v>119.2</v>
      </c>
      <c r="E28" s="150">
        <f t="shared" si="6"/>
        <v>11.15</v>
      </c>
      <c r="F28" s="150">
        <f t="shared" si="7"/>
        <v>11.79</v>
      </c>
      <c r="G28" s="48">
        <f t="shared" si="2"/>
        <v>61.45</v>
      </c>
      <c r="H28" s="48">
        <f t="shared" si="3"/>
        <v>180.65</v>
      </c>
      <c r="I28" s="48">
        <f>VLOOKUP(B28,'Table 5'!$B$12:$C$39,2,FALSE)</f>
        <v>8.1</v>
      </c>
      <c r="J28" s="48">
        <f t="shared" si="8"/>
        <v>60.43</v>
      </c>
      <c r="K28" s="48">
        <f t="shared" si="9"/>
        <v>102.78</v>
      </c>
    </row>
    <row r="29" spans="2:11">
      <c r="B29" s="104">
        <f t="shared" si="0"/>
        <v>2024</v>
      </c>
      <c r="C29" s="151"/>
      <c r="D29" s="48">
        <f t="shared" si="5"/>
        <v>121.46</v>
      </c>
      <c r="E29" s="150">
        <f t="shared" si="6"/>
        <v>11.36</v>
      </c>
      <c r="F29" s="150">
        <f t="shared" si="7"/>
        <v>12.01</v>
      </c>
      <c r="G29" s="48">
        <f t="shared" si="2"/>
        <v>62.6</v>
      </c>
      <c r="H29" s="48">
        <f t="shared" si="3"/>
        <v>184.06</v>
      </c>
      <c r="I29" s="48">
        <f>VLOOKUP(B29,'Table 5'!$B$12:$C$39,2,FALSE)</f>
        <v>8.6300000000000008</v>
      </c>
      <c r="J29" s="48">
        <f t="shared" si="8"/>
        <v>64.38</v>
      </c>
      <c r="K29" s="48">
        <f t="shared" si="9"/>
        <v>107.52</v>
      </c>
    </row>
    <row r="30" spans="2:11">
      <c r="B30" s="104">
        <f t="shared" ref="B30:B40" si="10">B29+1</f>
        <v>2025</v>
      </c>
      <c r="C30" s="151"/>
      <c r="D30" s="48">
        <f t="shared" si="5"/>
        <v>123.77</v>
      </c>
      <c r="E30" s="150">
        <f t="shared" si="6"/>
        <v>11.58</v>
      </c>
      <c r="F30" s="150">
        <f t="shared" si="7"/>
        <v>12.24</v>
      </c>
      <c r="G30" s="48">
        <f t="shared" si="2"/>
        <v>63.8</v>
      </c>
      <c r="H30" s="48">
        <f t="shared" ref="H30:H35" si="11">ROUND(D30+G30,2)</f>
        <v>187.57</v>
      </c>
      <c r="I30" s="48">
        <f>VLOOKUP(B30,'Table 5'!$B$12:$C$39,2,FALSE)</f>
        <v>8.4</v>
      </c>
      <c r="J30" s="48">
        <f t="shared" si="8"/>
        <v>62.66</v>
      </c>
      <c r="K30" s="48">
        <f t="shared" ref="K30:K35" si="12">ROUND(H30*1000/8760/$G$63+J30,2)</f>
        <v>106.63</v>
      </c>
    </row>
    <row r="31" spans="2:11">
      <c r="B31" s="104">
        <f t="shared" si="10"/>
        <v>2026</v>
      </c>
      <c r="C31" s="151"/>
      <c r="D31" s="48">
        <f t="shared" si="5"/>
        <v>126.12</v>
      </c>
      <c r="E31" s="150">
        <f t="shared" si="6"/>
        <v>11.8</v>
      </c>
      <c r="F31" s="150">
        <f t="shared" si="7"/>
        <v>12.47</v>
      </c>
      <c r="G31" s="48">
        <f t="shared" si="2"/>
        <v>65</v>
      </c>
      <c r="H31" s="48">
        <f t="shared" si="11"/>
        <v>191.12</v>
      </c>
      <c r="I31" s="48">
        <f>VLOOKUP(B31,'Table 5'!$B$12:$C$39,2,FALSE)</f>
        <v>7.61</v>
      </c>
      <c r="J31" s="48">
        <f t="shared" si="8"/>
        <v>56.77</v>
      </c>
      <c r="K31" s="48">
        <f t="shared" si="12"/>
        <v>101.57</v>
      </c>
    </row>
    <row r="32" spans="2:11">
      <c r="B32" s="104">
        <f t="shared" si="10"/>
        <v>2027</v>
      </c>
      <c r="C32" s="151"/>
      <c r="D32" s="48">
        <f t="shared" ref="D32:D40" si="13">ROUND(D31*(1+$J81),2)</f>
        <v>128.52000000000001</v>
      </c>
      <c r="E32" s="150">
        <f t="shared" ref="E32:E40" si="14">ROUND(E31*(1+$J81),2)</f>
        <v>12.02</v>
      </c>
      <c r="F32" s="150">
        <f t="shared" ref="F32:F40" si="15">ROUND(F31*(1+$J81),2)</f>
        <v>12.71</v>
      </c>
      <c r="G32" s="48">
        <f t="shared" si="2"/>
        <v>66.239999999999995</v>
      </c>
      <c r="H32" s="48">
        <f t="shared" si="11"/>
        <v>194.76</v>
      </c>
      <c r="I32" s="48">
        <f>VLOOKUP(B32,'Table 5'!$B$12:$C$39,2,FALSE)</f>
        <v>7.07</v>
      </c>
      <c r="J32" s="48">
        <f t="shared" si="8"/>
        <v>52.74</v>
      </c>
      <c r="K32" s="48">
        <f t="shared" si="12"/>
        <v>98.39</v>
      </c>
    </row>
    <row r="33" spans="2:15">
      <c r="B33" s="104">
        <f t="shared" si="10"/>
        <v>2028</v>
      </c>
      <c r="C33" s="151"/>
      <c r="D33" s="48">
        <f t="shared" si="13"/>
        <v>131.09</v>
      </c>
      <c r="E33" s="150">
        <f t="shared" si="14"/>
        <v>12.26</v>
      </c>
      <c r="F33" s="150">
        <f t="shared" si="15"/>
        <v>12.96</v>
      </c>
      <c r="G33" s="48">
        <f t="shared" si="2"/>
        <v>67.55</v>
      </c>
      <c r="H33" s="48">
        <f t="shared" si="11"/>
        <v>198.64</v>
      </c>
      <c r="I33" s="48">
        <f>VLOOKUP(B33,'Table 5'!$B$12:$C$39,2,FALSE)</f>
        <v>8.01</v>
      </c>
      <c r="J33" s="48">
        <f t="shared" si="8"/>
        <v>59.75</v>
      </c>
      <c r="K33" s="48">
        <f t="shared" si="12"/>
        <v>106.31</v>
      </c>
    </row>
    <row r="34" spans="2:15">
      <c r="B34" s="104">
        <f t="shared" si="10"/>
        <v>2029</v>
      </c>
      <c r="C34" s="151"/>
      <c r="D34" s="48">
        <f t="shared" si="13"/>
        <v>133.58000000000001</v>
      </c>
      <c r="E34" s="150">
        <f t="shared" si="14"/>
        <v>12.49</v>
      </c>
      <c r="F34" s="150">
        <f t="shared" si="15"/>
        <v>13.21</v>
      </c>
      <c r="G34" s="48">
        <f t="shared" si="2"/>
        <v>68.849999999999994</v>
      </c>
      <c r="H34" s="48">
        <f t="shared" si="11"/>
        <v>202.43</v>
      </c>
      <c r="I34" s="48">
        <f>VLOOKUP(B34,'Table 5'!$B$12:$C$39,2,FALSE)</f>
        <v>8.26</v>
      </c>
      <c r="J34" s="48">
        <f t="shared" si="8"/>
        <v>61.62</v>
      </c>
      <c r="K34" s="48">
        <f t="shared" si="12"/>
        <v>109.07</v>
      </c>
    </row>
    <row r="35" spans="2:15">
      <c r="B35" s="104">
        <f t="shared" si="10"/>
        <v>2030</v>
      </c>
      <c r="C35" s="151"/>
      <c r="D35" s="48">
        <f t="shared" si="13"/>
        <v>135.97999999999999</v>
      </c>
      <c r="E35" s="150">
        <f t="shared" si="14"/>
        <v>12.71</v>
      </c>
      <c r="F35" s="150">
        <f t="shared" si="15"/>
        <v>13.45</v>
      </c>
      <c r="G35" s="48">
        <f t="shared" si="2"/>
        <v>70.09</v>
      </c>
      <c r="H35" s="48">
        <f t="shared" si="11"/>
        <v>206.07</v>
      </c>
      <c r="I35" s="48">
        <f>VLOOKUP(B35,'Table 5'!$B$12:$C$39,2,FALSE)</f>
        <v>8.39</v>
      </c>
      <c r="J35" s="48">
        <f t="shared" si="8"/>
        <v>62.59</v>
      </c>
      <c r="K35" s="48">
        <f t="shared" si="12"/>
        <v>110.89</v>
      </c>
    </row>
    <row r="36" spans="2:15">
      <c r="B36" s="104">
        <f t="shared" si="10"/>
        <v>2031</v>
      </c>
      <c r="C36" s="151"/>
      <c r="D36" s="48">
        <f t="shared" si="13"/>
        <v>138.43</v>
      </c>
      <c r="E36" s="150">
        <f t="shared" si="14"/>
        <v>12.94</v>
      </c>
      <c r="F36" s="150">
        <f t="shared" si="15"/>
        <v>13.69</v>
      </c>
      <c r="G36" s="48">
        <f t="shared" si="2"/>
        <v>71.34</v>
      </c>
      <c r="H36" s="48">
        <f t="shared" ref="H36:H40" si="16">ROUND(D36+G36,2)</f>
        <v>209.77</v>
      </c>
      <c r="I36" s="48">
        <f>VLOOKUP(B36,'Table 5'!$B$12:$C$39,2,FALSE)</f>
        <v>8.5399999999999991</v>
      </c>
      <c r="J36" s="48">
        <f t="shared" ref="J36:J40" si="17">ROUND($K$63*I36/1000,2)</f>
        <v>63.71</v>
      </c>
      <c r="K36" s="48">
        <f t="shared" ref="K36:K40" si="18">ROUND(H36*1000/8760/$G$63+J36,2)</f>
        <v>112.88</v>
      </c>
    </row>
    <row r="37" spans="2:15">
      <c r="B37" s="104">
        <f t="shared" si="10"/>
        <v>2032</v>
      </c>
      <c r="C37" s="151"/>
      <c r="D37" s="48">
        <f t="shared" si="13"/>
        <v>140.91999999999999</v>
      </c>
      <c r="E37" s="150">
        <f t="shared" si="14"/>
        <v>13.17</v>
      </c>
      <c r="F37" s="150">
        <f t="shared" si="15"/>
        <v>13.94</v>
      </c>
      <c r="G37" s="48">
        <f t="shared" si="2"/>
        <v>72.64</v>
      </c>
      <c r="H37" s="48">
        <f t="shared" si="16"/>
        <v>213.56</v>
      </c>
      <c r="I37" s="48">
        <f>VLOOKUP(B37,'Table 5'!$B$12:$C$39,2,FALSE)</f>
        <v>8.69</v>
      </c>
      <c r="J37" s="48">
        <f t="shared" si="17"/>
        <v>64.83</v>
      </c>
      <c r="K37" s="48">
        <f t="shared" si="18"/>
        <v>114.89</v>
      </c>
    </row>
    <row r="38" spans="2:15">
      <c r="B38" s="104">
        <f t="shared" si="10"/>
        <v>2033</v>
      </c>
      <c r="C38" s="151"/>
      <c r="D38" s="48">
        <f t="shared" si="13"/>
        <v>143.46</v>
      </c>
      <c r="E38" s="150">
        <f t="shared" si="14"/>
        <v>13.41</v>
      </c>
      <c r="F38" s="150">
        <f t="shared" si="15"/>
        <v>14.19</v>
      </c>
      <c r="G38" s="48">
        <f t="shared" si="2"/>
        <v>73.95</v>
      </c>
      <c r="H38" s="48">
        <f t="shared" si="16"/>
        <v>217.41</v>
      </c>
      <c r="I38" s="48">
        <f>VLOOKUP(B38,'Table 5'!$B$12:$C$39,2,FALSE)</f>
        <v>8.85</v>
      </c>
      <c r="J38" s="48">
        <f t="shared" si="17"/>
        <v>66.02</v>
      </c>
      <c r="K38" s="48">
        <f t="shared" si="18"/>
        <v>116.98</v>
      </c>
    </row>
    <row r="39" spans="2:15">
      <c r="B39" s="104">
        <f t="shared" si="10"/>
        <v>2034</v>
      </c>
      <c r="C39" s="151"/>
      <c r="D39" s="48">
        <f t="shared" si="13"/>
        <v>146.04</v>
      </c>
      <c r="E39" s="150">
        <f t="shared" si="14"/>
        <v>13.65</v>
      </c>
      <c r="F39" s="150">
        <f t="shared" si="15"/>
        <v>14.45</v>
      </c>
      <c r="G39" s="48">
        <f t="shared" si="2"/>
        <v>75.3</v>
      </c>
      <c r="H39" s="48">
        <f t="shared" si="16"/>
        <v>221.34</v>
      </c>
      <c r="I39" s="48">
        <f>VLOOKUP(B39,'Table 5'!$B$12:$C$39,2,FALSE)</f>
        <v>9.01</v>
      </c>
      <c r="J39" s="48">
        <f t="shared" si="17"/>
        <v>67.209999999999994</v>
      </c>
      <c r="K39" s="48">
        <f t="shared" si="18"/>
        <v>119.09</v>
      </c>
    </row>
    <row r="40" spans="2:15">
      <c r="B40" s="104">
        <f t="shared" si="10"/>
        <v>2035</v>
      </c>
      <c r="C40" s="151"/>
      <c r="D40" s="48">
        <f t="shared" si="13"/>
        <v>148.66999999999999</v>
      </c>
      <c r="E40" s="150">
        <f t="shared" si="14"/>
        <v>13.9</v>
      </c>
      <c r="F40" s="150">
        <f t="shared" si="15"/>
        <v>14.71</v>
      </c>
      <c r="G40" s="48">
        <f t="shared" si="2"/>
        <v>76.650000000000006</v>
      </c>
      <c r="H40" s="48">
        <f t="shared" si="16"/>
        <v>225.32</v>
      </c>
      <c r="I40" s="48">
        <f>VLOOKUP(B40,'Table 5'!$B$12:$C$39,2,FALSE)</f>
        <v>9.17</v>
      </c>
      <c r="J40" s="48">
        <f t="shared" si="17"/>
        <v>68.41</v>
      </c>
      <c r="K40" s="48">
        <f t="shared" si="18"/>
        <v>121.23</v>
      </c>
    </row>
    <row r="41" spans="2:15">
      <c r="M41" s="104"/>
      <c r="O41" s="157"/>
    </row>
    <row r="42" spans="2:15" ht="14.25">
      <c r="B42" s="7" t="s">
        <v>55</v>
      </c>
      <c r="C42" s="93"/>
      <c r="D42" s="93"/>
      <c r="E42" s="93"/>
      <c r="F42" s="93"/>
      <c r="G42" s="93"/>
      <c r="H42" s="93"/>
      <c r="I42" s="93"/>
      <c r="J42" s="93"/>
      <c r="K42" s="93"/>
      <c r="M42" s="104"/>
      <c r="N42" s="157"/>
      <c r="O42" s="157"/>
    </row>
    <row r="44" spans="2:15">
      <c r="B44" s="6" t="s">
        <v>31</v>
      </c>
      <c r="D44" s="169" t="s">
        <v>96</v>
      </c>
    </row>
    <row r="45" spans="2:15">
      <c r="C45" s="9" t="str">
        <f>D10</f>
        <v>(b)</v>
      </c>
      <c r="D45" s="48" t="str">
        <f>"= "&amp;C10&amp;" x "&amp;C74</f>
        <v>= (a) x 0.08256</v>
      </c>
    </row>
    <row r="46" spans="2:15">
      <c r="C46" s="9" t="str">
        <f>G10</f>
        <v>(e)</v>
      </c>
      <c r="D46" s="48" t="str">
        <f>"= "&amp;$F$10&amp;" x  (8.76 x "&amp;TEXT(G63,"0.0%")&amp;") + "&amp;$E$10</f>
        <v>= (d) x  (8.76 x 48.7%) + (c)</v>
      </c>
    </row>
    <row r="47" spans="2:15">
      <c r="C47" s="9" t="str">
        <f>H10</f>
        <v>(f)</v>
      </c>
      <c r="D47" s="48" t="str">
        <f>"= "&amp;D10&amp;" + "&amp;G10</f>
        <v>= (b) + (e)</v>
      </c>
    </row>
    <row r="48" spans="2:15">
      <c r="C48" s="9" t="str">
        <f>I10</f>
        <v>(g)</v>
      </c>
      <c r="D48" s="142" t="str">
        <f>'Table 5'!B3&amp;" - "&amp;'Table 5'!B4</f>
        <v>Table 5 - Burnertip Natural Gas Price Forecast</v>
      </c>
    </row>
    <row r="49" spans="3:11">
      <c r="C49" s="9" t="str">
        <f>J10</f>
        <v>(h)</v>
      </c>
      <c r="D49" s="48" t="str">
        <f>"= "&amp;K63&amp;" x "&amp;I10&amp;" / 1000"</f>
        <v>= 7460 x (g) / 1000</v>
      </c>
    </row>
    <row r="50" spans="3:11">
      <c r="C50" s="9" t="str">
        <f>K10</f>
        <v>(i)</v>
      </c>
      <c r="D50" s="94" t="str">
        <f>"= "&amp;H10&amp;" / (8.76 x 'Capacity Factor' ) + "&amp;J10</f>
        <v>= (f) / (8.76 x 'Capacity Factor' ) + (h)</v>
      </c>
    </row>
    <row r="51" spans="3:11" ht="13.5" thickBot="1"/>
    <row r="52" spans="3:11" ht="13.5" thickBot="1">
      <c r="C52" s="167" t="s">
        <v>108</v>
      </c>
      <c r="D52" s="159"/>
      <c r="E52" s="159"/>
      <c r="F52" s="159"/>
      <c r="G52" s="159"/>
      <c r="H52" s="159"/>
      <c r="I52" s="159"/>
      <c r="J52" s="160"/>
      <c r="K52" s="161"/>
    </row>
    <row r="53" spans="3:11" ht="5.25" customHeight="1"/>
    <row r="54" spans="3:11" ht="5.25" customHeight="1"/>
    <row r="55" spans="3:11">
      <c r="C55" s="129" t="s">
        <v>66</v>
      </c>
      <c r="D55" s="103"/>
      <c r="E55" s="129"/>
      <c r="F55" s="127" t="s">
        <v>67</v>
      </c>
      <c r="G55" s="127" t="s">
        <v>68</v>
      </c>
      <c r="H55" s="127" t="s">
        <v>69</v>
      </c>
      <c r="I55" s="127" t="s">
        <v>70</v>
      </c>
    </row>
    <row r="56" spans="3:11">
      <c r="C56" s="6" t="s">
        <v>88</v>
      </c>
      <c r="F56" s="138">
        <f>C67</f>
        <v>438</v>
      </c>
      <c r="G56" s="108">
        <f>F56/F58</f>
        <v>0.81716417910447758</v>
      </c>
      <c r="H56" s="105">
        <f>C68</f>
        <v>1239</v>
      </c>
      <c r="I56" s="106">
        <f>C69</f>
        <v>10.193995329538243</v>
      </c>
    </row>
    <row r="57" spans="3:11">
      <c r="C57" s="6" t="s">
        <v>89</v>
      </c>
      <c r="F57" s="139">
        <f>D67</f>
        <v>98</v>
      </c>
      <c r="G57" s="132">
        <f>1-G56</f>
        <v>0.18283582089552242</v>
      </c>
      <c r="H57" s="140">
        <f>D68</f>
        <v>625</v>
      </c>
      <c r="I57" s="141">
        <f>D69</f>
        <v>2.0955454525552297</v>
      </c>
    </row>
    <row r="58" spans="3:11">
      <c r="C58" s="6" t="s">
        <v>71</v>
      </c>
      <c r="F58" s="138">
        <f>F56+F57</f>
        <v>536</v>
      </c>
      <c r="G58" s="108">
        <f>G56+G57</f>
        <v>1</v>
      </c>
      <c r="H58" s="105">
        <f>ROUND(((F56*H56)+(F57*H57))/F58,0)</f>
        <v>1127</v>
      </c>
      <c r="I58" s="106">
        <f>ROUND(((F56*I56)+(F57*I57))/F58,2)</f>
        <v>8.7100000000000009</v>
      </c>
    </row>
    <row r="59" spans="3:11">
      <c r="F59" s="138"/>
      <c r="G59" s="108"/>
      <c r="H59" s="105"/>
      <c r="I59" s="106"/>
    </row>
    <row r="60" spans="3:11">
      <c r="C60" s="129" t="s">
        <v>66</v>
      </c>
      <c r="D60" s="103"/>
      <c r="E60" s="129"/>
      <c r="F60" s="127" t="s">
        <v>67</v>
      </c>
      <c r="G60" s="127" t="s">
        <v>72</v>
      </c>
      <c r="H60" s="127" t="s">
        <v>73</v>
      </c>
      <c r="I60" s="127" t="s">
        <v>68</v>
      </c>
      <c r="J60" s="127" t="s">
        <v>74</v>
      </c>
      <c r="K60" s="127" t="s">
        <v>75</v>
      </c>
    </row>
    <row r="61" spans="3:11">
      <c r="C61" s="53" t="s">
        <v>88</v>
      </c>
      <c r="D61" s="53"/>
      <c r="E61" s="53"/>
      <c r="F61" s="6">
        <f>C67</f>
        <v>438</v>
      </c>
      <c r="G61" s="108">
        <f>C75</f>
        <v>0.56000000000000005</v>
      </c>
      <c r="H61" s="6">
        <f>G61*F61</f>
        <v>245.28000000000003</v>
      </c>
      <c r="I61" s="108">
        <f>H61/H63</f>
        <v>0.93991416309012876</v>
      </c>
      <c r="J61" s="106">
        <f>C71</f>
        <v>9.33</v>
      </c>
      <c r="K61" s="130">
        <f>C73</f>
        <v>7368</v>
      </c>
    </row>
    <row r="62" spans="3:11">
      <c r="C62" s="53" t="s">
        <v>89</v>
      </c>
      <c r="D62" s="53"/>
      <c r="E62" s="53"/>
      <c r="F62" s="131">
        <f>D67</f>
        <v>98</v>
      </c>
      <c r="G62" s="132">
        <f>D75</f>
        <v>0.16</v>
      </c>
      <c r="H62" s="131">
        <f>G62*F62</f>
        <v>15.68</v>
      </c>
      <c r="I62" s="132">
        <f>1-I61</f>
        <v>6.0085836909871237E-2</v>
      </c>
      <c r="J62" s="133">
        <f>D71</f>
        <v>7.3100000000000005</v>
      </c>
      <c r="K62" s="134">
        <f>D73</f>
        <v>8950</v>
      </c>
    </row>
    <row r="63" spans="3:11">
      <c r="C63" s="6" t="s">
        <v>76</v>
      </c>
      <c r="F63" s="6">
        <f>F61+F62</f>
        <v>536</v>
      </c>
      <c r="G63" s="128">
        <f>ROUND(H63/F63,3)</f>
        <v>0.48699999999999999</v>
      </c>
      <c r="H63" s="6">
        <f>SUM(H61:H62)</f>
        <v>260.96000000000004</v>
      </c>
      <c r="I63" s="108">
        <f>I61+I62</f>
        <v>1</v>
      </c>
      <c r="J63" s="106">
        <f>ROUND(($I61*J61)+($I62*J62),2)</f>
        <v>9.2100000000000009</v>
      </c>
      <c r="K63" s="28">
        <f>ROUND(($I61*K61)+($I62*K62),-1)</f>
        <v>7460</v>
      </c>
    </row>
    <row r="64" spans="3:11">
      <c r="G64" s="128"/>
      <c r="I64" s="108"/>
      <c r="J64" s="106"/>
      <c r="K64" s="135" t="s">
        <v>77</v>
      </c>
    </row>
    <row r="66" spans="3:11">
      <c r="C66" s="127" t="s">
        <v>58</v>
      </c>
      <c r="D66" s="127" t="s">
        <v>59</v>
      </c>
      <c r="E66" s="168" t="str">
        <f>D44</f>
        <v>Plant Costs 2008 IRP Update - [Modeled in PAR]</v>
      </c>
      <c r="F66" s="136"/>
      <c r="G66" s="136"/>
      <c r="H66" s="136"/>
      <c r="I66" s="136"/>
      <c r="J66" s="136"/>
      <c r="K66" s="57"/>
    </row>
    <row r="67" spans="3:11">
      <c r="C67" s="6">
        <v>438</v>
      </c>
      <c r="D67" s="6">
        <v>98</v>
      </c>
      <c r="E67" s="6" t="s">
        <v>81</v>
      </c>
      <c r="H67" s="95"/>
    </row>
    <row r="68" spans="3:11">
      <c r="C68" s="105">
        <v>1239</v>
      </c>
      <c r="D68" s="105">
        <v>625</v>
      </c>
      <c r="E68" s="6" t="s">
        <v>86</v>
      </c>
    </row>
    <row r="69" spans="3:11">
      <c r="C69" s="106">
        <v>10.193995329538243</v>
      </c>
      <c r="D69" s="106">
        <v>2.0955454525552297</v>
      </c>
      <c r="E69" s="6" t="s">
        <v>82</v>
      </c>
    </row>
    <row r="71" spans="3:11">
      <c r="C71" s="162">
        <v>9.33</v>
      </c>
      <c r="D71" s="162">
        <v>7.3100000000000005</v>
      </c>
      <c r="E71" s="180" t="s">
        <v>93</v>
      </c>
    </row>
    <row r="72" spans="3:11">
      <c r="C72" s="166">
        <f>ROUND(5.96*(1+$D$81),2)</f>
        <v>5.98</v>
      </c>
      <c r="D72" s="166">
        <f>ROUND(7.18*(1+$D$81),2)</f>
        <v>7.2</v>
      </c>
      <c r="E72" s="180" t="s">
        <v>94</v>
      </c>
    </row>
    <row r="73" spans="3:11">
      <c r="C73" s="28">
        <v>7368</v>
      </c>
      <c r="D73" s="28">
        <v>8950</v>
      </c>
      <c r="E73" s="6" t="s">
        <v>83</v>
      </c>
    </row>
    <row r="74" spans="3:11">
      <c r="C74" s="163">
        <v>8.2559999999999995E-2</v>
      </c>
      <c r="D74" s="163">
        <f>C74</f>
        <v>8.2559999999999995E-2</v>
      </c>
      <c r="E74" s="6" t="s">
        <v>84</v>
      </c>
    </row>
    <row r="75" spans="3:11">
      <c r="C75" s="137">
        <v>0.56000000000000005</v>
      </c>
      <c r="D75" s="137">
        <v>0.16</v>
      </c>
      <c r="E75" s="6" t="s">
        <v>85</v>
      </c>
    </row>
    <row r="76" spans="3:11">
      <c r="D76" s="108">
        <f>ROUND(H63/F63,3)</f>
        <v>0.48699999999999999</v>
      </c>
      <c r="E76" s="6" t="s">
        <v>87</v>
      </c>
    </row>
    <row r="77" spans="3:11">
      <c r="D77" s="128">
        <f>MIN(1,ROUND(D76/0.57,3))</f>
        <v>0.85399999999999998</v>
      </c>
      <c r="E77" s="45" t="str">
        <f>"  Capacity Factor - On-peak     "&amp;TEXT(D76,"0.0%")&amp;" / 57% (percent of hours on-peak) "</f>
        <v xml:space="preserve">  Capacity Factor - On-peak     48.7% / 57% (percent of hours on-peak) </v>
      </c>
    </row>
    <row r="78" spans="3:11">
      <c r="C78" s="137"/>
      <c r="D78" s="137"/>
    </row>
    <row r="79" spans="3:11" ht="13.5" thickBot="1"/>
    <row r="80" spans="3:11" ht="13.5" thickBot="1">
      <c r="C80" s="158" t="s">
        <v>114</v>
      </c>
      <c r="D80" s="159"/>
      <c r="E80" s="159"/>
      <c r="F80" s="159"/>
      <c r="G80" s="159"/>
      <c r="H80" s="159"/>
      <c r="I80" s="159"/>
      <c r="J80" s="160"/>
      <c r="K80" s="161"/>
    </row>
    <row r="81" spans="3:15">
      <c r="C81" s="164">
        <v>2009</v>
      </c>
      <c r="D81" s="165">
        <v>3.0000000000000001E-3</v>
      </c>
      <c r="F81" s="164">
        <f>C89+1</f>
        <v>2018</v>
      </c>
      <c r="G81" s="165">
        <v>0.02</v>
      </c>
      <c r="I81" s="164">
        <f>F89+1</f>
        <v>2027</v>
      </c>
      <c r="J81" s="165">
        <v>1.9E-2</v>
      </c>
    </row>
    <row r="82" spans="3:15">
      <c r="C82" s="164">
        <f>C81+1</f>
        <v>2010</v>
      </c>
      <c r="D82" s="165">
        <v>1.2999999999999999E-2</v>
      </c>
      <c r="F82" s="164">
        <f t="shared" ref="F82:F89" si="19">F81+1</f>
        <v>2019</v>
      </c>
      <c r="G82" s="165">
        <v>1.9E-2</v>
      </c>
      <c r="I82" s="164">
        <f t="shared" ref="I82:I89" si="20">I81+1</f>
        <v>2028</v>
      </c>
      <c r="J82" s="165">
        <v>0.02</v>
      </c>
    </row>
    <row r="83" spans="3:15">
      <c r="C83" s="164">
        <f t="shared" ref="C83:C89" si="21">C82+1</f>
        <v>2011</v>
      </c>
      <c r="D83" s="165">
        <v>1.2E-2</v>
      </c>
      <c r="F83" s="164">
        <f t="shared" si="19"/>
        <v>2020</v>
      </c>
      <c r="G83" s="165">
        <v>1.9E-2</v>
      </c>
      <c r="I83" s="164">
        <f t="shared" si="20"/>
        <v>2029</v>
      </c>
      <c r="J83" s="165">
        <v>1.9E-2</v>
      </c>
    </row>
    <row r="84" spans="3:15">
      <c r="C84" s="164">
        <f t="shared" si="21"/>
        <v>2012</v>
      </c>
      <c r="D84" s="165">
        <v>1.4999999999999999E-2</v>
      </c>
      <c r="F84" s="164">
        <f t="shared" si="19"/>
        <v>2021</v>
      </c>
      <c r="G84" s="165">
        <v>1.7000000000000001E-2</v>
      </c>
      <c r="I84" s="164">
        <f t="shared" si="20"/>
        <v>2030</v>
      </c>
      <c r="J84" s="165">
        <v>1.7999999999999999E-2</v>
      </c>
    </row>
    <row r="85" spans="3:15">
      <c r="C85" s="164">
        <f t="shared" si="21"/>
        <v>2013</v>
      </c>
      <c r="D85" s="165">
        <v>1.7999999999999999E-2</v>
      </c>
      <c r="F85" s="164">
        <f t="shared" si="19"/>
        <v>2022</v>
      </c>
      <c r="G85" s="165">
        <v>1.7999999999999999E-2</v>
      </c>
      <c r="I85" s="164">
        <f t="shared" si="20"/>
        <v>2031</v>
      </c>
      <c r="J85" s="165">
        <v>1.7999999999999999E-2</v>
      </c>
    </row>
    <row r="86" spans="3:15">
      <c r="C86" s="164">
        <f t="shared" si="21"/>
        <v>2014</v>
      </c>
      <c r="D86" s="165">
        <v>0.02</v>
      </c>
      <c r="F86" s="164">
        <f t="shared" si="19"/>
        <v>2023</v>
      </c>
      <c r="G86" s="165">
        <v>1.9E-2</v>
      </c>
      <c r="I86" s="164">
        <f t="shared" si="20"/>
        <v>2032</v>
      </c>
      <c r="J86" s="165">
        <v>1.7999999999999999E-2</v>
      </c>
    </row>
    <row r="87" spans="3:15" s="8" customFormat="1">
      <c r="C87" s="164">
        <f t="shared" si="21"/>
        <v>2015</v>
      </c>
      <c r="D87" s="165">
        <v>0.02</v>
      </c>
      <c r="F87" s="164">
        <f t="shared" si="19"/>
        <v>2024</v>
      </c>
      <c r="G87" s="165">
        <v>1.9E-2</v>
      </c>
      <c r="I87" s="164">
        <f t="shared" si="20"/>
        <v>2033</v>
      </c>
      <c r="J87" s="165">
        <v>1.7999999999999999E-2</v>
      </c>
      <c r="N87" s="6"/>
      <c r="O87" s="6"/>
    </row>
    <row r="88" spans="3:15" s="8" customFormat="1">
      <c r="C88" s="164">
        <f t="shared" si="21"/>
        <v>2016</v>
      </c>
      <c r="D88" s="165">
        <v>0.02</v>
      </c>
      <c r="F88" s="164">
        <f t="shared" si="19"/>
        <v>2025</v>
      </c>
      <c r="G88" s="165">
        <v>1.9E-2</v>
      </c>
      <c r="I88" s="164">
        <f t="shared" si="20"/>
        <v>2034</v>
      </c>
      <c r="J88" s="165">
        <v>1.7999999999999999E-2</v>
      </c>
      <c r="N88" s="6"/>
      <c r="O88" s="6"/>
    </row>
    <row r="89" spans="3:15" s="8" customFormat="1">
      <c r="C89" s="164">
        <f t="shared" si="21"/>
        <v>2017</v>
      </c>
      <c r="D89" s="165">
        <v>0.02</v>
      </c>
      <c r="F89" s="164">
        <f t="shared" si="19"/>
        <v>2026</v>
      </c>
      <c r="G89" s="165">
        <v>1.9E-2</v>
      </c>
      <c r="I89" s="164">
        <f t="shared" si="20"/>
        <v>2035</v>
      </c>
      <c r="J89" s="165">
        <v>1.7999999999999999E-2</v>
      </c>
      <c r="N89" s="6"/>
      <c r="O89" s="6"/>
    </row>
    <row r="90" spans="3:15" s="8" customFormat="1">
      <c r="N90" s="6"/>
      <c r="O90" s="6"/>
    </row>
    <row r="91" spans="3:15" s="8" customFormat="1">
      <c r="N91" s="6"/>
      <c r="O91" s="6"/>
    </row>
  </sheetData>
  <phoneticPr fontId="6" type="noConversion"/>
  <printOptions horizontalCentered="1"/>
  <pageMargins left="0.8" right="0.3" top="0.4" bottom="0.4" header="0.5" footer="0.2"/>
  <pageSetup scale="61" orientation="portrait" r:id="rId1"/>
  <headerFooter alignWithMargins="0">
    <oddFooter>&amp;L&amp;8NPC Group - &amp;F   ( &amp;A )&amp;C &amp;R &amp;8&amp;D  &amp;T</oddFooter>
  </headerFooter>
  <rowBreaks count="1" manualBreakCount="1">
    <brk id="51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K334"/>
  <sheetViews>
    <sheetView workbookViewId="0">
      <pane ySplit="10" topLeftCell="A11" activePane="bottomLeft" state="frozen"/>
      <selection activeCell="B38" sqref="B38"/>
      <selection pane="bottomLeft" activeCell="B38" sqref="B38"/>
    </sheetView>
  </sheetViews>
  <sheetFormatPr defaultRowHeight="12.75"/>
  <cols>
    <col min="1" max="1" width="9.33203125" style="6"/>
    <col min="2" max="3" width="39" style="6" customWidth="1"/>
    <col min="4" max="6" width="9.33203125" style="6"/>
    <col min="7" max="7" width="15" style="175" hidden="1" customWidth="1"/>
    <col min="8" max="8" width="9.33203125" style="115" hidden="1" customWidth="1"/>
    <col min="9" max="10" width="9.33203125" style="6" hidden="1" customWidth="1"/>
    <col min="11" max="11" width="11.5" style="6" hidden="1" customWidth="1"/>
    <col min="12" max="16384" width="9.33203125" style="6"/>
  </cols>
  <sheetData>
    <row r="1" spans="2:11" ht="15.75">
      <c r="B1" s="1" t="s">
        <v>78</v>
      </c>
      <c r="C1" s="1"/>
      <c r="G1" s="109"/>
    </row>
    <row r="2" spans="2:11" ht="15.75">
      <c r="B2" s="1"/>
      <c r="C2" s="1"/>
      <c r="G2" s="109"/>
    </row>
    <row r="3" spans="2:11" ht="15.75">
      <c r="B3" s="1" t="str">
        <f>"Table "&amp;RIGHT('Table 4'!B3,1)+1</f>
        <v>Table 5</v>
      </c>
      <c r="C3" s="1"/>
      <c r="G3" s="109"/>
    </row>
    <row r="4" spans="2:11" ht="15.75">
      <c r="B4" s="1" t="s">
        <v>62</v>
      </c>
      <c r="C4" s="1"/>
      <c r="G4" s="120" t="s">
        <v>61</v>
      </c>
    </row>
    <row r="5" spans="2:11" ht="15.75">
      <c r="B5" s="1" t="str">
        <f>'Table 1'!$B$5</f>
        <v>Utah 2011.Q1 Compliance Filing - 100 MW and 85% Capacity Factor</v>
      </c>
      <c r="C5" s="1"/>
      <c r="G5" s="121">
        <v>40543</v>
      </c>
    </row>
    <row r="6" spans="2:11">
      <c r="B6" s="47"/>
      <c r="C6" s="47"/>
      <c r="G6" s="109"/>
    </row>
    <row r="7" spans="2:11" ht="14.25">
      <c r="B7" s="96"/>
      <c r="C7" s="107" t="s">
        <v>56</v>
      </c>
      <c r="G7" s="109"/>
    </row>
    <row r="8" spans="2:11">
      <c r="B8" s="97"/>
      <c r="C8" s="87" t="s">
        <v>57</v>
      </c>
      <c r="G8" s="109"/>
    </row>
    <row r="9" spans="2:11">
      <c r="B9" s="97" t="s">
        <v>0</v>
      </c>
      <c r="C9" s="97" t="s">
        <v>80</v>
      </c>
      <c r="G9" s="109"/>
    </row>
    <row r="10" spans="2:11">
      <c r="B10" s="98"/>
      <c r="C10" s="99" t="s">
        <v>42</v>
      </c>
      <c r="G10" s="110"/>
      <c r="H10" s="116"/>
    </row>
    <row r="11" spans="2:11">
      <c r="C11" s="49"/>
      <c r="G11" s="110"/>
      <c r="H11" s="116"/>
    </row>
    <row r="12" spans="2:11">
      <c r="C12" s="100"/>
      <c r="G12" s="110"/>
      <c r="H12" s="116"/>
    </row>
    <row r="13" spans="2:11" ht="6" customHeight="1">
      <c r="G13" s="111"/>
      <c r="H13" s="117"/>
    </row>
    <row r="14" spans="2:11">
      <c r="B14" s="101">
        <v>2015</v>
      </c>
      <c r="C14" s="102">
        <f t="shared" ref="C14:C34" si="0">ROUND(SUMIF($I$17:$I$334,B14,$H$17:$H$334)/COUNTIF($I$17:$I$334,B14),2)</f>
        <v>5.31</v>
      </c>
      <c r="G14" s="112"/>
      <c r="H14" s="118"/>
    </row>
    <row r="15" spans="2:11" ht="13.5" thickBot="1">
      <c r="B15" s="101">
        <f t="shared" ref="B15:B24" si="1">B14+1</f>
        <v>2016</v>
      </c>
      <c r="C15" s="102">
        <f t="shared" si="0"/>
        <v>5.46</v>
      </c>
      <c r="G15" s="113"/>
      <c r="H15" s="119" t="s">
        <v>97</v>
      </c>
    </row>
    <row r="16" spans="2:11" ht="13.5" thickBot="1">
      <c r="B16" s="101">
        <f t="shared" si="1"/>
        <v>2017</v>
      </c>
      <c r="C16" s="102">
        <f t="shared" si="0"/>
        <v>6.15</v>
      </c>
      <c r="G16" s="113" t="s">
        <v>60</v>
      </c>
      <c r="H16" s="119" t="s">
        <v>57</v>
      </c>
      <c r="I16" s="9" t="s">
        <v>0</v>
      </c>
      <c r="K16" s="148" t="s">
        <v>79</v>
      </c>
    </row>
    <row r="17" spans="2:11" ht="13.5" thickBot="1">
      <c r="B17" s="101">
        <f t="shared" si="1"/>
        <v>2018</v>
      </c>
      <c r="C17" s="102">
        <f t="shared" si="0"/>
        <v>6.88</v>
      </c>
      <c r="G17" s="114">
        <v>42005</v>
      </c>
      <c r="H17" s="122">
        <v>5.6971598712359324</v>
      </c>
      <c r="I17" s="123">
        <f t="shared" ref="I17:I69" si="2">YEAR(G17)</f>
        <v>2015</v>
      </c>
      <c r="K17" s="147">
        <v>39</v>
      </c>
    </row>
    <row r="18" spans="2:11">
      <c r="B18" s="101">
        <f t="shared" si="1"/>
        <v>2019</v>
      </c>
      <c r="C18" s="102">
        <f t="shared" si="0"/>
        <v>7.22</v>
      </c>
      <c r="G18" s="114">
        <v>42036</v>
      </c>
      <c r="H18" s="122">
        <v>5.6242365517590995</v>
      </c>
      <c r="I18" s="123">
        <f t="shared" si="2"/>
        <v>2015</v>
      </c>
    </row>
    <row r="19" spans="2:11">
      <c r="B19" s="101">
        <f t="shared" si="1"/>
        <v>2020</v>
      </c>
      <c r="C19" s="102">
        <f t="shared" si="0"/>
        <v>7.32</v>
      </c>
      <c r="G19" s="114">
        <v>42064</v>
      </c>
      <c r="H19" s="122">
        <v>5.4189474916354055</v>
      </c>
      <c r="I19" s="123">
        <f t="shared" si="2"/>
        <v>2015</v>
      </c>
    </row>
    <row r="20" spans="2:11">
      <c r="B20" s="101">
        <f t="shared" si="1"/>
        <v>2021</v>
      </c>
      <c r="C20" s="102">
        <f t="shared" si="0"/>
        <v>7.41</v>
      </c>
      <c r="G20" s="114">
        <v>42095</v>
      </c>
      <c r="H20" s="122">
        <v>5.1082108699178752</v>
      </c>
      <c r="I20" s="123">
        <f t="shared" si="2"/>
        <v>2015</v>
      </c>
    </row>
    <row r="21" spans="2:11">
      <c r="B21" s="101">
        <f t="shared" si="1"/>
        <v>2022</v>
      </c>
      <c r="C21" s="102">
        <f t="shared" si="0"/>
        <v>7.63</v>
      </c>
      <c r="G21" s="114">
        <v>42125</v>
      </c>
      <c r="H21" s="122">
        <v>5.0372720277805945</v>
      </c>
      <c r="I21" s="123">
        <f t="shared" si="2"/>
        <v>2015</v>
      </c>
    </row>
    <row r="22" spans="2:11">
      <c r="B22" s="101">
        <f t="shared" si="1"/>
        <v>2023</v>
      </c>
      <c r="C22" s="102">
        <f t="shared" si="0"/>
        <v>8.1</v>
      </c>
      <c r="G22" s="114">
        <v>42156</v>
      </c>
      <c r="H22" s="122">
        <v>5.028163764574674</v>
      </c>
      <c r="I22" s="123">
        <f t="shared" si="2"/>
        <v>2015</v>
      </c>
    </row>
    <row r="23" spans="2:11">
      <c r="B23" s="101">
        <f t="shared" si="1"/>
        <v>2024</v>
      </c>
      <c r="C23" s="102">
        <f t="shared" si="0"/>
        <v>8.6300000000000008</v>
      </c>
      <c r="G23" s="114">
        <v>42186</v>
      </c>
      <c r="H23" s="122">
        <v>5.157358745817703</v>
      </c>
      <c r="I23" s="123">
        <f t="shared" si="2"/>
        <v>2015</v>
      </c>
    </row>
    <row r="24" spans="2:11">
      <c r="B24" s="101">
        <f t="shared" si="1"/>
        <v>2025</v>
      </c>
      <c r="C24" s="102">
        <f t="shared" si="0"/>
        <v>8.4</v>
      </c>
      <c r="G24" s="114">
        <v>42217</v>
      </c>
      <c r="H24" s="122">
        <v>5.2226605302646254</v>
      </c>
      <c r="I24" s="123">
        <f t="shared" si="2"/>
        <v>2015</v>
      </c>
    </row>
    <row r="25" spans="2:11">
      <c r="B25" s="101">
        <f>B24+1</f>
        <v>2026</v>
      </c>
      <c r="C25" s="102">
        <f t="shared" si="0"/>
        <v>7.61</v>
      </c>
      <c r="G25" s="114">
        <v>42248</v>
      </c>
      <c r="H25" s="122">
        <v>5.1563267373010238</v>
      </c>
      <c r="I25" s="123">
        <f t="shared" si="2"/>
        <v>2015</v>
      </c>
    </row>
    <row r="26" spans="2:11">
      <c r="B26" s="101">
        <f>B25+1</f>
        <v>2027</v>
      </c>
      <c r="C26" s="102">
        <f t="shared" si="0"/>
        <v>7.07</v>
      </c>
      <c r="G26" s="114">
        <v>42278</v>
      </c>
      <c r="H26" s="122">
        <v>5.2153555216465577</v>
      </c>
      <c r="I26" s="123">
        <f t="shared" si="2"/>
        <v>2015</v>
      </c>
    </row>
    <row r="27" spans="2:11">
      <c r="B27" s="101">
        <f>B26+1</f>
        <v>2028</v>
      </c>
      <c r="C27" s="102">
        <f t="shared" si="0"/>
        <v>8.01</v>
      </c>
      <c r="G27" s="114">
        <v>42309</v>
      </c>
      <c r="H27" s="122">
        <v>5.402042837878942</v>
      </c>
      <c r="I27" s="123">
        <f t="shared" si="2"/>
        <v>2015</v>
      </c>
    </row>
    <row r="28" spans="2:11">
      <c r="B28" s="101">
        <f>B27+1</f>
        <v>2029</v>
      </c>
      <c r="C28" s="102">
        <f t="shared" si="0"/>
        <v>8.26</v>
      </c>
      <c r="G28" s="114">
        <v>42339</v>
      </c>
      <c r="H28" s="122">
        <v>5.7033334391158883</v>
      </c>
      <c r="I28" s="123">
        <f t="shared" si="2"/>
        <v>2015</v>
      </c>
    </row>
    <row r="29" spans="2:11">
      <c r="B29" s="101">
        <f>B28+1</f>
        <v>2030</v>
      </c>
      <c r="C29" s="102">
        <f t="shared" si="0"/>
        <v>8.39</v>
      </c>
      <c r="G29" s="114">
        <v>42370</v>
      </c>
      <c r="H29" s="122">
        <v>5.8380906225286431</v>
      </c>
      <c r="I29" s="123">
        <f t="shared" si="2"/>
        <v>2016</v>
      </c>
    </row>
    <row r="30" spans="2:11">
      <c r="B30" s="101">
        <f t="shared" ref="B30:B34" si="3">B29+1</f>
        <v>2031</v>
      </c>
      <c r="C30" s="102">
        <f t="shared" si="0"/>
        <v>8.5399999999999991</v>
      </c>
      <c r="G30" s="114">
        <v>42401</v>
      </c>
      <c r="H30" s="122">
        <v>5.7651673030518102</v>
      </c>
      <c r="I30" s="123">
        <f t="shared" si="2"/>
        <v>2016</v>
      </c>
    </row>
    <row r="31" spans="2:11">
      <c r="B31" s="101">
        <f t="shared" si="3"/>
        <v>2032</v>
      </c>
      <c r="C31" s="102">
        <f t="shared" si="0"/>
        <v>8.69</v>
      </c>
      <c r="G31" s="114">
        <v>42430</v>
      </c>
      <c r="H31" s="122">
        <v>5.5578504623339757</v>
      </c>
      <c r="I31" s="123">
        <f t="shared" si="2"/>
        <v>2016</v>
      </c>
    </row>
    <row r="32" spans="2:11">
      <c r="B32" s="101">
        <f t="shared" si="3"/>
        <v>2033</v>
      </c>
      <c r="C32" s="102">
        <f t="shared" si="0"/>
        <v>8.85</v>
      </c>
      <c r="G32" s="114">
        <v>42461</v>
      </c>
      <c r="H32" s="122">
        <v>5.2552249629930037</v>
      </c>
      <c r="I32" s="123">
        <f t="shared" si="2"/>
        <v>2016</v>
      </c>
    </row>
    <row r="33" spans="2:9">
      <c r="B33" s="101">
        <f t="shared" si="3"/>
        <v>2034</v>
      </c>
      <c r="C33" s="102">
        <f t="shared" si="0"/>
        <v>9.01</v>
      </c>
      <c r="G33" s="114">
        <v>42491</v>
      </c>
      <c r="H33" s="122">
        <v>5.1842861208557238</v>
      </c>
      <c r="I33" s="123">
        <f t="shared" si="2"/>
        <v>2016</v>
      </c>
    </row>
    <row r="34" spans="2:9">
      <c r="B34" s="101">
        <f t="shared" si="3"/>
        <v>2035</v>
      </c>
      <c r="C34" s="102">
        <f t="shared" si="0"/>
        <v>9.17</v>
      </c>
      <c r="G34" s="114">
        <v>42522</v>
      </c>
      <c r="H34" s="122">
        <v>5.1782195285410122</v>
      </c>
      <c r="I34" s="123">
        <f t="shared" si="2"/>
        <v>2016</v>
      </c>
    </row>
    <row r="35" spans="2:9">
      <c r="G35" s="114">
        <v>42552</v>
      </c>
      <c r="H35" s="122">
        <v>5.3074145097840413</v>
      </c>
      <c r="I35" s="123">
        <f t="shared" si="2"/>
        <v>2016</v>
      </c>
    </row>
    <row r="36" spans="2:9">
      <c r="G36" s="114">
        <v>42583</v>
      </c>
      <c r="H36" s="122">
        <v>5.3727162942309645</v>
      </c>
      <c r="I36" s="123">
        <f t="shared" si="2"/>
        <v>2016</v>
      </c>
    </row>
    <row r="37" spans="2:9">
      <c r="G37" s="114">
        <v>42614</v>
      </c>
      <c r="H37" s="122">
        <v>5.3063825012673629</v>
      </c>
      <c r="I37" s="123">
        <f t="shared" si="2"/>
        <v>2016</v>
      </c>
    </row>
    <row r="38" spans="2:9">
      <c r="G38" s="114">
        <v>42644</v>
      </c>
      <c r="H38" s="122">
        <v>5.3654112856128968</v>
      </c>
      <c r="I38" s="123">
        <f t="shared" si="2"/>
        <v>2016</v>
      </c>
    </row>
    <row r="39" spans="2:9">
      <c r="G39" s="114">
        <v>42675</v>
      </c>
      <c r="H39" s="122">
        <v>5.5571680533306296</v>
      </c>
      <c r="I39" s="123">
        <f t="shared" si="2"/>
        <v>2016</v>
      </c>
    </row>
    <row r="40" spans="2:9">
      <c r="G40" s="114">
        <v>42705</v>
      </c>
      <c r="H40" s="122">
        <v>5.8615003254587856</v>
      </c>
      <c r="I40" s="123">
        <f t="shared" si="2"/>
        <v>2016</v>
      </c>
    </row>
    <row r="41" spans="2:9">
      <c r="G41" s="114">
        <v>42736</v>
      </c>
      <c r="H41" s="122">
        <v>6.0793965132312682</v>
      </c>
      <c r="I41" s="123">
        <f t="shared" si="2"/>
        <v>2017</v>
      </c>
    </row>
    <row r="42" spans="2:9">
      <c r="G42" s="114">
        <v>42767</v>
      </c>
      <c r="H42" s="122">
        <v>6.4102745625063378</v>
      </c>
      <c r="I42" s="123">
        <f t="shared" si="2"/>
        <v>2017</v>
      </c>
    </row>
    <row r="43" spans="2:9">
      <c r="G43" s="114">
        <v>42795</v>
      </c>
      <c r="H43" s="122">
        <v>6.2612695234715599</v>
      </c>
      <c r="I43" s="123">
        <f t="shared" si="2"/>
        <v>2017</v>
      </c>
    </row>
    <row r="44" spans="2:9">
      <c r="G44" s="114">
        <v>42826</v>
      </c>
      <c r="H44" s="122">
        <v>5.9881856443272836</v>
      </c>
      <c r="I44" s="123">
        <f t="shared" si="2"/>
        <v>2017</v>
      </c>
    </row>
    <row r="45" spans="2:9">
      <c r="G45" s="114">
        <v>42856</v>
      </c>
      <c r="H45" s="122">
        <v>5.9390673436074222</v>
      </c>
      <c r="I45" s="123">
        <f t="shared" si="2"/>
        <v>2017</v>
      </c>
    </row>
    <row r="46" spans="2:9">
      <c r="G46" s="114">
        <v>42887</v>
      </c>
      <c r="H46" s="122">
        <v>5.9482724637534226</v>
      </c>
      <c r="I46" s="123">
        <f t="shared" si="2"/>
        <v>2017</v>
      </c>
    </row>
    <row r="47" spans="2:9">
      <c r="G47" s="114">
        <v>42917</v>
      </c>
      <c r="H47" s="122">
        <v>6.0305626898509583</v>
      </c>
      <c r="I47" s="123">
        <f t="shared" si="2"/>
        <v>2017</v>
      </c>
    </row>
    <row r="48" spans="2:9">
      <c r="G48" s="114">
        <v>42948</v>
      </c>
      <c r="H48" s="122">
        <v>6.0788322123086287</v>
      </c>
      <c r="I48" s="123">
        <f t="shared" si="2"/>
        <v>2017</v>
      </c>
    </row>
    <row r="49" spans="7:9">
      <c r="G49" s="114">
        <v>42979</v>
      </c>
      <c r="H49" s="122">
        <v>6.0558700912501271</v>
      </c>
      <c r="I49" s="123">
        <f t="shared" si="2"/>
        <v>2017</v>
      </c>
    </row>
    <row r="50" spans="7:9">
      <c r="G50" s="114">
        <v>43009</v>
      </c>
      <c r="H50" s="122">
        <v>6.1029736804217789</v>
      </c>
      <c r="I50" s="123">
        <f t="shared" si="2"/>
        <v>2017</v>
      </c>
    </row>
    <row r="51" spans="7:9">
      <c r="G51" s="114">
        <v>43040</v>
      </c>
      <c r="H51" s="122">
        <v>6.381905181993309</v>
      </c>
      <c r="I51" s="123">
        <f t="shared" si="2"/>
        <v>2017</v>
      </c>
    </row>
    <row r="52" spans="7:9">
      <c r="G52" s="114">
        <v>43070</v>
      </c>
      <c r="H52" s="122">
        <v>6.5761814670992598</v>
      </c>
      <c r="I52" s="123">
        <f t="shared" si="2"/>
        <v>2017</v>
      </c>
    </row>
    <row r="53" spans="7:9">
      <c r="G53" s="114">
        <v>43101</v>
      </c>
      <c r="H53" s="122">
        <v>6.7665761948697147</v>
      </c>
      <c r="I53" s="123">
        <f t="shared" si="2"/>
        <v>2018</v>
      </c>
    </row>
    <row r="54" spans="7:9">
      <c r="G54" s="114">
        <v>43132</v>
      </c>
      <c r="H54" s="122">
        <v>7.0509075646355068</v>
      </c>
      <c r="I54" s="123">
        <f t="shared" si="2"/>
        <v>2018</v>
      </c>
    </row>
    <row r="55" spans="7:9">
      <c r="G55" s="114">
        <v>43160</v>
      </c>
      <c r="H55" s="122">
        <v>6.95965743789922</v>
      </c>
      <c r="I55" s="123">
        <f t="shared" si="2"/>
        <v>2018</v>
      </c>
    </row>
    <row r="56" spans="7:9">
      <c r="G56" s="114">
        <v>43191</v>
      </c>
      <c r="H56" s="122">
        <v>6.7163237666024536</v>
      </c>
      <c r="I56" s="123">
        <f t="shared" si="2"/>
        <v>2018</v>
      </c>
    </row>
    <row r="57" spans="7:9">
      <c r="G57" s="114">
        <v>43221</v>
      </c>
      <c r="H57" s="122">
        <v>6.6960459606610563</v>
      </c>
      <c r="I57" s="123">
        <f t="shared" si="2"/>
        <v>2018</v>
      </c>
    </row>
    <row r="58" spans="7:9">
      <c r="G58" s="114">
        <v>43252</v>
      </c>
      <c r="H58" s="122">
        <v>6.7163237666024536</v>
      </c>
      <c r="I58" s="123">
        <f t="shared" si="2"/>
        <v>2018</v>
      </c>
    </row>
    <row r="59" spans="7:9">
      <c r="G59" s="114">
        <v>43282</v>
      </c>
      <c r="H59" s="122">
        <v>6.7568793784852481</v>
      </c>
      <c r="I59" s="123">
        <f t="shared" si="2"/>
        <v>2018</v>
      </c>
    </row>
    <row r="60" spans="7:9">
      <c r="G60" s="114">
        <v>43313</v>
      </c>
      <c r="H60" s="122">
        <v>6.787296087397344</v>
      </c>
      <c r="I60" s="123">
        <f t="shared" si="2"/>
        <v>2018</v>
      </c>
    </row>
    <row r="61" spans="7:9">
      <c r="G61" s="114">
        <v>43344</v>
      </c>
      <c r="H61" s="122">
        <v>6.8075738933387413</v>
      </c>
      <c r="I61" s="123">
        <f t="shared" si="2"/>
        <v>2018</v>
      </c>
    </row>
    <row r="62" spans="7:9">
      <c r="G62" s="114">
        <v>43374</v>
      </c>
      <c r="H62" s="122">
        <v>6.8379906022508372</v>
      </c>
      <c r="I62" s="123">
        <f t="shared" si="2"/>
        <v>2018</v>
      </c>
    </row>
    <row r="63" spans="7:9">
      <c r="G63" s="114">
        <v>43405</v>
      </c>
      <c r="H63" s="122">
        <v>7.2029911091959846</v>
      </c>
      <c r="I63" s="123">
        <f t="shared" si="2"/>
        <v>2018</v>
      </c>
    </row>
    <row r="64" spans="7:9">
      <c r="G64" s="114">
        <v>43435</v>
      </c>
      <c r="H64" s="122">
        <v>7.2942412359322732</v>
      </c>
      <c r="I64" s="123">
        <f t="shared" si="2"/>
        <v>2018</v>
      </c>
    </row>
    <row r="65" spans="7:9">
      <c r="G65" s="114">
        <v>43466</v>
      </c>
      <c r="H65" s="122">
        <v>7.4564636834634488</v>
      </c>
      <c r="I65" s="123">
        <f t="shared" si="2"/>
        <v>2019</v>
      </c>
    </row>
    <row r="66" spans="7:9">
      <c r="G66" s="114">
        <v>43497</v>
      </c>
      <c r="H66" s="122">
        <v>7.476741489404847</v>
      </c>
      <c r="I66" s="123">
        <f t="shared" si="2"/>
        <v>2019</v>
      </c>
    </row>
    <row r="67" spans="7:9">
      <c r="G67" s="114">
        <v>43525</v>
      </c>
      <c r="H67" s="122">
        <v>7.3550746537564642</v>
      </c>
      <c r="I67" s="123">
        <f t="shared" si="2"/>
        <v>2019</v>
      </c>
    </row>
    <row r="68" spans="7:9">
      <c r="G68" s="114">
        <v>43556</v>
      </c>
      <c r="H68" s="122">
        <v>7.0813242735476027</v>
      </c>
      <c r="I68" s="123">
        <f t="shared" si="2"/>
        <v>2019</v>
      </c>
    </row>
    <row r="69" spans="7:9">
      <c r="G69" s="114">
        <v>43586</v>
      </c>
      <c r="H69" s="122">
        <v>7.0711853705769032</v>
      </c>
      <c r="I69" s="123">
        <f t="shared" si="2"/>
        <v>2019</v>
      </c>
    </row>
    <row r="70" spans="7:9">
      <c r="G70" s="114">
        <v>43617</v>
      </c>
      <c r="H70" s="122">
        <v>7.0610464676062055</v>
      </c>
      <c r="I70" s="123">
        <f t="shared" ref="I70:I116" si="4">YEAR(G70)</f>
        <v>2019</v>
      </c>
    </row>
    <row r="71" spans="7:9">
      <c r="G71" s="114">
        <v>43647</v>
      </c>
      <c r="H71" s="122">
        <v>7.0914631765183014</v>
      </c>
      <c r="I71" s="123">
        <f t="shared" si="4"/>
        <v>2019</v>
      </c>
    </row>
    <row r="72" spans="7:9">
      <c r="G72" s="114">
        <v>43678</v>
      </c>
      <c r="H72" s="122">
        <v>7.1218798854303964</v>
      </c>
      <c r="I72" s="123">
        <f t="shared" si="4"/>
        <v>2019</v>
      </c>
    </row>
    <row r="73" spans="7:9">
      <c r="G73" s="114">
        <v>43709</v>
      </c>
      <c r="H73" s="122">
        <v>7.101602079489</v>
      </c>
      <c r="I73" s="123">
        <f t="shared" si="4"/>
        <v>2019</v>
      </c>
    </row>
    <row r="74" spans="7:9">
      <c r="G74" s="114">
        <v>43739</v>
      </c>
      <c r="H74" s="122">
        <v>7.1320187884010959</v>
      </c>
      <c r="I74" s="123">
        <f t="shared" si="4"/>
        <v>2019</v>
      </c>
    </row>
    <row r="75" spans="7:9">
      <c r="G75" s="114">
        <v>43770</v>
      </c>
      <c r="H75" s="122">
        <v>7.3246579448443683</v>
      </c>
      <c r="I75" s="123">
        <f t="shared" si="4"/>
        <v>2019</v>
      </c>
    </row>
    <row r="76" spans="7:9">
      <c r="G76" s="114">
        <v>43800</v>
      </c>
      <c r="H76" s="122">
        <v>7.4260469745513538</v>
      </c>
      <c r="I76" s="123">
        <f t="shared" si="4"/>
        <v>2019</v>
      </c>
    </row>
    <row r="77" spans="7:9">
      <c r="G77" s="114">
        <v>43831</v>
      </c>
      <c r="H77" s="122">
        <v>7.5477138101997374</v>
      </c>
      <c r="I77" s="123">
        <f t="shared" si="4"/>
        <v>2020</v>
      </c>
    </row>
    <row r="78" spans="7:9">
      <c r="G78" s="114">
        <v>43862</v>
      </c>
      <c r="H78" s="122">
        <v>7.5578527131704352</v>
      </c>
      <c r="I78" s="123">
        <f t="shared" si="4"/>
        <v>2020</v>
      </c>
    </row>
    <row r="79" spans="7:9">
      <c r="G79" s="114">
        <v>43891</v>
      </c>
      <c r="H79" s="122">
        <v>7.4868803923755456</v>
      </c>
      <c r="I79" s="123">
        <f t="shared" si="4"/>
        <v>2020</v>
      </c>
    </row>
    <row r="80" spans="7:9">
      <c r="G80" s="114">
        <v>43922</v>
      </c>
      <c r="H80" s="122">
        <v>7.2232689151373828</v>
      </c>
      <c r="I80" s="123">
        <f t="shared" si="4"/>
        <v>2020</v>
      </c>
    </row>
    <row r="81" spans="7:9">
      <c r="G81" s="114">
        <v>43952</v>
      </c>
      <c r="H81" s="122">
        <v>7.2131300121666841</v>
      </c>
      <c r="I81" s="123">
        <f t="shared" si="4"/>
        <v>2020</v>
      </c>
    </row>
    <row r="82" spans="7:9">
      <c r="G82" s="114">
        <v>43983</v>
      </c>
      <c r="H82" s="122">
        <v>7.2536856240494787</v>
      </c>
      <c r="I82" s="123">
        <f t="shared" si="4"/>
        <v>2020</v>
      </c>
    </row>
    <row r="83" spans="7:9">
      <c r="G83" s="114">
        <v>44013</v>
      </c>
      <c r="H83" s="122">
        <v>7.3145190418736696</v>
      </c>
      <c r="I83" s="123">
        <f t="shared" si="4"/>
        <v>2020</v>
      </c>
    </row>
    <row r="84" spans="7:9">
      <c r="G84" s="114">
        <v>44044</v>
      </c>
      <c r="H84" s="122">
        <v>7.3145190418736696</v>
      </c>
      <c r="I84" s="123">
        <f t="shared" si="4"/>
        <v>2020</v>
      </c>
    </row>
    <row r="85" spans="7:9">
      <c r="G85" s="114">
        <v>44075</v>
      </c>
      <c r="H85" s="122">
        <v>7.1117409824596978</v>
      </c>
      <c r="I85" s="123">
        <f t="shared" si="4"/>
        <v>2020</v>
      </c>
    </row>
    <row r="86" spans="7:9">
      <c r="G86" s="114">
        <v>44105</v>
      </c>
      <c r="H86" s="122">
        <v>7.1522965943424923</v>
      </c>
      <c r="I86" s="123">
        <f t="shared" si="4"/>
        <v>2020</v>
      </c>
    </row>
    <row r="87" spans="7:9">
      <c r="G87" s="114">
        <v>44136</v>
      </c>
      <c r="H87" s="122">
        <v>7.3246579448443683</v>
      </c>
      <c r="I87" s="123">
        <f t="shared" si="4"/>
        <v>2020</v>
      </c>
    </row>
    <row r="88" spans="7:9">
      <c r="G88" s="114">
        <v>44166</v>
      </c>
      <c r="H88" s="122">
        <v>7.3854913626685601</v>
      </c>
      <c r="I88" s="123">
        <f t="shared" si="4"/>
        <v>2020</v>
      </c>
    </row>
    <row r="89" spans="7:9">
      <c r="G89" s="114">
        <v>44197</v>
      </c>
      <c r="H89" s="122">
        <v>7.5477138101997374</v>
      </c>
      <c r="I89" s="123">
        <f t="shared" si="4"/>
        <v>2021</v>
      </c>
    </row>
    <row r="90" spans="7:9">
      <c r="G90" s="114">
        <v>44228</v>
      </c>
      <c r="H90" s="122">
        <v>7.5882694220825311</v>
      </c>
      <c r="I90" s="123">
        <f t="shared" si="4"/>
        <v>2021</v>
      </c>
    </row>
    <row r="91" spans="7:9">
      <c r="G91" s="114">
        <v>44256</v>
      </c>
      <c r="H91" s="122">
        <v>7.5375749072290379</v>
      </c>
      <c r="I91" s="123">
        <f t="shared" si="4"/>
        <v>2021</v>
      </c>
    </row>
    <row r="92" spans="7:9">
      <c r="G92" s="114">
        <v>44287</v>
      </c>
      <c r="H92" s="122">
        <v>7.2536856240494787</v>
      </c>
      <c r="I92" s="123">
        <f t="shared" si="4"/>
        <v>2021</v>
      </c>
    </row>
    <row r="93" spans="7:9">
      <c r="G93" s="114">
        <v>44317</v>
      </c>
      <c r="H93" s="122">
        <v>7.2841023329615737</v>
      </c>
      <c r="I93" s="123">
        <f t="shared" si="4"/>
        <v>2021</v>
      </c>
    </row>
    <row r="94" spans="7:9">
      <c r="G94" s="114">
        <v>44348</v>
      </c>
      <c r="H94" s="122">
        <v>7.3246579448443683</v>
      </c>
      <c r="I94" s="123">
        <f t="shared" si="4"/>
        <v>2021</v>
      </c>
    </row>
    <row r="95" spans="7:9">
      <c r="G95" s="114">
        <v>44378</v>
      </c>
      <c r="H95" s="122">
        <v>7.3652135567271619</v>
      </c>
      <c r="I95" s="123">
        <f t="shared" si="4"/>
        <v>2021</v>
      </c>
    </row>
    <row r="96" spans="7:9">
      <c r="G96" s="114">
        <v>44409</v>
      </c>
      <c r="H96" s="122">
        <v>7.3753524596978606</v>
      </c>
      <c r="I96" s="123">
        <f t="shared" si="4"/>
        <v>2021</v>
      </c>
    </row>
    <row r="97" spans="7:9">
      <c r="G97" s="114">
        <v>44440</v>
      </c>
      <c r="H97" s="122">
        <v>7.304380138902971</v>
      </c>
      <c r="I97" s="123">
        <f t="shared" si="4"/>
        <v>2021</v>
      </c>
    </row>
    <row r="98" spans="7:9">
      <c r="G98" s="114">
        <v>44470</v>
      </c>
      <c r="H98" s="122">
        <v>7.3347968478150669</v>
      </c>
      <c r="I98" s="123">
        <f t="shared" si="4"/>
        <v>2021</v>
      </c>
    </row>
    <row r="99" spans="7:9">
      <c r="G99" s="114">
        <v>44501</v>
      </c>
      <c r="H99" s="122">
        <v>7.4666025864341483</v>
      </c>
      <c r="I99" s="123">
        <f t="shared" si="4"/>
        <v>2021</v>
      </c>
    </row>
    <row r="100" spans="7:9">
      <c r="G100" s="114">
        <v>44531</v>
      </c>
      <c r="H100" s="122">
        <v>7.5274360042583393</v>
      </c>
      <c r="I100" s="123">
        <f t="shared" si="4"/>
        <v>2021</v>
      </c>
    </row>
    <row r="101" spans="7:9">
      <c r="G101" s="114">
        <v>44562</v>
      </c>
      <c r="H101" s="122">
        <v>7.7099362577309138</v>
      </c>
      <c r="I101" s="123">
        <f t="shared" si="4"/>
        <v>2022</v>
      </c>
    </row>
    <row r="102" spans="7:9">
      <c r="G102" s="114">
        <v>44593</v>
      </c>
      <c r="H102" s="122">
        <v>7.760630772584407</v>
      </c>
      <c r="I102" s="123">
        <f t="shared" si="4"/>
        <v>2022</v>
      </c>
    </row>
    <row r="103" spans="7:9">
      <c r="G103" s="114">
        <v>44621</v>
      </c>
      <c r="H103" s="122">
        <v>7.6186861309946261</v>
      </c>
      <c r="I103" s="123">
        <f t="shared" si="4"/>
        <v>2022</v>
      </c>
    </row>
    <row r="104" spans="7:9">
      <c r="G104" s="114">
        <v>44652</v>
      </c>
      <c r="H104" s="122">
        <v>7.4260469745513538</v>
      </c>
      <c r="I104" s="123">
        <f t="shared" si="4"/>
        <v>2022</v>
      </c>
    </row>
    <row r="105" spans="7:9">
      <c r="G105" s="114">
        <v>44682</v>
      </c>
      <c r="H105" s="122">
        <v>7.4564636834634488</v>
      </c>
      <c r="I105" s="123">
        <f t="shared" si="4"/>
        <v>2022</v>
      </c>
    </row>
    <row r="106" spans="7:9">
      <c r="G106" s="114">
        <v>44713</v>
      </c>
      <c r="H106" s="122">
        <v>7.5071581983169429</v>
      </c>
      <c r="I106" s="123">
        <f t="shared" si="4"/>
        <v>2022</v>
      </c>
    </row>
    <row r="107" spans="7:9">
      <c r="G107" s="114">
        <v>44743</v>
      </c>
      <c r="H107" s="122">
        <v>7.5679916161411338</v>
      </c>
      <c r="I107" s="123">
        <f t="shared" si="4"/>
        <v>2022</v>
      </c>
    </row>
    <row r="108" spans="7:9">
      <c r="G108" s="114">
        <v>44774</v>
      </c>
      <c r="H108" s="122">
        <v>7.6186861309946261</v>
      </c>
      <c r="I108" s="123">
        <f t="shared" si="4"/>
        <v>2022</v>
      </c>
    </row>
    <row r="109" spans="7:9">
      <c r="G109" s="114">
        <v>44805</v>
      </c>
      <c r="H109" s="122">
        <v>7.5477138101997374</v>
      </c>
      <c r="I109" s="123">
        <f t="shared" si="4"/>
        <v>2022</v>
      </c>
    </row>
    <row r="110" spans="7:9">
      <c r="G110" s="114">
        <v>44835</v>
      </c>
      <c r="H110" s="122">
        <v>7.5984083250532297</v>
      </c>
      <c r="I110" s="123">
        <f t="shared" si="4"/>
        <v>2022</v>
      </c>
    </row>
    <row r="111" spans="7:9">
      <c r="G111" s="114">
        <v>44866</v>
      </c>
      <c r="H111" s="122">
        <v>7.821464190408598</v>
      </c>
      <c r="I111" s="123">
        <f t="shared" si="4"/>
        <v>2022</v>
      </c>
    </row>
    <row r="112" spans="7:9">
      <c r="G112" s="114">
        <v>44896</v>
      </c>
      <c r="H112" s="122">
        <v>7.9025754141741871</v>
      </c>
      <c r="I112" s="123">
        <f t="shared" si="4"/>
        <v>2022</v>
      </c>
    </row>
    <row r="113" spans="7:9">
      <c r="G113" s="114">
        <v>44927</v>
      </c>
      <c r="H113" s="122">
        <v>8.1053534735881581</v>
      </c>
      <c r="I113" s="123">
        <f t="shared" si="4"/>
        <v>2023</v>
      </c>
    </row>
    <row r="114" spans="7:9">
      <c r="G114" s="114">
        <v>44958</v>
      </c>
      <c r="H114" s="122">
        <v>8.1560479884416495</v>
      </c>
      <c r="I114" s="123">
        <f t="shared" si="4"/>
        <v>2023</v>
      </c>
    </row>
    <row r="115" spans="7:9">
      <c r="G115" s="114">
        <v>44986</v>
      </c>
      <c r="H115" s="122">
        <v>8.0546589587346649</v>
      </c>
      <c r="I115" s="123">
        <f t="shared" si="4"/>
        <v>2023</v>
      </c>
    </row>
    <row r="116" spans="7:9">
      <c r="G116" s="114">
        <v>45017</v>
      </c>
      <c r="H116" s="122">
        <v>7.8721587052620912</v>
      </c>
      <c r="I116" s="123">
        <f t="shared" si="4"/>
        <v>2023</v>
      </c>
    </row>
    <row r="117" spans="7:9">
      <c r="G117" s="114">
        <v>45047</v>
      </c>
      <c r="H117" s="122">
        <v>7.9228532201155835</v>
      </c>
      <c r="I117" s="123">
        <f t="shared" ref="I117:I180" si="5">YEAR(G117)</f>
        <v>2023</v>
      </c>
    </row>
    <row r="118" spans="7:9">
      <c r="G118" s="114">
        <v>45078</v>
      </c>
      <c r="H118" s="122">
        <v>7.963408831998378</v>
      </c>
      <c r="I118" s="123">
        <f t="shared" si="5"/>
        <v>2023</v>
      </c>
    </row>
    <row r="119" spans="7:9">
      <c r="G119" s="114">
        <v>45108</v>
      </c>
      <c r="H119" s="122">
        <v>8.0141033468518721</v>
      </c>
      <c r="I119" s="123">
        <f t="shared" si="5"/>
        <v>2023</v>
      </c>
    </row>
    <row r="120" spans="7:9">
      <c r="G120" s="114">
        <v>45139</v>
      </c>
      <c r="H120" s="122">
        <v>8.0546589587346649</v>
      </c>
      <c r="I120" s="123">
        <f t="shared" si="5"/>
        <v>2023</v>
      </c>
    </row>
    <row r="121" spans="7:9">
      <c r="G121" s="114">
        <v>45170</v>
      </c>
      <c r="H121" s="122">
        <v>8.0749367646760621</v>
      </c>
      <c r="I121" s="123">
        <f t="shared" si="5"/>
        <v>2023</v>
      </c>
    </row>
    <row r="122" spans="7:9">
      <c r="G122" s="114">
        <v>45200</v>
      </c>
      <c r="H122" s="122">
        <v>8.1256312795295553</v>
      </c>
      <c r="I122" s="123">
        <f t="shared" si="5"/>
        <v>2023</v>
      </c>
    </row>
    <row r="123" spans="7:9">
      <c r="G123" s="114">
        <v>45231</v>
      </c>
      <c r="H123" s="122">
        <v>8.3892427567677181</v>
      </c>
      <c r="I123" s="123">
        <f t="shared" si="5"/>
        <v>2023</v>
      </c>
    </row>
    <row r="124" spans="7:9">
      <c r="G124" s="114">
        <v>45261</v>
      </c>
      <c r="H124" s="122">
        <v>8.4703539805333055</v>
      </c>
      <c r="I124" s="123">
        <f t="shared" si="5"/>
        <v>2023</v>
      </c>
    </row>
    <row r="125" spans="7:9">
      <c r="G125" s="114">
        <v>45292</v>
      </c>
      <c r="H125" s="122">
        <v>8.6832709429179769</v>
      </c>
      <c r="I125" s="123">
        <f t="shared" si="5"/>
        <v>2024</v>
      </c>
    </row>
    <row r="126" spans="7:9">
      <c r="G126" s="114">
        <v>45323</v>
      </c>
      <c r="H126" s="122">
        <v>8.7339654577714683</v>
      </c>
      <c r="I126" s="123">
        <f t="shared" si="5"/>
        <v>2024</v>
      </c>
    </row>
    <row r="127" spans="7:9">
      <c r="G127" s="114">
        <v>45352</v>
      </c>
      <c r="H127" s="122">
        <v>8.622437525093785</v>
      </c>
      <c r="I127" s="123">
        <f t="shared" si="5"/>
        <v>2024</v>
      </c>
    </row>
    <row r="128" spans="7:9">
      <c r="G128" s="114">
        <v>45383</v>
      </c>
      <c r="H128" s="122">
        <v>8.4095205627091136</v>
      </c>
      <c r="I128" s="123">
        <f t="shared" si="5"/>
        <v>2024</v>
      </c>
    </row>
    <row r="129" spans="7:9">
      <c r="G129" s="114">
        <v>45413</v>
      </c>
      <c r="H129" s="122">
        <v>8.4602150775626086</v>
      </c>
      <c r="I129" s="123">
        <f t="shared" si="5"/>
        <v>2024</v>
      </c>
    </row>
    <row r="130" spans="7:9">
      <c r="G130" s="114">
        <v>45444</v>
      </c>
      <c r="H130" s="122">
        <v>8.5109095924161018</v>
      </c>
      <c r="I130" s="123">
        <f t="shared" si="5"/>
        <v>2024</v>
      </c>
    </row>
    <row r="131" spans="7:9">
      <c r="G131" s="114">
        <v>45474</v>
      </c>
      <c r="H131" s="122">
        <v>8.5920208161816909</v>
      </c>
      <c r="I131" s="123">
        <f t="shared" si="5"/>
        <v>2024</v>
      </c>
    </row>
    <row r="132" spans="7:9">
      <c r="G132" s="114">
        <v>45505</v>
      </c>
      <c r="H132" s="122">
        <v>8.622437525093785</v>
      </c>
      <c r="I132" s="123">
        <f t="shared" si="5"/>
        <v>2024</v>
      </c>
    </row>
    <row r="133" spans="7:9">
      <c r="G133" s="114">
        <v>45536</v>
      </c>
      <c r="H133" s="122">
        <v>8.6021597191523878</v>
      </c>
      <c r="I133" s="123">
        <f t="shared" si="5"/>
        <v>2024</v>
      </c>
    </row>
    <row r="134" spans="7:9">
      <c r="G134" s="114">
        <v>45566</v>
      </c>
      <c r="H134" s="122">
        <v>8.6427153310351823</v>
      </c>
      <c r="I134" s="123">
        <f t="shared" si="5"/>
        <v>2024</v>
      </c>
    </row>
    <row r="135" spans="7:9">
      <c r="G135" s="114">
        <v>45597</v>
      </c>
      <c r="H135" s="122">
        <v>8.8049377785663587</v>
      </c>
      <c r="I135" s="123">
        <f t="shared" si="5"/>
        <v>2024</v>
      </c>
    </row>
    <row r="136" spans="7:9">
      <c r="G136" s="114">
        <v>45627</v>
      </c>
      <c r="H136" s="122">
        <v>8.9063268082733451</v>
      </c>
      <c r="I136" s="123">
        <f t="shared" si="5"/>
        <v>2024</v>
      </c>
    </row>
    <row r="137" spans="7:9">
      <c r="G137" s="114">
        <v>45658</v>
      </c>
      <c r="H137" s="122">
        <v>9.0685492558045215</v>
      </c>
      <c r="I137" s="123">
        <f t="shared" si="5"/>
        <v>2025</v>
      </c>
    </row>
    <row r="138" spans="7:9">
      <c r="G138" s="114">
        <v>45689</v>
      </c>
      <c r="H138" s="122">
        <v>9.1192437706580147</v>
      </c>
      <c r="I138" s="123">
        <f t="shared" si="5"/>
        <v>2025</v>
      </c>
    </row>
    <row r="139" spans="7:9">
      <c r="G139" s="114">
        <v>45717</v>
      </c>
      <c r="H139" s="122">
        <v>8.6122986221230864</v>
      </c>
      <c r="I139" s="123">
        <f t="shared" si="5"/>
        <v>2025</v>
      </c>
    </row>
    <row r="140" spans="7:9">
      <c r="G140" s="114">
        <v>45748</v>
      </c>
      <c r="H140" s="122">
        <v>8.1154923765588567</v>
      </c>
      <c r="I140" s="123">
        <f t="shared" si="5"/>
        <v>2025</v>
      </c>
    </row>
    <row r="141" spans="7:9">
      <c r="G141" s="114">
        <v>45778</v>
      </c>
      <c r="H141" s="122">
        <v>8.0546589587346649</v>
      </c>
      <c r="I141" s="123">
        <f t="shared" si="5"/>
        <v>2025</v>
      </c>
    </row>
    <row r="142" spans="7:9">
      <c r="G142" s="114">
        <v>45809</v>
      </c>
      <c r="H142" s="122">
        <v>8.0952145706174594</v>
      </c>
      <c r="I142" s="123">
        <f t="shared" si="5"/>
        <v>2025</v>
      </c>
    </row>
    <row r="143" spans="7:9">
      <c r="G143" s="114">
        <v>45839</v>
      </c>
      <c r="H143" s="122">
        <v>8.135770182500254</v>
      </c>
      <c r="I143" s="123">
        <f t="shared" si="5"/>
        <v>2025</v>
      </c>
    </row>
    <row r="144" spans="7:9">
      <c r="G144" s="114">
        <v>45870</v>
      </c>
      <c r="H144" s="122">
        <v>8.1763257943830485</v>
      </c>
      <c r="I144" s="123">
        <f t="shared" si="5"/>
        <v>2025</v>
      </c>
    </row>
    <row r="145" spans="7:9">
      <c r="G145" s="114">
        <v>45901</v>
      </c>
      <c r="H145" s="122">
        <v>8.1459090854709526</v>
      </c>
      <c r="I145" s="123">
        <f t="shared" si="5"/>
        <v>2025</v>
      </c>
    </row>
    <row r="146" spans="7:9">
      <c r="G146" s="114">
        <v>45931</v>
      </c>
      <c r="H146" s="122">
        <v>8.1966036003244458</v>
      </c>
      <c r="I146" s="123">
        <f t="shared" si="5"/>
        <v>2025</v>
      </c>
    </row>
    <row r="147" spans="7:9">
      <c r="G147" s="114">
        <v>45962</v>
      </c>
      <c r="H147" s="122">
        <v>8.5210484953868004</v>
      </c>
      <c r="I147" s="123">
        <f t="shared" si="5"/>
        <v>2025</v>
      </c>
    </row>
    <row r="148" spans="7:9">
      <c r="G148" s="114">
        <v>45992</v>
      </c>
      <c r="H148" s="122">
        <v>8.5717430102402918</v>
      </c>
      <c r="I148" s="123">
        <f t="shared" si="5"/>
        <v>2025</v>
      </c>
    </row>
    <row r="149" spans="7:9">
      <c r="G149" s="114">
        <v>46023</v>
      </c>
      <c r="H149" s="122">
        <v>8.7542432637128673</v>
      </c>
      <c r="I149" s="123">
        <f t="shared" si="5"/>
        <v>2026</v>
      </c>
    </row>
    <row r="150" spans="7:9">
      <c r="G150" s="114">
        <v>46054</v>
      </c>
      <c r="H150" s="122">
        <v>8.8150766815370574</v>
      </c>
      <c r="I150" s="123">
        <f t="shared" si="5"/>
        <v>2026</v>
      </c>
    </row>
    <row r="151" spans="7:9">
      <c r="G151" s="114">
        <v>46082</v>
      </c>
      <c r="H151" s="122">
        <v>7.8822976082327889</v>
      </c>
      <c r="I151" s="123">
        <f t="shared" si="5"/>
        <v>2026</v>
      </c>
    </row>
    <row r="152" spans="7:9">
      <c r="G152" s="114">
        <v>46113</v>
      </c>
      <c r="H152" s="122">
        <v>7.2942412359322732</v>
      </c>
      <c r="I152" s="123">
        <f t="shared" si="5"/>
        <v>2026</v>
      </c>
    </row>
    <row r="153" spans="7:9">
      <c r="G153" s="114">
        <v>46143</v>
      </c>
      <c r="H153" s="122">
        <v>7.2334078181080805</v>
      </c>
      <c r="I153" s="123">
        <f t="shared" si="5"/>
        <v>2026</v>
      </c>
    </row>
    <row r="154" spans="7:9">
      <c r="G154" s="114">
        <v>46174</v>
      </c>
      <c r="H154" s="122">
        <v>7.2841023329615737</v>
      </c>
      <c r="I154" s="123">
        <f t="shared" si="5"/>
        <v>2026</v>
      </c>
    </row>
    <row r="155" spans="7:9">
      <c r="G155" s="114">
        <v>46204</v>
      </c>
      <c r="H155" s="122">
        <v>7.3246579448443683</v>
      </c>
      <c r="I155" s="123">
        <f t="shared" si="5"/>
        <v>2026</v>
      </c>
    </row>
    <row r="156" spans="7:9">
      <c r="G156" s="114">
        <v>46235</v>
      </c>
      <c r="H156" s="122">
        <v>7.3652135567271619</v>
      </c>
      <c r="I156" s="123">
        <f t="shared" si="5"/>
        <v>2026</v>
      </c>
    </row>
    <row r="157" spans="7:9">
      <c r="G157" s="114">
        <v>46266</v>
      </c>
      <c r="H157" s="122">
        <v>7.2942412359322732</v>
      </c>
      <c r="I157" s="123">
        <f t="shared" si="5"/>
        <v>2026</v>
      </c>
    </row>
    <row r="158" spans="7:9">
      <c r="G158" s="114">
        <v>46296</v>
      </c>
      <c r="H158" s="122">
        <v>7.2232689151373828</v>
      </c>
      <c r="I158" s="123">
        <f t="shared" si="5"/>
        <v>2026</v>
      </c>
    </row>
    <row r="159" spans="7:9">
      <c r="G159" s="114">
        <v>46327</v>
      </c>
      <c r="H159" s="122">
        <v>7.476741489404847</v>
      </c>
      <c r="I159" s="123">
        <f t="shared" si="5"/>
        <v>2026</v>
      </c>
    </row>
    <row r="160" spans="7:9">
      <c r="G160" s="114">
        <v>46357</v>
      </c>
      <c r="H160" s="122">
        <v>7.3145190418736696</v>
      </c>
      <c r="I160" s="123">
        <f t="shared" si="5"/>
        <v>2026</v>
      </c>
    </row>
    <row r="161" spans="7:9">
      <c r="G161" s="114">
        <v>46388</v>
      </c>
      <c r="H161" s="122">
        <v>7.0306297586941096</v>
      </c>
      <c r="I161" s="123">
        <f t="shared" si="5"/>
        <v>2027</v>
      </c>
    </row>
    <row r="162" spans="7:9">
      <c r="G162" s="114">
        <v>46419</v>
      </c>
      <c r="H162" s="122">
        <v>7.0813242735476027</v>
      </c>
      <c r="I162" s="123">
        <f t="shared" si="5"/>
        <v>2027</v>
      </c>
    </row>
    <row r="163" spans="7:9">
      <c r="G163" s="114">
        <v>46447</v>
      </c>
      <c r="H163" s="122">
        <v>7.1218798854303964</v>
      </c>
      <c r="I163" s="123">
        <f t="shared" si="5"/>
        <v>2027</v>
      </c>
    </row>
    <row r="164" spans="7:9">
      <c r="G164" s="114">
        <v>46478</v>
      </c>
      <c r="H164" s="122">
        <v>6.8684073111629322</v>
      </c>
      <c r="I164" s="123">
        <f t="shared" si="5"/>
        <v>2027</v>
      </c>
    </row>
    <row r="165" spans="7:9">
      <c r="G165" s="114">
        <v>46508</v>
      </c>
      <c r="H165" s="122">
        <v>6.8075738933387413</v>
      </c>
      <c r="I165" s="123">
        <f t="shared" si="5"/>
        <v>2027</v>
      </c>
    </row>
    <row r="166" spans="7:9">
      <c r="G166" s="114">
        <v>46539</v>
      </c>
      <c r="H166" s="122">
        <v>6.8075738933387413</v>
      </c>
      <c r="I166" s="123">
        <f t="shared" si="5"/>
        <v>2027</v>
      </c>
    </row>
    <row r="167" spans="7:9">
      <c r="G167" s="114">
        <v>46569</v>
      </c>
      <c r="H167" s="122">
        <v>6.8075738933387413</v>
      </c>
      <c r="I167" s="123">
        <f t="shared" si="5"/>
        <v>2027</v>
      </c>
    </row>
    <row r="168" spans="7:9">
      <c r="G168" s="114">
        <v>46600</v>
      </c>
      <c r="H168" s="122">
        <v>6.817712796309439</v>
      </c>
      <c r="I168" s="123">
        <f t="shared" si="5"/>
        <v>2027</v>
      </c>
    </row>
    <row r="169" spans="7:9">
      <c r="G169" s="114">
        <v>46631</v>
      </c>
      <c r="H169" s="122">
        <v>6.8278516992801386</v>
      </c>
      <c r="I169" s="123">
        <f t="shared" si="5"/>
        <v>2027</v>
      </c>
    </row>
    <row r="170" spans="7:9">
      <c r="G170" s="114">
        <v>46661</v>
      </c>
      <c r="H170" s="122">
        <v>6.8582684081922336</v>
      </c>
      <c r="I170" s="123">
        <f t="shared" si="5"/>
        <v>2027</v>
      </c>
    </row>
    <row r="171" spans="7:9">
      <c r="G171" s="114">
        <v>46692</v>
      </c>
      <c r="H171" s="122">
        <v>7.8518808993206939</v>
      </c>
      <c r="I171" s="123">
        <f t="shared" si="5"/>
        <v>2027</v>
      </c>
    </row>
    <row r="172" spans="7:9">
      <c r="G172" s="114">
        <v>46722</v>
      </c>
      <c r="H172" s="122">
        <v>7.9025754141741871</v>
      </c>
      <c r="I172" s="123">
        <f t="shared" si="5"/>
        <v>2027</v>
      </c>
    </row>
    <row r="173" spans="7:9">
      <c r="G173" s="114">
        <v>46753</v>
      </c>
      <c r="H173" s="122">
        <v>8.0952145706174594</v>
      </c>
      <c r="I173" s="123">
        <f t="shared" si="5"/>
        <v>2028</v>
      </c>
    </row>
    <row r="174" spans="7:9">
      <c r="G174" s="114">
        <v>46784</v>
      </c>
      <c r="H174" s="122">
        <v>8.1053534735881581</v>
      </c>
      <c r="I174" s="123">
        <f t="shared" si="5"/>
        <v>2028</v>
      </c>
    </row>
    <row r="175" spans="7:9">
      <c r="G175" s="114">
        <v>46813</v>
      </c>
      <c r="H175" s="122">
        <v>8.0141033468518721</v>
      </c>
      <c r="I175" s="123">
        <f t="shared" si="5"/>
        <v>2028</v>
      </c>
    </row>
    <row r="176" spans="7:9">
      <c r="G176" s="114">
        <v>46844</v>
      </c>
      <c r="H176" s="122">
        <v>7.8417419963499961</v>
      </c>
      <c r="I176" s="123">
        <f t="shared" si="5"/>
        <v>2028</v>
      </c>
    </row>
    <row r="177" spans="7:9">
      <c r="G177" s="114">
        <v>46874</v>
      </c>
      <c r="H177" s="122">
        <v>7.8011863844672016</v>
      </c>
      <c r="I177" s="123">
        <f t="shared" si="5"/>
        <v>2028</v>
      </c>
    </row>
    <row r="178" spans="7:9">
      <c r="G178" s="114">
        <v>46905</v>
      </c>
      <c r="H178" s="122">
        <v>7.8417419963499961</v>
      </c>
      <c r="I178" s="123">
        <f t="shared" si="5"/>
        <v>2028</v>
      </c>
    </row>
    <row r="179" spans="7:9">
      <c r="G179" s="114">
        <v>46935</v>
      </c>
      <c r="H179" s="122">
        <v>7.9127143171448848</v>
      </c>
      <c r="I179" s="123">
        <f t="shared" si="5"/>
        <v>2028</v>
      </c>
    </row>
    <row r="180" spans="7:9">
      <c r="G180" s="114">
        <v>46966</v>
      </c>
      <c r="H180" s="122">
        <v>7.9532699290276794</v>
      </c>
      <c r="I180" s="123">
        <f t="shared" si="5"/>
        <v>2028</v>
      </c>
    </row>
    <row r="181" spans="7:9">
      <c r="G181" s="114">
        <v>46997</v>
      </c>
      <c r="H181" s="122">
        <v>7.9735477349690767</v>
      </c>
      <c r="I181" s="123">
        <f t="shared" ref="I181:I244" si="6">YEAR(G181)</f>
        <v>2028</v>
      </c>
    </row>
    <row r="182" spans="7:9">
      <c r="G182" s="114">
        <v>47027</v>
      </c>
      <c r="H182" s="122">
        <v>8.0039644438811717</v>
      </c>
      <c r="I182" s="123">
        <f t="shared" si="6"/>
        <v>2028</v>
      </c>
    </row>
    <row r="183" spans="7:9">
      <c r="G183" s="114">
        <v>47058</v>
      </c>
      <c r="H183" s="122">
        <v>8.2371592122072386</v>
      </c>
      <c r="I183" s="123">
        <f t="shared" si="6"/>
        <v>2028</v>
      </c>
    </row>
    <row r="184" spans="7:9">
      <c r="G184" s="114">
        <v>47088</v>
      </c>
      <c r="H184" s="122">
        <v>8.308131533002129</v>
      </c>
      <c r="I184" s="123">
        <f t="shared" si="6"/>
        <v>2028</v>
      </c>
    </row>
    <row r="185" spans="7:9">
      <c r="G185" s="114">
        <v>47119</v>
      </c>
      <c r="H185" s="122">
        <v>8.419659465679814</v>
      </c>
      <c r="I185" s="123">
        <f t="shared" si="6"/>
        <v>2029</v>
      </c>
    </row>
    <row r="186" spans="7:9">
      <c r="G186" s="114">
        <v>47150</v>
      </c>
      <c r="H186" s="122">
        <v>8.4703539805333055</v>
      </c>
      <c r="I186" s="123">
        <f t="shared" si="6"/>
        <v>2029</v>
      </c>
    </row>
    <row r="187" spans="7:9">
      <c r="G187" s="114">
        <v>47178</v>
      </c>
      <c r="H187" s="122">
        <v>8.4095205627091136</v>
      </c>
      <c r="I187" s="123">
        <f t="shared" si="6"/>
        <v>2029</v>
      </c>
    </row>
    <row r="188" spans="7:9">
      <c r="G188" s="114">
        <v>47209</v>
      </c>
      <c r="H188" s="122">
        <v>8.1154923765588567</v>
      </c>
      <c r="I188" s="123">
        <f t="shared" si="6"/>
        <v>2029</v>
      </c>
    </row>
    <row r="189" spans="7:9">
      <c r="G189" s="114">
        <v>47239</v>
      </c>
      <c r="H189" s="122">
        <v>7.963408831998378</v>
      </c>
      <c r="I189" s="123">
        <f t="shared" si="6"/>
        <v>2029</v>
      </c>
    </row>
    <row r="190" spans="7:9">
      <c r="G190" s="114">
        <v>47270</v>
      </c>
      <c r="H190" s="122">
        <v>8.0141033468518721</v>
      </c>
      <c r="I190" s="123">
        <f t="shared" si="6"/>
        <v>2029</v>
      </c>
    </row>
    <row r="191" spans="7:9">
      <c r="G191" s="114">
        <v>47300</v>
      </c>
      <c r="H191" s="122">
        <v>8.0647978617053635</v>
      </c>
      <c r="I191" s="123">
        <f t="shared" si="6"/>
        <v>2029</v>
      </c>
    </row>
    <row r="192" spans="7:9">
      <c r="G192" s="114">
        <v>47331</v>
      </c>
      <c r="H192" s="122">
        <v>8.1053534735881581</v>
      </c>
      <c r="I192" s="123">
        <f t="shared" si="6"/>
        <v>2029</v>
      </c>
    </row>
    <row r="193" spans="7:9">
      <c r="G193" s="114">
        <v>47362</v>
      </c>
      <c r="H193" s="122">
        <v>8.1661868914123499</v>
      </c>
      <c r="I193" s="123">
        <f t="shared" si="6"/>
        <v>2029</v>
      </c>
    </row>
    <row r="194" spans="7:9">
      <c r="G194" s="114">
        <v>47392</v>
      </c>
      <c r="H194" s="122">
        <v>8.2067425032951444</v>
      </c>
      <c r="I194" s="123">
        <f t="shared" si="6"/>
        <v>2029</v>
      </c>
    </row>
    <row r="195" spans="7:9">
      <c r="G195" s="114">
        <v>47423</v>
      </c>
      <c r="H195" s="122">
        <v>8.5514652042988946</v>
      </c>
      <c r="I195" s="123">
        <f t="shared" si="6"/>
        <v>2029</v>
      </c>
    </row>
    <row r="196" spans="7:9">
      <c r="G196" s="114">
        <v>47453</v>
      </c>
      <c r="H196" s="122">
        <v>8.6021597191523878</v>
      </c>
      <c r="I196" s="123">
        <f t="shared" si="6"/>
        <v>2029</v>
      </c>
    </row>
    <row r="197" spans="7:9">
      <c r="G197" s="114">
        <v>47484</v>
      </c>
      <c r="H197" s="122">
        <v>8.7136876518300728</v>
      </c>
      <c r="I197" s="123">
        <f t="shared" si="6"/>
        <v>2030</v>
      </c>
    </row>
    <row r="198" spans="7:9">
      <c r="G198" s="114">
        <v>47515</v>
      </c>
      <c r="H198" s="122">
        <v>8.7238265548007714</v>
      </c>
      <c r="I198" s="123">
        <f t="shared" si="6"/>
        <v>2030</v>
      </c>
    </row>
    <row r="199" spans="7:9">
      <c r="G199" s="114">
        <v>47543</v>
      </c>
      <c r="H199" s="122">
        <v>8.5920208161816909</v>
      </c>
      <c r="I199" s="123">
        <f t="shared" si="6"/>
        <v>2030</v>
      </c>
    </row>
    <row r="200" spans="7:9">
      <c r="G200" s="114">
        <v>47574</v>
      </c>
      <c r="H200" s="122">
        <v>8.0749367646760621</v>
      </c>
      <c r="I200" s="123">
        <f t="shared" si="6"/>
        <v>2030</v>
      </c>
    </row>
    <row r="201" spans="7:9">
      <c r="G201" s="114">
        <v>47604</v>
      </c>
      <c r="H201" s="122">
        <v>8.0039644438811717</v>
      </c>
      <c r="I201" s="123">
        <f t="shared" si="6"/>
        <v>2030</v>
      </c>
    </row>
    <row r="202" spans="7:9">
      <c r="G202" s="114">
        <v>47635</v>
      </c>
      <c r="H202" s="122">
        <v>8.0445200557639662</v>
      </c>
      <c r="I202" s="123">
        <f t="shared" si="6"/>
        <v>2030</v>
      </c>
    </row>
    <row r="203" spans="7:9">
      <c r="G203" s="114">
        <v>47665</v>
      </c>
      <c r="H203" s="122">
        <v>8.1256312795295553</v>
      </c>
      <c r="I203" s="123">
        <f t="shared" si="6"/>
        <v>2030</v>
      </c>
    </row>
    <row r="204" spans="7:9">
      <c r="G204" s="114">
        <v>47696</v>
      </c>
      <c r="H204" s="122">
        <v>8.1763257943830485</v>
      </c>
      <c r="I204" s="123">
        <f t="shared" si="6"/>
        <v>2030</v>
      </c>
    </row>
    <row r="205" spans="7:9">
      <c r="G205" s="114">
        <v>47727</v>
      </c>
      <c r="H205" s="122">
        <v>8.1966036003244458</v>
      </c>
      <c r="I205" s="123">
        <f t="shared" si="6"/>
        <v>2030</v>
      </c>
    </row>
    <row r="206" spans="7:9">
      <c r="G206" s="114">
        <v>47757</v>
      </c>
      <c r="H206" s="122">
        <v>8.247298115177939</v>
      </c>
      <c r="I206" s="123">
        <f t="shared" si="6"/>
        <v>2030</v>
      </c>
    </row>
    <row r="207" spans="7:9">
      <c r="G207" s="114">
        <v>47788</v>
      </c>
      <c r="H207" s="122">
        <v>8.8353544874784564</v>
      </c>
      <c r="I207" s="123">
        <f t="shared" si="6"/>
        <v>2030</v>
      </c>
    </row>
    <row r="208" spans="7:9">
      <c r="G208" s="114">
        <v>47818</v>
      </c>
      <c r="H208" s="122">
        <v>8.8961879053026465</v>
      </c>
      <c r="I208" s="123">
        <f t="shared" si="6"/>
        <v>2030</v>
      </c>
    </row>
    <row r="209" spans="7:9">
      <c r="G209" s="114">
        <v>47849</v>
      </c>
      <c r="H209" s="122">
        <v>8.8657711963905506</v>
      </c>
      <c r="I209" s="123">
        <f t="shared" si="6"/>
        <v>2031</v>
      </c>
    </row>
    <row r="210" spans="7:9">
      <c r="G210" s="114">
        <v>47880</v>
      </c>
      <c r="H210" s="122">
        <v>8.8759100993612492</v>
      </c>
      <c r="I210" s="123">
        <f t="shared" si="6"/>
        <v>2031</v>
      </c>
    </row>
    <row r="211" spans="7:9">
      <c r="G211" s="114">
        <v>47908</v>
      </c>
      <c r="H211" s="122">
        <v>8.7441043607421669</v>
      </c>
      <c r="I211" s="123">
        <f t="shared" si="6"/>
        <v>2031</v>
      </c>
    </row>
    <row r="212" spans="7:9">
      <c r="G212" s="114">
        <v>47939</v>
      </c>
      <c r="H212" s="122">
        <v>8.2168814062658413</v>
      </c>
      <c r="I212" s="123">
        <f t="shared" si="6"/>
        <v>2031</v>
      </c>
    </row>
    <row r="213" spans="7:9">
      <c r="G213" s="114">
        <v>47969</v>
      </c>
      <c r="H213" s="122">
        <v>8.1459090854709526</v>
      </c>
      <c r="I213" s="123">
        <f t="shared" si="6"/>
        <v>2031</v>
      </c>
    </row>
    <row r="214" spans="7:9">
      <c r="G214" s="114">
        <v>48000</v>
      </c>
      <c r="H214" s="122">
        <v>8.1864646973537472</v>
      </c>
      <c r="I214" s="123">
        <f t="shared" si="6"/>
        <v>2031</v>
      </c>
    </row>
    <row r="215" spans="7:9">
      <c r="G215" s="114">
        <v>48030</v>
      </c>
      <c r="H215" s="122">
        <v>8.2777148240900331</v>
      </c>
      <c r="I215" s="123">
        <f t="shared" si="6"/>
        <v>2031</v>
      </c>
    </row>
    <row r="216" spans="7:9">
      <c r="G216" s="114">
        <v>48061</v>
      </c>
      <c r="H216" s="122">
        <v>8.3182704359728277</v>
      </c>
      <c r="I216" s="123">
        <f t="shared" si="6"/>
        <v>2031</v>
      </c>
    </row>
    <row r="217" spans="7:9">
      <c r="G217" s="114">
        <v>48092</v>
      </c>
      <c r="H217" s="122">
        <v>8.3486871448849236</v>
      </c>
      <c r="I217" s="123">
        <f t="shared" si="6"/>
        <v>2031</v>
      </c>
    </row>
    <row r="218" spans="7:9">
      <c r="G218" s="114">
        <v>48122</v>
      </c>
      <c r="H218" s="122">
        <v>8.3993816597384168</v>
      </c>
      <c r="I218" s="123">
        <f t="shared" si="6"/>
        <v>2031</v>
      </c>
    </row>
    <row r="219" spans="7:9">
      <c r="G219" s="114">
        <v>48153</v>
      </c>
      <c r="H219" s="122">
        <v>8.9975769350096311</v>
      </c>
      <c r="I219" s="123">
        <f t="shared" si="6"/>
        <v>2031</v>
      </c>
    </row>
    <row r="220" spans="7:9">
      <c r="G220" s="114">
        <v>48183</v>
      </c>
      <c r="H220" s="122">
        <v>9.0584103528338229</v>
      </c>
      <c r="I220" s="123">
        <f t="shared" si="6"/>
        <v>2031</v>
      </c>
    </row>
    <row r="221" spans="7:9">
      <c r="G221" s="114">
        <v>48214</v>
      </c>
      <c r="H221" s="122">
        <v>9.0279936439217288</v>
      </c>
      <c r="I221" s="123">
        <f t="shared" si="6"/>
        <v>2032</v>
      </c>
    </row>
    <row r="222" spans="7:9">
      <c r="G222" s="114">
        <v>48245</v>
      </c>
      <c r="H222" s="122">
        <v>9.0381325468924274</v>
      </c>
      <c r="I222" s="123">
        <f t="shared" si="6"/>
        <v>2032</v>
      </c>
    </row>
    <row r="223" spans="7:9">
      <c r="G223" s="114">
        <v>48274</v>
      </c>
      <c r="H223" s="122">
        <v>8.9063268082733451</v>
      </c>
      <c r="I223" s="123">
        <f t="shared" si="6"/>
        <v>2032</v>
      </c>
    </row>
    <row r="224" spans="7:9">
      <c r="G224" s="114">
        <v>48305</v>
      </c>
      <c r="H224" s="122">
        <v>8.3689649508263209</v>
      </c>
      <c r="I224" s="123">
        <f t="shared" si="6"/>
        <v>2032</v>
      </c>
    </row>
    <row r="225" spans="7:9">
      <c r="G225" s="114">
        <v>48335</v>
      </c>
      <c r="H225" s="122">
        <v>8.2878537270607318</v>
      </c>
      <c r="I225" s="123">
        <f t="shared" si="6"/>
        <v>2032</v>
      </c>
    </row>
    <row r="226" spans="7:9">
      <c r="G226" s="114">
        <v>48366</v>
      </c>
      <c r="H226" s="122">
        <v>8.3385482419142267</v>
      </c>
      <c r="I226" s="123">
        <f t="shared" si="6"/>
        <v>2032</v>
      </c>
    </row>
    <row r="227" spans="7:9">
      <c r="G227" s="114">
        <v>48396</v>
      </c>
      <c r="H227" s="122">
        <v>8.4297983686505127</v>
      </c>
      <c r="I227" s="123">
        <f t="shared" si="6"/>
        <v>2032</v>
      </c>
    </row>
    <row r="228" spans="7:9">
      <c r="G228" s="114">
        <v>48427</v>
      </c>
      <c r="H228" s="122">
        <v>8.4703539805333055</v>
      </c>
      <c r="I228" s="123">
        <f t="shared" si="6"/>
        <v>2032</v>
      </c>
    </row>
    <row r="229" spans="7:9">
      <c r="G229" s="114">
        <v>48458</v>
      </c>
      <c r="H229" s="122">
        <v>8.5007706894454031</v>
      </c>
      <c r="I229" s="123">
        <f t="shared" si="6"/>
        <v>2032</v>
      </c>
    </row>
    <row r="230" spans="7:9">
      <c r="G230" s="114">
        <v>48488</v>
      </c>
      <c r="H230" s="122">
        <v>8.5514652042988946</v>
      </c>
      <c r="I230" s="123">
        <f t="shared" si="6"/>
        <v>2032</v>
      </c>
    </row>
    <row r="231" spans="7:9">
      <c r="G231" s="114">
        <v>48519</v>
      </c>
      <c r="H231" s="122">
        <v>9.1597993825408093</v>
      </c>
      <c r="I231" s="123">
        <f t="shared" si="6"/>
        <v>2032</v>
      </c>
    </row>
    <row r="232" spans="7:9">
      <c r="G232" s="114">
        <v>48549</v>
      </c>
      <c r="H232" s="122">
        <v>9.2206328003650011</v>
      </c>
      <c r="I232" s="123">
        <f t="shared" si="6"/>
        <v>2032</v>
      </c>
    </row>
    <row r="233" spans="7:9">
      <c r="G233" s="114">
        <v>48580</v>
      </c>
      <c r="H233" s="122">
        <v>9.1902160914529052</v>
      </c>
      <c r="I233" s="123">
        <f t="shared" si="6"/>
        <v>2033</v>
      </c>
    </row>
    <row r="234" spans="7:9">
      <c r="G234" s="114">
        <v>48611</v>
      </c>
      <c r="H234" s="122">
        <v>9.2003549944236038</v>
      </c>
      <c r="I234" s="123">
        <f t="shared" si="6"/>
        <v>2033</v>
      </c>
    </row>
    <row r="235" spans="7:9">
      <c r="G235" s="114">
        <v>48639</v>
      </c>
      <c r="H235" s="122">
        <v>9.0584103528338229</v>
      </c>
      <c r="I235" s="123">
        <f t="shared" si="6"/>
        <v>2033</v>
      </c>
    </row>
    <row r="236" spans="7:9">
      <c r="G236" s="114">
        <v>48670</v>
      </c>
      <c r="H236" s="122">
        <v>8.5210484953868004</v>
      </c>
      <c r="I236" s="123">
        <f t="shared" si="6"/>
        <v>2033</v>
      </c>
    </row>
    <row r="237" spans="7:9">
      <c r="G237" s="114">
        <v>48700</v>
      </c>
      <c r="H237" s="122">
        <v>8.4399372716212113</v>
      </c>
      <c r="I237" s="123">
        <f t="shared" si="6"/>
        <v>2033</v>
      </c>
    </row>
    <row r="238" spans="7:9">
      <c r="G238" s="114">
        <v>48731</v>
      </c>
      <c r="H238" s="122">
        <v>8.4906317864747027</v>
      </c>
      <c r="I238" s="123">
        <f t="shared" si="6"/>
        <v>2033</v>
      </c>
    </row>
    <row r="239" spans="7:9">
      <c r="G239" s="114">
        <v>48761</v>
      </c>
      <c r="H239" s="122">
        <v>8.5818819132109923</v>
      </c>
      <c r="I239" s="123">
        <f t="shared" si="6"/>
        <v>2033</v>
      </c>
    </row>
    <row r="240" spans="7:9">
      <c r="G240" s="114">
        <v>48792</v>
      </c>
      <c r="H240" s="122">
        <v>8.622437525093785</v>
      </c>
      <c r="I240" s="123">
        <f t="shared" si="6"/>
        <v>2033</v>
      </c>
    </row>
    <row r="241" spans="7:9">
      <c r="G241" s="114">
        <v>48823</v>
      </c>
      <c r="H241" s="122">
        <v>8.6528542340058809</v>
      </c>
      <c r="I241" s="123">
        <f t="shared" si="6"/>
        <v>2033</v>
      </c>
    </row>
    <row r="242" spans="7:9">
      <c r="G242" s="114">
        <v>48853</v>
      </c>
      <c r="H242" s="122">
        <v>8.7035487488593741</v>
      </c>
      <c r="I242" s="123">
        <f t="shared" si="6"/>
        <v>2033</v>
      </c>
    </row>
    <row r="243" spans="7:9">
      <c r="G243" s="114">
        <v>48884</v>
      </c>
      <c r="H243" s="122">
        <v>9.3220218300719857</v>
      </c>
      <c r="I243" s="123">
        <f t="shared" si="6"/>
        <v>2033</v>
      </c>
    </row>
    <row r="244" spans="7:9">
      <c r="G244" s="114">
        <v>48914</v>
      </c>
      <c r="H244" s="122">
        <v>9.3828552478961775</v>
      </c>
      <c r="I244" s="123">
        <f t="shared" si="6"/>
        <v>2033</v>
      </c>
    </row>
    <row r="245" spans="7:9">
      <c r="G245" s="114">
        <v>48945</v>
      </c>
      <c r="H245" s="122">
        <v>9.3524385389840834</v>
      </c>
      <c r="I245" s="123">
        <f t="shared" ref="I245:I280" si="7">YEAR(G245)</f>
        <v>2034</v>
      </c>
    </row>
    <row r="246" spans="7:9">
      <c r="G246" s="114">
        <v>48976</v>
      </c>
      <c r="H246" s="122">
        <v>9.362577441954782</v>
      </c>
      <c r="I246" s="123">
        <f t="shared" si="7"/>
        <v>2034</v>
      </c>
    </row>
    <row r="247" spans="7:9">
      <c r="G247" s="114">
        <v>49004</v>
      </c>
      <c r="H247" s="122">
        <v>9.2206328003650011</v>
      </c>
      <c r="I247" s="123">
        <f t="shared" si="7"/>
        <v>2034</v>
      </c>
    </row>
    <row r="248" spans="7:9">
      <c r="G248" s="114">
        <v>49035</v>
      </c>
      <c r="H248" s="122">
        <v>8.6731320399472782</v>
      </c>
      <c r="I248" s="123">
        <f t="shared" si="7"/>
        <v>2034</v>
      </c>
    </row>
    <row r="249" spans="7:9">
      <c r="G249" s="114">
        <v>49065</v>
      </c>
      <c r="H249" s="122">
        <v>8.5920208161816909</v>
      </c>
      <c r="I249" s="123">
        <f t="shared" si="7"/>
        <v>2034</v>
      </c>
    </row>
    <row r="250" spans="7:9">
      <c r="G250" s="114">
        <v>49096</v>
      </c>
      <c r="H250" s="122">
        <v>8.6427153310351823</v>
      </c>
      <c r="I250" s="123">
        <f t="shared" si="7"/>
        <v>2034</v>
      </c>
    </row>
    <row r="251" spans="7:9">
      <c r="G251" s="114">
        <v>49126</v>
      </c>
      <c r="H251" s="122">
        <v>8.7339654577714683</v>
      </c>
      <c r="I251" s="123">
        <f t="shared" si="7"/>
        <v>2034</v>
      </c>
    </row>
    <row r="252" spans="7:9">
      <c r="G252" s="114">
        <v>49157</v>
      </c>
      <c r="H252" s="122">
        <v>8.7745210696542646</v>
      </c>
      <c r="I252" s="123">
        <f t="shared" si="7"/>
        <v>2034</v>
      </c>
    </row>
    <row r="253" spans="7:9">
      <c r="G253" s="114">
        <v>49188</v>
      </c>
      <c r="H253" s="122">
        <v>8.8049377785663587</v>
      </c>
      <c r="I253" s="123">
        <f t="shared" si="7"/>
        <v>2034</v>
      </c>
    </row>
    <row r="254" spans="7:9">
      <c r="G254" s="114">
        <v>49218</v>
      </c>
      <c r="H254" s="122">
        <v>8.8556322934198537</v>
      </c>
      <c r="I254" s="123">
        <f t="shared" si="7"/>
        <v>2034</v>
      </c>
    </row>
    <row r="255" spans="7:9">
      <c r="G255" s="114">
        <v>49249</v>
      </c>
      <c r="H255" s="122">
        <v>9.4943831805738625</v>
      </c>
      <c r="I255" s="123">
        <f t="shared" si="7"/>
        <v>2034</v>
      </c>
    </row>
    <row r="256" spans="7:9">
      <c r="G256" s="114">
        <v>49279</v>
      </c>
      <c r="H256" s="122">
        <v>9.5552165983980544</v>
      </c>
      <c r="I256" s="123">
        <f t="shared" si="7"/>
        <v>2034</v>
      </c>
    </row>
    <row r="257" spans="7:9">
      <c r="G257" s="114">
        <v>49310</v>
      </c>
      <c r="H257" s="122">
        <v>9.5247998894859585</v>
      </c>
      <c r="I257" s="123">
        <f t="shared" si="7"/>
        <v>2035</v>
      </c>
    </row>
    <row r="258" spans="7:9">
      <c r="G258" s="114">
        <v>49341</v>
      </c>
      <c r="H258" s="122">
        <v>9.5349387924566571</v>
      </c>
      <c r="I258" s="123">
        <f t="shared" si="7"/>
        <v>2035</v>
      </c>
    </row>
    <row r="259" spans="7:9">
      <c r="G259" s="114">
        <v>49369</v>
      </c>
      <c r="H259" s="122">
        <v>9.3929941508668762</v>
      </c>
      <c r="I259" s="123">
        <f t="shared" si="7"/>
        <v>2035</v>
      </c>
    </row>
    <row r="260" spans="7:9">
      <c r="G260" s="114">
        <v>49400</v>
      </c>
      <c r="H260" s="122">
        <v>8.825215584507756</v>
      </c>
      <c r="I260" s="123">
        <f t="shared" si="7"/>
        <v>2035</v>
      </c>
    </row>
    <row r="261" spans="7:9">
      <c r="G261" s="114">
        <v>49430</v>
      </c>
      <c r="H261" s="122">
        <v>8.7441043607421669</v>
      </c>
      <c r="I261" s="123">
        <f t="shared" si="7"/>
        <v>2035</v>
      </c>
    </row>
    <row r="262" spans="7:9">
      <c r="G262" s="114">
        <v>49461</v>
      </c>
      <c r="H262" s="122">
        <v>8.7947988755956601</v>
      </c>
      <c r="I262" s="123">
        <f t="shared" si="7"/>
        <v>2035</v>
      </c>
    </row>
    <row r="263" spans="7:9">
      <c r="G263" s="114">
        <v>49491</v>
      </c>
      <c r="H263" s="122">
        <v>8.8860490023319478</v>
      </c>
      <c r="I263" s="123">
        <f t="shared" si="7"/>
        <v>2035</v>
      </c>
    </row>
    <row r="264" spans="7:9">
      <c r="G264" s="114">
        <v>49522</v>
      </c>
      <c r="H264" s="122">
        <v>8.936743517185441</v>
      </c>
      <c r="I264" s="123">
        <f t="shared" si="7"/>
        <v>2035</v>
      </c>
    </row>
    <row r="265" spans="7:9">
      <c r="G265" s="114">
        <v>49553</v>
      </c>
      <c r="H265" s="122">
        <v>8.9671602260975369</v>
      </c>
      <c r="I265" s="123">
        <f t="shared" si="7"/>
        <v>2035</v>
      </c>
    </row>
    <row r="266" spans="7:9">
      <c r="G266" s="114">
        <v>49583</v>
      </c>
      <c r="H266" s="122">
        <v>9.0178547409510301</v>
      </c>
      <c r="I266" s="123">
        <f t="shared" si="7"/>
        <v>2035</v>
      </c>
    </row>
    <row r="267" spans="7:9">
      <c r="G267" s="114">
        <v>49614</v>
      </c>
      <c r="H267" s="122">
        <v>9.6667445310757376</v>
      </c>
      <c r="I267" s="123">
        <f t="shared" si="7"/>
        <v>2035</v>
      </c>
    </row>
    <row r="268" spans="7:9">
      <c r="G268" s="114">
        <v>49644</v>
      </c>
      <c r="H268" s="122">
        <v>9.7275779488999294</v>
      </c>
      <c r="I268" s="123">
        <f t="shared" si="7"/>
        <v>2035</v>
      </c>
    </row>
    <row r="269" spans="7:9">
      <c r="G269" s="114">
        <v>49675</v>
      </c>
      <c r="H269" s="122">
        <v>9.6971612399878335</v>
      </c>
      <c r="I269" s="123">
        <f t="shared" si="7"/>
        <v>2036</v>
      </c>
    </row>
    <row r="270" spans="7:9">
      <c r="G270" s="114">
        <v>49706</v>
      </c>
      <c r="H270" s="122">
        <v>9.7073001429585322</v>
      </c>
      <c r="I270" s="123">
        <f t="shared" si="7"/>
        <v>2036</v>
      </c>
    </row>
    <row r="271" spans="7:9">
      <c r="G271" s="114">
        <v>49735</v>
      </c>
      <c r="H271" s="122">
        <v>9.5552165983980544</v>
      </c>
      <c r="I271" s="123">
        <f t="shared" si="7"/>
        <v>2036</v>
      </c>
    </row>
    <row r="272" spans="7:9">
      <c r="G272" s="114">
        <v>49766</v>
      </c>
      <c r="H272" s="122">
        <v>8.9874380320389324</v>
      </c>
      <c r="I272" s="123">
        <f t="shared" si="7"/>
        <v>2036</v>
      </c>
    </row>
    <row r="273" spans="7:9">
      <c r="G273" s="114">
        <v>49796</v>
      </c>
      <c r="H273" s="122">
        <v>8.9063268082733451</v>
      </c>
      <c r="I273" s="123">
        <f t="shared" si="7"/>
        <v>2036</v>
      </c>
    </row>
    <row r="274" spans="7:9">
      <c r="G274" s="114">
        <v>49827</v>
      </c>
      <c r="H274" s="122">
        <v>8.9570213231268383</v>
      </c>
      <c r="I274" s="123">
        <f t="shared" si="7"/>
        <v>2036</v>
      </c>
    </row>
    <row r="275" spans="7:9">
      <c r="G275" s="114">
        <v>49857</v>
      </c>
      <c r="H275" s="122">
        <v>9.048271449863126</v>
      </c>
      <c r="I275" s="123">
        <f t="shared" si="7"/>
        <v>2036</v>
      </c>
    </row>
    <row r="276" spans="7:9">
      <c r="G276" s="114">
        <v>49888</v>
      </c>
      <c r="H276" s="122">
        <v>9.0989659647166192</v>
      </c>
      <c r="I276" s="123">
        <f t="shared" si="7"/>
        <v>2036</v>
      </c>
    </row>
    <row r="277" spans="7:9">
      <c r="G277" s="114">
        <v>49919</v>
      </c>
      <c r="H277" s="122">
        <v>9.1293826736287134</v>
      </c>
      <c r="I277" s="123">
        <f t="shared" si="7"/>
        <v>2036</v>
      </c>
    </row>
    <row r="278" spans="7:9">
      <c r="G278" s="114">
        <v>49949</v>
      </c>
      <c r="H278" s="122">
        <v>9.1800771884822066</v>
      </c>
      <c r="I278" s="123">
        <f t="shared" si="7"/>
        <v>2036</v>
      </c>
    </row>
    <row r="279" spans="7:9">
      <c r="G279" s="114">
        <v>49980</v>
      </c>
      <c r="H279" s="122">
        <v>9.8391058815776127</v>
      </c>
      <c r="I279" s="123">
        <f t="shared" si="7"/>
        <v>2036</v>
      </c>
    </row>
    <row r="280" spans="7:9">
      <c r="G280" s="114">
        <v>50010</v>
      </c>
      <c r="H280" s="122">
        <v>9.8999392994018045</v>
      </c>
      <c r="I280" s="123">
        <f t="shared" si="7"/>
        <v>2036</v>
      </c>
    </row>
    <row r="281" spans="7:9">
      <c r="G281" s="174"/>
      <c r="H281" s="122"/>
      <c r="I281" s="123"/>
    </row>
    <row r="282" spans="7:9">
      <c r="G282" s="174"/>
      <c r="H282" s="122"/>
      <c r="I282" s="123"/>
    </row>
    <row r="283" spans="7:9">
      <c r="G283" s="174"/>
      <c r="H283" s="122"/>
      <c r="I283" s="123"/>
    </row>
    <row r="284" spans="7:9">
      <c r="G284" s="174"/>
      <c r="H284" s="122"/>
      <c r="I284" s="123"/>
    </row>
    <row r="285" spans="7:9">
      <c r="G285" s="174"/>
      <c r="H285" s="122"/>
      <c r="I285" s="123"/>
    </row>
    <row r="286" spans="7:9">
      <c r="G286" s="174"/>
      <c r="H286" s="122"/>
      <c r="I286" s="123"/>
    </row>
    <row r="287" spans="7:9">
      <c r="G287" s="174"/>
      <c r="H287" s="122"/>
      <c r="I287" s="123"/>
    </row>
    <row r="288" spans="7:9">
      <c r="G288" s="174"/>
      <c r="H288" s="122"/>
      <c r="I288" s="123"/>
    </row>
    <row r="289" spans="7:9">
      <c r="G289" s="174"/>
      <c r="H289" s="122"/>
      <c r="I289" s="123"/>
    </row>
    <row r="290" spans="7:9">
      <c r="G290" s="174"/>
      <c r="H290" s="122"/>
      <c r="I290" s="123"/>
    </row>
    <row r="291" spans="7:9">
      <c r="G291" s="174"/>
      <c r="H291" s="122"/>
      <c r="I291" s="123"/>
    </row>
    <row r="292" spans="7:9">
      <c r="G292" s="174"/>
      <c r="H292" s="122"/>
      <c r="I292" s="123"/>
    </row>
    <row r="293" spans="7:9">
      <c r="G293" s="174"/>
      <c r="H293" s="122"/>
      <c r="I293" s="123"/>
    </row>
    <row r="294" spans="7:9">
      <c r="G294" s="174"/>
      <c r="H294" s="122"/>
      <c r="I294" s="123"/>
    </row>
    <row r="295" spans="7:9">
      <c r="G295" s="174"/>
      <c r="H295" s="122"/>
      <c r="I295" s="123"/>
    </row>
    <row r="296" spans="7:9">
      <c r="G296" s="174"/>
      <c r="H296" s="122"/>
      <c r="I296" s="123"/>
    </row>
    <row r="297" spans="7:9">
      <c r="G297" s="174"/>
      <c r="H297" s="122"/>
      <c r="I297" s="123"/>
    </row>
    <row r="298" spans="7:9">
      <c r="G298" s="174"/>
      <c r="H298" s="122"/>
      <c r="I298" s="123"/>
    </row>
    <row r="299" spans="7:9">
      <c r="G299" s="174"/>
      <c r="H299" s="122"/>
      <c r="I299" s="123"/>
    </row>
    <row r="300" spans="7:9">
      <c r="G300" s="174"/>
      <c r="H300" s="122"/>
      <c r="I300" s="123"/>
    </row>
    <row r="301" spans="7:9">
      <c r="G301" s="174"/>
      <c r="H301" s="122"/>
      <c r="I301" s="123"/>
    </row>
    <row r="302" spans="7:9">
      <c r="G302" s="174"/>
      <c r="H302" s="122"/>
      <c r="I302" s="123"/>
    </row>
    <row r="303" spans="7:9">
      <c r="G303" s="174"/>
      <c r="H303" s="122"/>
      <c r="I303" s="123"/>
    </row>
    <row r="304" spans="7:9">
      <c r="G304" s="174"/>
      <c r="H304" s="122"/>
      <c r="I304" s="123"/>
    </row>
    <row r="305" spans="7:9">
      <c r="G305" s="174"/>
      <c r="H305" s="122"/>
      <c r="I305" s="123"/>
    </row>
    <row r="306" spans="7:9">
      <c r="G306" s="174"/>
      <c r="H306" s="122"/>
      <c r="I306" s="123"/>
    </row>
    <row r="307" spans="7:9">
      <c r="G307" s="174"/>
      <c r="H307" s="122"/>
      <c r="I307" s="123"/>
    </row>
    <row r="308" spans="7:9">
      <c r="G308" s="174"/>
      <c r="H308" s="122"/>
      <c r="I308" s="123"/>
    </row>
    <row r="309" spans="7:9">
      <c r="G309" s="174"/>
      <c r="H309" s="122"/>
      <c r="I309" s="123"/>
    </row>
    <row r="310" spans="7:9">
      <c r="G310" s="174"/>
      <c r="H310" s="122"/>
      <c r="I310" s="123"/>
    </row>
    <row r="311" spans="7:9">
      <c r="G311" s="174"/>
      <c r="H311" s="122"/>
      <c r="I311" s="123"/>
    </row>
    <row r="312" spans="7:9">
      <c r="G312" s="174"/>
      <c r="H312" s="122"/>
      <c r="I312" s="123"/>
    </row>
    <row r="313" spans="7:9">
      <c r="G313" s="174"/>
      <c r="H313" s="122"/>
      <c r="I313" s="123"/>
    </row>
    <row r="314" spans="7:9">
      <c r="G314" s="174"/>
      <c r="H314" s="122"/>
      <c r="I314" s="123"/>
    </row>
    <row r="315" spans="7:9">
      <c r="G315" s="174"/>
      <c r="H315" s="122"/>
      <c r="I315" s="123"/>
    </row>
    <row r="316" spans="7:9">
      <c r="G316" s="174"/>
      <c r="H316" s="122"/>
      <c r="I316" s="123"/>
    </row>
    <row r="317" spans="7:9">
      <c r="G317" s="174"/>
      <c r="H317" s="122"/>
      <c r="I317" s="123"/>
    </row>
    <row r="318" spans="7:9">
      <c r="G318" s="174"/>
      <c r="H318" s="122"/>
      <c r="I318" s="123"/>
    </row>
    <row r="319" spans="7:9">
      <c r="G319" s="174"/>
      <c r="H319" s="122"/>
      <c r="I319" s="123"/>
    </row>
    <row r="320" spans="7:9">
      <c r="G320" s="174"/>
      <c r="H320" s="122"/>
      <c r="I320" s="123"/>
    </row>
    <row r="321" spans="7:9">
      <c r="G321" s="174"/>
      <c r="H321" s="122"/>
      <c r="I321" s="123"/>
    </row>
    <row r="322" spans="7:9">
      <c r="G322" s="174"/>
      <c r="H322" s="122"/>
      <c r="I322" s="123"/>
    </row>
    <row r="323" spans="7:9">
      <c r="G323" s="174"/>
      <c r="H323" s="122"/>
      <c r="I323" s="123"/>
    </row>
    <row r="324" spans="7:9">
      <c r="G324" s="174"/>
      <c r="H324" s="122"/>
      <c r="I324" s="123"/>
    </row>
    <row r="325" spans="7:9">
      <c r="G325" s="174"/>
      <c r="H325" s="122"/>
      <c r="I325" s="123"/>
    </row>
    <row r="326" spans="7:9">
      <c r="G326" s="174"/>
      <c r="H326" s="122"/>
      <c r="I326" s="123"/>
    </row>
    <row r="327" spans="7:9">
      <c r="G327" s="174"/>
      <c r="H327" s="122"/>
      <c r="I327" s="123"/>
    </row>
    <row r="328" spans="7:9">
      <c r="G328" s="174"/>
      <c r="H328" s="122"/>
      <c r="I328" s="123"/>
    </row>
    <row r="329" spans="7:9">
      <c r="G329" s="174"/>
      <c r="H329" s="122"/>
      <c r="I329" s="123"/>
    </row>
    <row r="330" spans="7:9">
      <c r="G330" s="174"/>
      <c r="H330" s="122"/>
      <c r="I330" s="123"/>
    </row>
    <row r="331" spans="7:9">
      <c r="G331" s="174"/>
      <c r="H331" s="122"/>
      <c r="I331" s="123"/>
    </row>
    <row r="332" spans="7:9">
      <c r="G332" s="174"/>
      <c r="H332" s="122"/>
      <c r="I332" s="123"/>
    </row>
    <row r="333" spans="7:9">
      <c r="G333" s="174"/>
      <c r="H333" s="122"/>
      <c r="I333" s="123"/>
    </row>
    <row r="334" spans="7:9">
      <c r="G334" s="174"/>
      <c r="H334" s="122"/>
      <c r="I334" s="123"/>
    </row>
  </sheetData>
  <phoneticPr fontId="6" type="noConversion"/>
  <printOptions horizontalCentered="1"/>
  <pageMargins left="0.8" right="0.3" top="0.4" bottom="0.4" header="0.5" footer="0.2"/>
  <pageSetup orientation="portrait" r:id="rId1"/>
  <headerFooter alignWithMargins="0">
    <oddFooter>&amp;L&amp;8NPC Group - &amp;F   ( &amp;A )&amp;C &amp;R &amp;8&amp;D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Appendix B</vt:lpstr>
      <vt:lpstr>Table 1</vt:lpstr>
      <vt:lpstr>Table 2</vt:lpstr>
      <vt:lpstr>Table 3</vt:lpstr>
      <vt:lpstr>Table 4</vt:lpstr>
      <vt:lpstr>Table 5</vt:lpstr>
      <vt:lpstr>'Appendix B'!Print_Area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2'!Print_Titles</vt:lpstr>
      <vt:lpstr>'Table 3'!Print_Titles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Laren Hale</cp:lastModifiedBy>
  <cp:lastPrinted>2011-02-22T23:34:33Z</cp:lastPrinted>
  <dcterms:created xsi:type="dcterms:W3CDTF">2001-03-19T15:45:46Z</dcterms:created>
  <dcterms:modified xsi:type="dcterms:W3CDTF">2011-02-22T23:34:45Z</dcterms:modified>
</cp:coreProperties>
</file>