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850" windowHeight="6750" activeTab="1"/>
  </bookViews>
  <sheets>
    <sheet name="Historical - Exhibit 1" sheetId="5" r:id="rId1"/>
    <sheet name="Historical CF - Exhibit 1B" sheetId="6" r:id="rId2"/>
  </sheets>
  <definedNames>
    <definedName name="_xlnm.Print_Area" localSheetId="0">'Historical - Exhibit 1'!$A$1:$AD$161</definedName>
    <definedName name="_xlnm.Print_Area" localSheetId="1">'Historical CF - Exhibit 1B'!$A$1:$O$53</definedName>
  </definedNames>
  <calcPr calcId="125725"/>
</workbook>
</file>

<file path=xl/calcChain.xml><?xml version="1.0" encoding="utf-8"?>
<calcChain xmlns="http://schemas.openxmlformats.org/spreadsheetml/2006/main">
  <c r="AC154" i="5"/>
  <c r="N59"/>
  <c r="N61" s="1"/>
  <c r="N159" s="1"/>
  <c r="N51"/>
  <c r="N46"/>
  <c r="N19"/>
  <c r="N13"/>
  <c r="N77"/>
  <c r="N79" s="1"/>
  <c r="AC73"/>
  <c r="AC163"/>
  <c r="AC164"/>
  <c r="N44" i="6"/>
  <c r="N34"/>
  <c r="N8"/>
  <c r="AC160" i="5"/>
  <c r="AC140"/>
  <c r="AC146" s="1"/>
  <c r="AC122"/>
  <c r="AC131" s="1"/>
  <c r="AC74"/>
  <c r="N165"/>
  <c r="N164"/>
  <c r="N150"/>
  <c r="N96"/>
  <c r="N89"/>
  <c r="N52"/>
  <c r="N47"/>
  <c r="N36"/>
  <c r="N26"/>
  <c r="N30" s="1"/>
  <c r="AC115"/>
  <c r="AC9"/>
  <c r="AC8"/>
  <c r="N7" i="6" s="1"/>
  <c r="N115" i="5"/>
  <c r="N114"/>
  <c r="AC114" s="1"/>
  <c r="N74"/>
  <c r="N73"/>
  <c r="N9"/>
  <c r="O118"/>
  <c r="O12"/>
  <c r="AD150"/>
  <c r="AB124"/>
  <c r="AD101"/>
  <c r="AD100"/>
  <c r="AD98"/>
  <c r="AC143" l="1"/>
  <c r="N37"/>
  <c r="N90"/>
  <c r="AC165"/>
  <c r="AC145"/>
  <c r="N147"/>
  <c r="N160"/>
  <c r="N161" s="1"/>
  <c r="N158"/>
  <c r="N153"/>
  <c r="N124"/>
  <c r="N154"/>
  <c r="N155" s="1"/>
  <c r="N54"/>
  <c r="N123" s="1"/>
  <c r="N119"/>
  <c r="N125"/>
  <c r="N20"/>
  <c r="N38" s="1"/>
  <c r="AC61" s="1"/>
  <c r="N118"/>
  <c r="AC12"/>
  <c r="N98"/>
  <c r="N126" s="1"/>
  <c r="N137"/>
  <c r="N139"/>
  <c r="AC78"/>
  <c r="AC82"/>
  <c r="AC84"/>
  <c r="AC86"/>
  <c r="AC89"/>
  <c r="AC92"/>
  <c r="AC96"/>
  <c r="AC100"/>
  <c r="N129"/>
  <c r="N166" s="1"/>
  <c r="N120"/>
  <c r="N136"/>
  <c r="N138"/>
  <c r="N163"/>
  <c r="AC77"/>
  <c r="AC79"/>
  <c r="AC83"/>
  <c r="AC85"/>
  <c r="AC88"/>
  <c r="AC90"/>
  <c r="AC93"/>
  <c r="AC144"/>
  <c r="AC128"/>
  <c r="AC130"/>
  <c r="AC132"/>
  <c r="AC127"/>
  <c r="AC129"/>
  <c r="O41" i="6"/>
  <c r="O34"/>
  <c r="O30"/>
  <c r="O19"/>
  <c r="O15"/>
  <c r="O14"/>
  <c r="M24"/>
  <c r="P25"/>
  <c r="AD160" i="5"/>
  <c r="AD159"/>
  <c r="AD157"/>
  <c r="AD156"/>
  <c r="AD154"/>
  <c r="AD152"/>
  <c r="AD151"/>
  <c r="AD146"/>
  <c r="AD145"/>
  <c r="AD144"/>
  <c r="AD143"/>
  <c r="AD140"/>
  <c r="AD139"/>
  <c r="AD138"/>
  <c r="AD137"/>
  <c r="AD132"/>
  <c r="AD131"/>
  <c r="AD130"/>
  <c r="AD129"/>
  <c r="AD128"/>
  <c r="AD127"/>
  <c r="AD124"/>
  <c r="AD122"/>
  <c r="AD121"/>
  <c r="AD120"/>
  <c r="AD119"/>
  <c r="AD118"/>
  <c r="AD117"/>
  <c r="AD96"/>
  <c r="AD93"/>
  <c r="AD92"/>
  <c r="AD90"/>
  <c r="AD89"/>
  <c r="AD88"/>
  <c r="AD86"/>
  <c r="AD85"/>
  <c r="AD84"/>
  <c r="AD83"/>
  <c r="AD82"/>
  <c r="AD79"/>
  <c r="AD78"/>
  <c r="AD77"/>
  <c r="AD62"/>
  <c r="AD61"/>
  <c r="AD60"/>
  <c r="AD59"/>
  <c r="AD54"/>
  <c r="AD52"/>
  <c r="AD51"/>
  <c r="AD50"/>
  <c r="AD49"/>
  <c r="AD47"/>
  <c r="AD46"/>
  <c r="AD45"/>
  <c r="AD44"/>
  <c r="AD43"/>
  <c r="AD41"/>
  <c r="AD38"/>
  <c r="AD37"/>
  <c r="AD36"/>
  <c r="AD35"/>
  <c r="AD34"/>
  <c r="AD33"/>
  <c r="AD30"/>
  <c r="AD28"/>
  <c r="AD26"/>
  <c r="AD24"/>
  <c r="AD23"/>
  <c r="AD20"/>
  <c r="AD19"/>
  <c r="AD15"/>
  <c r="AD13"/>
  <c r="AD12"/>
  <c r="O161"/>
  <c r="O160"/>
  <c r="O159"/>
  <c r="O158"/>
  <c r="O155"/>
  <c r="O154"/>
  <c r="O153"/>
  <c r="O140"/>
  <c r="O139"/>
  <c r="O138"/>
  <c r="O137"/>
  <c r="O136"/>
  <c r="O133"/>
  <c r="O132"/>
  <c r="O131"/>
  <c r="O130"/>
  <c r="O129"/>
  <c r="O126"/>
  <c r="O125"/>
  <c r="O124"/>
  <c r="O123"/>
  <c r="O120"/>
  <c r="O119"/>
  <c r="O101"/>
  <c r="O100"/>
  <c r="O98"/>
  <c r="O96"/>
  <c r="O93"/>
  <c r="O92"/>
  <c r="O90"/>
  <c r="O89"/>
  <c r="O88"/>
  <c r="O86"/>
  <c r="O85"/>
  <c r="O84"/>
  <c r="O83"/>
  <c r="O82"/>
  <c r="O79"/>
  <c r="O78"/>
  <c r="O77"/>
  <c r="O62"/>
  <c r="O61"/>
  <c r="O60"/>
  <c r="O59"/>
  <c r="O54"/>
  <c r="O52"/>
  <c r="O51"/>
  <c r="O50"/>
  <c r="O49"/>
  <c r="O47"/>
  <c r="O46"/>
  <c r="O45"/>
  <c r="O44"/>
  <c r="O43"/>
  <c r="O41"/>
  <c r="O38"/>
  <c r="O37"/>
  <c r="O36"/>
  <c r="O35"/>
  <c r="O34"/>
  <c r="O33"/>
  <c r="O30"/>
  <c r="O28"/>
  <c r="O26"/>
  <c r="O24"/>
  <c r="O23"/>
  <c r="O20"/>
  <c r="O19"/>
  <c r="O15"/>
  <c r="O13"/>
  <c r="M59"/>
  <c r="M51"/>
  <c r="L46"/>
  <c r="M46"/>
  <c r="M23"/>
  <c r="M19"/>
  <c r="M13"/>
  <c r="AC98" l="1"/>
  <c r="N101"/>
  <c r="N146"/>
  <c r="N62"/>
  <c r="AC62" s="1"/>
  <c r="AC13"/>
  <c r="AC43"/>
  <c r="AC41"/>
  <c r="AC52"/>
  <c r="AC30"/>
  <c r="AC51"/>
  <c r="AC28"/>
  <c r="AC47"/>
  <c r="AC36"/>
  <c r="AC20"/>
  <c r="AC60"/>
  <c r="AC46"/>
  <c r="AC35"/>
  <c r="AC19"/>
  <c r="N140"/>
  <c r="N131"/>
  <c r="AC59"/>
  <c r="AC50"/>
  <c r="AC45"/>
  <c r="AC38"/>
  <c r="AC34"/>
  <c r="AC26"/>
  <c r="AC18"/>
  <c r="AC54"/>
  <c r="AC49"/>
  <c r="AC44"/>
  <c r="AC37"/>
  <c r="AC33"/>
  <c r="AC23"/>
  <c r="AC15"/>
  <c r="M164"/>
  <c r="AB163"/>
  <c r="M165"/>
  <c r="AB164"/>
  <c r="L136"/>
  <c r="K136"/>
  <c r="J136"/>
  <c r="I136"/>
  <c r="H136"/>
  <c r="G136"/>
  <c r="L137"/>
  <c r="K137"/>
  <c r="J137"/>
  <c r="I137"/>
  <c r="H137"/>
  <c r="G137"/>
  <c r="L139"/>
  <c r="K139"/>
  <c r="J139"/>
  <c r="I139"/>
  <c r="H139"/>
  <c r="G139"/>
  <c r="K140"/>
  <c r="J140"/>
  <c r="I140"/>
  <c r="H140"/>
  <c r="G140"/>
  <c r="W124"/>
  <c r="AC101" l="1"/>
  <c r="N133"/>
  <c r="N167"/>
  <c r="N12" i="6"/>
  <c r="N27" s="1"/>
  <c r="N130" i="5"/>
  <c r="N149"/>
  <c r="AC104"/>
  <c r="N132"/>
  <c r="AL82"/>
  <c r="AJ82"/>
  <c r="AI82"/>
  <c r="AH82"/>
  <c r="AG82"/>
  <c r="AF82"/>
  <c r="AE82"/>
  <c r="N46" i="6" l="1"/>
  <c r="N148" i="5"/>
  <c r="L166"/>
  <c r="K166"/>
  <c r="J166"/>
  <c r="I166"/>
  <c r="L165"/>
  <c r="K165"/>
  <c r="J165"/>
  <c r="I165"/>
  <c r="L164"/>
  <c r="K164"/>
  <c r="J164"/>
  <c r="I164"/>
  <c r="G166"/>
  <c r="G165"/>
  <c r="G164"/>
  <c r="H166"/>
  <c r="H165"/>
  <c r="H164"/>
  <c r="L163"/>
  <c r="K163"/>
  <c r="J163"/>
  <c r="I163"/>
  <c r="H163"/>
  <c r="AA124"/>
  <c r="Z124"/>
  <c r="Y124"/>
  <c r="X124"/>
  <c r="AB165"/>
  <c r="AD115"/>
  <c r="AA85"/>
  <c r="Z85"/>
  <c r="Y85"/>
  <c r="X85"/>
  <c r="W85"/>
  <c r="V87"/>
  <c r="W84"/>
  <c r="H84"/>
  <c r="I84"/>
  <c r="K84"/>
  <c r="L84"/>
  <c r="P17"/>
  <c r="P14"/>
  <c r="P85"/>
  <c r="AA164"/>
  <c r="Z164"/>
  <c r="Y164"/>
  <c r="X164"/>
  <c r="W164"/>
  <c r="AA163"/>
  <c r="AA165" s="1"/>
  <c r="Z163"/>
  <c r="Z165" s="1"/>
  <c r="Y163"/>
  <c r="Y165" s="1"/>
  <c r="X163"/>
  <c r="X165" s="1"/>
  <c r="W163"/>
  <c r="W165" s="1"/>
  <c r="V164"/>
  <c r="AD164" s="1"/>
  <c r="V163"/>
  <c r="V165" s="1"/>
  <c r="A10" i="6"/>
  <c r="AD107" i="5"/>
  <c r="X160"/>
  <c r="W160"/>
  <c r="Y160"/>
  <c r="AB160"/>
  <c r="AA160"/>
  <c r="Z160"/>
  <c r="P146"/>
  <c r="AA140"/>
  <c r="AA146" s="1"/>
  <c r="Z140"/>
  <c r="Z146" s="1"/>
  <c r="Y140"/>
  <c r="Y146" s="1"/>
  <c r="X140"/>
  <c r="X146" s="1"/>
  <c r="W140"/>
  <c r="W146" s="1"/>
  <c r="V140"/>
  <c r="V146" s="1"/>
  <c r="AB140"/>
  <c r="AB146" s="1"/>
  <c r="P132"/>
  <c r="P131"/>
  <c r="P130"/>
  <c r="P129"/>
  <c r="P139" s="1"/>
  <c r="P145" s="1"/>
  <c r="P152" s="1"/>
  <c r="P128"/>
  <c r="P138" s="1"/>
  <c r="P144" s="1"/>
  <c r="P151" s="1"/>
  <c r="P127"/>
  <c r="P137" s="1"/>
  <c r="P143" s="1"/>
  <c r="P150" s="1"/>
  <c r="AA122"/>
  <c r="AA132" s="1"/>
  <c r="Z122"/>
  <c r="Z132" s="1"/>
  <c r="Y122"/>
  <c r="Y132" s="1"/>
  <c r="X122"/>
  <c r="X132" s="1"/>
  <c r="W122"/>
  <c r="W132" s="1"/>
  <c r="V122"/>
  <c r="V132" s="1"/>
  <c r="AB122"/>
  <c r="AB132" l="1"/>
  <c r="AD163"/>
  <c r="AD165" s="1"/>
  <c r="AB129"/>
  <c r="AB127"/>
  <c r="AB131"/>
  <c r="AB128"/>
  <c r="AB130"/>
  <c r="W127"/>
  <c r="Y127"/>
  <c r="AA127"/>
  <c r="W128"/>
  <c r="Y128"/>
  <c r="AA128"/>
  <c r="W129"/>
  <c r="Y129"/>
  <c r="AA129"/>
  <c r="W130"/>
  <c r="Y130"/>
  <c r="AA130"/>
  <c r="W131"/>
  <c r="Y131"/>
  <c r="AA131"/>
  <c r="AB143"/>
  <c r="AB145"/>
  <c r="V143"/>
  <c r="X143"/>
  <c r="Z143"/>
  <c r="V144"/>
  <c r="X144"/>
  <c r="Z144"/>
  <c r="V145"/>
  <c r="X145"/>
  <c r="Z145"/>
  <c r="V127"/>
  <c r="X127"/>
  <c r="Z127"/>
  <c r="V128"/>
  <c r="X128"/>
  <c r="Z128"/>
  <c r="V129"/>
  <c r="X129"/>
  <c r="Z129"/>
  <c r="V130"/>
  <c r="X130"/>
  <c r="Z130"/>
  <c r="V131"/>
  <c r="X131"/>
  <c r="Z131"/>
  <c r="AB144"/>
  <c r="W143"/>
  <c r="Y143"/>
  <c r="AA143"/>
  <c r="W144"/>
  <c r="Y144"/>
  <c r="AA144"/>
  <c r="W145"/>
  <c r="Y145"/>
  <c r="AA145"/>
  <c r="A3" i="6" l="1"/>
  <c r="L30"/>
  <c r="L21"/>
  <c r="L77" i="5"/>
  <c r="L78"/>
  <c r="L59"/>
  <c r="L51"/>
  <c r="L23"/>
  <c r="L19"/>
  <c r="L13"/>
  <c r="P18"/>
  <c r="P16"/>
  <c r="M150" l="1"/>
  <c r="F150" l="1"/>
  <c r="E150"/>
  <c r="D150"/>
  <c r="C150"/>
  <c r="G150"/>
  <c r="H150"/>
  <c r="I150"/>
  <c r="L150"/>
  <c r="L44" i="6" l="1"/>
  <c r="L34"/>
  <c r="L96" i="5"/>
  <c r="L89"/>
  <c r="L79"/>
  <c r="L61"/>
  <c r="L52"/>
  <c r="L47"/>
  <c r="L36"/>
  <c r="L26"/>
  <c r="L20"/>
  <c r="K31" i="6"/>
  <c r="K24"/>
  <c r="K59" i="5"/>
  <c r="K51"/>
  <c r="K46"/>
  <c r="K23"/>
  <c r="K15"/>
  <c r="K13"/>
  <c r="M44" i="6"/>
  <c r="K44"/>
  <c r="M34"/>
  <c r="K34"/>
  <c r="M96" i="5"/>
  <c r="M89"/>
  <c r="M79"/>
  <c r="M163" s="1"/>
  <c r="M61"/>
  <c r="M52"/>
  <c r="M47"/>
  <c r="M36"/>
  <c r="M26"/>
  <c r="M30" s="1"/>
  <c r="M20"/>
  <c r="J79"/>
  <c r="J129" s="1"/>
  <c r="I79"/>
  <c r="I129" s="1"/>
  <c r="H79"/>
  <c r="H129" s="1"/>
  <c r="G79"/>
  <c r="G129" s="1"/>
  <c r="F79"/>
  <c r="F129" s="1"/>
  <c r="E78"/>
  <c r="E77" s="1"/>
  <c r="E79" s="1"/>
  <c r="D78"/>
  <c r="D77" s="1"/>
  <c r="D79" s="1"/>
  <c r="C78"/>
  <c r="C77" s="1"/>
  <c r="C79" s="1"/>
  <c r="B78"/>
  <c r="B77" s="1"/>
  <c r="D89"/>
  <c r="D96"/>
  <c r="E89"/>
  <c r="E96"/>
  <c r="F89"/>
  <c r="F96"/>
  <c r="G84"/>
  <c r="G96"/>
  <c r="H89"/>
  <c r="H96"/>
  <c r="I89"/>
  <c r="I96"/>
  <c r="C89"/>
  <c r="C96"/>
  <c r="D24" i="6"/>
  <c r="E24"/>
  <c r="F24"/>
  <c r="G24"/>
  <c r="H24"/>
  <c r="I24"/>
  <c r="J14"/>
  <c r="J15"/>
  <c r="J20"/>
  <c r="J21"/>
  <c r="J23"/>
  <c r="J24"/>
  <c r="C24"/>
  <c r="O6"/>
  <c r="I34"/>
  <c r="I44"/>
  <c r="H34"/>
  <c r="H44"/>
  <c r="H48"/>
  <c r="J30"/>
  <c r="J31"/>
  <c r="J34"/>
  <c r="J44"/>
  <c r="C9" i="5"/>
  <c r="D9" s="1"/>
  <c r="B89"/>
  <c r="B96"/>
  <c r="B24" i="6"/>
  <c r="B34"/>
  <c r="B44"/>
  <c r="D48"/>
  <c r="E48"/>
  <c r="F48"/>
  <c r="G48"/>
  <c r="C34"/>
  <c r="C44"/>
  <c r="D34"/>
  <c r="D44"/>
  <c r="E34"/>
  <c r="E44"/>
  <c r="F34"/>
  <c r="F44"/>
  <c r="G34"/>
  <c r="G44"/>
  <c r="B8"/>
  <c r="Q8" s="1"/>
  <c r="A5"/>
  <c r="P3"/>
  <c r="J23" i="5"/>
  <c r="C23"/>
  <c r="H23"/>
  <c r="I23"/>
  <c r="D23"/>
  <c r="E23"/>
  <c r="F23"/>
  <c r="G23"/>
  <c r="J50"/>
  <c r="F13"/>
  <c r="F15"/>
  <c r="F19"/>
  <c r="F26"/>
  <c r="F36"/>
  <c r="G13"/>
  <c r="G15"/>
  <c r="G19"/>
  <c r="G26"/>
  <c r="G30" s="1"/>
  <c r="G36"/>
  <c r="H13"/>
  <c r="H15"/>
  <c r="H19"/>
  <c r="H26"/>
  <c r="H30" s="1"/>
  <c r="H36"/>
  <c r="I13"/>
  <c r="I15"/>
  <c r="I19"/>
  <c r="I26"/>
  <c r="I30" s="1"/>
  <c r="I36"/>
  <c r="J45"/>
  <c r="J13"/>
  <c r="J15"/>
  <c r="J19"/>
  <c r="J24"/>
  <c r="J28"/>
  <c r="J33"/>
  <c r="J34"/>
  <c r="J35"/>
  <c r="AG93"/>
  <c r="J43"/>
  <c r="K20"/>
  <c r="K26"/>
  <c r="K30" s="1"/>
  <c r="K34"/>
  <c r="K36" s="1"/>
  <c r="C13"/>
  <c r="C59"/>
  <c r="C61" s="1"/>
  <c r="C147" s="1"/>
  <c r="B59"/>
  <c r="B61" s="1"/>
  <c r="D59"/>
  <c r="D61" s="1"/>
  <c r="D147" s="1"/>
  <c r="E59"/>
  <c r="E61" s="1"/>
  <c r="F59"/>
  <c r="F61" s="1"/>
  <c r="F147" s="1"/>
  <c r="G59"/>
  <c r="H59"/>
  <c r="H61" s="1"/>
  <c r="I59"/>
  <c r="I61" s="1"/>
  <c r="J89"/>
  <c r="J90" s="1"/>
  <c r="J96"/>
  <c r="J59"/>
  <c r="J60"/>
  <c r="J61"/>
  <c r="J158" s="1"/>
  <c r="J41"/>
  <c r="J49"/>
  <c r="K61"/>
  <c r="K147" s="1"/>
  <c r="K79"/>
  <c r="K129" s="1"/>
  <c r="J51"/>
  <c r="J46"/>
  <c r="J44"/>
  <c r="K89"/>
  <c r="K96"/>
  <c r="C104"/>
  <c r="D104"/>
  <c r="E104"/>
  <c r="F104"/>
  <c r="G104"/>
  <c r="H104"/>
  <c r="AD104" s="1"/>
  <c r="C51"/>
  <c r="C52" s="1"/>
  <c r="C46"/>
  <c r="C47" s="1"/>
  <c r="D51"/>
  <c r="D52" s="1"/>
  <c r="D46"/>
  <c r="D47" s="1"/>
  <c r="E51"/>
  <c r="E52" s="1"/>
  <c r="E46"/>
  <c r="E47" s="1"/>
  <c r="F51"/>
  <c r="F52" s="1"/>
  <c r="F46"/>
  <c r="F47" s="1"/>
  <c r="F119" s="1"/>
  <c r="G51"/>
  <c r="G46"/>
  <c r="H51"/>
  <c r="H52" s="1"/>
  <c r="H54" s="1"/>
  <c r="H62" s="1"/>
  <c r="H46"/>
  <c r="H47" s="1"/>
  <c r="H119" s="1"/>
  <c r="I51"/>
  <c r="I52" s="1"/>
  <c r="I124" s="1"/>
  <c r="I46"/>
  <c r="I47" s="1"/>
  <c r="J52"/>
  <c r="J124" s="1"/>
  <c r="C15"/>
  <c r="C19"/>
  <c r="C26"/>
  <c r="C30" s="1"/>
  <c r="C36"/>
  <c r="D13"/>
  <c r="D15"/>
  <c r="D19"/>
  <c r="D26"/>
  <c r="D30" s="1"/>
  <c r="D36"/>
  <c r="E13"/>
  <c r="F120" s="1"/>
  <c r="E15"/>
  <c r="E19"/>
  <c r="E26"/>
  <c r="E30" s="1"/>
  <c r="E36"/>
  <c r="K52"/>
  <c r="K47"/>
  <c r="P32"/>
  <c r="Q9"/>
  <c r="R9" s="1"/>
  <c r="Z100"/>
  <c r="Z93"/>
  <c r="Z88"/>
  <c r="Z86"/>
  <c r="Z83"/>
  <c r="Z79"/>
  <c r="Z77"/>
  <c r="B74"/>
  <c r="C74" s="1"/>
  <c r="Y89"/>
  <c r="Y83"/>
  <c r="Y84"/>
  <c r="Y86"/>
  <c r="Y88"/>
  <c r="C119"/>
  <c r="I119"/>
  <c r="J120"/>
  <c r="B13"/>
  <c r="G120"/>
  <c r="H120"/>
  <c r="I120"/>
  <c r="B15"/>
  <c r="B19"/>
  <c r="B20"/>
  <c r="B23"/>
  <c r="B26"/>
  <c r="B30" s="1"/>
  <c r="B37" s="1"/>
  <c r="B36"/>
  <c r="D136"/>
  <c r="F136"/>
  <c r="F137"/>
  <c r="B46"/>
  <c r="B47" s="1"/>
  <c r="R88"/>
  <c r="S88"/>
  <c r="T88"/>
  <c r="U88"/>
  <c r="V88"/>
  <c r="Y77"/>
  <c r="S77"/>
  <c r="T77"/>
  <c r="U77"/>
  <c r="V77"/>
  <c r="W77"/>
  <c r="X77"/>
  <c r="R77"/>
  <c r="P42"/>
  <c r="X83"/>
  <c r="Y100"/>
  <c r="Y96"/>
  <c r="Y93"/>
  <c r="Y92"/>
  <c r="Y82"/>
  <c r="Y79"/>
  <c r="Y78"/>
  <c r="P78"/>
  <c r="P79"/>
  <c r="P77"/>
  <c r="X100"/>
  <c r="X96"/>
  <c r="X94"/>
  <c r="X93"/>
  <c r="X92"/>
  <c r="X89"/>
  <c r="X88"/>
  <c r="X86"/>
  <c r="X84"/>
  <c r="X82"/>
  <c r="X79"/>
  <c r="X78"/>
  <c r="W83"/>
  <c r="W82"/>
  <c r="B51"/>
  <c r="B52" s="1"/>
  <c r="B115"/>
  <c r="B104"/>
  <c r="Q74"/>
  <c r="P30"/>
  <c r="P5" i="6"/>
  <c r="P93" i="5"/>
  <c r="P94"/>
  <c r="P95"/>
  <c r="P96"/>
  <c r="P98"/>
  <c r="P99"/>
  <c r="P100"/>
  <c r="P101"/>
  <c r="P103"/>
  <c r="P104"/>
  <c r="P92"/>
  <c r="P83"/>
  <c r="P84"/>
  <c r="P86"/>
  <c r="P87"/>
  <c r="P88"/>
  <c r="P82"/>
  <c r="W100"/>
  <c r="W96"/>
  <c r="W93"/>
  <c r="W92"/>
  <c r="W88"/>
  <c r="W86"/>
  <c r="W79"/>
  <c r="W78"/>
  <c r="A111"/>
  <c r="P111" s="1"/>
  <c r="A70"/>
  <c r="AC7" i="6"/>
  <c r="AD8" i="5"/>
  <c r="O72"/>
  <c r="O114"/>
  <c r="AD114" s="1"/>
  <c r="AD73"/>
  <c r="P37" i="6"/>
  <c r="P62" i="5"/>
  <c r="P61"/>
  <c r="P60"/>
  <c r="P59"/>
  <c r="P58"/>
  <c r="P56"/>
  <c r="P54"/>
  <c r="P50"/>
  <c r="P51"/>
  <c r="P52"/>
  <c r="P49"/>
  <c r="P34"/>
  <c r="P35"/>
  <c r="P33"/>
  <c r="P28"/>
  <c r="P24"/>
  <c r="P25"/>
  <c r="P26"/>
  <c r="P23"/>
  <c r="P42" i="6"/>
  <c r="P41"/>
  <c r="P40"/>
  <c r="P39"/>
  <c r="P38"/>
  <c r="P32"/>
  <c r="P31"/>
  <c r="P30"/>
  <c r="P24"/>
  <c r="P23"/>
  <c r="P22"/>
  <c r="P21"/>
  <c r="P20"/>
  <c r="P19"/>
  <c r="P18"/>
  <c r="P17"/>
  <c r="P16"/>
  <c r="P15"/>
  <c r="P14"/>
  <c r="P13"/>
  <c r="P12"/>
  <c r="S100" i="5"/>
  <c r="T100"/>
  <c r="U100"/>
  <c r="V100"/>
  <c r="R100"/>
  <c r="U99"/>
  <c r="T99"/>
  <c r="S99"/>
  <c r="R99"/>
  <c r="V96"/>
  <c r="U96"/>
  <c r="T96"/>
  <c r="S96"/>
  <c r="R96"/>
  <c r="U95"/>
  <c r="T95"/>
  <c r="S95"/>
  <c r="R95"/>
  <c r="V94"/>
  <c r="U94"/>
  <c r="T94"/>
  <c r="S94"/>
  <c r="R94"/>
  <c r="V93"/>
  <c r="U93"/>
  <c r="T93"/>
  <c r="S93"/>
  <c r="R93"/>
  <c r="V92"/>
  <c r="U92"/>
  <c r="T92"/>
  <c r="S92"/>
  <c r="R92"/>
  <c r="U89"/>
  <c r="T89"/>
  <c r="S89"/>
  <c r="R89"/>
  <c r="U87"/>
  <c r="T87"/>
  <c r="S87"/>
  <c r="R87"/>
  <c r="V86"/>
  <c r="U86"/>
  <c r="T86"/>
  <c r="S86"/>
  <c r="R86"/>
  <c r="V84"/>
  <c r="U84"/>
  <c r="T84"/>
  <c r="S84"/>
  <c r="R84"/>
  <c r="V83"/>
  <c r="U83"/>
  <c r="T83"/>
  <c r="S83"/>
  <c r="R83"/>
  <c r="V82"/>
  <c r="U82"/>
  <c r="T82"/>
  <c r="S82"/>
  <c r="R82"/>
  <c r="V79"/>
  <c r="U79"/>
  <c r="T79"/>
  <c r="S79"/>
  <c r="R79"/>
  <c r="V78"/>
  <c r="U78"/>
  <c r="T78"/>
  <c r="S78"/>
  <c r="R78"/>
  <c r="P43"/>
  <c r="P44"/>
  <c r="P45"/>
  <c r="P46"/>
  <c r="P41"/>
  <c r="P13"/>
  <c r="P15"/>
  <c r="P19"/>
  <c r="P20"/>
  <c r="P12"/>
  <c r="A109"/>
  <c r="P109" s="1"/>
  <c r="M129" l="1"/>
  <c r="M166" s="1"/>
  <c r="M136"/>
  <c r="M137"/>
  <c r="AB85"/>
  <c r="M125"/>
  <c r="M139"/>
  <c r="E158"/>
  <c r="E147"/>
  <c r="E124"/>
  <c r="H90"/>
  <c r="W89"/>
  <c r="D20"/>
  <c r="D118" s="1"/>
  <c r="K154"/>
  <c r="J20"/>
  <c r="I90"/>
  <c r="B160"/>
  <c r="B158"/>
  <c r="B159"/>
  <c r="B161" s="1"/>
  <c r="B154"/>
  <c r="B153"/>
  <c r="B155" s="1"/>
  <c r="B147"/>
  <c r="E20"/>
  <c r="E38" s="1"/>
  <c r="J154"/>
  <c r="J36"/>
  <c r="R74"/>
  <c r="B124"/>
  <c r="B54"/>
  <c r="B123" s="1"/>
  <c r="S9"/>
  <c r="C115"/>
  <c r="E37"/>
  <c r="E125"/>
  <c r="D38"/>
  <c r="S30" s="1"/>
  <c r="S20"/>
  <c r="C37"/>
  <c r="C139"/>
  <c r="C159"/>
  <c r="C158"/>
  <c r="C154"/>
  <c r="C124"/>
  <c r="C160"/>
  <c r="C125"/>
  <c r="B119"/>
  <c r="B118"/>
  <c r="E139"/>
  <c r="D37"/>
  <c r="S37" s="1"/>
  <c r="B125"/>
  <c r="B62"/>
  <c r="I20"/>
  <c r="D137"/>
  <c r="D120"/>
  <c r="E119"/>
  <c r="C20"/>
  <c r="C118" s="1"/>
  <c r="G47"/>
  <c r="G52"/>
  <c r="E118"/>
  <c r="D119"/>
  <c r="J153"/>
  <c r="J155" s="1"/>
  <c r="E154"/>
  <c r="J160"/>
  <c r="E159"/>
  <c r="G61"/>
  <c r="AG24"/>
  <c r="J26"/>
  <c r="H20"/>
  <c r="H118" s="1"/>
  <c r="F20"/>
  <c r="F118" s="1"/>
  <c r="AB10" i="6"/>
  <c r="AB42" s="1"/>
  <c r="H147" i="5"/>
  <c r="H159"/>
  <c r="H153"/>
  <c r="H123"/>
  <c r="H124"/>
  <c r="H158"/>
  <c r="H160"/>
  <c r="H154"/>
  <c r="D158"/>
  <c r="D160"/>
  <c r="D154"/>
  <c r="D124"/>
  <c r="D125"/>
  <c r="D159"/>
  <c r="D153"/>
  <c r="D155" s="1"/>
  <c r="B79"/>
  <c r="Q77" s="1"/>
  <c r="D129"/>
  <c r="S10" i="6"/>
  <c r="D90" i="5"/>
  <c r="E120"/>
  <c r="D139"/>
  <c r="B38"/>
  <c r="Q52" s="1"/>
  <c r="I54"/>
  <c r="I123" s="1"/>
  <c r="F54"/>
  <c r="E54"/>
  <c r="D54"/>
  <c r="C54"/>
  <c r="I118"/>
  <c r="I147"/>
  <c r="I159"/>
  <c r="I153"/>
  <c r="I158"/>
  <c r="I160"/>
  <c r="I154"/>
  <c r="F158"/>
  <c r="F160"/>
  <c r="F154"/>
  <c r="F124"/>
  <c r="F159"/>
  <c r="F153"/>
  <c r="C129"/>
  <c r="R10" i="6"/>
  <c r="C136" i="5"/>
  <c r="C137"/>
  <c r="C138"/>
  <c r="C90"/>
  <c r="E129"/>
  <c r="T10" i="6"/>
  <c r="E90" i="5"/>
  <c r="E136"/>
  <c r="E137"/>
  <c r="E138"/>
  <c r="I138"/>
  <c r="J147"/>
  <c r="K150"/>
  <c r="J150"/>
  <c r="M159"/>
  <c r="M147"/>
  <c r="AA10" i="6"/>
  <c r="AA40" s="1"/>
  <c r="L129" i="5"/>
  <c r="D74"/>
  <c r="Z78"/>
  <c r="Z82"/>
  <c r="Z84"/>
  <c r="Z92"/>
  <c r="K120"/>
  <c r="J47"/>
  <c r="E62"/>
  <c r="C62"/>
  <c r="Z96"/>
  <c r="C153"/>
  <c r="C155" s="1"/>
  <c r="K153"/>
  <c r="G153"/>
  <c r="E153"/>
  <c r="E155" s="1"/>
  <c r="K159"/>
  <c r="J159"/>
  <c r="J161" s="1"/>
  <c r="G159"/>
  <c r="E160"/>
  <c r="E161" s="1"/>
  <c r="G20"/>
  <c r="G89"/>
  <c r="F90"/>
  <c r="U10" i="6"/>
  <c r="V10"/>
  <c r="W10"/>
  <c r="X10"/>
  <c r="Y10"/>
  <c r="L159" i="5"/>
  <c r="L147"/>
  <c r="O104"/>
  <c r="L30"/>
  <c r="AA34" i="6"/>
  <c r="AA19"/>
  <c r="AA31"/>
  <c r="AA17"/>
  <c r="L120" i="5"/>
  <c r="AA78"/>
  <c r="AA82"/>
  <c r="AA84"/>
  <c r="AA89"/>
  <c r="AA92"/>
  <c r="AA96"/>
  <c r="L90"/>
  <c r="AA77"/>
  <c r="AA79"/>
  <c r="AA83"/>
  <c r="AA86"/>
  <c r="AA88"/>
  <c r="AA93"/>
  <c r="AA100"/>
  <c r="L153"/>
  <c r="L158"/>
  <c r="L160"/>
  <c r="L125"/>
  <c r="L154"/>
  <c r="L124"/>
  <c r="L54"/>
  <c r="L62" s="1"/>
  <c r="L119"/>
  <c r="L37"/>
  <c r="L118"/>
  <c r="L138"/>
  <c r="D8" i="6"/>
  <c r="S8" s="1"/>
  <c r="E9" i="5"/>
  <c r="C8" i="6"/>
  <c r="R8" s="1"/>
  <c r="K160" i="5"/>
  <c r="K158"/>
  <c r="K124"/>
  <c r="K119"/>
  <c r="K118"/>
  <c r="K138"/>
  <c r="Z89"/>
  <c r="K90"/>
  <c r="Z10" i="6"/>
  <c r="Z31" s="1"/>
  <c r="M153" i="5"/>
  <c r="M158"/>
  <c r="M160"/>
  <c r="M124"/>
  <c r="M154"/>
  <c r="M54"/>
  <c r="M123" s="1"/>
  <c r="M119"/>
  <c r="K54"/>
  <c r="K155"/>
  <c r="K125"/>
  <c r="K37"/>
  <c r="K38"/>
  <c r="I38"/>
  <c r="X30" s="1"/>
  <c r="I37"/>
  <c r="X37" s="1"/>
  <c r="I125"/>
  <c r="H38"/>
  <c r="W30" s="1"/>
  <c r="H37"/>
  <c r="H125"/>
  <c r="G38"/>
  <c r="V30"/>
  <c r="G37"/>
  <c r="V37" s="1"/>
  <c r="G125"/>
  <c r="F30"/>
  <c r="M118"/>
  <c r="H98"/>
  <c r="H146" s="1"/>
  <c r="W90"/>
  <c r="X90"/>
  <c r="I98"/>
  <c r="I146" s="1"/>
  <c r="J98"/>
  <c r="J146" s="1"/>
  <c r="Y90"/>
  <c r="M90"/>
  <c r="M98" s="1"/>
  <c r="M138"/>
  <c r="AB77"/>
  <c r="AB79"/>
  <c r="AB83"/>
  <c r="AB86"/>
  <c r="AB88"/>
  <c r="AB93"/>
  <c r="AB100"/>
  <c r="M120"/>
  <c r="AB78"/>
  <c r="AB82"/>
  <c r="AB84"/>
  <c r="AB89"/>
  <c r="AB92"/>
  <c r="AB96"/>
  <c r="P3"/>
  <c r="P68"/>
  <c r="A68"/>
  <c r="M37"/>
  <c r="M38"/>
  <c r="AA15" i="6" l="1"/>
  <c r="AA24"/>
  <c r="AA14"/>
  <c r="AA32"/>
  <c r="AA22"/>
  <c r="AA44"/>
  <c r="AA23"/>
  <c r="AA20"/>
  <c r="AA41"/>
  <c r="AA21"/>
  <c r="AA30"/>
  <c r="AK82" i="5"/>
  <c r="AB46"/>
  <c r="T20"/>
  <c r="E140"/>
  <c r="Z30"/>
  <c r="Z16"/>
  <c r="Z18"/>
  <c r="F155"/>
  <c r="F161"/>
  <c r="I161"/>
  <c r="C120"/>
  <c r="T62"/>
  <c r="Q62"/>
  <c r="M62"/>
  <c r="AB18"/>
  <c r="AB41" i="6"/>
  <c r="AB24"/>
  <c r="AB15"/>
  <c r="AB31"/>
  <c r="AB17"/>
  <c r="AB44"/>
  <c r="AB40"/>
  <c r="AB32"/>
  <c r="AB30"/>
  <c r="AB14"/>
  <c r="AB34"/>
  <c r="G54" i="5"/>
  <c r="G119"/>
  <c r="T42"/>
  <c r="T36"/>
  <c r="T23"/>
  <c r="T61"/>
  <c r="T59"/>
  <c r="T52"/>
  <c r="T50"/>
  <c r="T47"/>
  <c r="T45"/>
  <c r="T43"/>
  <c r="T38"/>
  <c r="T33"/>
  <c r="T26"/>
  <c r="T24"/>
  <c r="T19"/>
  <c r="T13"/>
  <c r="T56"/>
  <c r="T49"/>
  <c r="T46"/>
  <c r="T44"/>
  <c r="T41"/>
  <c r="T34"/>
  <c r="T25"/>
  <c r="T15"/>
  <c r="T12"/>
  <c r="T28"/>
  <c r="T35"/>
  <c r="T60"/>
  <c r="T51"/>
  <c r="T9"/>
  <c r="D115"/>
  <c r="K161"/>
  <c r="I62"/>
  <c r="H155"/>
  <c r="H161"/>
  <c r="C161"/>
  <c r="T30"/>
  <c r="T37"/>
  <c r="J30"/>
  <c r="G147"/>
  <c r="G160"/>
  <c r="G124"/>
  <c r="G158"/>
  <c r="G161" s="1"/>
  <c r="G154"/>
  <c r="G155" s="1"/>
  <c r="C38"/>
  <c r="R62" s="1"/>
  <c r="D138"/>
  <c r="S28"/>
  <c r="S35"/>
  <c r="S60"/>
  <c r="S56"/>
  <c r="S51"/>
  <c r="S49"/>
  <c r="S46"/>
  <c r="S44"/>
  <c r="S41"/>
  <c r="S34"/>
  <c r="S25"/>
  <c r="S15"/>
  <c r="S12"/>
  <c r="S52"/>
  <c r="S43"/>
  <c r="S33"/>
  <c r="S24"/>
  <c r="S42"/>
  <c r="S36"/>
  <c r="S23"/>
  <c r="S61"/>
  <c r="S59"/>
  <c r="S50"/>
  <c r="S47"/>
  <c r="S45"/>
  <c r="S38"/>
  <c r="S26"/>
  <c r="S19"/>
  <c r="S13"/>
  <c r="F138"/>
  <c r="M101"/>
  <c r="M146"/>
  <c r="X14" i="6"/>
  <c r="X15"/>
  <c r="X16"/>
  <c r="X17"/>
  <c r="X19"/>
  <c r="X20"/>
  <c r="X21"/>
  <c r="X23"/>
  <c r="X24"/>
  <c r="X30"/>
  <c r="X31"/>
  <c r="X34"/>
  <c r="X40"/>
  <c r="X41"/>
  <c r="X44"/>
  <c r="V48"/>
  <c r="V50"/>
  <c r="V14"/>
  <c r="V15"/>
  <c r="V16"/>
  <c r="V19"/>
  <c r="V20"/>
  <c r="V21"/>
  <c r="V22"/>
  <c r="V23"/>
  <c r="V24"/>
  <c r="V30"/>
  <c r="V31"/>
  <c r="V34"/>
  <c r="V39"/>
  <c r="V40"/>
  <c r="V41"/>
  <c r="V44"/>
  <c r="F98" i="5"/>
  <c r="F146" s="1"/>
  <c r="U90"/>
  <c r="G118"/>
  <c r="H138"/>
  <c r="J119"/>
  <c r="J54"/>
  <c r="J118"/>
  <c r="J138"/>
  <c r="E74"/>
  <c r="S74"/>
  <c r="T48" i="6"/>
  <c r="T50"/>
  <c r="T14"/>
  <c r="T15"/>
  <c r="T16"/>
  <c r="T17"/>
  <c r="T19"/>
  <c r="T20"/>
  <c r="T21"/>
  <c r="T22"/>
  <c r="T23"/>
  <c r="T24"/>
  <c r="T30"/>
  <c r="T31"/>
  <c r="T32"/>
  <c r="T34"/>
  <c r="T37"/>
  <c r="T38"/>
  <c r="T39"/>
  <c r="T40"/>
  <c r="T41"/>
  <c r="T42"/>
  <c r="T44"/>
  <c r="C98" i="5"/>
  <c r="C146" s="1"/>
  <c r="R90"/>
  <c r="C123"/>
  <c r="R54"/>
  <c r="E123"/>
  <c r="T54"/>
  <c r="Q61"/>
  <c r="Q59"/>
  <c r="Q54"/>
  <c r="Q51"/>
  <c r="Q49"/>
  <c r="Q46"/>
  <c r="Q44"/>
  <c r="Q41"/>
  <c r="Q36"/>
  <c r="Q34"/>
  <c r="Q30"/>
  <c r="Q23"/>
  <c r="Q25"/>
  <c r="Q20"/>
  <c r="Q15"/>
  <c r="Q12"/>
  <c r="Q60"/>
  <c r="Q56"/>
  <c r="Q50"/>
  <c r="Q47"/>
  <c r="Q45"/>
  <c r="Q43"/>
  <c r="Q38"/>
  <c r="Q35"/>
  <c r="Q33"/>
  <c r="Q28"/>
  <c r="Q26"/>
  <c r="Q24"/>
  <c r="Q19"/>
  <c r="Q13"/>
  <c r="D98"/>
  <c r="D146" s="1"/>
  <c r="S90"/>
  <c r="W37"/>
  <c r="G138"/>
  <c r="D161"/>
  <c r="Q37"/>
  <c r="Y14" i="6"/>
  <c r="Y15"/>
  <c r="Y17"/>
  <c r="Y20"/>
  <c r="Y21"/>
  <c r="Y23"/>
  <c r="Y24"/>
  <c r="Y30"/>
  <c r="Y31"/>
  <c r="Y32"/>
  <c r="Y34"/>
  <c r="Y39"/>
  <c r="Y40"/>
  <c r="Y41"/>
  <c r="Y44"/>
  <c r="W14"/>
  <c r="W15"/>
  <c r="W19"/>
  <c r="W20"/>
  <c r="W21"/>
  <c r="W22"/>
  <c r="W23"/>
  <c r="W24"/>
  <c r="W30"/>
  <c r="W31"/>
  <c r="W34"/>
  <c r="W38"/>
  <c r="W40"/>
  <c r="W41"/>
  <c r="W44"/>
  <c r="W48"/>
  <c r="U14"/>
  <c r="U15"/>
  <c r="U16"/>
  <c r="U17"/>
  <c r="U19"/>
  <c r="U20"/>
  <c r="U21"/>
  <c r="U22"/>
  <c r="U23"/>
  <c r="U24"/>
  <c r="U30"/>
  <c r="U31"/>
  <c r="U32"/>
  <c r="U34"/>
  <c r="U37"/>
  <c r="U38"/>
  <c r="U39"/>
  <c r="U40"/>
  <c r="U41"/>
  <c r="U42"/>
  <c r="U44"/>
  <c r="U48"/>
  <c r="U50"/>
  <c r="G90" i="5"/>
  <c r="V89"/>
  <c r="E98"/>
  <c r="E146" s="1"/>
  <c r="T90"/>
  <c r="R48" i="6"/>
  <c r="R50"/>
  <c r="R14"/>
  <c r="R15"/>
  <c r="R16"/>
  <c r="R17"/>
  <c r="R19"/>
  <c r="R20"/>
  <c r="R21"/>
  <c r="R22"/>
  <c r="R23"/>
  <c r="R24"/>
  <c r="R30"/>
  <c r="R31"/>
  <c r="R32"/>
  <c r="R34"/>
  <c r="R37"/>
  <c r="R38"/>
  <c r="R39"/>
  <c r="R40"/>
  <c r="R41"/>
  <c r="R42"/>
  <c r="R44"/>
  <c r="D123" i="5"/>
  <c r="S54"/>
  <c r="F62"/>
  <c r="F123"/>
  <c r="S14" i="6"/>
  <c r="S15"/>
  <c r="S16"/>
  <c r="S17"/>
  <c r="S19"/>
  <c r="S20"/>
  <c r="S21"/>
  <c r="S22"/>
  <c r="S23"/>
  <c r="S24"/>
  <c r="S30"/>
  <c r="S31"/>
  <c r="S32"/>
  <c r="S34"/>
  <c r="S37"/>
  <c r="S38"/>
  <c r="S39"/>
  <c r="S40"/>
  <c r="S41"/>
  <c r="S42"/>
  <c r="S44"/>
  <c r="S50"/>
  <c r="S48"/>
  <c r="B129" i="5"/>
  <c r="Q10" i="6"/>
  <c r="B90" i="5"/>
  <c r="B139"/>
  <c r="B137"/>
  <c r="B120"/>
  <c r="Q100"/>
  <c r="Q96"/>
  <c r="Q94"/>
  <c r="Q92"/>
  <c r="Q89"/>
  <c r="Q87"/>
  <c r="Q84"/>
  <c r="Q82"/>
  <c r="Q78"/>
  <c r="B140"/>
  <c r="B138"/>
  <c r="B136"/>
  <c r="Q99"/>
  <c r="Q95"/>
  <c r="Q93"/>
  <c r="Q88"/>
  <c r="Q86"/>
  <c r="Q83"/>
  <c r="Q79"/>
  <c r="I155"/>
  <c r="D62"/>
  <c r="S62" s="1"/>
  <c r="AC31" i="6"/>
  <c r="AC10"/>
  <c r="L155" i="5"/>
  <c r="L161"/>
  <c r="L38"/>
  <c r="AA90"/>
  <c r="L98"/>
  <c r="L146" s="1"/>
  <c r="L123"/>
  <c r="F9"/>
  <c r="E8" i="6"/>
  <c r="T8" s="1"/>
  <c r="AB90" i="5"/>
  <c r="Z41" i="6"/>
  <c r="Z40"/>
  <c r="AC40" s="1"/>
  <c r="Z39"/>
  <c r="Z38"/>
  <c r="AC38" s="1"/>
  <c r="Z37"/>
  <c r="AC37" s="1"/>
  <c r="Z32"/>
  <c r="AC32" s="1"/>
  <c r="Z30"/>
  <c r="Z23"/>
  <c r="Z22"/>
  <c r="Z21"/>
  <c r="AC21" s="1"/>
  <c r="Z20"/>
  <c r="Z19"/>
  <c r="Z17"/>
  <c r="AC16"/>
  <c r="Z15"/>
  <c r="Z14"/>
  <c r="Z34"/>
  <c r="Z44"/>
  <c r="AC44" s="1"/>
  <c r="Z24"/>
  <c r="AC24" s="1"/>
  <c r="Z90" i="5"/>
  <c r="K98"/>
  <c r="K146" s="1"/>
  <c r="M155"/>
  <c r="M161"/>
  <c r="K123"/>
  <c r="K62"/>
  <c r="Z44"/>
  <c r="Z61"/>
  <c r="Z59"/>
  <c r="Z54"/>
  <c r="Z51"/>
  <c r="Z49"/>
  <c r="Z46"/>
  <c r="Z43"/>
  <c r="Z41"/>
  <c r="Z36"/>
  <c r="Z34"/>
  <c r="Z26"/>
  <c r="Z24"/>
  <c r="Z20"/>
  <c r="Z15"/>
  <c r="Z12"/>
  <c r="Z60"/>
  <c r="Z52"/>
  <c r="Z50"/>
  <c r="Z47"/>
  <c r="Z45"/>
  <c r="Z38"/>
  <c r="Z35"/>
  <c r="Z33"/>
  <c r="Z28"/>
  <c r="Z23"/>
  <c r="Z19"/>
  <c r="Z13"/>
  <c r="Z37"/>
  <c r="X24"/>
  <c r="X34"/>
  <c r="X62"/>
  <c r="X60"/>
  <c r="X52"/>
  <c r="X50"/>
  <c r="X47"/>
  <c r="X44"/>
  <c r="X41"/>
  <c r="X35"/>
  <c r="X26"/>
  <c r="X20"/>
  <c r="X15"/>
  <c r="X12"/>
  <c r="X45"/>
  <c r="X42"/>
  <c r="X61"/>
  <c r="X59"/>
  <c r="X54"/>
  <c r="X51"/>
  <c r="X49"/>
  <c r="X46"/>
  <c r="X43"/>
  <c r="X38"/>
  <c r="X36"/>
  <c r="X33"/>
  <c r="X28"/>
  <c r="X23"/>
  <c r="X19"/>
  <c r="X13"/>
  <c r="W24"/>
  <c r="W34"/>
  <c r="W28"/>
  <c r="W62"/>
  <c r="W60"/>
  <c r="W52"/>
  <c r="W50"/>
  <c r="W47"/>
  <c r="W44"/>
  <c r="W41"/>
  <c r="W35"/>
  <c r="W23"/>
  <c r="W19"/>
  <c r="W13"/>
  <c r="W45"/>
  <c r="W61"/>
  <c r="W59"/>
  <c r="W54"/>
  <c r="W51"/>
  <c r="W49"/>
  <c r="W46"/>
  <c r="W43"/>
  <c r="W38"/>
  <c r="W36"/>
  <c r="W33"/>
  <c r="W26"/>
  <c r="W20"/>
  <c r="W15"/>
  <c r="W12"/>
  <c r="V28"/>
  <c r="V44"/>
  <c r="V43"/>
  <c r="V41"/>
  <c r="V38"/>
  <c r="V34"/>
  <c r="V33"/>
  <c r="V26"/>
  <c r="V24"/>
  <c r="V20"/>
  <c r="V19"/>
  <c r="V15"/>
  <c r="V13"/>
  <c r="V12"/>
  <c r="V45"/>
  <c r="V35"/>
  <c r="V36"/>
  <c r="V23"/>
  <c r="V61"/>
  <c r="V60"/>
  <c r="V59"/>
  <c r="V54"/>
  <c r="V52"/>
  <c r="V51"/>
  <c r="V50"/>
  <c r="V49"/>
  <c r="V47"/>
  <c r="V46"/>
  <c r="F37"/>
  <c r="F139"/>
  <c r="F38"/>
  <c r="F125"/>
  <c r="U30"/>
  <c r="AB61"/>
  <c r="AB59"/>
  <c r="AB54"/>
  <c r="AB51"/>
  <c r="AB49"/>
  <c r="AB44"/>
  <c r="AB38"/>
  <c r="AB36"/>
  <c r="AB34"/>
  <c r="AB30"/>
  <c r="AB26"/>
  <c r="AB15"/>
  <c r="AB12"/>
  <c r="AB62"/>
  <c r="AB60"/>
  <c r="AB52"/>
  <c r="AB50"/>
  <c r="AB47"/>
  <c r="AB45"/>
  <c r="AB43"/>
  <c r="AB41"/>
  <c r="AB37"/>
  <c r="AB35"/>
  <c r="AB33"/>
  <c r="AB28"/>
  <c r="AB23"/>
  <c r="AB19"/>
  <c r="AB13"/>
  <c r="AB20"/>
  <c r="AB104"/>
  <c r="M133"/>
  <c r="AB98"/>
  <c r="AB101"/>
  <c r="M131"/>
  <c r="M132"/>
  <c r="M126"/>
  <c r="H126"/>
  <c r="H101"/>
  <c r="W98"/>
  <c r="I101"/>
  <c r="I126"/>
  <c r="X98"/>
  <c r="J101"/>
  <c r="J126"/>
  <c r="Y98"/>
  <c r="AC15" i="6" l="1"/>
  <c r="AC30"/>
  <c r="AC39"/>
  <c r="AC14"/>
  <c r="AC19"/>
  <c r="AC23"/>
  <c r="AC20"/>
  <c r="AC34"/>
  <c r="AC17"/>
  <c r="AC22"/>
  <c r="AC41"/>
  <c r="AA18" i="5"/>
  <c r="L140"/>
  <c r="M140"/>
  <c r="J167"/>
  <c r="I167"/>
  <c r="G123"/>
  <c r="G62"/>
  <c r="R20"/>
  <c r="R42"/>
  <c r="R36"/>
  <c r="R23"/>
  <c r="R59"/>
  <c r="R52"/>
  <c r="R50"/>
  <c r="R47"/>
  <c r="R45"/>
  <c r="R43"/>
  <c r="R38"/>
  <c r="R33"/>
  <c r="R26"/>
  <c r="R24"/>
  <c r="R19"/>
  <c r="R13"/>
  <c r="R60"/>
  <c r="R51"/>
  <c r="R46"/>
  <c r="R15"/>
  <c r="D140"/>
  <c r="R35"/>
  <c r="R28"/>
  <c r="R56"/>
  <c r="R49"/>
  <c r="R44"/>
  <c r="R41"/>
  <c r="R34"/>
  <c r="R25"/>
  <c r="R12"/>
  <c r="R30"/>
  <c r="R61"/>
  <c r="C140"/>
  <c r="J37"/>
  <c r="J125"/>
  <c r="J38"/>
  <c r="U9"/>
  <c r="E115"/>
  <c r="R37"/>
  <c r="I130"/>
  <c r="I149"/>
  <c r="H130"/>
  <c r="H149"/>
  <c r="Q17" i="6"/>
  <c r="Q48"/>
  <c r="Q42"/>
  <c r="Q40"/>
  <c r="Q38"/>
  <c r="Q32"/>
  <c r="Q30"/>
  <c r="Q24"/>
  <c r="Q22"/>
  <c r="Q20"/>
  <c r="Q16"/>
  <c r="Q14"/>
  <c r="Q37"/>
  <c r="Q44"/>
  <c r="Q41"/>
  <c r="Q39"/>
  <c r="Q34"/>
  <c r="Q31"/>
  <c r="Q23"/>
  <c r="Q21"/>
  <c r="Q19"/>
  <c r="Q15"/>
  <c r="D101" i="5"/>
  <c r="D149" s="1"/>
  <c r="S98"/>
  <c r="D126"/>
  <c r="C101"/>
  <c r="C149" s="1"/>
  <c r="C126"/>
  <c r="R98"/>
  <c r="F101"/>
  <c r="F149" s="1"/>
  <c r="F126"/>
  <c r="U98"/>
  <c r="M12" i="6"/>
  <c r="M130" i="5"/>
  <c r="M149"/>
  <c r="J130"/>
  <c r="J149"/>
  <c r="B98"/>
  <c r="B146" s="1"/>
  <c r="Q90"/>
  <c r="E126"/>
  <c r="E101"/>
  <c r="E149" s="1"/>
  <c r="T98"/>
  <c r="G98"/>
  <c r="V90"/>
  <c r="F74"/>
  <c r="T74"/>
  <c r="J123"/>
  <c r="J62"/>
  <c r="Y62" s="1"/>
  <c r="Y54"/>
  <c r="AA15"/>
  <c r="AA61"/>
  <c r="AA44"/>
  <c r="AA37"/>
  <c r="AA34"/>
  <c r="AA54"/>
  <c r="AA47"/>
  <c r="AA26"/>
  <c r="AA38"/>
  <c r="AA49"/>
  <c r="AA62"/>
  <c r="AA19"/>
  <c r="AA33"/>
  <c r="AA43"/>
  <c r="AA52"/>
  <c r="AA20"/>
  <c r="AA12"/>
  <c r="AA24"/>
  <c r="AA30"/>
  <c r="AA36"/>
  <c r="AA46"/>
  <c r="AA51"/>
  <c r="AA60"/>
  <c r="AA13"/>
  <c r="AA23"/>
  <c r="AA28"/>
  <c r="AA35"/>
  <c r="AA41"/>
  <c r="AA45"/>
  <c r="AA50"/>
  <c r="AA59"/>
  <c r="L101"/>
  <c r="M167" s="1"/>
  <c r="AA98"/>
  <c r="L126"/>
  <c r="F8" i="6"/>
  <c r="U8" s="1"/>
  <c r="G9" i="5"/>
  <c r="Z62"/>
  <c r="Z98"/>
  <c r="K126"/>
  <c r="K101"/>
  <c r="K167" s="1"/>
  <c r="U45"/>
  <c r="F140"/>
  <c r="U42"/>
  <c r="U35"/>
  <c r="U62"/>
  <c r="U60"/>
  <c r="U52"/>
  <c r="U50"/>
  <c r="U47"/>
  <c r="U43"/>
  <c r="U38"/>
  <c r="U33"/>
  <c r="U26"/>
  <c r="U24"/>
  <c r="U19"/>
  <c r="U13"/>
  <c r="F131"/>
  <c r="U28"/>
  <c r="U36"/>
  <c r="U23"/>
  <c r="U61"/>
  <c r="U59"/>
  <c r="U54"/>
  <c r="U51"/>
  <c r="U49"/>
  <c r="U46"/>
  <c r="U44"/>
  <c r="U41"/>
  <c r="U34"/>
  <c r="U25"/>
  <c r="U20"/>
  <c r="U15"/>
  <c r="U12"/>
  <c r="U37"/>
  <c r="H12" i="6"/>
  <c r="H131" i="5"/>
  <c r="H132"/>
  <c r="W101"/>
  <c r="W104"/>
  <c r="H133"/>
  <c r="I131"/>
  <c r="X101"/>
  <c r="I12" i="6"/>
  <c r="I133" i="5"/>
  <c r="I132"/>
  <c r="X104"/>
  <c r="Y101"/>
  <c r="Y104"/>
  <c r="J12" i="6"/>
  <c r="J133" i="5"/>
  <c r="J131"/>
  <c r="J132"/>
  <c r="O12" i="6" l="1"/>
  <c r="L130" i="5"/>
  <c r="L167"/>
  <c r="V9"/>
  <c r="F115"/>
  <c r="Y30"/>
  <c r="Y60"/>
  <c r="Y44"/>
  <c r="Y33"/>
  <c r="Y19"/>
  <c r="Y59"/>
  <c r="Y43"/>
  <c r="Y15"/>
  <c r="Y42"/>
  <c r="Y52"/>
  <c r="Y47"/>
  <c r="Y41"/>
  <c r="Y35"/>
  <c r="Y28"/>
  <c r="Y23"/>
  <c r="Y13"/>
  <c r="Y61"/>
  <c r="Y51"/>
  <c r="Y46"/>
  <c r="Y38"/>
  <c r="Y34"/>
  <c r="Y26"/>
  <c r="Y20"/>
  <c r="Y12"/>
  <c r="AE12" s="1"/>
  <c r="Y50"/>
  <c r="Y45"/>
  <c r="Y49"/>
  <c r="Y36"/>
  <c r="Y24"/>
  <c r="V62"/>
  <c r="Y37"/>
  <c r="K130"/>
  <c r="Z104"/>
  <c r="K149"/>
  <c r="G74"/>
  <c r="U74"/>
  <c r="B101"/>
  <c r="B149" s="1"/>
  <c r="Q98"/>
  <c r="B126"/>
  <c r="F130"/>
  <c r="F12" i="6"/>
  <c r="F133" i="5"/>
  <c r="F132"/>
  <c r="U103"/>
  <c r="U101"/>
  <c r="U104"/>
  <c r="D130"/>
  <c r="D12" i="6"/>
  <c r="D131" i="5"/>
  <c r="D133"/>
  <c r="S103"/>
  <c r="D132"/>
  <c r="S101"/>
  <c r="S104"/>
  <c r="G146"/>
  <c r="G101"/>
  <c r="G126"/>
  <c r="V98"/>
  <c r="E130"/>
  <c r="E12" i="6"/>
  <c r="E133" i="5"/>
  <c r="E132"/>
  <c r="E131"/>
  <c r="T101"/>
  <c r="T104"/>
  <c r="T103"/>
  <c r="M27" i="6"/>
  <c r="AB12"/>
  <c r="C130" i="5"/>
  <c r="C133"/>
  <c r="C132"/>
  <c r="C12" i="6"/>
  <c r="R104" i="5"/>
  <c r="C131"/>
  <c r="R101"/>
  <c r="R103"/>
  <c r="L149"/>
  <c r="AA104"/>
  <c r="AA101"/>
  <c r="L133"/>
  <c r="L132"/>
  <c r="L131"/>
  <c r="H9"/>
  <c r="G8" i="6"/>
  <c r="V8" s="1"/>
  <c r="K133" i="5"/>
  <c r="K132"/>
  <c r="K12" i="6"/>
  <c r="Z101" i="5"/>
  <c r="K131"/>
  <c r="H27" i="6"/>
  <c r="W12"/>
  <c r="I27"/>
  <c r="I148" i="5" s="1"/>
  <c r="X12" i="6"/>
  <c r="J27"/>
  <c r="J148" i="5" s="1"/>
  <c r="Y12" i="6"/>
  <c r="H148" i="5" l="1"/>
  <c r="O27" i="6"/>
  <c r="H167" i="5"/>
  <c r="W9"/>
  <c r="G115"/>
  <c r="V115" s="1"/>
  <c r="E27" i="6"/>
  <c r="E148" i="5" s="1"/>
  <c r="T12" i="6"/>
  <c r="D27"/>
  <c r="D148" i="5" s="1"/>
  <c r="S12" i="6"/>
  <c r="F27"/>
  <c r="F148" i="5" s="1"/>
  <c r="U12" i="6"/>
  <c r="C27"/>
  <c r="C148" i="5" s="1"/>
  <c r="R12" i="6"/>
  <c r="M148" i="5"/>
  <c r="AB27" i="6"/>
  <c r="M46"/>
  <c r="AB46" s="1"/>
  <c r="G130" i="5"/>
  <c r="G149"/>
  <c r="G133"/>
  <c r="G132"/>
  <c r="G12" i="6"/>
  <c r="V101" i="5"/>
  <c r="V104"/>
  <c r="G131"/>
  <c r="B130"/>
  <c r="B12" i="6"/>
  <c r="Q101" i="5"/>
  <c r="B133"/>
  <c r="B131"/>
  <c r="B132"/>
  <c r="Q103"/>
  <c r="Q104"/>
  <c r="H74"/>
  <c r="V74"/>
  <c r="L27" i="6"/>
  <c r="L148" i="5" s="1"/>
  <c r="AA12" i="6"/>
  <c r="H8"/>
  <c r="W8" s="1"/>
  <c r="I9" i="5"/>
  <c r="K27" i="6"/>
  <c r="K148" i="5" s="1"/>
  <c r="Z12" i="6"/>
  <c r="H46"/>
  <c r="W27"/>
  <c r="I46"/>
  <c r="X27"/>
  <c r="J46"/>
  <c r="Y27"/>
  <c r="X9" i="5" l="1"/>
  <c r="H115"/>
  <c r="W115" s="1"/>
  <c r="I74"/>
  <c r="W74"/>
  <c r="B27" i="6"/>
  <c r="B148" i="5" s="1"/>
  <c r="Q12" i="6"/>
  <c r="G27"/>
  <c r="V12"/>
  <c r="AC12" s="1"/>
  <c r="C46"/>
  <c r="R46" s="1"/>
  <c r="R27"/>
  <c r="U27"/>
  <c r="F46"/>
  <c r="U46" s="1"/>
  <c r="S27"/>
  <c r="D46"/>
  <c r="S46" s="1"/>
  <c r="T27"/>
  <c r="E46"/>
  <c r="T46" s="1"/>
  <c r="AA27"/>
  <c r="L46"/>
  <c r="J9" i="5"/>
  <c r="I8" i="6"/>
  <c r="X8" s="1"/>
  <c r="Z27"/>
  <c r="K46"/>
  <c r="Z46" s="1"/>
  <c r="H50"/>
  <c r="W46"/>
  <c r="X46"/>
  <c r="Y46"/>
  <c r="Y9" i="5" l="1"/>
  <c r="I115"/>
  <c r="X115" s="1"/>
  <c r="G148"/>
  <c r="G46" i="6"/>
  <c r="V46" s="1"/>
  <c r="V27"/>
  <c r="AC27" s="1"/>
  <c r="Q27"/>
  <c r="B46"/>
  <c r="J74" i="5"/>
  <c r="X74"/>
  <c r="AA46" i="6"/>
  <c r="AC46" s="1"/>
  <c r="K9" i="5"/>
  <c r="L9" s="1"/>
  <c r="J8" i="6"/>
  <c r="Y8" s="1"/>
  <c r="I48"/>
  <c r="W50"/>
  <c r="Z9" i="5" l="1"/>
  <c r="K115" s="1"/>
  <c r="Z115" s="1"/>
  <c r="J115"/>
  <c r="Y115" s="1"/>
  <c r="M9"/>
  <c r="AB9" s="1"/>
  <c r="AB74" s="1"/>
  <c r="L8" i="6"/>
  <c r="AA8" s="1"/>
  <c r="AA9" i="5"/>
  <c r="L74"/>
  <c r="K74"/>
  <c r="Y74"/>
  <c r="Q46" i="6"/>
  <c r="B50"/>
  <c r="Q50" s="1"/>
  <c r="K8"/>
  <c r="Z8" s="1"/>
  <c r="X48"/>
  <c r="I50"/>
  <c r="Z74" i="5" l="1"/>
  <c r="AA74"/>
  <c r="L115"/>
  <c r="AA115" s="1"/>
  <c r="M115"/>
  <c r="AB115" s="1"/>
  <c r="M8" i="6"/>
  <c r="AB8" s="1"/>
  <c r="M74" i="5"/>
  <c r="X50" i="6"/>
  <c r="J48"/>
  <c r="Y48" l="1"/>
  <c r="J50"/>
  <c r="K48" s="1"/>
  <c r="Z48" l="1"/>
  <c r="K50"/>
  <c r="L48" s="1"/>
  <c r="Y50"/>
  <c r="AA48" l="1"/>
  <c r="AC48" s="1"/>
  <c r="L50"/>
  <c r="M48" s="1"/>
  <c r="Z50"/>
  <c r="O48" l="1"/>
  <c r="M50"/>
  <c r="N48" s="1"/>
  <c r="N50" s="1"/>
  <c r="AA50"/>
  <c r="AC50" s="1"/>
  <c r="AB48"/>
  <c r="AB50" l="1"/>
  <c r="O50"/>
</calcChain>
</file>

<file path=xl/sharedStrings.xml><?xml version="1.0" encoding="utf-8"?>
<sst xmlns="http://schemas.openxmlformats.org/spreadsheetml/2006/main" count="249" uniqueCount="193">
  <si>
    <t>Account Name</t>
  </si>
  <si>
    <t>Asset-utilization Ratios: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</si>
  <si>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</si>
  <si>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</si>
  <si>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</si>
  <si>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</si>
  <si>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</si>
  <si>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</si>
  <si>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</si>
  <si>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</si>
  <si>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</si>
  <si>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</si>
  <si>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</si>
  <si>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</si>
  <si>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</si>
  <si>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</si>
  <si>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</si>
  <si>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</si>
  <si>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</si>
  <si>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</si>
  <si>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</si>
  <si>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</si>
  <si>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</si>
  <si>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</si>
  <si>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</si>
  <si>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</si>
  <si>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</si>
  <si>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</si>
  <si>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</si>
  <si>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</si>
  <si>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</si>
  <si>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</si>
  <si>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</si>
  <si>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</si>
  <si>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</si>
  <si>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</si>
  <si>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</si>
  <si>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</si>
  <si>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</si>
  <si>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</si>
  <si>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</si>
  <si>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</si>
  <si>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</si>
  <si>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</si>
  <si>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</si>
  <si>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</si>
  <si>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</si>
  <si>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</si>
  <si>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 xml:space="preserve">   Depreciation and amortization</t>
  </si>
  <si>
    <t xml:space="preserve">   Taxes, other than income taxes</t>
  </si>
  <si>
    <t xml:space="preserve">   Interest expense (net)</t>
  </si>
  <si>
    <t xml:space="preserve">   Other Income (Expense)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</si>
  <si>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</si>
  <si>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</si>
  <si>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</si>
  <si>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</si>
  <si>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</si>
  <si>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>Common Stock Dividends</t>
  </si>
  <si>
    <t>Other PP&amp;E</t>
  </si>
  <si>
    <t>Net Plant &amp; Equipment</t>
  </si>
  <si>
    <t>Regulatory Assets</t>
  </si>
  <si>
    <t>Long-Term Debt</t>
  </si>
  <si>
    <t>Other Deferred Credits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</si>
  <si>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</si>
  <si>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</si>
  <si>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</si>
  <si>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</si>
  <si>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</si>
  <si>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</si>
  <si>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Common Equity</t>
  </si>
  <si>
    <t>Return On Total Capital</t>
  </si>
  <si>
    <t>Profitability Ratios:</t>
  </si>
  <si>
    <t>Other Financial Indicators: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</si>
  <si>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</si>
  <si>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</si>
  <si>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</si>
  <si>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</si>
  <si>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</si>
  <si>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  Depreciation and amortization</t>
  </si>
  <si>
    <t xml:space="preserve">       Deferred income taxes and investment tax credits - net</t>
  </si>
  <si>
    <t xml:space="preserve">   Changes in: </t>
  </si>
  <si>
    <t>Net cash provided by operating activities</t>
  </si>
  <si>
    <t>Cash flows from investing activities:</t>
  </si>
  <si>
    <t xml:space="preserve">     Capital expenditures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</si>
  <si>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</si>
  <si>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</si>
  <si>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</si>
  <si>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</si>
  <si>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Dividends paid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</si>
  <si>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</si>
  <si>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</si>
  <si>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</si>
  <si>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</si>
  <si>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</si>
  <si>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Questar Gas Company</t>
  </si>
  <si>
    <t>Material and Supplies</t>
  </si>
  <si>
    <t>Goodwill</t>
  </si>
  <si>
    <t>Other Non-Current Assets</t>
  </si>
  <si>
    <t>Notes Payable to Questar</t>
  </si>
  <si>
    <t>Acounts Payable</t>
  </si>
  <si>
    <t>Acounts Payable, Affiliates</t>
  </si>
  <si>
    <t xml:space="preserve">   Cost of Natural Gas Sold</t>
  </si>
  <si>
    <t xml:space="preserve">   Operating and Maintenance</t>
  </si>
  <si>
    <t xml:space="preserve">      Accounts receivable</t>
  </si>
  <si>
    <t xml:space="preserve">       (Gain) Loss on sale of assets</t>
  </si>
  <si>
    <t xml:space="preserve">      Accounts payable and accrued expenses</t>
  </si>
  <si>
    <t xml:space="preserve">      Rate-refund obligation</t>
  </si>
  <si>
    <t xml:space="preserve">      Purchased-gas adjustments</t>
  </si>
  <si>
    <t xml:space="preserve">     Proceeds from long-term debt</t>
  </si>
  <si>
    <t xml:space="preserve">     Long-term debt repaid</t>
  </si>
  <si>
    <t xml:space="preserve">     Change in note payable to Questar</t>
  </si>
  <si>
    <t>Accounts Receivable, net</t>
  </si>
  <si>
    <t xml:space="preserve">     Issuance of Common Stock</t>
  </si>
  <si>
    <t>Years Ended December 31</t>
  </si>
  <si>
    <t>A-</t>
  </si>
  <si>
    <t>Note: the Profitability and Asset-utilization ratios for the 9-months ended Dec. 2005 have been annualized.</t>
  </si>
  <si>
    <t>Cash Flow as a Percent of Revenues</t>
  </si>
  <si>
    <t>Exhibit 1</t>
  </si>
  <si>
    <t>Customer-credit Balances</t>
  </si>
  <si>
    <t xml:space="preserve">   Interest and Other Income</t>
  </si>
  <si>
    <t>Plant in Service</t>
  </si>
  <si>
    <t>Capital Structure (Regulatory):</t>
  </si>
  <si>
    <t>Common Equity</t>
  </si>
  <si>
    <t>Capital Structure:</t>
  </si>
  <si>
    <t>Short-Term Debt</t>
  </si>
  <si>
    <t>Current Portion, LTD</t>
  </si>
  <si>
    <t xml:space="preserve">      Other Assets and Liabilities</t>
  </si>
  <si>
    <t xml:space="preserve">   Miscellaneous</t>
  </si>
  <si>
    <t>Construction Work in Progress</t>
  </si>
  <si>
    <t>Revenues</t>
  </si>
  <si>
    <t>Commodity Pass Through</t>
  </si>
  <si>
    <t xml:space="preserve">       Cumulative Affect of Accounting Chng and Other</t>
  </si>
  <si>
    <t>Accumulated Dep &amp; Amort</t>
  </si>
  <si>
    <t xml:space="preserve">   Cost of Natural Gas Sold - Affiliates</t>
  </si>
  <si>
    <t>(Thousands of dollars)</t>
  </si>
  <si>
    <t>Outlook</t>
  </si>
  <si>
    <t>Stable</t>
  </si>
  <si>
    <t>A2</t>
  </si>
  <si>
    <t>A3</t>
  </si>
  <si>
    <t>Bond Rating - Moody's</t>
  </si>
  <si>
    <t>Bond Rating - Standard &amp; Poors</t>
  </si>
  <si>
    <t>BBB+</t>
  </si>
  <si>
    <t>Estimated Interest Rate</t>
  </si>
  <si>
    <t>Retained Cash Flow / Debt &gt; 10.0%</t>
  </si>
  <si>
    <t>Debt / Book Capitalization &lt; 60.0%</t>
  </si>
  <si>
    <t>EBIT / Interest  &gt; 3.0</t>
  </si>
  <si>
    <t>Simple Return on Equity &gt; 10.0%</t>
  </si>
  <si>
    <t>Gross Margin</t>
  </si>
  <si>
    <t>Net Margin</t>
  </si>
  <si>
    <t>Income Tax Receivable</t>
  </si>
  <si>
    <t>Supplemental Information</t>
  </si>
  <si>
    <t xml:space="preserve">   Residential &amp; Commercial Sales</t>
  </si>
  <si>
    <t xml:space="preserve">   Industrial Sales</t>
  </si>
  <si>
    <t xml:space="preserve">   Service</t>
  </si>
  <si>
    <t xml:space="preserve">   Other</t>
  </si>
  <si>
    <t xml:space="preserve">      Total Revenue</t>
  </si>
  <si>
    <t>Revenue Dollars</t>
  </si>
  <si>
    <t>Revenue Percent</t>
  </si>
  <si>
    <t>Operating Statistics</t>
  </si>
  <si>
    <t>Natural Gas Volumes (MMdth)</t>
  </si>
  <si>
    <t xml:space="preserve">   Transportation for Industrial </t>
  </si>
  <si>
    <t xml:space="preserve">      Total Deliveries</t>
  </si>
  <si>
    <t>Natural Gas Volumes (Percent)</t>
  </si>
  <si>
    <t>Natural Gas Revenue (per dth)</t>
  </si>
  <si>
    <t>Customers (Thousands)</t>
  </si>
  <si>
    <t>Colder (Warmer) than normal Temp</t>
  </si>
  <si>
    <t>Temp Adjusted Usage / Cust (dth)</t>
  </si>
  <si>
    <t xml:space="preserve">   System Natural Gas Cost (per dth)</t>
  </si>
  <si>
    <t xml:space="preserve">   Percentage Change</t>
  </si>
  <si>
    <t>page 8 of 8</t>
  </si>
  <si>
    <t xml:space="preserve">   General and Administrative</t>
  </si>
  <si>
    <t>Purchased-Gas Adjustment</t>
  </si>
  <si>
    <t>A</t>
  </si>
  <si>
    <t>Gross Margin - Residential</t>
  </si>
  <si>
    <t>Gross Margin - Industrial</t>
  </si>
  <si>
    <t>Annual Revenue Growth</t>
  </si>
  <si>
    <t>Total Revenue Growth</t>
  </si>
  <si>
    <t>Purchased Gas</t>
  </si>
  <si>
    <t>Wexpro Gas</t>
  </si>
  <si>
    <t>Net Income Growth</t>
  </si>
  <si>
    <t xml:space="preserve">    Spread between Segments</t>
  </si>
  <si>
    <t>Gas Stored Underground</t>
  </si>
  <si>
    <t>2005 to 2010</t>
  </si>
  <si>
    <t xml:space="preserve">      Inventories</t>
  </si>
  <si>
    <t xml:space="preserve">      Regulatory Assets, Liabilities &amp; Other</t>
  </si>
  <si>
    <t>page 3 of 7</t>
  </si>
  <si>
    <t>page 2 of 7</t>
  </si>
  <si>
    <t>page 1 of 7</t>
  </si>
  <si>
    <t>page 4 of 7</t>
  </si>
  <si>
    <t>page 7 of 7</t>
  </si>
  <si>
    <t>page 6 of 7</t>
  </si>
  <si>
    <t>page 5 of 7</t>
  </si>
  <si>
    <t>2nd Qrtr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</si>
</sst>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,##0.0"/>
    <numFmt numFmtId="165" formatCode="#,##0.000_);\(#,##0.000\)"/>
    <numFmt numFmtId="166" formatCode="0.0000%"/>
    <numFmt numFmtId="167" formatCode="0_);\(0\)"/>
    <numFmt numFmtId="168" formatCode="[$-409]mmmm\ d\,\ yyyy;@"/>
    <numFmt numFmtId="169" formatCode="_(* #,##0_);_(* \(#,##0\);_(* &quot;-&quot;??_);_(@_)"/>
    <numFmt numFmtId="170" formatCode="_(* #,##0.0_);_(* \(#,##0.0\);_(* &quot;-&quot;??_);_(@_)"/>
    <numFmt numFmtId="171" formatCode="0.0%"/>
    <numFmt numFmtId="172" formatCode="0.0%;\(0.0%\)"/>
    <numFmt numFmtId="173" formatCode="0.00%;\(0.00%\)"/>
  </numFmts>
  <fonts count="17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7" fillId="2" borderId="0"/>
    <xf numFmtId="7" fontId="7" fillId="2" borderId="0"/>
    <xf numFmtId="5" fontId="7" fillId="2" borderId="0"/>
    <xf numFmtId="0" fontId="7" fillId="2" borderId="0"/>
    <xf numFmtId="2" fontId="7" fillId="2" borderId="0"/>
    <xf numFmtId="0" fontId="1" fillId="2" borderId="0"/>
    <xf numFmtId="0" fontId="2" fillId="2" borderId="0"/>
    <xf numFmtId="0" fontId="7" fillId="0" borderId="0" applyFill="0" applyBorder="0"/>
    <xf numFmtId="10" fontId="6" fillId="2" borderId="0"/>
    <xf numFmtId="0" fontId="7" fillId="2" borderId="1"/>
    <xf numFmtId="43" fontId="16" fillId="0" borderId="0" applyFont="0" applyFill="0" applyBorder="0" applyAlignment="0" applyProtection="0"/>
  </cellStyleXfs>
  <cellXfs count="205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10" fontId="3" fillId="2" borderId="0" xfId="0" applyNumberFormat="1" applyFont="1" applyFill="1"/>
    <xf numFmtId="5" fontId="0" fillId="2" borderId="0" xfId="0" applyNumberFormat="1" applyFill="1" applyAlignment="1">
      <alignment horizontal="centerContinuous"/>
    </xf>
    <xf numFmtId="5" fontId="3" fillId="2" borderId="0" xfId="0" applyNumberFormat="1" applyFont="1" applyFill="1" applyAlignment="1">
      <alignment horizontal="centerContinuous"/>
    </xf>
    <xf numFmtId="10" fontId="3" fillId="2" borderId="0" xfId="0" applyNumberFormat="1" applyFont="1" applyFill="1" applyAlignment="1">
      <alignment horizontal="centerContinuous"/>
    </xf>
    <xf numFmtId="5" fontId="3" fillId="2" borderId="0" xfId="0" applyNumberFormat="1" applyFont="1" applyFill="1" applyBorder="1"/>
    <xf numFmtId="5" fontId="0" fillId="2" borderId="0" xfId="0" applyNumberFormat="1" applyFill="1" applyBorder="1"/>
    <xf numFmtId="0" fontId="7" fillId="2" borderId="0" xfId="8" applyFill="1"/>
    <xf numFmtId="0" fontId="7" fillId="2" borderId="0" xfId="8" applyFont="1" applyFill="1"/>
    <xf numFmtId="164" fontId="7" fillId="2" borderId="0" xfId="8" applyNumberFormat="1" applyFill="1"/>
    <xf numFmtId="0" fontId="6" fillId="2" borderId="0" xfId="8" applyFont="1" applyFill="1"/>
    <xf numFmtId="0" fontId="6" fillId="2" borderId="0" xfId="8" applyFont="1" applyFill="1" applyAlignment="1">
      <alignment horizontal="centerContinuous"/>
    </xf>
    <xf numFmtId="164" fontId="6" fillId="2" borderId="0" xfId="8" applyNumberFormat="1" applyFont="1" applyFill="1" applyAlignment="1">
      <alignment horizontal="centerContinuous"/>
    </xf>
    <xf numFmtId="0" fontId="6" fillId="2" borderId="0" xfId="8" applyFont="1" applyFill="1" applyBorder="1"/>
    <xf numFmtId="37" fontId="6" fillId="2" borderId="0" xfId="8" applyNumberFormat="1" applyFont="1" applyFill="1"/>
    <xf numFmtId="167" fontId="6" fillId="2" borderId="0" xfId="8" applyNumberFormat="1" applyFont="1" applyFill="1"/>
    <xf numFmtId="5" fontId="5" fillId="3" borderId="0" xfId="2" applyNumberFormat="1" applyFont="1" applyFill="1" applyBorder="1"/>
    <xf numFmtId="167" fontId="6" fillId="2" borderId="0" xfId="8" applyNumberFormat="1" applyFont="1" applyFill="1" applyAlignment="1">
      <alignment horizontal="centerContinuous"/>
    </xf>
    <xf numFmtId="165" fontId="8" fillId="0" borderId="0" xfId="0" applyNumberFormat="1" applyFont="1" applyFill="1" applyBorder="1" applyAlignment="1">
      <alignment horizontal="center"/>
    </xf>
    <xf numFmtId="0" fontId="10" fillId="2" borderId="0" xfId="8" applyFont="1" applyFill="1" applyAlignment="1">
      <alignment horizontal="centerContinuous"/>
    </xf>
    <xf numFmtId="10" fontId="2" fillId="2" borderId="0" xfId="0" applyNumberFormat="1" applyFont="1" applyFill="1"/>
    <xf numFmtId="10" fontId="2" fillId="2" borderId="0" xfId="0" applyNumberFormat="1" applyFont="1" applyFill="1" applyAlignment="1">
      <alignment horizontal="right"/>
    </xf>
    <xf numFmtId="0" fontId="11" fillId="2" borderId="0" xfId="8" applyFont="1" applyFill="1" applyAlignment="1">
      <alignment horizontal="center"/>
    </xf>
    <xf numFmtId="0" fontId="11" fillId="2" borderId="0" xfId="8" applyFont="1" applyFill="1"/>
    <xf numFmtId="37" fontId="11" fillId="0" borderId="0" xfId="8" applyNumberFormat="1" applyFont="1" applyBorder="1" applyAlignment="1"/>
    <xf numFmtId="37" fontId="11" fillId="2" borderId="0" xfId="0" applyNumberFormat="1" applyFont="1" applyFill="1" applyAlignment="1">
      <alignment horizontal="right"/>
    </xf>
    <xf numFmtId="5" fontId="11" fillId="2" borderId="0" xfId="0" applyNumberFormat="1" applyFont="1" applyFill="1" applyAlignment="1">
      <alignment horizontal="right"/>
    </xf>
    <xf numFmtId="0" fontId="11" fillId="0" borderId="3" xfId="8" applyFont="1" applyFill="1" applyBorder="1" applyAlignment="1">
      <alignment horizontal="right"/>
    </xf>
    <xf numFmtId="37" fontId="11" fillId="0" borderId="0" xfId="8" applyNumberFormat="1" applyFont="1" applyFill="1" applyBorder="1" applyAlignment="1">
      <alignment horizontal="right"/>
    </xf>
    <xf numFmtId="37" fontId="11" fillId="2" borderId="0" xfId="0" applyNumberFormat="1" applyFont="1" applyFill="1" applyBorder="1" applyAlignment="1">
      <alignment horizontal="right"/>
    </xf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4" xfId="8" applyNumberFormat="1" applyFont="1" applyFill="1" applyBorder="1" applyAlignment="1">
      <alignment horizontal="right"/>
    </xf>
    <xf numFmtId="10" fontId="11" fillId="2" borderId="0" xfId="8" applyNumberFormat="1" applyFont="1" applyFill="1"/>
    <xf numFmtId="37" fontId="11" fillId="0" borderId="0" xfId="8" applyNumberFormat="1" applyFont="1" applyFill="1" applyBorder="1" applyAlignment="1">
      <alignment vertical="center"/>
    </xf>
    <xf numFmtId="37" fontId="11" fillId="0" borderId="0" xfId="8" applyNumberFormat="1" applyFont="1" applyBorder="1" applyAlignment="1">
      <alignment horizontal="right"/>
    </xf>
    <xf numFmtId="37" fontId="11" fillId="2" borderId="0" xfId="8" applyNumberFormat="1" applyFont="1" applyFill="1" applyBorder="1" applyAlignment="1">
      <alignment horizontal="right"/>
    </xf>
    <xf numFmtId="10" fontId="11" fillId="2" borderId="0" xfId="8" applyNumberFormat="1" applyFont="1" applyFill="1" applyBorder="1"/>
    <xf numFmtId="0" fontId="11" fillId="0" borderId="0" xfId="8" applyFont="1" applyFill="1" applyBorder="1" applyAlignment="1">
      <alignment vertical="center"/>
    </xf>
    <xf numFmtId="164" fontId="11" fillId="2" borderId="0" xfId="8" applyNumberFormat="1" applyFont="1" applyFill="1"/>
    <xf numFmtId="37" fontId="11" fillId="0" borderId="0" xfId="8" applyNumberFormat="1" applyFont="1" applyBorder="1" applyAlignment="1">
      <alignment vertical="center"/>
    </xf>
    <xf numFmtId="10" fontId="11" fillId="2" borderId="0" xfId="0" applyNumberFormat="1" applyFont="1" applyFill="1"/>
    <xf numFmtId="0" fontId="11" fillId="0" borderId="0" xfId="8" applyFont="1" applyBorder="1" applyAlignment="1">
      <alignment vertical="center"/>
    </xf>
    <xf numFmtId="10" fontId="11" fillId="2" borderId="0" xfId="9" applyFont="1"/>
    <xf numFmtId="37" fontId="11" fillId="2" borderId="0" xfId="8" applyNumberFormat="1" applyFont="1" applyFill="1" applyBorder="1" applyAlignment="1"/>
    <xf numFmtId="37" fontId="11" fillId="3" borderId="0" xfId="8" applyNumberFormat="1" applyFont="1" applyFill="1" applyBorder="1" applyAlignment="1">
      <alignment horizontal="right"/>
    </xf>
    <xf numFmtId="37" fontId="11" fillId="3" borderId="0" xfId="8" quotePrefix="1" applyNumberFormat="1" applyFont="1" applyFill="1" applyBorder="1" applyAlignment="1">
      <alignment horizontal="left"/>
    </xf>
    <xf numFmtId="37" fontId="11" fillId="2" borderId="0" xfId="8" applyNumberFormat="1" applyFont="1" applyFill="1"/>
    <xf numFmtId="37" fontId="11" fillId="0" borderId="0" xfId="8" quotePrefix="1" applyNumberFormat="1" applyFont="1" applyBorder="1" applyAlignment="1">
      <alignment horizontal="left" vertical="center"/>
    </xf>
    <xf numFmtId="10" fontId="11" fillId="2" borderId="3" xfId="0" applyNumberFormat="1" applyFont="1" applyFill="1" applyBorder="1"/>
    <xf numFmtId="37" fontId="11" fillId="0" borderId="4" xfId="8" applyNumberFormat="1" applyFont="1" applyBorder="1" applyAlignment="1">
      <alignment horizontal="right"/>
    </xf>
    <xf numFmtId="10" fontId="11" fillId="2" borderId="4" xfId="9" applyFont="1" applyBorder="1"/>
    <xf numFmtId="37" fontId="11" fillId="3" borderId="4" xfId="8" applyNumberFormat="1" applyFont="1" applyFill="1" applyBorder="1" applyAlignment="1">
      <alignment horizontal="right"/>
    </xf>
    <xf numFmtId="37" fontId="11" fillId="2" borderId="4" xfId="8" applyNumberFormat="1" applyFont="1" applyFill="1" applyBorder="1" applyAlignment="1">
      <alignment horizontal="right"/>
    </xf>
    <xf numFmtId="37" fontId="11" fillId="3" borderId="4" xfId="2" applyNumberFormat="1" applyFont="1" applyFill="1" applyBorder="1" applyAlignment="1">
      <alignment horizontal="right"/>
    </xf>
    <xf numFmtId="2" fontId="11" fillId="2" borderId="0" xfId="8" applyNumberFormat="1" applyFont="1" applyFill="1" applyBorder="1"/>
    <xf numFmtId="2" fontId="11" fillId="2" borderId="5" xfId="8" applyNumberFormat="1" applyFont="1" applyFill="1" applyBorder="1"/>
    <xf numFmtId="2" fontId="11" fillId="3" borderId="5" xfId="2" applyNumberFormat="1" applyFont="1" applyFill="1" applyBorder="1"/>
    <xf numFmtId="0" fontId="11" fillId="2" borderId="0" xfId="8" applyFont="1" applyFill="1" applyBorder="1"/>
    <xf numFmtId="10" fontId="11" fillId="2" borderId="5" xfId="9" applyFont="1" applyBorder="1"/>
    <xf numFmtId="0" fontId="11" fillId="2" borderId="5" xfId="8" applyFont="1" applyFill="1" applyBorder="1"/>
    <xf numFmtId="5" fontId="12" fillId="2" borderId="0" xfId="8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5" fontId="10" fillId="2" borderId="0" xfId="0" applyNumberFormat="1" applyFont="1" applyFill="1" applyAlignment="1">
      <alignment horizontal="centerContinuous"/>
    </xf>
    <xf numFmtId="5" fontId="9" fillId="2" borderId="0" xfId="0" applyNumberFormat="1" applyFont="1" applyFill="1" applyAlignment="1">
      <alignment horizontal="centerContinuous"/>
    </xf>
    <xf numFmtId="10" fontId="9" fillId="2" borderId="0" xfId="0" applyNumberFormat="1" applyFont="1" applyFill="1" applyAlignment="1">
      <alignment horizontal="centerContinuous"/>
    </xf>
    <xf numFmtId="168" fontId="10" fillId="2" borderId="0" xfId="0" applyNumberFormat="1" applyFont="1" applyFill="1" applyAlignment="1">
      <alignment horizontal="centerContinuous"/>
    </xf>
    <xf numFmtId="168" fontId="10" fillId="2" borderId="0" xfId="0" quotePrefix="1" applyNumberFormat="1" applyFont="1" applyFill="1" applyAlignment="1">
      <alignment horizontal="centerContinuous"/>
    </xf>
    <xf numFmtId="5" fontId="11" fillId="2" borderId="0" xfId="0" applyNumberFormat="1" applyFont="1" applyFill="1" applyAlignment="1">
      <alignment horizontal="centerContinuous"/>
    </xf>
    <xf numFmtId="10" fontId="11" fillId="2" borderId="0" xfId="0" applyNumberFormat="1" applyFont="1" applyFill="1" applyAlignment="1">
      <alignment horizontal="centerContinuous"/>
    </xf>
    <xf numFmtId="5" fontId="11" fillId="2" borderId="0" xfId="0" applyNumberFormat="1" applyFont="1" applyFill="1"/>
    <xf numFmtId="5" fontId="11" fillId="2" borderId="0" xfId="0" applyNumberFormat="1" applyFont="1" applyFill="1" applyBorder="1"/>
    <xf numFmtId="0" fontId="11" fillId="2" borderId="0" xfId="0" applyFont="1" applyFill="1" applyBorder="1"/>
    <xf numFmtId="10" fontId="11" fillId="2" borderId="0" xfId="0" applyNumberFormat="1" applyFont="1" applyFill="1" applyBorder="1" applyAlignment="1">
      <alignment horizontal="right"/>
    </xf>
    <xf numFmtId="5" fontId="11" fillId="2" borderId="0" xfId="0" quotePrefix="1" applyNumberFormat="1" applyFont="1" applyFill="1" applyAlignment="1">
      <alignment horizontal="left"/>
    </xf>
    <xf numFmtId="10" fontId="11" fillId="2" borderId="2" xfId="0" applyNumberFormat="1" applyFont="1" applyFill="1" applyBorder="1"/>
    <xf numFmtId="5" fontId="11" fillId="2" borderId="4" xfId="0" applyNumberFormat="1" applyFont="1" applyFill="1" applyBorder="1"/>
    <xf numFmtId="10" fontId="11" fillId="2" borderId="0" xfId="0" applyNumberFormat="1" applyFont="1" applyFill="1" applyBorder="1"/>
    <xf numFmtId="10" fontId="11" fillId="2" borderId="4" xfId="0" applyNumberFormat="1" applyFont="1" applyFill="1" applyBorder="1"/>
    <xf numFmtId="10" fontId="11" fillId="2" borderId="6" xfId="0" applyNumberFormat="1" applyFont="1" applyFill="1" applyBorder="1"/>
    <xf numFmtId="5" fontId="11" fillId="2" borderId="5" xfId="0" applyNumberFormat="1" applyFont="1" applyFill="1" applyBorder="1"/>
    <xf numFmtId="5" fontId="11" fillId="2" borderId="0" xfId="0" applyNumberFormat="1" applyFont="1" applyFill="1" applyAlignment="1">
      <alignment horizontal="left"/>
    </xf>
    <xf numFmtId="5" fontId="11" fillId="2" borderId="6" xfId="0" applyNumberFormat="1" applyFont="1" applyFill="1" applyBorder="1"/>
    <xf numFmtId="10" fontId="11" fillId="2" borderId="7" xfId="0" applyNumberFormat="1" applyFont="1" applyFill="1" applyBorder="1"/>
    <xf numFmtId="10" fontId="10" fillId="2" borderId="0" xfId="0" applyNumberFormat="1" applyFont="1" applyFill="1" applyAlignment="1">
      <alignment horizontal="centerContinuous"/>
    </xf>
    <xf numFmtId="5" fontId="10" fillId="2" borderId="0" xfId="0" applyNumberFormat="1" applyFont="1" applyFill="1"/>
    <xf numFmtId="10" fontId="10" fillId="2" borderId="0" xfId="0" applyNumberFormat="1" applyFont="1" applyFill="1"/>
    <xf numFmtId="5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 applyAlignment="1">
      <alignment horizontal="right"/>
    </xf>
    <xf numFmtId="10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/>
    <xf numFmtId="0" fontId="10" fillId="2" borderId="2" xfId="0" applyFont="1" applyFill="1" applyBorder="1"/>
    <xf numFmtId="5" fontId="10" fillId="2" borderId="2" xfId="0" applyNumberFormat="1" applyFont="1" applyFill="1" applyBorder="1"/>
    <xf numFmtId="37" fontId="11" fillId="2" borderId="0" xfId="0" applyNumberFormat="1" applyFont="1" applyFill="1"/>
    <xf numFmtId="37" fontId="11" fillId="2" borderId="4" xfId="0" applyNumberFormat="1" applyFont="1" applyFill="1" applyBorder="1"/>
    <xf numFmtId="37" fontId="11" fillId="2" borderId="5" xfId="0" applyNumberFormat="1" applyFont="1" applyFill="1" applyBorder="1"/>
    <xf numFmtId="37" fontId="11" fillId="2" borderId="0" xfId="9" applyNumberFormat="1" applyFont="1"/>
    <xf numFmtId="37" fontId="11" fillId="2" borderId="0" xfId="0" applyNumberFormat="1" applyFont="1" applyFill="1" applyBorder="1"/>
    <xf numFmtId="37" fontId="11" fillId="2" borderId="6" xfId="0" applyNumberFormat="1" applyFont="1" applyFill="1" applyBorder="1"/>
    <xf numFmtId="5" fontId="11" fillId="3" borderId="0" xfId="2" applyNumberFormat="1" applyFont="1" applyFill="1" applyBorder="1"/>
    <xf numFmtId="5" fontId="11" fillId="0" borderId="0" xfId="0" applyNumberFormat="1" applyFont="1" applyFill="1" applyBorder="1"/>
    <xf numFmtId="5" fontId="11" fillId="3" borderId="4" xfId="2" applyNumberFormat="1" applyFont="1" applyFill="1" applyBorder="1"/>
    <xf numFmtId="0" fontId="11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5" fontId="10" fillId="2" borderId="0" xfId="0" quotePrefix="1" applyNumberFormat="1" applyFont="1" applyFill="1" applyAlignment="1">
      <alignment horizontal="right"/>
    </xf>
    <xf numFmtId="37" fontId="11" fillId="3" borderId="0" xfId="2" applyNumberFormat="1" applyFont="1" applyFill="1" applyBorder="1"/>
    <xf numFmtId="37" fontId="11" fillId="0" borderId="0" xfId="2" applyNumberFormat="1" applyFont="1" applyFill="1" applyBorder="1"/>
    <xf numFmtId="37" fontId="11" fillId="0" borderId="0" xfId="0" applyNumberFormat="1" applyFont="1" applyFill="1" applyBorder="1"/>
    <xf numFmtId="37" fontId="11" fillId="3" borderId="4" xfId="2" applyNumberFormat="1" applyFont="1" applyFill="1" applyBorder="1"/>
    <xf numFmtId="37" fontId="11" fillId="0" borderId="4" xfId="2" applyNumberFormat="1" applyFont="1" applyFill="1" applyBorder="1"/>
    <xf numFmtId="37" fontId="11" fillId="3" borderId="0" xfId="2" applyNumberFormat="1" applyFont="1" applyFill="1" applyBorder="1" applyAlignment="1">
      <alignment horizontal="right"/>
    </xf>
    <xf numFmtId="37" fontId="11" fillId="0" borderId="0" xfId="2" applyNumberFormat="1" applyFont="1" applyFill="1" applyBorder="1" applyAlignment="1">
      <alignment horizontal="right"/>
    </xf>
    <xf numFmtId="37" fontId="11" fillId="3" borderId="5" xfId="2" applyNumberFormat="1" applyFont="1" applyFill="1" applyBorder="1"/>
    <xf numFmtId="37" fontId="11" fillId="0" borderId="5" xfId="2" applyNumberFormat="1" applyFont="1" applyFill="1" applyBorder="1"/>
    <xf numFmtId="2" fontId="11" fillId="2" borderId="0" xfId="0" applyNumberFormat="1" applyFont="1" applyFill="1"/>
    <xf numFmtId="5" fontId="14" fillId="2" borderId="0" xfId="0" applyNumberFormat="1" applyFont="1" applyFill="1"/>
    <xf numFmtId="0" fontId="11" fillId="3" borderId="0" xfId="0" applyFont="1" applyFill="1"/>
    <xf numFmtId="10" fontId="13" fillId="2" borderId="0" xfId="0" quotePrefix="1" applyNumberFormat="1" applyFont="1" applyFill="1" applyAlignment="1">
      <alignment horizontal="right"/>
    </xf>
    <xf numFmtId="10" fontId="13" fillId="2" borderId="2" xfId="0" applyNumberFormat="1" applyFont="1" applyFill="1" applyBorder="1" applyAlignment="1">
      <alignment horizontal="right"/>
    </xf>
    <xf numFmtId="5" fontId="13" fillId="2" borderId="0" xfId="0" applyNumberFormat="1" applyFont="1" applyFill="1" applyAlignment="1">
      <alignment horizontal="right"/>
    </xf>
    <xf numFmtId="10" fontId="13" fillId="2" borderId="0" xfId="0" applyNumberFormat="1" applyFont="1" applyFill="1" applyAlignment="1">
      <alignment horizontal="right"/>
    </xf>
    <xf numFmtId="5" fontId="15" fillId="2" borderId="0" xfId="0" applyNumberFormat="1" applyFont="1" applyFill="1"/>
    <xf numFmtId="37" fontId="11" fillId="0" borderId="3" xfId="8" applyNumberFormat="1" applyFont="1" applyBorder="1" applyAlignment="1">
      <alignment horizontal="right"/>
    </xf>
    <xf numFmtId="10" fontId="11" fillId="2" borderId="3" xfId="8" applyNumberFormat="1" applyFont="1" applyFill="1" applyBorder="1"/>
    <xf numFmtId="37" fontId="10" fillId="2" borderId="0" xfId="8" applyNumberFormat="1" applyFont="1" applyFill="1" applyAlignment="1">
      <alignment horizontal="centerContinuous"/>
    </xf>
    <xf numFmtId="37" fontId="13" fillId="2" borderId="0" xfId="8" applyNumberFormat="1" applyFont="1" applyFill="1" applyAlignment="1">
      <alignment horizontal="right"/>
    </xf>
    <xf numFmtId="37" fontId="10" fillId="0" borderId="0" xfId="8" applyNumberFormat="1" applyFont="1" applyBorder="1" applyAlignment="1"/>
    <xf numFmtId="37" fontId="10" fillId="2" borderId="0" xfId="0" applyNumberFormat="1" applyFont="1" applyFill="1" applyAlignment="1">
      <alignment horizontal="right"/>
    </xf>
    <xf numFmtId="37" fontId="10" fillId="2" borderId="0" xfId="0" quotePrefix="1" applyNumberFormat="1" applyFont="1" applyFill="1" applyAlignment="1">
      <alignment horizontal="right"/>
    </xf>
    <xf numFmtId="37" fontId="13" fillId="2" borderId="0" xfId="0" applyNumberFormat="1" applyFont="1" applyFill="1" applyAlignment="1">
      <alignment horizontal="right"/>
    </xf>
    <xf numFmtId="37" fontId="10" fillId="0" borderId="3" xfId="8" applyNumberFormat="1" applyFont="1" applyFill="1" applyBorder="1" applyAlignment="1">
      <alignment horizontal="right"/>
    </xf>
    <xf numFmtId="0" fontId="10" fillId="0" borderId="3" xfId="8" applyNumberFormat="1" applyFont="1" applyFill="1" applyBorder="1" applyAlignment="1">
      <alignment horizontal="right"/>
    </xf>
    <xf numFmtId="37" fontId="13" fillId="2" borderId="2" xfId="0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0" fillId="2" borderId="0" xfId="8" applyFont="1" applyFill="1" applyAlignment="1">
      <alignment horizontal="center"/>
    </xf>
    <xf numFmtId="10" fontId="13" fillId="2" borderId="0" xfId="8" applyNumberFormat="1" applyFont="1" applyFill="1" applyAlignment="1">
      <alignment horizontal="right"/>
    </xf>
    <xf numFmtId="0" fontId="10" fillId="0" borderId="3" xfId="8" applyFont="1" applyFill="1" applyBorder="1" applyAlignment="1">
      <alignment horizontal="right"/>
    </xf>
    <xf numFmtId="10" fontId="13" fillId="2" borderId="2" xfId="0" quotePrefix="1" applyNumberFormat="1" applyFont="1" applyFill="1" applyBorder="1" applyAlignment="1">
      <alignment horizontal="right"/>
    </xf>
    <xf numFmtId="169" fontId="11" fillId="2" borderId="0" xfId="11" applyNumberFormat="1" applyFont="1" applyFill="1"/>
    <xf numFmtId="10" fontId="15" fillId="2" borderId="0" xfId="0" applyNumberFormat="1" applyFont="1" applyFill="1"/>
    <xf numFmtId="3" fontId="11" fillId="2" borderId="0" xfId="0" applyNumberFormat="1" applyFont="1" applyFill="1"/>
    <xf numFmtId="16" fontId="2" fillId="2" borderId="0" xfId="0" applyNumberFormat="1" applyFont="1" applyFill="1" applyAlignment="1">
      <alignment horizontal="right"/>
    </xf>
    <xf numFmtId="10" fontId="3" fillId="2" borderId="0" xfId="9" applyFont="1"/>
    <xf numFmtId="0" fontId="2" fillId="0" borderId="0" xfId="8" applyNumberFormat="1" applyFont="1" applyFill="1" applyBorder="1" applyAlignment="1">
      <alignment horizontal="right"/>
    </xf>
    <xf numFmtId="0" fontId="2" fillId="0" borderId="0" xfId="8" applyFont="1" applyFill="1" applyBorder="1" applyAlignment="1">
      <alignment horizontal="right"/>
    </xf>
    <xf numFmtId="166" fontId="3" fillId="2" borderId="0" xfId="0" applyNumberFormat="1" applyFont="1" applyFill="1"/>
    <xf numFmtId="0" fontId="2" fillId="2" borderId="0" xfId="11" applyNumberFormat="1" applyFont="1" applyFill="1" applyBorder="1" applyAlignment="1">
      <alignment horizontal="right"/>
    </xf>
    <xf numFmtId="5" fontId="0" fillId="2" borderId="3" xfId="0" applyNumberFormat="1" applyFill="1" applyBorder="1"/>
    <xf numFmtId="170" fontId="11" fillId="2" borderId="3" xfId="11" applyNumberFormat="1" applyFont="1" applyFill="1" applyBorder="1"/>
    <xf numFmtId="171" fontId="11" fillId="2" borderId="0" xfId="9" applyNumberFormat="1" applyFont="1"/>
    <xf numFmtId="171" fontId="11" fillId="2" borderId="3" xfId="9" applyNumberFormat="1" applyFont="1" applyBorder="1"/>
    <xf numFmtId="10" fontId="2" fillId="2" borderId="0" xfId="0" quotePrefix="1" applyNumberFormat="1" applyFont="1" applyFill="1" applyAlignment="1">
      <alignment horizontal="right"/>
    </xf>
    <xf numFmtId="5" fontId="14" fillId="2" borderId="0" xfId="0" applyNumberFormat="1" applyFont="1" applyFill="1" applyBorder="1"/>
    <xf numFmtId="0" fontId="14" fillId="3" borderId="0" xfId="0" applyFont="1" applyFill="1"/>
    <xf numFmtId="0" fontId="11" fillId="3" borderId="0" xfId="0" applyFont="1" applyFill="1" applyBorder="1" applyAlignment="1">
      <alignment horizontal="left"/>
    </xf>
    <xf numFmtId="43" fontId="11" fillId="2" borderId="0" xfId="11" applyFont="1" applyFill="1"/>
    <xf numFmtId="43" fontId="11" fillId="2" borderId="0" xfId="0" applyNumberFormat="1" applyFont="1" applyFill="1"/>
    <xf numFmtId="171" fontId="11" fillId="2" borderId="0" xfId="0" applyNumberFormat="1" applyFont="1" applyFill="1"/>
    <xf numFmtId="10" fontId="13" fillId="2" borderId="0" xfId="0" applyNumberFormat="1" applyFont="1" applyFill="1"/>
    <xf numFmtId="10" fontId="11" fillId="0" borderId="0" xfId="0" applyNumberFormat="1" applyFont="1" applyFill="1"/>
    <xf numFmtId="10" fontId="13" fillId="2" borderId="0" xfId="0" applyNumberFormat="1" applyFont="1" applyFill="1" applyBorder="1" applyAlignment="1">
      <alignment horizontal="right"/>
    </xf>
    <xf numFmtId="5" fontId="14" fillId="2" borderId="8" xfId="0" applyNumberFormat="1" applyFont="1" applyFill="1" applyBorder="1"/>
    <xf numFmtId="5" fontId="0" fillId="2" borderId="4" xfId="0" applyNumberFormat="1" applyFill="1" applyBorder="1"/>
    <xf numFmtId="5" fontId="0" fillId="2" borderId="9" xfId="0" applyNumberFormat="1" applyFill="1" applyBorder="1"/>
    <xf numFmtId="5" fontId="11" fillId="2" borderId="10" xfId="0" applyNumberFormat="1" applyFont="1" applyFill="1" applyBorder="1"/>
    <xf numFmtId="170" fontId="11" fillId="2" borderId="0" xfId="11" applyNumberFormat="1" applyFont="1" applyFill="1" applyBorder="1"/>
    <xf numFmtId="170" fontId="11" fillId="2" borderId="11" xfId="0" applyNumberFormat="1" applyFont="1" applyFill="1" applyBorder="1"/>
    <xf numFmtId="5" fontId="0" fillId="2" borderId="10" xfId="0" applyNumberFormat="1" applyFill="1" applyBorder="1"/>
    <xf numFmtId="5" fontId="0" fillId="2" borderId="11" xfId="0" applyNumberFormat="1" applyFill="1" applyBorder="1"/>
    <xf numFmtId="5" fontId="2" fillId="2" borderId="10" xfId="0" applyNumberFormat="1" applyFont="1" applyFill="1" applyBorder="1"/>
    <xf numFmtId="171" fontId="11" fillId="2" borderId="0" xfId="9" applyNumberFormat="1" applyFont="1" applyBorder="1"/>
    <xf numFmtId="5" fontId="14" fillId="2" borderId="10" xfId="0" applyNumberFormat="1" applyFont="1" applyFill="1" applyBorder="1"/>
    <xf numFmtId="5" fontId="11" fillId="2" borderId="12" xfId="0" applyNumberFormat="1" applyFont="1" applyFill="1" applyBorder="1"/>
    <xf numFmtId="7" fontId="11" fillId="2" borderId="0" xfId="0" applyNumberFormat="1" applyFont="1" applyFill="1" applyBorder="1"/>
    <xf numFmtId="172" fontId="11" fillId="2" borderId="0" xfId="9" applyNumberFormat="1" applyFont="1" applyBorder="1"/>
    <xf numFmtId="37" fontId="11" fillId="0" borderId="0" xfId="8" applyNumberFormat="1" applyFont="1" applyBorder="1" applyAlignment="1">
      <alignment horizontal="left" vertical="center"/>
    </xf>
    <xf numFmtId="10" fontId="11" fillId="2" borderId="13" xfId="0" applyNumberFormat="1" applyFont="1" applyFill="1" applyBorder="1"/>
    <xf numFmtId="10" fontId="11" fillId="2" borderId="14" xfId="0" applyNumberFormat="1" applyFont="1" applyFill="1" applyBorder="1"/>
    <xf numFmtId="170" fontId="11" fillId="2" borderId="15" xfId="0" applyNumberFormat="1" applyFont="1" applyFill="1" applyBorder="1"/>
    <xf numFmtId="39" fontId="11" fillId="2" borderId="11" xfId="0" applyNumberFormat="1" applyFont="1" applyFill="1" applyBorder="1"/>
    <xf numFmtId="4" fontId="11" fillId="2" borderId="0" xfId="0" applyNumberFormat="1" applyFont="1" applyFill="1" applyBorder="1"/>
    <xf numFmtId="10" fontId="11" fillId="2" borderId="3" xfId="9" applyFont="1" applyBorder="1"/>
    <xf numFmtId="10" fontId="11" fillId="2" borderId="0" xfId="9" applyFont="1" applyBorder="1"/>
    <xf numFmtId="10" fontId="11" fillId="2" borderId="3" xfId="9" applyNumberFormat="1" applyFont="1" applyBorder="1"/>
    <xf numFmtId="10" fontId="11" fillId="2" borderId="15" xfId="0" applyNumberFormat="1" applyFont="1" applyFill="1" applyBorder="1"/>
    <xf numFmtId="10" fontId="11" fillId="2" borderId="0" xfId="9" applyNumberFormat="1" applyFont="1" applyBorder="1"/>
    <xf numFmtId="10" fontId="11" fillId="2" borderId="11" xfId="9" applyNumberFormat="1" applyFont="1" applyBorder="1"/>
    <xf numFmtId="10" fontId="11" fillId="2" borderId="11" xfId="0" applyNumberFormat="1" applyFont="1" applyFill="1" applyBorder="1"/>
    <xf numFmtId="10" fontId="11" fillId="2" borderId="16" xfId="0" applyNumberFormat="1" applyFont="1" applyFill="1" applyBorder="1"/>
    <xf numFmtId="173" fontId="11" fillId="2" borderId="0" xfId="9" applyNumberFormat="1" applyFont="1" applyBorder="1"/>
    <xf numFmtId="173" fontId="11" fillId="2" borderId="11" xfId="0" applyNumberFormat="1" applyFont="1" applyFill="1" applyBorder="1"/>
    <xf numFmtId="5" fontId="10" fillId="2" borderId="0" xfId="0" applyNumberFormat="1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3" xfId="0" applyFont="1" applyFill="1" applyBorder="1"/>
    <xf numFmtId="5" fontId="13" fillId="2" borderId="0" xfId="0" applyNumberFormat="1" applyFont="1" applyFill="1" applyBorder="1" applyAlignment="1">
      <alignment horizontal="right"/>
    </xf>
    <xf numFmtId="43" fontId="0" fillId="2" borderId="0" xfId="11" applyFont="1" applyFill="1" applyBorder="1"/>
    <xf numFmtId="5" fontId="12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5" fontId="2" fillId="2" borderId="17" xfId="0" applyNumberFormat="1" applyFont="1" applyFill="1" applyBorder="1" applyAlignment="1">
      <alignment horizontal="center"/>
    </xf>
    <xf numFmtId="5" fontId="2" fillId="2" borderId="13" xfId="0" applyNumberFormat="1" applyFont="1" applyFill="1" applyBorder="1" applyAlignment="1">
      <alignment horizontal="center"/>
    </xf>
    <xf numFmtId="5" fontId="2" fillId="2" borderId="16" xfId="0" applyNumberFormat="1" applyFont="1" applyFill="1" applyBorder="1" applyAlignment="1">
      <alignment horizontal="center"/>
    </xf>
    <xf numFmtId="37" fontId="10" fillId="0" borderId="0" xfId="8" applyNumberFormat="1" applyFont="1" applyBorder="1" applyAlignment="1">
      <alignment horizontal="center"/>
    </xf>
  </cellXfs>
  <cellStyles count="12">
    <cellStyle name="Comma" xfId="11" builtinId="3"/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7"/>
  <sheetViews>
    <sheetView showGridLines="0" view="pageBreakPreview" zoomScaleNormal="100" zoomScaleSheetLayoutView="100" workbookViewId="0">
      <selection activeCell="N148" sqref="N148"/>
    </sheetView>
  </sheetViews>
  <sheetFormatPr defaultColWidth="13.7109375" defaultRowHeight="12.75"/>
  <cols>
    <col min="1" max="1" width="37.28515625" customWidth="1"/>
    <col min="2" max="2" width="12.5703125" hidden="1" customWidth="1"/>
    <col min="3" max="5" width="11.140625" hidden="1" customWidth="1"/>
    <col min="6" max="8" width="11.85546875" hidden="1" customWidth="1"/>
    <col min="9" max="14" width="11.85546875" customWidth="1"/>
    <col min="15" max="15" width="11.140625" style="1" customWidth="1"/>
    <col min="16" max="16" width="36.85546875" customWidth="1"/>
    <col min="17" max="23" width="10.7109375" hidden="1" customWidth="1"/>
    <col min="24" max="29" width="10.7109375" customWidth="1"/>
    <col min="30" max="30" width="11.42578125" customWidth="1"/>
    <col min="31" max="32" width="12.7109375" customWidth="1"/>
  </cols>
  <sheetData>
    <row r="1" spans="1:31" ht="15.7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91" t="s">
        <v>117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91" t="s">
        <v>117</v>
      </c>
      <c r="AE1" s="20"/>
    </row>
    <row r="2" spans="1:31" ht="15.75">
      <c r="A2" s="123"/>
      <c r="B2" s="123"/>
      <c r="C2" s="123"/>
      <c r="D2" s="123"/>
      <c r="E2" s="123"/>
      <c r="F2" s="141"/>
      <c r="G2" s="123"/>
      <c r="H2" s="123"/>
      <c r="I2" s="123"/>
      <c r="J2" s="123"/>
      <c r="K2" s="123"/>
      <c r="L2" s="123"/>
      <c r="M2" s="123"/>
      <c r="N2" s="123"/>
      <c r="O2" s="153" t="s">
        <v>186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53" t="s">
        <v>189</v>
      </c>
      <c r="AE2" s="2"/>
    </row>
    <row r="3" spans="1:31" ht="20.25">
      <c r="A3" s="64" t="s">
        <v>94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4" t="str">
        <f>A3</f>
        <v>Questar Gas Company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2"/>
    </row>
    <row r="4" spans="1:31" ht="15.75">
      <c r="A4" s="65" t="s">
        <v>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86"/>
      <c r="P4" s="65" t="s">
        <v>45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86"/>
      <c r="AE4" s="2"/>
    </row>
    <row r="5" spans="1:31" ht="15.75">
      <c r="A5" s="68" t="s">
        <v>113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86"/>
      <c r="P5" s="65" t="s">
        <v>46</v>
      </c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86"/>
      <c r="AE5" s="7"/>
    </row>
    <row r="6" spans="1:31" ht="15.75">
      <c r="A6" s="69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86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86"/>
      <c r="AE6" s="2"/>
    </row>
    <row r="7" spans="1:31" ht="15.75">
      <c r="A7" s="128" t="s">
        <v>134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119" t="s">
        <v>182</v>
      </c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193"/>
      <c r="AD7" s="88"/>
      <c r="AE7" s="2"/>
    </row>
    <row r="8" spans="1:31" ht="15.75">
      <c r="A8" s="87"/>
      <c r="B8" s="87"/>
      <c r="C8" s="87"/>
      <c r="D8" s="87"/>
      <c r="E8" s="87"/>
      <c r="F8" s="87"/>
      <c r="G8" s="87"/>
      <c r="H8" s="89"/>
      <c r="I8" s="89"/>
      <c r="J8" s="89"/>
      <c r="K8" s="90"/>
      <c r="L8" s="143"/>
      <c r="M8" s="143"/>
      <c r="N8" s="143" t="s">
        <v>192</v>
      </c>
      <c r="O8" s="122" t="s">
        <v>3</v>
      </c>
      <c r="P8" s="87"/>
      <c r="Q8" s="87"/>
      <c r="R8" s="87"/>
      <c r="S8" s="87"/>
      <c r="T8" s="87"/>
      <c r="U8" s="87"/>
      <c r="V8" s="87"/>
      <c r="W8" s="89"/>
      <c r="X8" s="89"/>
      <c r="Y8" s="89"/>
      <c r="Z8" s="92"/>
      <c r="AA8" s="92"/>
      <c r="AB8" s="90"/>
      <c r="AC8" s="194" t="str">
        <f t="shared" ref="AC8:AC9" si="0">+N8</f>
        <v>2nd Qrtr</v>
      </c>
      <c r="AD8" s="119" t="str">
        <f>O7</f>
        <v>2005 to 2010</v>
      </c>
      <c r="AE8" s="2"/>
    </row>
    <row r="9" spans="1:31" ht="15.75">
      <c r="A9" s="93" t="s">
        <v>0</v>
      </c>
      <c r="B9" s="93">
        <v>1999</v>
      </c>
      <c r="C9" s="93">
        <f t="shared" ref="C9:L9" si="1">B9+1</f>
        <v>2000</v>
      </c>
      <c r="D9" s="93">
        <f t="shared" si="1"/>
        <v>2001</v>
      </c>
      <c r="E9" s="93">
        <f t="shared" si="1"/>
        <v>2002</v>
      </c>
      <c r="F9" s="93">
        <f t="shared" si="1"/>
        <v>2003</v>
      </c>
      <c r="G9" s="93">
        <f t="shared" si="1"/>
        <v>2004</v>
      </c>
      <c r="H9" s="93">
        <f t="shared" si="1"/>
        <v>2005</v>
      </c>
      <c r="I9" s="93">
        <f t="shared" si="1"/>
        <v>2006</v>
      </c>
      <c r="J9" s="93">
        <f t="shared" si="1"/>
        <v>2007</v>
      </c>
      <c r="K9" s="93">
        <f t="shared" si="1"/>
        <v>2008</v>
      </c>
      <c r="L9" s="93">
        <f t="shared" si="1"/>
        <v>2009</v>
      </c>
      <c r="M9" s="93">
        <f>L9+1</f>
        <v>2010</v>
      </c>
      <c r="N9" s="93">
        <f>M9+1</f>
        <v>2011</v>
      </c>
      <c r="O9" s="120" t="s">
        <v>24</v>
      </c>
      <c r="P9" s="94" t="s">
        <v>0</v>
      </c>
      <c r="Q9" s="93">
        <f>B9</f>
        <v>1999</v>
      </c>
      <c r="R9" s="93">
        <f t="shared" ref="R9:Y9" si="2">Q9+1</f>
        <v>2000</v>
      </c>
      <c r="S9" s="93">
        <f t="shared" si="2"/>
        <v>2001</v>
      </c>
      <c r="T9" s="93">
        <f t="shared" si="2"/>
        <v>2002</v>
      </c>
      <c r="U9" s="93">
        <f t="shared" si="2"/>
        <v>2003</v>
      </c>
      <c r="V9" s="93">
        <f t="shared" si="2"/>
        <v>2004</v>
      </c>
      <c r="W9" s="93">
        <f t="shared" si="2"/>
        <v>2005</v>
      </c>
      <c r="X9" s="93">
        <f t="shared" si="2"/>
        <v>2006</v>
      </c>
      <c r="Y9" s="93">
        <f t="shared" si="2"/>
        <v>2007</v>
      </c>
      <c r="Z9" s="93">
        <f>Y9+1</f>
        <v>2008</v>
      </c>
      <c r="AA9" s="93">
        <f>+L9</f>
        <v>2009</v>
      </c>
      <c r="AB9" s="93">
        <f>+M9</f>
        <v>2010</v>
      </c>
      <c r="AC9" s="195">
        <f t="shared" si="0"/>
        <v>2011</v>
      </c>
      <c r="AD9" s="120" t="s">
        <v>44</v>
      </c>
      <c r="AE9" s="2"/>
    </row>
    <row r="10" spans="1:31" ht="12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73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2"/>
    </row>
    <row r="11" spans="1:31" ht="15.75">
      <c r="A11" s="117" t="s">
        <v>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43"/>
      <c r="P11" s="154" t="s">
        <v>7</v>
      </c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43"/>
      <c r="AE11" s="2"/>
    </row>
    <row r="12" spans="1:31" ht="15">
      <c r="A12" s="72" t="s">
        <v>4</v>
      </c>
      <c r="B12" s="72">
        <v>1708</v>
      </c>
      <c r="C12" s="95">
        <v>882</v>
      </c>
      <c r="D12" s="95">
        <v>4366</v>
      </c>
      <c r="E12" s="95">
        <v>2993</v>
      </c>
      <c r="F12" s="95">
        <v>3894</v>
      </c>
      <c r="G12" s="95">
        <v>2131</v>
      </c>
      <c r="H12" s="95">
        <v>3206</v>
      </c>
      <c r="I12" s="95">
        <v>3600</v>
      </c>
      <c r="J12" s="95">
        <v>4100</v>
      </c>
      <c r="K12" s="95">
        <v>1200</v>
      </c>
      <c r="L12" s="95">
        <v>7200</v>
      </c>
      <c r="M12" s="95">
        <v>4700</v>
      </c>
      <c r="N12" s="95"/>
      <c r="O12" s="43">
        <f>RATE(5,,-H12,M12)</f>
        <v>7.9510492721197798E-2</v>
      </c>
      <c r="P12" s="72" t="str">
        <f>A12</f>
        <v>Cash &amp; Equivalents</v>
      </c>
      <c r="Q12" s="43">
        <f t="shared" ref="Q12:AA20" si="3">B12/B$38</f>
        <v>2.3605767104506654E-3</v>
      </c>
      <c r="R12" s="43">
        <f t="shared" si="3"/>
        <v>1.0622333878500733E-3</v>
      </c>
      <c r="S12" s="43">
        <f t="shared" si="3"/>
        <v>5.2359913844795911E-3</v>
      </c>
      <c r="T12" s="43">
        <f t="shared" si="3"/>
        <v>3.5982596589768344E-3</v>
      </c>
      <c r="U12" s="43">
        <f t="shared" si="3"/>
        <v>4.2800050999547163E-3</v>
      </c>
      <c r="V12" s="43">
        <f t="shared" si="3"/>
        <v>2.1065055534247768E-3</v>
      </c>
      <c r="W12" s="43">
        <f t="shared" si="3"/>
        <v>2.8971127370847598E-3</v>
      </c>
      <c r="X12" s="43">
        <f t="shared" si="3"/>
        <v>3.3541414329637566E-3</v>
      </c>
      <c r="Y12" s="43">
        <f t="shared" si="3"/>
        <v>3.5111758157060891E-3</v>
      </c>
      <c r="Z12" s="43">
        <f t="shared" si="3"/>
        <v>9.1954022988505744E-4</v>
      </c>
      <c r="AA12" s="43">
        <f t="shared" si="3"/>
        <v>5.3767455753864534E-3</v>
      </c>
      <c r="AB12" s="43">
        <f t="shared" ref="AB12:AC20" si="4">M12/M$38</f>
        <v>3.3302628781974068E-3</v>
      </c>
      <c r="AC12" s="43">
        <f t="shared" si="4"/>
        <v>0</v>
      </c>
      <c r="AD12" s="43">
        <f>SUM(H12:M12)/SUM(H$38:M$38)</f>
        <v>3.2427311074036146E-3</v>
      </c>
      <c r="AE12" s="147">
        <f>(+AA12+Z12+Y12+X12+W12+V12)/6</f>
        <v>3.0275368907418149E-3</v>
      </c>
    </row>
    <row r="13" spans="1:31" ht="15">
      <c r="A13" s="76" t="s">
        <v>111</v>
      </c>
      <c r="B13" s="72">
        <f>44549+37287+1262</f>
        <v>83098</v>
      </c>
      <c r="C13" s="95">
        <f>69808+45293</f>
        <v>115101</v>
      </c>
      <c r="D13" s="95">
        <f>53697+53613+576</f>
        <v>107886</v>
      </c>
      <c r="E13" s="95">
        <f>50570+39788+380</f>
        <v>90738</v>
      </c>
      <c r="F13" s="95">
        <f>80227+49722+281</f>
        <v>130230</v>
      </c>
      <c r="G13" s="95">
        <f>76352+59160+544</f>
        <v>136056</v>
      </c>
      <c r="H13" s="95">
        <f>101188+86161+2102</f>
        <v>189451</v>
      </c>
      <c r="I13" s="95">
        <f>83300+67500+2100</f>
        <v>152900</v>
      </c>
      <c r="J13" s="95">
        <f>72100+78200+2700</f>
        <v>153000</v>
      </c>
      <c r="K13" s="95">
        <f>76600+95800+2200</f>
        <v>174600</v>
      </c>
      <c r="L13" s="95">
        <f>77000+86600+3300</f>
        <v>166900</v>
      </c>
      <c r="M13" s="95">
        <f>85300+81500+4500</f>
        <v>171300</v>
      </c>
      <c r="N13" s="95">
        <f>50300+14700+1800</f>
        <v>66800</v>
      </c>
      <c r="O13" s="43">
        <f>RATE(5,,-H13,M13)</f>
        <v>-1.9941291139764145E-2</v>
      </c>
      <c r="P13" s="72" t="str">
        <f>A13</f>
        <v>Accounts Receivable, net</v>
      </c>
      <c r="Q13" s="43">
        <f t="shared" si="3"/>
        <v>0.11484730883198443</v>
      </c>
      <c r="R13" s="43">
        <f t="shared" si="3"/>
        <v>0.13862145711443458</v>
      </c>
      <c r="S13" s="43">
        <f t="shared" si="3"/>
        <v>0.12938391353778406</v>
      </c>
      <c r="T13" s="43">
        <f t="shared" si="3"/>
        <v>0.10908749914341463</v>
      </c>
      <c r="U13" s="43">
        <f t="shared" si="3"/>
        <v>0.14313946177891695</v>
      </c>
      <c r="V13" s="43">
        <f t="shared" si="3"/>
        <v>0.13449212556394247</v>
      </c>
      <c r="W13" s="43">
        <f t="shared" si="3"/>
        <v>0.17119803654193538</v>
      </c>
      <c r="X13" s="43">
        <f t="shared" si="3"/>
        <v>0.14245784030559955</v>
      </c>
      <c r="Y13" s="43">
        <f t="shared" si="3"/>
        <v>0.1310268048300077</v>
      </c>
      <c r="Z13" s="43">
        <f t="shared" si="3"/>
        <v>0.13379310344827586</v>
      </c>
      <c r="AA13" s="43">
        <f t="shared" si="3"/>
        <v>0.12463594951833321</v>
      </c>
      <c r="AB13" s="43">
        <f t="shared" si="4"/>
        <v>0.12137745341174803</v>
      </c>
      <c r="AC13" s="43">
        <f t="shared" si="4"/>
        <v>5.2167122217883638E-2</v>
      </c>
      <c r="AD13" s="43">
        <f>SUM(H13:M13)/SUM(H$38:M$38)</f>
        <v>0.13618106342831215</v>
      </c>
      <c r="AE13" s="2"/>
    </row>
    <row r="14" spans="1:31" ht="15">
      <c r="A14" s="83" t="s">
        <v>181</v>
      </c>
      <c r="B14" s="72"/>
      <c r="C14" s="95"/>
      <c r="D14" s="95"/>
      <c r="E14" s="95"/>
      <c r="F14" s="95"/>
      <c r="G14" s="95"/>
      <c r="H14" s="95"/>
      <c r="I14" s="95"/>
      <c r="J14" s="95"/>
      <c r="K14" s="95"/>
      <c r="L14" s="95">
        <v>42500</v>
      </c>
      <c r="M14" s="95">
        <v>43300</v>
      </c>
      <c r="N14" s="95">
        <v>18700</v>
      </c>
      <c r="O14" s="43"/>
      <c r="P14" s="72" t="str">
        <f>+A14</f>
        <v>Gas Stored Underground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2"/>
    </row>
    <row r="15" spans="1:31" ht="15">
      <c r="A15" s="76" t="s">
        <v>95</v>
      </c>
      <c r="B15" s="72">
        <f>18497+3183</f>
        <v>21680</v>
      </c>
      <c r="C15" s="95">
        <f>22444+3542</f>
        <v>25986</v>
      </c>
      <c r="D15" s="95">
        <f>22810+4213</f>
        <v>27023</v>
      </c>
      <c r="E15" s="95">
        <f>22742+4073</f>
        <v>26815</v>
      </c>
      <c r="F15" s="95">
        <f>23126+4861</f>
        <v>27987</v>
      </c>
      <c r="G15" s="95">
        <f>44340+5660</f>
        <v>50000</v>
      </c>
      <c r="H15" s="95">
        <f>57526+6649</f>
        <v>64175</v>
      </c>
      <c r="I15" s="95">
        <f>50200+7800</f>
        <v>58000</v>
      </c>
      <c r="J15" s="95">
        <f>42900+9300</f>
        <v>52200</v>
      </c>
      <c r="K15" s="95">
        <f>61900+13900</f>
        <v>75800</v>
      </c>
      <c r="L15" s="95">
        <v>12100</v>
      </c>
      <c r="M15" s="95">
        <v>7900</v>
      </c>
      <c r="N15" s="95">
        <v>10300</v>
      </c>
      <c r="O15" s="43">
        <f>RATE(5,,-H15,M15)</f>
        <v>-0.3422630459439801</v>
      </c>
      <c r="P15" s="72" t="str">
        <f>A15</f>
        <v>Material and Supplies</v>
      </c>
      <c r="Q15" s="43">
        <f t="shared" si="3"/>
        <v>2.9963292202910087E-2</v>
      </c>
      <c r="R15" s="43">
        <f t="shared" si="3"/>
        <v>3.1296141515501141E-2</v>
      </c>
      <c r="S15" s="43">
        <f t="shared" si="3"/>
        <v>3.2407740536599172E-2</v>
      </c>
      <c r="T15" s="43">
        <f t="shared" si="3"/>
        <v>3.2237665471254194E-2</v>
      </c>
      <c r="U15" s="43">
        <f t="shared" si="3"/>
        <v>3.0761300136731545E-2</v>
      </c>
      <c r="V15" s="43">
        <f t="shared" si="3"/>
        <v>4.9425282811468248E-2</v>
      </c>
      <c r="W15" s="43">
        <f t="shared" si="3"/>
        <v>5.7991955677609008E-2</v>
      </c>
      <c r="X15" s="43">
        <f t="shared" si="3"/>
        <v>5.4038945308860525E-2</v>
      </c>
      <c r="Y15" s="43">
        <f t="shared" si="3"/>
        <v>4.470326282435557E-2</v>
      </c>
      <c r="Z15" s="43">
        <f t="shared" si="3"/>
        <v>5.8084291187739466E-2</v>
      </c>
      <c r="AA15" s="43">
        <f t="shared" si="3"/>
        <v>9.0359196475244576E-3</v>
      </c>
      <c r="AB15" s="43">
        <f t="shared" si="4"/>
        <v>5.5976759016509604E-3</v>
      </c>
      <c r="AC15" s="43">
        <f t="shared" si="4"/>
        <v>8.0437329168293638E-3</v>
      </c>
      <c r="AD15" s="43">
        <f>SUM(H15:M15)/SUM(H$38:M$38)</f>
        <v>3.649524606110021E-2</v>
      </c>
      <c r="AE15" s="2"/>
    </row>
    <row r="16" spans="1:31" ht="15">
      <c r="A16" s="83" t="s">
        <v>149</v>
      </c>
      <c r="B16" s="72"/>
      <c r="C16" s="95"/>
      <c r="D16" s="95"/>
      <c r="E16" s="95"/>
      <c r="F16" s="95"/>
      <c r="G16" s="95"/>
      <c r="H16" s="95"/>
      <c r="I16" s="95"/>
      <c r="J16" s="95"/>
      <c r="K16" s="95">
        <v>7100</v>
      </c>
      <c r="L16" s="95"/>
      <c r="M16" s="95">
        <v>7700</v>
      </c>
      <c r="N16" s="95"/>
      <c r="O16" s="43"/>
      <c r="P16" s="72" t="str">
        <f>+A16</f>
        <v>Income Tax Receivable</v>
      </c>
      <c r="Q16" s="43"/>
      <c r="R16" s="43"/>
      <c r="S16" s="43"/>
      <c r="T16" s="43"/>
      <c r="U16" s="43"/>
      <c r="V16" s="43"/>
      <c r="W16" s="43"/>
      <c r="X16" s="43"/>
      <c r="Y16" s="43"/>
      <c r="Z16" s="43">
        <f t="shared" si="3"/>
        <v>5.4406130268199234E-3</v>
      </c>
      <c r="AA16" s="43"/>
      <c r="AB16" s="43"/>
      <c r="AC16" s="43"/>
      <c r="AD16" s="43"/>
      <c r="AE16" s="2"/>
    </row>
    <row r="17" spans="1:33" ht="15">
      <c r="A17" s="83" t="s">
        <v>171</v>
      </c>
      <c r="B17" s="72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43"/>
      <c r="P17" s="72" t="str">
        <f>+A17</f>
        <v>Purchased-Gas Adjustment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2"/>
    </row>
    <row r="18" spans="1:33" ht="15">
      <c r="A18" s="83" t="s">
        <v>60</v>
      </c>
      <c r="B18" s="72"/>
      <c r="C18" s="95"/>
      <c r="D18" s="95"/>
      <c r="E18" s="95"/>
      <c r="F18" s="95"/>
      <c r="G18" s="95"/>
      <c r="H18" s="95"/>
      <c r="I18" s="95"/>
      <c r="J18" s="95"/>
      <c r="K18" s="95">
        <v>20600</v>
      </c>
      <c r="L18" s="95">
        <v>43300</v>
      </c>
      <c r="M18" s="95">
        <v>52700</v>
      </c>
      <c r="N18" s="95">
        <v>33100</v>
      </c>
      <c r="O18" s="43"/>
      <c r="P18" s="72" t="str">
        <f>+A18</f>
        <v>Regulatory Assets</v>
      </c>
      <c r="Q18" s="43"/>
      <c r="R18" s="43"/>
      <c r="S18" s="43"/>
      <c r="T18" s="43"/>
      <c r="U18" s="43"/>
      <c r="V18" s="43"/>
      <c r="W18" s="43"/>
      <c r="X18" s="43"/>
      <c r="Y18" s="43"/>
      <c r="Z18" s="43">
        <f t="shared" si="3"/>
        <v>1.5785440613026822E-2</v>
      </c>
      <c r="AA18" s="43">
        <f t="shared" si="3"/>
        <v>3.233515047419909E-2</v>
      </c>
      <c r="AB18" s="43">
        <f t="shared" si="4"/>
        <v>3.7341458230000707E-2</v>
      </c>
      <c r="AC18" s="43">
        <f t="shared" si="4"/>
        <v>2.5849277625927373E-2</v>
      </c>
      <c r="AD18" s="43"/>
      <c r="AE18" s="2"/>
    </row>
    <row r="19" spans="1:33" ht="15">
      <c r="A19" s="72" t="s">
        <v>23</v>
      </c>
      <c r="B19" s="72">
        <f>432+3168</f>
        <v>3600</v>
      </c>
      <c r="C19" s="95">
        <f>5019+35565+773</f>
        <v>41357</v>
      </c>
      <c r="D19" s="95">
        <f>363+8296+1097</f>
        <v>9756</v>
      </c>
      <c r="E19" s="95">
        <f>1474+5047</f>
        <v>6521</v>
      </c>
      <c r="F19" s="95">
        <f>1780+552</f>
        <v>2332</v>
      </c>
      <c r="G19" s="95">
        <f>6701+2188+35853</f>
        <v>44742</v>
      </c>
      <c r="H19" s="95">
        <f>5508+2857+39852</f>
        <v>48217</v>
      </c>
      <c r="I19" s="95">
        <f>2100+1700</f>
        <v>3800</v>
      </c>
      <c r="J19" s="95">
        <f>11900+2000+4000</f>
        <v>17900</v>
      </c>
      <c r="K19" s="95">
        <v>4700</v>
      </c>
      <c r="L19" s="95">
        <f>3600+3400</f>
        <v>7000</v>
      </c>
      <c r="M19" s="95">
        <f>2900+1300</f>
        <v>4200</v>
      </c>
      <c r="N19" s="95">
        <f>3300+4300</f>
        <v>7600</v>
      </c>
      <c r="O19" s="51">
        <f>RATE(5,,-H19,M19)</f>
        <v>-0.38622411532280287</v>
      </c>
      <c r="P19" s="72" t="str">
        <f>A19</f>
        <v>Other Current Assets</v>
      </c>
      <c r="Q19" s="77">
        <f t="shared" si="3"/>
        <v>4.9754544248374688E-3</v>
      </c>
      <c r="R19" s="77">
        <f t="shared" si="3"/>
        <v>4.9808147643214833E-2</v>
      </c>
      <c r="S19" s="77">
        <f t="shared" si="3"/>
        <v>1.1700030221480277E-2</v>
      </c>
      <c r="T19" s="77">
        <f t="shared" si="3"/>
        <v>7.8397097347771248E-3</v>
      </c>
      <c r="U19" s="77">
        <f t="shared" si="3"/>
        <v>2.5631668960180783E-3</v>
      </c>
      <c r="V19" s="77">
        <f t="shared" si="3"/>
        <v>4.4227720071014248E-2</v>
      </c>
      <c r="W19" s="77">
        <f t="shared" si="3"/>
        <v>4.3571455035563277E-2</v>
      </c>
      <c r="X19" s="77">
        <f t="shared" si="3"/>
        <v>3.5404826236839653E-3</v>
      </c>
      <c r="Y19" s="77">
        <f t="shared" si="3"/>
        <v>1.5329279780765608E-2</v>
      </c>
      <c r="Z19" s="77">
        <f t="shared" si="3"/>
        <v>3.6015325670498083E-3</v>
      </c>
      <c r="AA19" s="77">
        <f t="shared" si="3"/>
        <v>5.2273915316257188E-3</v>
      </c>
      <c r="AB19" s="77">
        <f t="shared" si="4"/>
        <v>2.9759795932827889E-3</v>
      </c>
      <c r="AC19" s="77">
        <f t="shared" si="4"/>
        <v>5.9351815696993366E-3</v>
      </c>
      <c r="AD19" s="51">
        <f t="shared" ref="AD19:AD20" si="5">SUM(H19:M19)/SUM(H$38:M$38)</f>
        <v>1.1592162602851621E-2</v>
      </c>
      <c r="AE19" s="2"/>
    </row>
    <row r="20" spans="1:33" ht="15">
      <c r="A20" s="72" t="s">
        <v>38</v>
      </c>
      <c r="B20" s="78">
        <f t="shared" ref="B20:M20" si="6">SUM(B11:B19)</f>
        <v>110086</v>
      </c>
      <c r="C20" s="96">
        <f t="shared" si="6"/>
        <v>183326</v>
      </c>
      <c r="D20" s="96">
        <f t="shared" si="6"/>
        <v>149031</v>
      </c>
      <c r="E20" s="96">
        <f t="shared" si="6"/>
        <v>127067</v>
      </c>
      <c r="F20" s="96">
        <f t="shared" si="6"/>
        <v>164443</v>
      </c>
      <c r="G20" s="96">
        <f t="shared" si="6"/>
        <v>232929</v>
      </c>
      <c r="H20" s="96">
        <f t="shared" si="6"/>
        <v>305049</v>
      </c>
      <c r="I20" s="96">
        <f t="shared" si="6"/>
        <v>218300</v>
      </c>
      <c r="J20" s="96">
        <f t="shared" si="6"/>
        <v>227200</v>
      </c>
      <c r="K20" s="96">
        <f t="shared" si="6"/>
        <v>284000</v>
      </c>
      <c r="L20" s="96">
        <f t="shared" si="6"/>
        <v>279000</v>
      </c>
      <c r="M20" s="96">
        <f t="shared" si="6"/>
        <v>291800</v>
      </c>
      <c r="N20" s="96">
        <f t="shared" ref="N20" si="7">SUM(N11:N19)</f>
        <v>136500</v>
      </c>
      <c r="O20" s="43">
        <f>RATE(5,,-H20,M20)</f>
        <v>-8.8414392266498686E-3</v>
      </c>
      <c r="P20" s="72" t="str">
        <f>A20</f>
        <v>Total Current Assets</v>
      </c>
      <c r="Q20" s="43">
        <f t="shared" si="3"/>
        <v>0.15214663217018265</v>
      </c>
      <c r="R20" s="43">
        <f t="shared" si="3"/>
        <v>0.22078797966100061</v>
      </c>
      <c r="S20" s="43">
        <f t="shared" si="3"/>
        <v>0.17872767568034309</v>
      </c>
      <c r="T20" s="43">
        <f t="shared" si="3"/>
        <v>0.15276313400842279</v>
      </c>
      <c r="U20" s="43">
        <f t="shared" si="3"/>
        <v>0.1807439339116213</v>
      </c>
      <c r="V20" s="43">
        <f t="shared" si="3"/>
        <v>0.23025163399984974</v>
      </c>
      <c r="W20" s="43">
        <f t="shared" si="3"/>
        <v>0.27565855999219241</v>
      </c>
      <c r="X20" s="43">
        <f t="shared" si="3"/>
        <v>0.2033914096711078</v>
      </c>
      <c r="Y20" s="43">
        <f t="shared" si="3"/>
        <v>0.19457052325083499</v>
      </c>
      <c r="Z20" s="43">
        <f t="shared" si="3"/>
        <v>0.21762452107279692</v>
      </c>
      <c r="AA20" s="43">
        <f t="shared" si="3"/>
        <v>0.20834889104622509</v>
      </c>
      <c r="AB20" s="43">
        <f t="shared" si="4"/>
        <v>0.20675972507617091</v>
      </c>
      <c r="AC20" s="43">
        <f t="shared" si="4"/>
        <v>0.1065989847715736</v>
      </c>
      <c r="AD20" s="43">
        <f t="shared" si="5"/>
        <v>0.21685058487625117</v>
      </c>
      <c r="AE20" s="2"/>
    </row>
    <row r="21" spans="1:33" ht="15">
      <c r="A21" s="72"/>
      <c r="B21" s="72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43"/>
      <c r="P21" s="72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7"/>
    </row>
    <row r="22" spans="1:33" ht="15.75">
      <c r="A22" s="117" t="s">
        <v>25</v>
      </c>
      <c r="B22" s="72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142"/>
      <c r="P22" s="117" t="s">
        <v>25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7"/>
    </row>
    <row r="23" spans="1:33" ht="15">
      <c r="A23" s="72" t="s">
        <v>120</v>
      </c>
      <c r="B23" s="72">
        <f>725874+97870+121421</f>
        <v>945165</v>
      </c>
      <c r="C23" s="95">
        <f>818802+97870+125970</f>
        <v>1042642</v>
      </c>
      <c r="D23" s="95">
        <f>875415+97870+139299</f>
        <v>1112584</v>
      </c>
      <c r="E23" s="95">
        <f>941645+92594+143734</f>
        <v>1177973</v>
      </c>
      <c r="F23" s="95">
        <f>990984+91343+137972</f>
        <v>1220299</v>
      </c>
      <c r="G23" s="95">
        <f>1047365+91032+162246</f>
        <v>1300643</v>
      </c>
      <c r="H23" s="95">
        <f>1104430+90038+169814</f>
        <v>1364282</v>
      </c>
      <c r="I23" s="95">
        <f>1174100+89500+123400</f>
        <v>1387000</v>
      </c>
      <c r="J23" s="95">
        <f>1293800+211900</f>
        <v>1505700</v>
      </c>
      <c r="K23" s="95">
        <f>1646800-23900</f>
        <v>1622900</v>
      </c>
      <c r="L23" s="95">
        <f>1414100+267500</f>
        <v>1681600</v>
      </c>
      <c r="M23" s="95">
        <f>1490100+272400</f>
        <v>1762500</v>
      </c>
      <c r="N23" s="95">
        <v>1856100</v>
      </c>
      <c r="O23" s="43">
        <f t="shared" ref="O23:O24" si="8">RATE(5,,-H23,M23)</f>
        <v>5.2555476613451578E-2</v>
      </c>
      <c r="P23" s="72" t="str">
        <f>A23</f>
        <v>Plant in Service</v>
      </c>
      <c r="Q23" s="43">
        <f t="shared" ref="Q23:AA26" si="9">B23/B$38</f>
        <v>1.3062848281809738</v>
      </c>
      <c r="R23" s="43">
        <f t="shared" si="9"/>
        <v>1.2557019772956646</v>
      </c>
      <c r="S23" s="43">
        <f t="shared" si="9"/>
        <v>1.3342831512848927</v>
      </c>
      <c r="T23" s="43">
        <f t="shared" si="9"/>
        <v>1.416188682012669</v>
      </c>
      <c r="U23" s="43">
        <f t="shared" si="9"/>
        <v>1.3412650085951823</v>
      </c>
      <c r="V23" s="43">
        <f t="shared" si="9"/>
        <v>1.2856929622351299</v>
      </c>
      <c r="W23" s="43">
        <f t="shared" si="9"/>
        <v>1.2328380409156177</v>
      </c>
      <c r="X23" s="43">
        <f t="shared" si="9"/>
        <v>1.2922761576446473</v>
      </c>
      <c r="Y23" s="43">
        <f t="shared" si="9"/>
        <v>1.2894579087094289</v>
      </c>
      <c r="Z23" s="43">
        <f t="shared" si="9"/>
        <v>1.2436015325670497</v>
      </c>
      <c r="AA23" s="43">
        <f t="shared" si="9"/>
        <v>1.2557687999402585</v>
      </c>
      <c r="AB23" s="43">
        <f t="shared" ref="AB23:AC26" si="10">M23/M$38</f>
        <v>1.2488485793240276</v>
      </c>
      <c r="AC23" s="43">
        <f t="shared" si="10"/>
        <v>1.4495119094103865</v>
      </c>
      <c r="AD23" s="43">
        <f t="shared" ref="AD23:AD26" si="11">SUM(H23:M23)/SUM(H$38:M$38)</f>
        <v>1.2594837322449126</v>
      </c>
      <c r="AE23" s="7"/>
      <c r="AG23" s="1"/>
    </row>
    <row r="24" spans="1:33" ht="15">
      <c r="A24" s="76" t="s">
        <v>128</v>
      </c>
      <c r="B24" s="72">
        <v>68434</v>
      </c>
      <c r="C24" s="95">
        <v>24720</v>
      </c>
      <c r="D24" s="95">
        <v>31871</v>
      </c>
      <c r="E24" s="95">
        <v>15580</v>
      </c>
      <c r="F24" s="95">
        <v>20254</v>
      </c>
      <c r="G24" s="95">
        <v>14894</v>
      </c>
      <c r="H24" s="27">
        <v>19080</v>
      </c>
      <c r="I24" s="27">
        <v>31100</v>
      </c>
      <c r="J24" s="27">
        <f>33500</f>
        <v>33500</v>
      </c>
      <c r="K24" s="27">
        <v>23900</v>
      </c>
      <c r="L24" s="27">
        <v>40300</v>
      </c>
      <c r="M24" s="27">
        <v>55100</v>
      </c>
      <c r="N24" s="27"/>
      <c r="O24" s="43">
        <f t="shared" si="8"/>
        <v>0.23627374373560497</v>
      </c>
      <c r="P24" s="72" t="str">
        <f>A24</f>
        <v>Construction Work in Progress</v>
      </c>
      <c r="Q24" s="43">
        <f t="shared" si="9"/>
        <v>9.4580624474813149E-2</v>
      </c>
      <c r="R24" s="43">
        <f t="shared" si="9"/>
        <v>2.9771439169675524E-2</v>
      </c>
      <c r="S24" s="43">
        <f t="shared" si="9"/>
        <v>3.8221777694628735E-2</v>
      </c>
      <c r="T24" s="43">
        <f t="shared" si="9"/>
        <v>1.8730666717961603E-2</v>
      </c>
      <c r="U24" s="43">
        <f t="shared" si="9"/>
        <v>2.2261741986256502E-2</v>
      </c>
      <c r="V24" s="43">
        <f t="shared" si="9"/>
        <v>1.4722803243880162E-2</v>
      </c>
      <c r="W24" s="43">
        <f t="shared" si="9"/>
        <v>1.7241706495189402E-2</v>
      </c>
      <c r="X24" s="43">
        <f t="shared" si="9"/>
        <v>2.8976055156992454E-2</v>
      </c>
      <c r="Y24" s="43">
        <f t="shared" si="9"/>
        <v>2.8688875567354628E-2</v>
      </c>
      <c r="Z24" s="43">
        <f t="shared" si="9"/>
        <v>1.8314176245210728E-2</v>
      </c>
      <c r="AA24" s="43">
        <f t="shared" si="9"/>
        <v>3.0094839817788068E-2</v>
      </c>
      <c r="AB24" s="43"/>
      <c r="AC24" s="43"/>
      <c r="AD24" s="43">
        <f t="shared" si="11"/>
        <v>2.7418543704939836E-2</v>
      </c>
      <c r="AE24" s="7"/>
      <c r="AG24">
        <f>AVERAGE(C24:J24)</f>
        <v>23874.875</v>
      </c>
    </row>
    <row r="25" spans="1:33" ht="15">
      <c r="A25" s="72" t="s">
        <v>58</v>
      </c>
      <c r="B25" s="72">
        <v>0</v>
      </c>
      <c r="C25" s="95">
        <v>0</v>
      </c>
      <c r="D25" s="95">
        <v>0</v>
      </c>
      <c r="E25" s="95">
        <v>0</v>
      </c>
      <c r="F25" s="95"/>
      <c r="G25" s="95"/>
      <c r="H25" s="27"/>
      <c r="I25" s="27"/>
      <c r="J25" s="27"/>
      <c r="K25" s="27"/>
      <c r="L25" s="27"/>
      <c r="M25" s="27"/>
      <c r="N25" s="27"/>
      <c r="O25" s="51"/>
      <c r="P25" s="72" t="str">
        <f>A25</f>
        <v>Other PP&amp;E</v>
      </c>
      <c r="Q25" s="79">
        <f t="shared" si="9"/>
        <v>0</v>
      </c>
      <c r="R25" s="79">
        <f t="shared" si="9"/>
        <v>0</v>
      </c>
      <c r="S25" s="79">
        <f t="shared" si="9"/>
        <v>0</v>
      </c>
      <c r="T25" s="79">
        <f t="shared" si="9"/>
        <v>0</v>
      </c>
      <c r="U25" s="79">
        <f t="shared" si="9"/>
        <v>0</v>
      </c>
      <c r="V25" s="79"/>
      <c r="W25" s="43"/>
      <c r="X25" s="43"/>
      <c r="Y25" s="43"/>
      <c r="Z25" s="43"/>
      <c r="AA25" s="43"/>
      <c r="AB25" s="43"/>
      <c r="AC25" s="43"/>
      <c r="AD25" s="51"/>
      <c r="AE25" s="2"/>
    </row>
    <row r="26" spans="1:33" ht="12.75" customHeight="1">
      <c r="A26" s="72" t="s">
        <v>65</v>
      </c>
      <c r="B26" s="78">
        <f t="shared" ref="B26:M26" si="12">SUM(B23:B25)</f>
        <v>1013599</v>
      </c>
      <c r="C26" s="96">
        <f t="shared" si="12"/>
        <v>1067362</v>
      </c>
      <c r="D26" s="96">
        <f t="shared" si="12"/>
        <v>1144455</v>
      </c>
      <c r="E26" s="96">
        <f t="shared" si="12"/>
        <v>1193553</v>
      </c>
      <c r="F26" s="96">
        <f t="shared" si="12"/>
        <v>1240553</v>
      </c>
      <c r="G26" s="96">
        <f t="shared" si="12"/>
        <v>1315537</v>
      </c>
      <c r="H26" s="96">
        <f t="shared" si="12"/>
        <v>1383362</v>
      </c>
      <c r="I26" s="96">
        <f t="shared" si="12"/>
        <v>1418100</v>
      </c>
      <c r="J26" s="96">
        <f t="shared" si="12"/>
        <v>1539200</v>
      </c>
      <c r="K26" s="96">
        <f t="shared" si="12"/>
        <v>1646800</v>
      </c>
      <c r="L26" s="96">
        <f t="shared" si="12"/>
        <v>1721900</v>
      </c>
      <c r="M26" s="96">
        <f t="shared" si="12"/>
        <v>1817600</v>
      </c>
      <c r="N26" s="96">
        <f t="shared" ref="N26" si="13">SUM(N23:N25)</f>
        <v>1856100</v>
      </c>
      <c r="O26" s="43">
        <f>RATE(5,,-H26,M26)</f>
        <v>5.611812123504515E-2</v>
      </c>
      <c r="P26" s="72" t="str">
        <f>A26</f>
        <v>Total Plant &amp; Equipment:</v>
      </c>
      <c r="Q26" s="80">
        <f t="shared" si="9"/>
        <v>1.4008654526557871</v>
      </c>
      <c r="R26" s="80">
        <f t="shared" si="9"/>
        <v>1.2854734164653401</v>
      </c>
      <c r="S26" s="80">
        <f t="shared" si="9"/>
        <v>1.3725049289795213</v>
      </c>
      <c r="T26" s="80">
        <f t="shared" si="9"/>
        <v>1.4349193487306307</v>
      </c>
      <c r="U26" s="80">
        <f t="shared" si="9"/>
        <v>1.3635267505814388</v>
      </c>
      <c r="V26" s="80">
        <f t="shared" si="9"/>
        <v>1.3004157654790101</v>
      </c>
      <c r="W26" s="80">
        <f t="shared" si="9"/>
        <v>1.2500797474108072</v>
      </c>
      <c r="X26" s="80">
        <f t="shared" si="9"/>
        <v>1.3212522128016397</v>
      </c>
      <c r="Y26" s="80">
        <f t="shared" si="9"/>
        <v>1.3181467842767833</v>
      </c>
      <c r="Z26" s="80">
        <f t="shared" si="9"/>
        <v>1.2619157088122606</v>
      </c>
      <c r="AA26" s="80">
        <f t="shared" si="9"/>
        <v>1.2858636397580465</v>
      </c>
      <c r="AB26" s="80">
        <f t="shared" si="10"/>
        <v>1.2878905973216184</v>
      </c>
      <c r="AC26" s="80">
        <f t="shared" si="10"/>
        <v>1.4495119094103865</v>
      </c>
      <c r="AD26" s="43">
        <f t="shared" si="11"/>
        <v>1.2869022759498523</v>
      </c>
      <c r="AE26" s="2"/>
    </row>
    <row r="27" spans="1:33" ht="12" customHeight="1">
      <c r="A27" s="72"/>
      <c r="B27" s="72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43"/>
      <c r="P27" s="73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43"/>
      <c r="AE27" s="2"/>
    </row>
    <row r="28" spans="1:33" ht="12.75" customHeight="1">
      <c r="A28" s="72" t="s">
        <v>132</v>
      </c>
      <c r="B28" s="72">
        <v>421111</v>
      </c>
      <c r="C28" s="95">
        <v>447496</v>
      </c>
      <c r="D28" s="95">
        <v>489583</v>
      </c>
      <c r="E28" s="95">
        <v>513485</v>
      </c>
      <c r="F28" s="95">
        <v>532747</v>
      </c>
      <c r="G28" s="95">
        <v>572290</v>
      </c>
      <c r="H28" s="95">
        <v>615934</v>
      </c>
      <c r="I28" s="95">
        <v>598000</v>
      </c>
      <c r="J28" s="95">
        <f>630300</f>
        <v>630300</v>
      </c>
      <c r="K28" s="95">
        <v>657300</v>
      </c>
      <c r="L28" s="95">
        <v>690400</v>
      </c>
      <c r="M28" s="95">
        <v>721300</v>
      </c>
      <c r="N28" s="95">
        <v>734900</v>
      </c>
      <c r="O28" s="43">
        <f>RATE(5,,-H28,M28)</f>
        <v>3.2087102262260768E-2</v>
      </c>
      <c r="P28" s="72" t="str">
        <f>A28</f>
        <v>Accumulated Dep &amp; Amort</v>
      </c>
      <c r="Q28" s="43">
        <f t="shared" ref="Q28:AA28" si="14">B28/B$38</f>
        <v>0.58200516341603648</v>
      </c>
      <c r="R28" s="43">
        <f t="shared" si="14"/>
        <v>0.53894012713078965</v>
      </c>
      <c r="S28" s="43">
        <f t="shared" si="14"/>
        <v>0.58713980073011263</v>
      </c>
      <c r="T28" s="43">
        <f t="shared" si="14"/>
        <v>0.6173245442665285</v>
      </c>
      <c r="U28" s="43">
        <f t="shared" si="14"/>
        <v>0.58555723600040444</v>
      </c>
      <c r="V28" s="43">
        <f t="shared" si="14"/>
        <v>0.5657119020035033</v>
      </c>
      <c r="W28" s="43">
        <f t="shared" si="14"/>
        <v>0.55659084111152979</v>
      </c>
      <c r="X28" s="43">
        <f t="shared" si="14"/>
        <v>0.55716016025342396</v>
      </c>
      <c r="Y28" s="43">
        <f t="shared" si="14"/>
        <v>0.53977905283891414</v>
      </c>
      <c r="Z28" s="43">
        <f t="shared" si="14"/>
        <v>0.50367816091954021</v>
      </c>
      <c r="AA28" s="43">
        <f t="shared" si="14"/>
        <v>0.51557015906205661</v>
      </c>
      <c r="AB28" s="43">
        <f t="shared" ref="AB28:AC28" si="15">M28/M$38</f>
        <v>0.51108906681782751</v>
      </c>
      <c r="AC28" s="43">
        <f t="shared" si="15"/>
        <v>0.57391643889105814</v>
      </c>
      <c r="AD28" s="43">
        <f t="shared" ref="AD28:AD38" si="16">SUM(H28:M28)/SUM(H$38:M$38)</f>
        <v>0.52859975099347978</v>
      </c>
      <c r="AE28" s="2"/>
    </row>
    <row r="29" spans="1:33" ht="12" customHeight="1">
      <c r="A29" s="72"/>
      <c r="B29" s="72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43"/>
      <c r="P29" s="72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43"/>
      <c r="AE29" s="2"/>
    </row>
    <row r="30" spans="1:33" ht="15">
      <c r="A30" s="72" t="s">
        <v>59</v>
      </c>
      <c r="B30" s="72">
        <f t="shared" ref="B30:H30" si="17">B26-B28</f>
        <v>592488</v>
      </c>
      <c r="C30" s="95">
        <f t="shared" si="17"/>
        <v>619866</v>
      </c>
      <c r="D30" s="95">
        <f t="shared" si="17"/>
        <v>654872</v>
      </c>
      <c r="E30" s="95">
        <f t="shared" si="17"/>
        <v>680068</v>
      </c>
      <c r="F30" s="95">
        <f t="shared" si="17"/>
        <v>707806</v>
      </c>
      <c r="G30" s="95">
        <f t="shared" si="17"/>
        <v>743247</v>
      </c>
      <c r="H30" s="95">
        <f t="shared" si="17"/>
        <v>767428</v>
      </c>
      <c r="I30" s="95">
        <f t="shared" ref="I30:N30" si="18">I26-I28</f>
        <v>820100</v>
      </c>
      <c r="J30" s="95">
        <f t="shared" si="18"/>
        <v>908900</v>
      </c>
      <c r="K30" s="95">
        <f t="shared" si="18"/>
        <v>989500</v>
      </c>
      <c r="L30" s="95">
        <f t="shared" si="18"/>
        <v>1031500</v>
      </c>
      <c r="M30" s="95">
        <f t="shared" si="18"/>
        <v>1096300</v>
      </c>
      <c r="N30" s="95">
        <f t="shared" si="18"/>
        <v>1121200</v>
      </c>
      <c r="O30" s="43">
        <f>RATE(5,,-H30,M30)</f>
        <v>7.3935885888284439E-2</v>
      </c>
      <c r="P30" s="72" t="str">
        <f>A30</f>
        <v>Net Plant &amp; Equipment</v>
      </c>
      <c r="Q30" s="43">
        <f t="shared" ref="Q30:AA30" si="19">B30/B$38</f>
        <v>0.81886028923975052</v>
      </c>
      <c r="R30" s="43">
        <f t="shared" si="19"/>
        <v>0.74653328933455054</v>
      </c>
      <c r="S30" s="43">
        <f t="shared" si="19"/>
        <v>0.78536512824940874</v>
      </c>
      <c r="T30" s="43">
        <f t="shared" si="19"/>
        <v>0.81759480446410215</v>
      </c>
      <c r="U30" s="43">
        <f t="shared" si="19"/>
        <v>0.77796951458103436</v>
      </c>
      <c r="V30" s="43">
        <f t="shared" si="19"/>
        <v>0.73470386347550676</v>
      </c>
      <c r="W30" s="43">
        <f t="shared" si="19"/>
        <v>0.6934889062992774</v>
      </c>
      <c r="X30" s="43">
        <f t="shared" si="19"/>
        <v>0.76409205254821577</v>
      </c>
      <c r="Y30" s="43">
        <f t="shared" si="19"/>
        <v>0.7783677314378693</v>
      </c>
      <c r="Z30" s="43">
        <f t="shared" si="19"/>
        <v>0.75823754789272035</v>
      </c>
      <c r="AA30" s="43">
        <f t="shared" si="19"/>
        <v>0.7702934806959898</v>
      </c>
      <c r="AB30" s="43">
        <f t="shared" ref="AB30:AC30" si="20">M30/M$38</f>
        <v>0.77680153050379086</v>
      </c>
      <c r="AC30" s="43">
        <f t="shared" si="20"/>
        <v>0.8755954705193284</v>
      </c>
      <c r="AD30" s="43">
        <f t="shared" si="16"/>
        <v>0.75830252495637251</v>
      </c>
      <c r="AE30" s="2"/>
    </row>
    <row r="31" spans="1:33" ht="12" customHeight="1">
      <c r="A31" s="72"/>
      <c r="B31" s="72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43"/>
      <c r="P31" s="72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2"/>
    </row>
    <row r="32" spans="1:33" ht="15.75">
      <c r="A32" s="117" t="s">
        <v>73</v>
      </c>
      <c r="B32" s="72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43"/>
      <c r="P32" s="117" t="str">
        <f>A32</f>
        <v>Other Assets: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2"/>
    </row>
    <row r="33" spans="1:31" ht="15">
      <c r="A33" s="72" t="s">
        <v>60</v>
      </c>
      <c r="B33" s="72">
        <v>16353</v>
      </c>
      <c r="C33" s="95">
        <v>22359</v>
      </c>
      <c r="D33" s="95">
        <v>19211</v>
      </c>
      <c r="E33" s="95">
        <v>13942</v>
      </c>
      <c r="F33" s="95">
        <v>24635</v>
      </c>
      <c r="G33" s="95">
        <v>21843</v>
      </c>
      <c r="H33" s="95">
        <v>22052</v>
      </c>
      <c r="I33" s="95">
        <v>23000</v>
      </c>
      <c r="J33" s="95">
        <f>19100</f>
        <v>19100</v>
      </c>
      <c r="K33" s="95">
        <v>18100</v>
      </c>
      <c r="L33" s="95">
        <v>16000</v>
      </c>
      <c r="M33" s="95">
        <v>15000</v>
      </c>
      <c r="N33" s="95">
        <v>14800</v>
      </c>
      <c r="O33" s="43">
        <f t="shared" ref="O33:O38" si="21">RATE(5,,-H33,M33)</f>
        <v>-7.4175530356834135E-2</v>
      </c>
      <c r="P33" s="72" t="str">
        <f>A33</f>
        <v>Regulatory Assets</v>
      </c>
      <c r="Q33" s="43">
        <f t="shared" ref="Q33:AA38" si="22">B33/B$38</f>
        <v>2.26010017248242E-2</v>
      </c>
      <c r="R33" s="43">
        <f t="shared" si="22"/>
        <v>2.6927977685872777E-2</v>
      </c>
      <c r="S33" s="43">
        <f t="shared" si="22"/>
        <v>2.3039081650764411E-2</v>
      </c>
      <c r="T33" s="43">
        <f t="shared" si="22"/>
        <v>1.6761422039911468E-2</v>
      </c>
      <c r="U33" s="43">
        <f t="shared" si="22"/>
        <v>2.7077022505748439E-2</v>
      </c>
      <c r="V33" s="43">
        <f t="shared" si="22"/>
        <v>2.1591929049018018E-2</v>
      </c>
      <c r="W33" s="43">
        <f t="shared" si="22"/>
        <v>1.9927364341295422E-2</v>
      </c>
      <c r="X33" s="43">
        <f t="shared" si="22"/>
        <v>2.1429236932823999E-2</v>
      </c>
      <c r="Y33" s="43">
        <f t="shared" si="22"/>
        <v>1.6356940995118609E-2</v>
      </c>
      <c r="Z33" s="43">
        <f t="shared" si="22"/>
        <v>1.3869731800766283E-2</v>
      </c>
      <c r="AA33" s="43">
        <f t="shared" si="22"/>
        <v>1.1948323500858785E-2</v>
      </c>
      <c r="AB33" s="43">
        <f t="shared" ref="AB33:AC38" si="23">M33/M$38</f>
        <v>1.0628498547438532E-2</v>
      </c>
      <c r="AC33" s="43">
        <f t="shared" si="23"/>
        <v>1.1557985162046076E-2</v>
      </c>
      <c r="AD33" s="43">
        <f t="shared" si="16"/>
        <v>1.5298083119873122E-2</v>
      </c>
      <c r="AE33" s="2"/>
    </row>
    <row r="34" spans="1:31" ht="15">
      <c r="A34" s="72" t="s">
        <v>96</v>
      </c>
      <c r="B34" s="72">
        <v>0</v>
      </c>
      <c r="C34" s="95">
        <v>0</v>
      </c>
      <c r="D34" s="95">
        <v>5876</v>
      </c>
      <c r="E34" s="95">
        <v>5652</v>
      </c>
      <c r="F34" s="95">
        <v>5652</v>
      </c>
      <c r="G34" s="95">
        <v>5652</v>
      </c>
      <c r="H34" s="27">
        <v>5652</v>
      </c>
      <c r="I34" s="27">
        <v>5600</v>
      </c>
      <c r="J34" s="27">
        <f>5600</f>
        <v>5600</v>
      </c>
      <c r="K34" s="27">
        <f>5600</f>
        <v>5600</v>
      </c>
      <c r="L34" s="27">
        <v>5600</v>
      </c>
      <c r="M34" s="27">
        <v>5600</v>
      </c>
      <c r="N34" s="27">
        <v>5600</v>
      </c>
      <c r="O34" s="43">
        <f t="shared" si="21"/>
        <v>-1.8468658567427692E-3</v>
      </c>
      <c r="P34" s="72" t="str">
        <f>A34</f>
        <v>Goodwill</v>
      </c>
      <c r="Q34" s="43">
        <f t="shared" si="22"/>
        <v>0</v>
      </c>
      <c r="R34" s="43">
        <f t="shared" si="22"/>
        <v>0</v>
      </c>
      <c r="S34" s="43">
        <f t="shared" si="22"/>
        <v>7.0468816709120651E-3</v>
      </c>
      <c r="T34" s="43">
        <f t="shared" si="22"/>
        <v>6.7949761418433239E-3</v>
      </c>
      <c r="U34" s="43">
        <f t="shared" si="22"/>
        <v>6.2122724255120835E-3</v>
      </c>
      <c r="V34" s="43">
        <f t="shared" si="22"/>
        <v>5.5870339690083709E-3</v>
      </c>
      <c r="W34" s="43">
        <f t="shared" si="22"/>
        <v>5.1074489051787467E-3</v>
      </c>
      <c r="X34" s="43">
        <f t="shared" si="22"/>
        <v>5.2175533401658441E-3</v>
      </c>
      <c r="Y34" s="43">
        <f t="shared" si="22"/>
        <v>4.795752333647341E-3</v>
      </c>
      <c r="Z34" s="43">
        <f t="shared" si="22"/>
        <v>4.2911877394636016E-3</v>
      </c>
      <c r="AA34" s="43">
        <f t="shared" si="22"/>
        <v>4.1819132253005748E-3</v>
      </c>
      <c r="AB34" s="43">
        <f t="shared" si="23"/>
        <v>3.9679727910437185E-3</v>
      </c>
      <c r="AC34" s="43">
        <f t="shared" si="23"/>
        <v>4.3732916829363529E-3</v>
      </c>
      <c r="AD34" s="43">
        <f t="shared" si="16"/>
        <v>4.5457130395045592E-3</v>
      </c>
      <c r="AE34" s="2"/>
    </row>
    <row r="35" spans="1:31" ht="15">
      <c r="A35" s="72" t="s">
        <v>97</v>
      </c>
      <c r="B35" s="72">
        <v>4625</v>
      </c>
      <c r="C35" s="95">
        <v>4775</v>
      </c>
      <c r="D35" s="95">
        <v>4854</v>
      </c>
      <c r="E35" s="95">
        <v>5062</v>
      </c>
      <c r="F35" s="95">
        <v>7276</v>
      </c>
      <c r="G35" s="95">
        <v>7957</v>
      </c>
      <c r="H35" s="95">
        <v>6438</v>
      </c>
      <c r="I35" s="95">
        <v>6300</v>
      </c>
      <c r="J35" s="95">
        <f>6900</f>
        <v>6900</v>
      </c>
      <c r="K35" s="95">
        <v>7800</v>
      </c>
      <c r="L35" s="95">
        <v>7000</v>
      </c>
      <c r="M35" s="95">
        <v>2600</v>
      </c>
      <c r="N35" s="95">
        <v>2400</v>
      </c>
      <c r="O35" s="51">
        <f t="shared" si="21"/>
        <v>-0.16584938346875733</v>
      </c>
      <c r="P35" s="72" t="str">
        <f>A35</f>
        <v>Other Non-Current Assets</v>
      </c>
      <c r="Q35" s="43">
        <f t="shared" si="22"/>
        <v>6.3920768652425807E-3</v>
      </c>
      <c r="R35" s="43">
        <f t="shared" si="22"/>
        <v>5.7507533185760769E-3</v>
      </c>
      <c r="S35" s="43">
        <f t="shared" si="22"/>
        <v>5.8212327485716751E-3</v>
      </c>
      <c r="T35" s="43">
        <f t="shared" si="22"/>
        <v>6.0856633457202587E-3</v>
      </c>
      <c r="U35" s="43">
        <f t="shared" si="22"/>
        <v>7.9972565760838502E-3</v>
      </c>
      <c r="V35" s="43">
        <f t="shared" si="22"/>
        <v>7.8655395066170569E-3</v>
      </c>
      <c r="W35" s="43">
        <f t="shared" si="22"/>
        <v>5.8177204620560464E-3</v>
      </c>
      <c r="X35" s="43">
        <f t="shared" si="22"/>
        <v>5.869747507686574E-3</v>
      </c>
      <c r="Y35" s="43">
        <f t="shared" si="22"/>
        <v>5.9090519825297592E-3</v>
      </c>
      <c r="Z35" s="43">
        <f t="shared" si="22"/>
        <v>5.9770114942528738E-3</v>
      </c>
      <c r="AA35" s="43">
        <f t="shared" si="22"/>
        <v>5.2273915316257188E-3</v>
      </c>
      <c r="AB35" s="43">
        <f t="shared" si="23"/>
        <v>1.8422730815560121E-3</v>
      </c>
      <c r="AC35" s="43">
        <f t="shared" si="23"/>
        <v>1.8742678641155799E-3</v>
      </c>
      <c r="AD35" s="51">
        <f t="shared" si="16"/>
        <v>5.0030940079986283E-3</v>
      </c>
      <c r="AE35" s="2"/>
    </row>
    <row r="36" spans="1:31" ht="15">
      <c r="A36" s="72" t="s">
        <v>74</v>
      </c>
      <c r="B36" s="78">
        <f t="shared" ref="B36:K36" si="24">SUM(B33:B35)</f>
        <v>20978</v>
      </c>
      <c r="C36" s="96">
        <f t="shared" si="24"/>
        <v>27134</v>
      </c>
      <c r="D36" s="96">
        <f t="shared" si="24"/>
        <v>29941</v>
      </c>
      <c r="E36" s="96">
        <f t="shared" si="24"/>
        <v>24656</v>
      </c>
      <c r="F36" s="96">
        <f t="shared" si="24"/>
        <v>37563</v>
      </c>
      <c r="G36" s="96">
        <f t="shared" si="24"/>
        <v>35452</v>
      </c>
      <c r="H36" s="96">
        <f t="shared" si="24"/>
        <v>34142</v>
      </c>
      <c r="I36" s="96">
        <f t="shared" si="24"/>
        <v>34900</v>
      </c>
      <c r="J36" s="96">
        <f t="shared" si="24"/>
        <v>31600</v>
      </c>
      <c r="K36" s="96">
        <f t="shared" si="24"/>
        <v>31500</v>
      </c>
      <c r="L36" s="96">
        <f t="shared" ref="L36" si="25">SUM(L33:L35)</f>
        <v>28600</v>
      </c>
      <c r="M36" s="96">
        <f t="shared" ref="M36:N36" si="26">SUM(M33:M35)</f>
        <v>23200</v>
      </c>
      <c r="N36" s="96">
        <f t="shared" si="26"/>
        <v>22800</v>
      </c>
      <c r="O36" s="178">
        <f t="shared" si="21"/>
        <v>-7.4364919793695167E-2</v>
      </c>
      <c r="P36" s="72" t="s">
        <v>74</v>
      </c>
      <c r="Q36" s="80">
        <f t="shared" si="22"/>
        <v>2.8993078590066782E-2</v>
      </c>
      <c r="R36" s="80">
        <f t="shared" si="22"/>
        <v>3.2678731004448854E-2</v>
      </c>
      <c r="S36" s="80">
        <f t="shared" si="22"/>
        <v>3.590719607024815E-2</v>
      </c>
      <c r="T36" s="80">
        <f t="shared" si="22"/>
        <v>2.9642061527475051E-2</v>
      </c>
      <c r="U36" s="80">
        <f t="shared" si="22"/>
        <v>4.1286551507344373E-2</v>
      </c>
      <c r="V36" s="80">
        <f t="shared" si="22"/>
        <v>3.5044502524643445E-2</v>
      </c>
      <c r="W36" s="80">
        <f t="shared" si="22"/>
        <v>3.0852533708530215E-2</v>
      </c>
      <c r="X36" s="80">
        <f t="shared" si="22"/>
        <v>3.2516537780676417E-2</v>
      </c>
      <c r="Y36" s="80">
        <f t="shared" si="22"/>
        <v>2.706174531129571E-2</v>
      </c>
      <c r="Z36" s="80">
        <f t="shared" si="22"/>
        <v>2.4137931034482758E-2</v>
      </c>
      <c r="AA36" s="80">
        <f t="shared" si="22"/>
        <v>2.1357628257785078E-2</v>
      </c>
      <c r="AB36" s="80">
        <f t="shared" si="23"/>
        <v>1.6438744420038263E-2</v>
      </c>
      <c r="AC36" s="80">
        <f t="shared" si="23"/>
        <v>1.7805544709098009E-2</v>
      </c>
      <c r="AD36" s="178">
        <f t="shared" si="16"/>
        <v>2.4846890167376311E-2</v>
      </c>
      <c r="AE36" s="2"/>
    </row>
    <row r="37" spans="1:31" ht="15">
      <c r="A37" s="72" t="s">
        <v>42</v>
      </c>
      <c r="B37" s="78">
        <f t="shared" ref="B37:K37" si="27">B30+B36</f>
        <v>613466</v>
      </c>
      <c r="C37" s="96">
        <f t="shared" si="27"/>
        <v>647000</v>
      </c>
      <c r="D37" s="96">
        <f t="shared" si="27"/>
        <v>684813</v>
      </c>
      <c r="E37" s="96">
        <f t="shared" si="27"/>
        <v>704724</v>
      </c>
      <c r="F37" s="96">
        <f t="shared" si="27"/>
        <v>745369</v>
      </c>
      <c r="G37" s="96">
        <f t="shared" si="27"/>
        <v>778699</v>
      </c>
      <c r="H37" s="96">
        <f t="shared" si="27"/>
        <v>801570</v>
      </c>
      <c r="I37" s="96">
        <f t="shared" si="27"/>
        <v>855000</v>
      </c>
      <c r="J37" s="96">
        <f t="shared" si="27"/>
        <v>940500</v>
      </c>
      <c r="K37" s="96">
        <f t="shared" si="27"/>
        <v>1021000</v>
      </c>
      <c r="L37" s="96">
        <f t="shared" ref="L37" si="28">L30+L36</f>
        <v>1060100</v>
      </c>
      <c r="M37" s="96">
        <f t="shared" ref="M37:N37" si="29">M30+M36</f>
        <v>1119500</v>
      </c>
      <c r="N37" s="96">
        <f t="shared" si="29"/>
        <v>1144000</v>
      </c>
      <c r="O37" s="178">
        <f t="shared" si="21"/>
        <v>6.9095566744780623E-2</v>
      </c>
      <c r="P37" s="72" t="s">
        <v>42</v>
      </c>
      <c r="Q37" s="80">
        <f t="shared" si="22"/>
        <v>0.84785336782981735</v>
      </c>
      <c r="R37" s="80">
        <f t="shared" si="22"/>
        <v>0.77921202033899939</v>
      </c>
      <c r="S37" s="80">
        <f t="shared" si="22"/>
        <v>0.82127232431965691</v>
      </c>
      <c r="T37" s="80">
        <f t="shared" si="22"/>
        <v>0.84723686599157721</v>
      </c>
      <c r="U37" s="80">
        <f t="shared" si="22"/>
        <v>0.81925606608837864</v>
      </c>
      <c r="V37" s="80">
        <f t="shared" si="22"/>
        <v>0.76974836600015029</v>
      </c>
      <c r="W37" s="80">
        <f t="shared" si="22"/>
        <v>0.72434144000780754</v>
      </c>
      <c r="X37" s="80">
        <f t="shared" si="22"/>
        <v>0.7966085903288922</v>
      </c>
      <c r="Y37" s="80">
        <f t="shared" si="22"/>
        <v>0.80542947674916499</v>
      </c>
      <c r="Z37" s="80">
        <f t="shared" si="22"/>
        <v>0.78237547892720305</v>
      </c>
      <c r="AA37" s="80">
        <f t="shared" si="22"/>
        <v>0.79165110895377488</v>
      </c>
      <c r="AB37" s="80">
        <f t="shared" si="23"/>
        <v>0.79324027492382909</v>
      </c>
      <c r="AC37" s="80">
        <f t="shared" si="23"/>
        <v>0.89340101522842641</v>
      </c>
      <c r="AD37" s="178">
        <f t="shared" si="16"/>
        <v>0.7831494151237488</v>
      </c>
      <c r="AE37" s="2"/>
    </row>
    <row r="38" spans="1:31" ht="15.75" thickBot="1">
      <c r="A38" s="72" t="s">
        <v>37</v>
      </c>
      <c r="B38" s="78">
        <f t="shared" ref="B38:G38" si="30">B20+B30+B36</f>
        <v>723552</v>
      </c>
      <c r="C38" s="96">
        <f t="shared" si="30"/>
        <v>830326</v>
      </c>
      <c r="D38" s="96">
        <f t="shared" si="30"/>
        <v>833844</v>
      </c>
      <c r="E38" s="96">
        <f t="shared" si="30"/>
        <v>831791</v>
      </c>
      <c r="F38" s="96">
        <f t="shared" si="30"/>
        <v>909812</v>
      </c>
      <c r="G38" s="96">
        <f t="shared" si="30"/>
        <v>1011628</v>
      </c>
      <c r="H38" s="96">
        <f t="shared" ref="H38:M38" si="31">H20+H30+H36</f>
        <v>1106619</v>
      </c>
      <c r="I38" s="96">
        <f t="shared" si="31"/>
        <v>1073300</v>
      </c>
      <c r="J38" s="96">
        <f t="shared" si="31"/>
        <v>1167700</v>
      </c>
      <c r="K38" s="96">
        <f t="shared" si="31"/>
        <v>1305000</v>
      </c>
      <c r="L38" s="96">
        <f t="shared" si="31"/>
        <v>1339100</v>
      </c>
      <c r="M38" s="96">
        <f t="shared" si="31"/>
        <v>1411300</v>
      </c>
      <c r="N38" s="96">
        <f t="shared" ref="N38" si="32">N20+N30+N36</f>
        <v>1280500</v>
      </c>
      <c r="O38" s="81">
        <f t="shared" si="21"/>
        <v>4.9842726724598024E-2</v>
      </c>
      <c r="P38" s="72" t="s">
        <v>37</v>
      </c>
      <c r="Q38" s="81">
        <f t="shared" si="22"/>
        <v>1</v>
      </c>
      <c r="R38" s="81">
        <f t="shared" si="22"/>
        <v>1</v>
      </c>
      <c r="S38" s="81">
        <f t="shared" si="22"/>
        <v>1</v>
      </c>
      <c r="T38" s="81">
        <f t="shared" si="22"/>
        <v>1</v>
      </c>
      <c r="U38" s="81">
        <f t="shared" si="22"/>
        <v>1</v>
      </c>
      <c r="V38" s="81">
        <f t="shared" si="22"/>
        <v>1</v>
      </c>
      <c r="W38" s="81">
        <f t="shared" si="22"/>
        <v>1</v>
      </c>
      <c r="X38" s="81">
        <f t="shared" si="22"/>
        <v>1</v>
      </c>
      <c r="Y38" s="81">
        <f t="shared" si="22"/>
        <v>1</v>
      </c>
      <c r="Z38" s="81">
        <f t="shared" si="22"/>
        <v>1</v>
      </c>
      <c r="AA38" s="81">
        <f t="shared" si="22"/>
        <v>1</v>
      </c>
      <c r="AB38" s="81">
        <f t="shared" si="23"/>
        <v>1</v>
      </c>
      <c r="AC38" s="81">
        <f t="shared" si="23"/>
        <v>1</v>
      </c>
      <c r="AD38" s="179">
        <f t="shared" si="16"/>
        <v>1</v>
      </c>
      <c r="AE38" s="2"/>
    </row>
    <row r="39" spans="1:31" ht="15.75" thickTop="1">
      <c r="A39" s="72"/>
      <c r="B39" s="82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43"/>
      <c r="P39" s="72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43"/>
      <c r="AE39" s="2"/>
    </row>
    <row r="40" spans="1:31" ht="15.75">
      <c r="A40" s="117" t="s">
        <v>8</v>
      </c>
      <c r="B40" s="72"/>
      <c r="C40" s="95"/>
      <c r="D40" s="95"/>
      <c r="E40" s="95"/>
      <c r="F40" s="95"/>
      <c r="G40" s="95"/>
      <c r="H40" s="95"/>
      <c r="I40" s="95"/>
      <c r="J40" s="95"/>
      <c r="K40" s="98"/>
      <c r="L40" s="98"/>
      <c r="M40" s="98"/>
      <c r="N40" s="98"/>
      <c r="O40" s="43"/>
      <c r="P40" s="117" t="s">
        <v>8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2"/>
    </row>
    <row r="41" spans="1:31" ht="15">
      <c r="A41" s="76" t="s">
        <v>98</v>
      </c>
      <c r="B41" s="72">
        <v>79300</v>
      </c>
      <c r="C41" s="95">
        <v>105600</v>
      </c>
      <c r="D41" s="95">
        <v>66600</v>
      </c>
      <c r="E41" s="95">
        <v>36400</v>
      </c>
      <c r="F41" s="95">
        <v>51900</v>
      </c>
      <c r="G41" s="95">
        <v>95200</v>
      </c>
      <c r="H41" s="95">
        <v>77400</v>
      </c>
      <c r="I41" s="95">
        <v>13200</v>
      </c>
      <c r="J41" s="95">
        <f>72900</f>
        <v>72900</v>
      </c>
      <c r="K41" s="95">
        <v>88300</v>
      </c>
      <c r="L41" s="95">
        <v>87000</v>
      </c>
      <c r="M41" s="95">
        <v>153600</v>
      </c>
      <c r="N41" s="95">
        <v>44000</v>
      </c>
      <c r="O41" s="43">
        <f>RATE(5,,-H41,M41)</f>
        <v>0.14691187923336654</v>
      </c>
      <c r="P41" s="72" t="str">
        <f t="shared" ref="P41:P46" si="33">A41</f>
        <v>Notes Payable to Questar</v>
      </c>
      <c r="Q41" s="43">
        <f t="shared" ref="Q41:AA41" si="34">B41/B$38</f>
        <v>0.1095982044137809</v>
      </c>
      <c r="R41" s="43">
        <f t="shared" si="34"/>
        <v>0.12717896344327409</v>
      </c>
      <c r="S41" s="43">
        <f t="shared" si="34"/>
        <v>7.9871055017485287E-2</v>
      </c>
      <c r="T41" s="43">
        <f t="shared" si="34"/>
        <v>4.3760992845558559E-2</v>
      </c>
      <c r="U41" s="43">
        <f t="shared" si="34"/>
        <v>5.7044752102632192E-2</v>
      </c>
      <c r="V41" s="43">
        <f t="shared" si="34"/>
        <v>9.410573847303555E-2</v>
      </c>
      <c r="W41" s="43">
        <f t="shared" si="34"/>
        <v>6.9942771631428702E-2</v>
      </c>
      <c r="X41" s="43">
        <f t="shared" si="34"/>
        <v>1.2298518587533775E-2</v>
      </c>
      <c r="Y41" s="43">
        <f t="shared" si="34"/>
        <v>6.243041877194485E-2</v>
      </c>
      <c r="Z41" s="43">
        <f t="shared" si="34"/>
        <v>6.7662835249042153E-2</v>
      </c>
      <c r="AA41" s="43">
        <f t="shared" si="34"/>
        <v>6.496900903591965E-2</v>
      </c>
      <c r="AB41" s="43">
        <f t="shared" ref="AB41:AC41" si="35">M41/M$38</f>
        <v>0.10883582512577057</v>
      </c>
      <c r="AC41" s="43">
        <f t="shared" si="35"/>
        <v>3.4361577508785629E-2</v>
      </c>
      <c r="AD41" s="43">
        <f t="shared" ref="AD41:AD62" si="36">SUM(H41:M41)/SUM(H$38:M$38)</f>
        <v>6.6513404869013568E-2</v>
      </c>
      <c r="AE41" s="2"/>
    </row>
    <row r="42" spans="1:31" ht="15">
      <c r="A42" s="83" t="s">
        <v>125</v>
      </c>
      <c r="B42" s="72"/>
      <c r="C42" s="95">
        <v>0</v>
      </c>
      <c r="D42" s="95">
        <v>0</v>
      </c>
      <c r="E42" s="95">
        <v>0</v>
      </c>
      <c r="F42" s="95"/>
      <c r="G42" s="95"/>
      <c r="H42" s="95"/>
      <c r="I42" s="95">
        <v>10000</v>
      </c>
      <c r="J42" s="95">
        <v>43000</v>
      </c>
      <c r="K42" s="95"/>
      <c r="L42" s="95"/>
      <c r="M42" s="95">
        <v>2000</v>
      </c>
      <c r="N42" s="95">
        <v>2000</v>
      </c>
      <c r="O42" s="43"/>
      <c r="P42" s="72" t="str">
        <f t="shared" si="33"/>
        <v>Current Portion, LTD</v>
      </c>
      <c r="Q42" s="43"/>
      <c r="R42" s="43">
        <f t="shared" ref="R42:AA47" si="37">C42/C$38</f>
        <v>0</v>
      </c>
      <c r="S42" s="43">
        <f t="shared" si="37"/>
        <v>0</v>
      </c>
      <c r="T42" s="43">
        <f t="shared" si="37"/>
        <v>0</v>
      </c>
      <c r="U42" s="43">
        <f t="shared" si="37"/>
        <v>0</v>
      </c>
      <c r="V42" s="43"/>
      <c r="W42" s="43"/>
      <c r="X42" s="43">
        <f t="shared" si="37"/>
        <v>9.3170595360104348E-3</v>
      </c>
      <c r="Y42" s="43">
        <f t="shared" si="37"/>
        <v>3.6824526847649225E-2</v>
      </c>
      <c r="Z42" s="43"/>
      <c r="AA42" s="43"/>
      <c r="AB42" s="43"/>
      <c r="AC42" s="43"/>
      <c r="AD42" s="43"/>
      <c r="AE42" s="2"/>
    </row>
    <row r="43" spans="1:31" ht="15">
      <c r="A43" s="72" t="s">
        <v>99</v>
      </c>
      <c r="B43" s="72">
        <v>34369</v>
      </c>
      <c r="C43" s="95">
        <v>97397</v>
      </c>
      <c r="D43" s="95">
        <v>45488</v>
      </c>
      <c r="E43" s="95">
        <v>50634</v>
      </c>
      <c r="F43" s="95">
        <v>63897</v>
      </c>
      <c r="G43" s="95">
        <v>94610</v>
      </c>
      <c r="H43" s="95">
        <v>148596</v>
      </c>
      <c r="I43" s="95">
        <v>126800</v>
      </c>
      <c r="J43" s="95">
        <f>130400</f>
        <v>130400</v>
      </c>
      <c r="K43" s="95">
        <v>111700</v>
      </c>
      <c r="L43" s="95">
        <v>124100</v>
      </c>
      <c r="M43" s="95">
        <v>102500</v>
      </c>
      <c r="N43" s="95">
        <v>56700</v>
      </c>
      <c r="O43" s="43">
        <f t="shared" ref="O43:O47" si="38">RATE(5,,-H43,M43)</f>
        <v>-7.158243311937372E-2</v>
      </c>
      <c r="P43" s="72" t="str">
        <f t="shared" si="33"/>
        <v>Acounts Payable</v>
      </c>
      <c r="Q43" s="43">
        <f>B43/B$38</f>
        <v>4.7500386979788596E-2</v>
      </c>
      <c r="R43" s="43">
        <f t="shared" si="37"/>
        <v>0.11729971119777051</v>
      </c>
      <c r="S43" s="43">
        <f t="shared" si="37"/>
        <v>5.4552170429960523E-2</v>
      </c>
      <c r="T43" s="43">
        <f t="shared" si="37"/>
        <v>6.0873464608297033E-2</v>
      </c>
      <c r="U43" s="43">
        <f t="shared" si="37"/>
        <v>7.0230992776529652E-2</v>
      </c>
      <c r="V43" s="43">
        <f t="shared" si="37"/>
        <v>9.3522520135860224E-2</v>
      </c>
      <c r="W43" s="43">
        <f t="shared" si="37"/>
        <v>0.13427927769178011</v>
      </c>
      <c r="X43" s="43">
        <f t="shared" si="37"/>
        <v>0.11814031491661232</v>
      </c>
      <c r="Y43" s="43">
        <f t="shared" si="37"/>
        <v>0.1116725186263595</v>
      </c>
      <c r="Z43" s="43">
        <f t="shared" si="37"/>
        <v>8.5593869731800762E-2</v>
      </c>
      <c r="AA43" s="43">
        <f t="shared" si="37"/>
        <v>9.2674184153535955E-2</v>
      </c>
      <c r="AB43" s="43">
        <f t="shared" ref="AB43:AC47" si="39">M43/M$38</f>
        <v>7.2628073407496635E-2</v>
      </c>
      <c r="AC43" s="43">
        <f t="shared" si="39"/>
        <v>4.4279578289730573E-2</v>
      </c>
      <c r="AD43" s="43">
        <f t="shared" si="36"/>
        <v>0.10051250712715988</v>
      </c>
      <c r="AE43" s="2"/>
    </row>
    <row r="44" spans="1:31" ht="15">
      <c r="A44" s="72" t="s">
        <v>100</v>
      </c>
      <c r="B44" s="72">
        <v>22396</v>
      </c>
      <c r="C44" s="95">
        <v>25701</v>
      </c>
      <c r="D44" s="95">
        <v>23364</v>
      </c>
      <c r="E44" s="95">
        <v>21114</v>
      </c>
      <c r="F44" s="95">
        <v>23903</v>
      </c>
      <c r="G44" s="95">
        <v>31981</v>
      </c>
      <c r="H44" s="95">
        <v>27409</v>
      </c>
      <c r="I44" s="95">
        <v>32600</v>
      </c>
      <c r="J44" s="95">
        <f>32600</f>
        <v>32600</v>
      </c>
      <c r="K44" s="95">
        <v>49500</v>
      </c>
      <c r="L44" s="95">
        <v>47200</v>
      </c>
      <c r="M44" s="95">
        <v>53600</v>
      </c>
      <c r="N44" s="95">
        <v>36200</v>
      </c>
      <c r="O44" s="43">
        <f t="shared" si="38"/>
        <v>0.14354779222260208</v>
      </c>
      <c r="P44" s="72" t="str">
        <f t="shared" si="33"/>
        <v>Acounts Payable, Affiliates</v>
      </c>
      <c r="Q44" s="43">
        <f>B44/B$38</f>
        <v>3.0952854805183318E-2</v>
      </c>
      <c r="R44" s="43">
        <f t="shared" si="37"/>
        <v>3.0952902835753669E-2</v>
      </c>
      <c r="S44" s="43">
        <f t="shared" si="37"/>
        <v>2.8019629570998891E-2</v>
      </c>
      <c r="T44" s="43">
        <f t="shared" si="37"/>
        <v>2.5383780300580316E-2</v>
      </c>
      <c r="U44" s="43">
        <f t="shared" si="37"/>
        <v>2.6272460684185303E-2</v>
      </c>
      <c r="V44" s="43">
        <f t="shared" si="37"/>
        <v>3.161339939187132E-2</v>
      </c>
      <c r="W44" s="43">
        <f t="shared" si="37"/>
        <v>2.4768235499300122E-2</v>
      </c>
      <c r="X44" s="43">
        <f t="shared" si="37"/>
        <v>3.0373614087394019E-2</v>
      </c>
      <c r="Y44" s="43">
        <f t="shared" si="37"/>
        <v>2.7918129656589876E-2</v>
      </c>
      <c r="Z44" s="43">
        <f t="shared" si="37"/>
        <v>3.793103448275862E-2</v>
      </c>
      <c r="AA44" s="43">
        <f t="shared" si="37"/>
        <v>3.5247554327533417E-2</v>
      </c>
      <c r="AB44" s="43">
        <f>M44/M$38</f>
        <v>3.797916814284702E-2</v>
      </c>
      <c r="AC44" s="43">
        <f>N44/N$38</f>
        <v>2.8270206950409996E-2</v>
      </c>
      <c r="AD44" s="43">
        <f t="shared" si="36"/>
        <v>3.2812154068495566E-2</v>
      </c>
      <c r="AE44" s="2"/>
    </row>
    <row r="45" spans="1:31" ht="15">
      <c r="A45" s="76" t="s">
        <v>118</v>
      </c>
      <c r="B45" s="72">
        <v>0</v>
      </c>
      <c r="C45" s="95">
        <v>0</v>
      </c>
      <c r="D45" s="95">
        <v>0</v>
      </c>
      <c r="E45" s="95">
        <v>0</v>
      </c>
      <c r="F45" s="95">
        <v>22576</v>
      </c>
      <c r="G45" s="95">
        <v>24771</v>
      </c>
      <c r="H45" s="95">
        <v>30829</v>
      </c>
      <c r="I45" s="95">
        <v>31400</v>
      </c>
      <c r="J45" s="95">
        <f>34100</f>
        <v>34100</v>
      </c>
      <c r="K45" s="95">
        <v>34900</v>
      </c>
      <c r="L45" s="95">
        <v>30300</v>
      </c>
      <c r="M45" s="95">
        <v>26200</v>
      </c>
      <c r="N45" s="95">
        <v>9700</v>
      </c>
      <c r="O45" s="43">
        <f t="shared" si="38"/>
        <v>-3.2015572311043024E-2</v>
      </c>
      <c r="P45" s="72" t="str">
        <f t="shared" si="33"/>
        <v>Customer-credit Balances</v>
      </c>
      <c r="Q45" s="43">
        <f>B45/B$38</f>
        <v>0</v>
      </c>
      <c r="R45" s="43">
        <f t="shared" si="37"/>
        <v>0</v>
      </c>
      <c r="S45" s="43">
        <f t="shared" si="37"/>
        <v>0</v>
      </c>
      <c r="T45" s="43">
        <f t="shared" si="37"/>
        <v>0</v>
      </c>
      <c r="U45" s="43">
        <f t="shared" si="37"/>
        <v>2.4813917600559236E-2</v>
      </c>
      <c r="V45" s="43">
        <f t="shared" si="37"/>
        <v>2.4486273610457601E-2</v>
      </c>
      <c r="W45" s="43">
        <f t="shared" si="37"/>
        <v>2.7858730059758599E-2</v>
      </c>
      <c r="X45" s="43">
        <f t="shared" si="37"/>
        <v>2.9255566943072766E-2</v>
      </c>
      <c r="Y45" s="43">
        <f t="shared" si="37"/>
        <v>2.9202706174531131E-2</v>
      </c>
      <c r="Z45" s="43">
        <f t="shared" si="37"/>
        <v>2.6743295019157089E-2</v>
      </c>
      <c r="AA45" s="43">
        <f t="shared" si="37"/>
        <v>2.2627137629751326E-2</v>
      </c>
      <c r="AB45" s="43">
        <f t="shared" si="39"/>
        <v>1.8564444129525969E-2</v>
      </c>
      <c r="AC45" s="43">
        <f t="shared" si="39"/>
        <v>7.5751659508004688E-3</v>
      </c>
      <c r="AD45" s="43">
        <f t="shared" si="36"/>
        <v>2.535843822635063E-2</v>
      </c>
      <c r="AE45" s="2"/>
    </row>
    <row r="46" spans="1:31" ht="15">
      <c r="A46" s="72" t="s">
        <v>66</v>
      </c>
      <c r="B46" s="72">
        <f>2966+164+4915+4476</f>
        <v>12521</v>
      </c>
      <c r="C46" s="95">
        <f>13515+8502+4583</f>
        <v>26600</v>
      </c>
      <c r="D46" s="95">
        <f>3153+8539+5570</f>
        <v>17262</v>
      </c>
      <c r="E46" s="95">
        <f>1254+6830+5556+13282</f>
        <v>26922</v>
      </c>
      <c r="F46" s="95">
        <f>2371+4863+210+24939</f>
        <v>32383</v>
      </c>
      <c r="G46" s="95">
        <f>4226+13018+20633</f>
        <v>37877</v>
      </c>
      <c r="H46" s="99">
        <f>4308+14124</f>
        <v>18432</v>
      </c>
      <c r="I46" s="99">
        <f>4300+7600+34300</f>
        <v>46200</v>
      </c>
      <c r="J46" s="99">
        <f>4200+58100</f>
        <v>62300</v>
      </c>
      <c r="K46" s="99">
        <f>5800+45800</f>
        <v>51600</v>
      </c>
      <c r="L46" s="99">
        <f>800+5800+27200</f>
        <v>33800</v>
      </c>
      <c r="M46" s="99">
        <f>5800+2800</f>
        <v>8600</v>
      </c>
      <c r="N46" s="99">
        <f>21300+2900</f>
        <v>24200</v>
      </c>
      <c r="O46" s="51">
        <f t="shared" si="38"/>
        <v>-0.14141124162687638</v>
      </c>
      <c r="P46" s="72" t="str">
        <f t="shared" si="33"/>
        <v xml:space="preserve">Other </v>
      </c>
      <c r="Q46" s="77">
        <f>B46/B$38</f>
        <v>1.7304906903719428E-2</v>
      </c>
      <c r="R46" s="77">
        <f t="shared" si="37"/>
        <v>3.2035610109764114E-2</v>
      </c>
      <c r="S46" s="77">
        <f t="shared" si="37"/>
        <v>2.0701713989667133E-2</v>
      </c>
      <c r="T46" s="77">
        <f t="shared" si="37"/>
        <v>3.2366303554618892E-2</v>
      </c>
      <c r="U46" s="77">
        <f t="shared" si="37"/>
        <v>3.5593067578796496E-2</v>
      </c>
      <c r="V46" s="77">
        <f t="shared" si="37"/>
        <v>3.7441628740999655E-2</v>
      </c>
      <c r="W46" s="77">
        <f t="shared" si="37"/>
        <v>1.6656139104786742E-2</v>
      </c>
      <c r="X46" s="77">
        <f t="shared" si="37"/>
        <v>4.3044815056368209E-2</v>
      </c>
      <c r="Y46" s="77">
        <f t="shared" si="37"/>
        <v>5.3352744711826668E-2</v>
      </c>
      <c r="Z46" s="77">
        <f t="shared" si="37"/>
        <v>3.9540229885057468E-2</v>
      </c>
      <c r="AA46" s="77">
        <f t="shared" si="37"/>
        <v>2.5240833395564186E-2</v>
      </c>
      <c r="AB46" s="77">
        <f t="shared" si="39"/>
        <v>6.093672500531425E-3</v>
      </c>
      <c r="AC46" s="77">
        <f t="shared" si="39"/>
        <v>1.8898867629832096E-2</v>
      </c>
      <c r="AD46" s="51">
        <f t="shared" si="36"/>
        <v>2.9843500334120445E-2</v>
      </c>
      <c r="AE46" s="2"/>
    </row>
    <row r="47" spans="1:31" ht="15">
      <c r="A47" s="72" t="s">
        <v>39</v>
      </c>
      <c r="B47" s="78">
        <f t="shared" ref="B47:M47" si="40">SUM(B40:B46)</f>
        <v>148586</v>
      </c>
      <c r="C47" s="96">
        <f t="shared" si="40"/>
        <v>255298</v>
      </c>
      <c r="D47" s="96">
        <f t="shared" si="40"/>
        <v>152714</v>
      </c>
      <c r="E47" s="96">
        <f t="shared" si="40"/>
        <v>135070</v>
      </c>
      <c r="F47" s="96">
        <f t="shared" si="40"/>
        <v>194659</v>
      </c>
      <c r="G47" s="96">
        <f t="shared" si="40"/>
        <v>284439</v>
      </c>
      <c r="H47" s="96">
        <f t="shared" si="40"/>
        <v>302666</v>
      </c>
      <c r="I47" s="96">
        <f t="shared" si="40"/>
        <v>260200</v>
      </c>
      <c r="J47" s="96">
        <f t="shared" si="40"/>
        <v>375300</v>
      </c>
      <c r="K47" s="96">
        <f t="shared" si="40"/>
        <v>336000</v>
      </c>
      <c r="L47" s="96">
        <f t="shared" si="40"/>
        <v>322400</v>
      </c>
      <c r="M47" s="96">
        <f t="shared" si="40"/>
        <v>346500</v>
      </c>
      <c r="N47" s="96">
        <f t="shared" ref="N47" si="41">SUM(N40:N46)</f>
        <v>172800</v>
      </c>
      <c r="O47" s="43">
        <f t="shared" si="38"/>
        <v>2.7419774781506191E-2</v>
      </c>
      <c r="P47" s="72" t="s">
        <v>39</v>
      </c>
      <c r="Q47" s="43">
        <f>B47/B$38</f>
        <v>0.20535635310247224</v>
      </c>
      <c r="R47" s="43">
        <f t="shared" si="37"/>
        <v>0.30746718758656238</v>
      </c>
      <c r="S47" s="43">
        <f t="shared" si="37"/>
        <v>0.18314456900811182</v>
      </c>
      <c r="T47" s="43">
        <f t="shared" si="37"/>
        <v>0.1623845413090548</v>
      </c>
      <c r="U47" s="43">
        <f t="shared" si="37"/>
        <v>0.21395519074270289</v>
      </c>
      <c r="V47" s="43">
        <f t="shared" si="37"/>
        <v>0.28116956035222435</v>
      </c>
      <c r="W47" s="43">
        <f t="shared" si="37"/>
        <v>0.27350515398705427</v>
      </c>
      <c r="X47" s="43">
        <f t="shared" si="37"/>
        <v>0.24242988912699151</v>
      </c>
      <c r="Y47" s="43">
        <f t="shared" si="37"/>
        <v>0.32140104478890125</v>
      </c>
      <c r="Z47" s="43">
        <f t="shared" si="37"/>
        <v>0.25747126436781609</v>
      </c>
      <c r="AA47" s="43">
        <f t="shared" si="37"/>
        <v>0.24075871854230455</v>
      </c>
      <c r="AB47" s="43">
        <f t="shared" si="39"/>
        <v>0.24551831644583008</v>
      </c>
      <c r="AC47" s="43">
        <f t="shared" si="39"/>
        <v>0.13494728621632174</v>
      </c>
      <c r="AD47" s="43">
        <f t="shared" si="36"/>
        <v>0.26246940606258068</v>
      </c>
      <c r="AE47" s="2"/>
    </row>
    <row r="48" spans="1:31" ht="15">
      <c r="A48" s="72"/>
      <c r="B48" s="72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43"/>
      <c r="P48" s="72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2"/>
    </row>
    <row r="49" spans="1:31" ht="15">
      <c r="A49" s="72" t="s">
        <v>61</v>
      </c>
      <c r="B49" s="72">
        <v>225000</v>
      </c>
      <c r="C49" s="95">
        <v>225000</v>
      </c>
      <c r="D49" s="95">
        <v>285000</v>
      </c>
      <c r="E49" s="95">
        <v>285000</v>
      </c>
      <c r="F49" s="95">
        <v>290000</v>
      </c>
      <c r="G49" s="95">
        <v>273000</v>
      </c>
      <c r="H49" s="95">
        <v>323000</v>
      </c>
      <c r="I49" s="95">
        <v>313000</v>
      </c>
      <c r="J49" s="95">
        <f>270000</f>
        <v>270000</v>
      </c>
      <c r="K49" s="95">
        <v>370000</v>
      </c>
      <c r="L49" s="95">
        <v>370000</v>
      </c>
      <c r="M49" s="95">
        <v>368000</v>
      </c>
      <c r="N49" s="95">
        <v>368000</v>
      </c>
      <c r="O49" s="43">
        <f t="shared" ref="O49:O52" si="42">RATE(5,,-H49,M49)</f>
        <v>2.6429343830300937E-2</v>
      </c>
      <c r="P49" s="72" t="str">
        <f>A49</f>
        <v>Long-Term Debt</v>
      </c>
      <c r="Q49" s="43">
        <f t="shared" ref="Q49:AA52" si="43">B49/B$38</f>
        <v>0.31096590155234177</v>
      </c>
      <c r="R49" s="43">
        <f t="shared" si="43"/>
        <v>0.27097790506379421</v>
      </c>
      <c r="S49" s="43">
        <f t="shared" si="43"/>
        <v>0.34179055075050008</v>
      </c>
      <c r="T49" s="43">
        <f t="shared" si="43"/>
        <v>0.34263414727978542</v>
      </c>
      <c r="U49" s="43">
        <f t="shared" si="43"/>
        <v>0.31874716974495831</v>
      </c>
      <c r="V49" s="43">
        <f t="shared" si="43"/>
        <v>0.26986204415061665</v>
      </c>
      <c r="W49" s="43">
        <f t="shared" si="43"/>
        <v>0.29188004182107846</v>
      </c>
      <c r="X49" s="43">
        <f t="shared" si="43"/>
        <v>0.2916239634771266</v>
      </c>
      <c r="Y49" s="43">
        <f t="shared" si="43"/>
        <v>0.23122377322942536</v>
      </c>
      <c r="Z49" s="43">
        <f t="shared" si="43"/>
        <v>0.28352490421455939</v>
      </c>
      <c r="AA49" s="43">
        <f t="shared" si="43"/>
        <v>0.27630498095735945</v>
      </c>
      <c r="AB49" s="43">
        <f t="shared" ref="AB49:AC52" si="44">M49/M$38</f>
        <v>0.26075249769715864</v>
      </c>
      <c r="AC49" s="43">
        <f t="shared" si="44"/>
        <v>0.28738773916438892</v>
      </c>
      <c r="AD49" s="43">
        <f t="shared" si="36"/>
        <v>0.27205117263646089</v>
      </c>
      <c r="AE49" s="2"/>
    </row>
    <row r="50" spans="1:31" ht="15">
      <c r="A50" s="72" t="s">
        <v>10</v>
      </c>
      <c r="B50" s="72">
        <v>79549</v>
      </c>
      <c r="C50" s="95">
        <v>80215</v>
      </c>
      <c r="D50" s="95">
        <v>79317</v>
      </c>
      <c r="E50" s="95">
        <v>90155</v>
      </c>
      <c r="F50" s="95">
        <v>98894</v>
      </c>
      <c r="G50" s="95">
        <v>118367</v>
      </c>
      <c r="H50" s="95">
        <v>118024</v>
      </c>
      <c r="I50" s="95">
        <v>118700</v>
      </c>
      <c r="J50" s="95">
        <f>123000</f>
        <v>123000</v>
      </c>
      <c r="K50" s="95">
        <v>154000</v>
      </c>
      <c r="L50" s="95">
        <v>189000</v>
      </c>
      <c r="M50" s="95">
        <v>230300</v>
      </c>
      <c r="N50" s="95">
        <v>253700</v>
      </c>
      <c r="O50" s="43">
        <f t="shared" si="42"/>
        <v>0.14304866749530215</v>
      </c>
      <c r="P50" s="72" t="str">
        <f>A50</f>
        <v>Deferred Income Taxes</v>
      </c>
      <c r="Q50" s="43">
        <f t="shared" si="43"/>
        <v>0.10994234001149883</v>
      </c>
      <c r="R50" s="43">
        <f t="shared" si="43"/>
        <v>9.6606634020854454E-2</v>
      </c>
      <c r="S50" s="43">
        <f t="shared" si="43"/>
        <v>9.51221091714997E-2</v>
      </c>
      <c r="T50" s="43">
        <f t="shared" si="43"/>
        <v>0.10838660192283879</v>
      </c>
      <c r="U50" s="43">
        <f t="shared" si="43"/>
        <v>0.10869718139571692</v>
      </c>
      <c r="V50" s="43">
        <f t="shared" si="43"/>
        <v>0.11700644901090124</v>
      </c>
      <c r="W50" s="43">
        <f t="shared" si="43"/>
        <v>0.10665278655074602</v>
      </c>
      <c r="X50" s="43">
        <f t="shared" si="43"/>
        <v>0.11059349669244387</v>
      </c>
      <c r="Y50" s="43">
        <f t="shared" si="43"/>
        <v>0.10533527447118267</v>
      </c>
      <c r="Z50" s="43">
        <f t="shared" si="43"/>
        <v>0.11800766283524904</v>
      </c>
      <c r="AA50" s="43">
        <f t="shared" si="43"/>
        <v>0.14113957135389441</v>
      </c>
      <c r="AB50" s="43">
        <f t="shared" si="44"/>
        <v>0.16318288103167292</v>
      </c>
      <c r="AC50" s="43">
        <f t="shared" si="44"/>
        <v>0.19812573213588441</v>
      </c>
      <c r="AD50" s="43">
        <f t="shared" si="36"/>
        <v>0.1260329063048467</v>
      </c>
      <c r="AE50" s="2"/>
    </row>
    <row r="51" spans="1:31" ht="15">
      <c r="A51" s="72" t="s">
        <v>62</v>
      </c>
      <c r="B51" s="72">
        <f>5630+1394</f>
        <v>7024</v>
      </c>
      <c r="C51" s="95">
        <f>5250+507</f>
        <v>5757</v>
      </c>
      <c r="D51" s="95">
        <f>4960+5924</f>
        <v>10884</v>
      </c>
      <c r="E51" s="95">
        <f>4565+3173</f>
        <v>7738</v>
      </c>
      <c r="F51" s="95">
        <f>4652+8870+3727</f>
        <v>17249</v>
      </c>
      <c r="G51" s="95">
        <f>11634+5745+3472</f>
        <v>20851</v>
      </c>
      <c r="H51" s="99">
        <f>22249+5590+16764</f>
        <v>44603</v>
      </c>
      <c r="I51" s="99">
        <f>40000+5300+6500</f>
        <v>51800</v>
      </c>
      <c r="J51" s="99">
        <f>51200+7500</f>
        <v>58700</v>
      </c>
      <c r="K51" s="99">
        <f>53900+6500</f>
        <v>60400</v>
      </c>
      <c r="L51" s="99">
        <f>52200+6500</f>
        <v>58700</v>
      </c>
      <c r="M51" s="99">
        <f>45500+5500</f>
        <v>51000</v>
      </c>
      <c r="N51" s="99">
        <f>45800+5500</f>
        <v>51300</v>
      </c>
      <c r="O51" s="51">
        <f t="shared" si="42"/>
        <v>2.7167385195931225E-2</v>
      </c>
      <c r="P51" s="72" t="str">
        <f>A51</f>
        <v>Other Deferred Credits</v>
      </c>
      <c r="Q51" s="77">
        <f t="shared" si="43"/>
        <v>9.7076644111273279E-3</v>
      </c>
      <c r="R51" s="77">
        <f t="shared" si="43"/>
        <v>6.9334213308989484E-3</v>
      </c>
      <c r="S51" s="77">
        <f t="shared" si="43"/>
        <v>1.3052801243398046E-2</v>
      </c>
      <c r="T51" s="77">
        <f t="shared" si="43"/>
        <v>9.3028176549157186E-3</v>
      </c>
      <c r="U51" s="77">
        <f t="shared" si="43"/>
        <v>1.8958861830795811E-2</v>
      </c>
      <c r="V51" s="77">
        <f t="shared" si="43"/>
        <v>2.0611331438038488E-2</v>
      </c>
      <c r="W51" s="77">
        <f t="shared" si="43"/>
        <v>4.0305651719336102E-2</v>
      </c>
      <c r="X51" s="77">
        <f t="shared" si="43"/>
        <v>4.8262368396534056E-2</v>
      </c>
      <c r="Y51" s="77">
        <f t="shared" si="43"/>
        <v>5.0269761068767661E-2</v>
      </c>
      <c r="Z51" s="77">
        <f t="shared" si="43"/>
        <v>4.6283524904214557E-2</v>
      </c>
      <c r="AA51" s="77">
        <f t="shared" si="43"/>
        <v>4.3835411843775672E-2</v>
      </c>
      <c r="AB51" s="77">
        <f t="shared" si="44"/>
        <v>3.6136895061291009E-2</v>
      </c>
      <c r="AC51" s="77">
        <f t="shared" si="44"/>
        <v>4.006247559547052E-2</v>
      </c>
      <c r="AD51" s="51">
        <f t="shared" si="36"/>
        <v>4.3928429739272586E-2</v>
      </c>
      <c r="AE51" s="2"/>
    </row>
    <row r="52" spans="1:31" ht="15">
      <c r="A52" s="73" t="s">
        <v>63</v>
      </c>
      <c r="B52" s="78">
        <f t="shared" ref="B52:L52" si="45">SUM(B49:B51)</f>
        <v>311573</v>
      </c>
      <c r="C52" s="96">
        <f t="shared" si="45"/>
        <v>310972</v>
      </c>
      <c r="D52" s="96">
        <f t="shared" si="45"/>
        <v>375201</v>
      </c>
      <c r="E52" s="96">
        <f t="shared" si="45"/>
        <v>382893</v>
      </c>
      <c r="F52" s="96">
        <f t="shared" si="45"/>
        <v>406143</v>
      </c>
      <c r="G52" s="96">
        <f t="shared" si="45"/>
        <v>412218</v>
      </c>
      <c r="H52" s="96">
        <f t="shared" si="45"/>
        <v>485627</v>
      </c>
      <c r="I52" s="96">
        <f t="shared" si="45"/>
        <v>483500</v>
      </c>
      <c r="J52" s="96">
        <f t="shared" si="45"/>
        <v>451700</v>
      </c>
      <c r="K52" s="96">
        <f t="shared" si="45"/>
        <v>584400</v>
      </c>
      <c r="L52" s="96">
        <f t="shared" si="45"/>
        <v>617700</v>
      </c>
      <c r="M52" s="96">
        <f t="shared" ref="M52:N52" si="46">SUM(M49:M51)</f>
        <v>649300</v>
      </c>
      <c r="N52" s="96">
        <f t="shared" si="46"/>
        <v>673000</v>
      </c>
      <c r="O52" s="43">
        <f t="shared" si="42"/>
        <v>5.9811226439101542E-2</v>
      </c>
      <c r="P52" s="72" t="str">
        <f>A52</f>
        <v>Total LTD &amp; Deferrals</v>
      </c>
      <c r="Q52" s="43">
        <f t="shared" si="43"/>
        <v>0.43061590597496796</v>
      </c>
      <c r="R52" s="43">
        <f t="shared" si="43"/>
        <v>0.37451796041554763</v>
      </c>
      <c r="S52" s="43">
        <f t="shared" si="43"/>
        <v>0.44996546116539782</v>
      </c>
      <c r="T52" s="43">
        <f t="shared" si="43"/>
        <v>0.46032356685753995</v>
      </c>
      <c r="U52" s="43">
        <f t="shared" si="43"/>
        <v>0.44640321297147101</v>
      </c>
      <c r="V52" s="43">
        <f t="shared" si="43"/>
        <v>0.40747982459955634</v>
      </c>
      <c r="W52" s="43">
        <f t="shared" si="43"/>
        <v>0.43883848009116055</v>
      </c>
      <c r="X52" s="43">
        <f t="shared" si="43"/>
        <v>0.45047982856610452</v>
      </c>
      <c r="Y52" s="43">
        <f t="shared" si="43"/>
        <v>0.3868288087693757</v>
      </c>
      <c r="Z52" s="43">
        <f t="shared" si="43"/>
        <v>0.447816091954023</v>
      </c>
      <c r="AA52" s="43">
        <f t="shared" si="43"/>
        <v>0.46127996415502948</v>
      </c>
      <c r="AB52" s="43">
        <f t="shared" si="44"/>
        <v>0.46007227379012255</v>
      </c>
      <c r="AC52" s="43">
        <f t="shared" si="44"/>
        <v>0.52557594689574383</v>
      </c>
      <c r="AD52" s="43">
        <f t="shared" si="36"/>
        <v>0.44201250868058017</v>
      </c>
      <c r="AE52" s="2"/>
    </row>
    <row r="53" spans="1:31" ht="12" customHeight="1">
      <c r="A53" s="73"/>
      <c r="B53" s="72"/>
      <c r="C53" s="95"/>
      <c r="D53" s="95"/>
      <c r="E53" s="95"/>
      <c r="F53" s="95"/>
      <c r="G53" s="95"/>
      <c r="H53" s="99"/>
      <c r="I53" s="99"/>
      <c r="J53" s="99"/>
      <c r="K53" s="99"/>
      <c r="L53" s="99"/>
      <c r="M53" s="99"/>
      <c r="N53" s="99"/>
      <c r="O53" s="43"/>
      <c r="P53" s="7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:31" ht="15">
      <c r="A54" s="72" t="s">
        <v>40</v>
      </c>
      <c r="B54" s="72">
        <f t="shared" ref="B54:H54" si="47">B52+B47</f>
        <v>460159</v>
      </c>
      <c r="C54" s="95">
        <f t="shared" si="47"/>
        <v>566270</v>
      </c>
      <c r="D54" s="95">
        <f t="shared" si="47"/>
        <v>527915</v>
      </c>
      <c r="E54" s="95">
        <f t="shared" si="47"/>
        <v>517963</v>
      </c>
      <c r="F54" s="95">
        <f t="shared" si="47"/>
        <v>600802</v>
      </c>
      <c r="G54" s="95">
        <f t="shared" si="47"/>
        <v>696657</v>
      </c>
      <c r="H54" s="95">
        <f t="shared" si="47"/>
        <v>788293</v>
      </c>
      <c r="I54" s="95">
        <f t="shared" ref="I54:N54" si="48">I52+I47</f>
        <v>743700</v>
      </c>
      <c r="J54" s="95">
        <f t="shared" si="48"/>
        <v>827000</v>
      </c>
      <c r="K54" s="95">
        <f t="shared" si="48"/>
        <v>920400</v>
      </c>
      <c r="L54" s="95">
        <f t="shared" si="48"/>
        <v>940100</v>
      </c>
      <c r="M54" s="95">
        <f t="shared" si="48"/>
        <v>995800</v>
      </c>
      <c r="N54" s="95">
        <f t="shared" si="48"/>
        <v>845800</v>
      </c>
      <c r="O54" s="43">
        <f>RATE(5,,-H54,M54)</f>
        <v>4.7844625932864628E-2</v>
      </c>
      <c r="P54" s="72" t="str">
        <f>A54</f>
        <v>Total Liabilities</v>
      </c>
      <c r="Q54" s="43">
        <f t="shared" ref="Q54:AA54" si="49">B54/B$38</f>
        <v>0.63597225907744015</v>
      </c>
      <c r="R54" s="43">
        <f t="shared" si="49"/>
        <v>0.68198514800210996</v>
      </c>
      <c r="S54" s="43">
        <f t="shared" si="49"/>
        <v>0.63311003017350964</v>
      </c>
      <c r="T54" s="43">
        <f t="shared" si="49"/>
        <v>0.62270810816659472</v>
      </c>
      <c r="U54" s="43">
        <f t="shared" si="49"/>
        <v>0.66035840371417387</v>
      </c>
      <c r="V54" s="43">
        <f t="shared" si="49"/>
        <v>0.68864938495178074</v>
      </c>
      <c r="W54" s="43">
        <f t="shared" si="49"/>
        <v>0.71234363407821477</v>
      </c>
      <c r="X54" s="43">
        <f t="shared" si="49"/>
        <v>0.69290971769309606</v>
      </c>
      <c r="Y54" s="43">
        <f t="shared" si="49"/>
        <v>0.70822985355827694</v>
      </c>
      <c r="Z54" s="43">
        <f t="shared" si="49"/>
        <v>0.70528735632183903</v>
      </c>
      <c r="AA54" s="43">
        <f t="shared" si="49"/>
        <v>0.70203868269733405</v>
      </c>
      <c r="AB54" s="43">
        <f t="shared" ref="AB54:AC54" si="50">M54/M$38</f>
        <v>0.70559059023595272</v>
      </c>
      <c r="AC54" s="43">
        <f t="shared" si="50"/>
        <v>0.66052323311206562</v>
      </c>
      <c r="AD54" s="43">
        <f t="shared" si="36"/>
        <v>0.70448191474316091</v>
      </c>
      <c r="AE54" s="2"/>
    </row>
    <row r="55" spans="1:31" ht="12" customHeight="1">
      <c r="A55" s="72"/>
      <c r="B55" s="72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43"/>
      <c r="P55" s="72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2"/>
    </row>
    <row r="56" spans="1:31" ht="15">
      <c r="A56" s="72" t="s">
        <v>64</v>
      </c>
      <c r="B56" s="72">
        <v>0</v>
      </c>
      <c r="C56" s="95">
        <v>0</v>
      </c>
      <c r="D56" s="95">
        <v>0</v>
      </c>
      <c r="E56" s="95">
        <v>0</v>
      </c>
      <c r="F56" s="95"/>
      <c r="G56" s="95"/>
      <c r="H56" s="95"/>
      <c r="I56" s="95"/>
      <c r="J56" s="95"/>
      <c r="K56" s="95"/>
      <c r="L56" s="95"/>
      <c r="M56" s="95"/>
      <c r="N56" s="95"/>
      <c r="O56" s="43"/>
      <c r="P56" s="72" t="str">
        <f>A56</f>
        <v>Preferred Stock</v>
      </c>
      <c r="Q56" s="43">
        <f t="shared" ref="Q56:T56" si="51">B56/B$38</f>
        <v>0</v>
      </c>
      <c r="R56" s="43">
        <f t="shared" si="51"/>
        <v>0</v>
      </c>
      <c r="S56" s="43">
        <f t="shared" si="51"/>
        <v>0</v>
      </c>
      <c r="T56" s="43">
        <f t="shared" si="51"/>
        <v>0</v>
      </c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2"/>
    </row>
    <row r="57" spans="1:31" ht="12" customHeight="1">
      <c r="A57" s="72"/>
      <c r="B57" s="72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43"/>
      <c r="P57" s="72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2"/>
    </row>
    <row r="58" spans="1:31" ht="15.75">
      <c r="A58" s="117" t="s">
        <v>67</v>
      </c>
      <c r="B58" s="72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43"/>
      <c r="P58" s="117" t="str">
        <f>A58</f>
        <v>Common Equity:</v>
      </c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43"/>
      <c r="AE58" s="2"/>
    </row>
    <row r="59" spans="1:31" ht="15">
      <c r="A59" s="83" t="s">
        <v>5</v>
      </c>
      <c r="B59" s="72">
        <f>22974+81875</f>
        <v>104849</v>
      </c>
      <c r="C59" s="95">
        <f>22974+81875</f>
        <v>104849</v>
      </c>
      <c r="D59" s="95">
        <f>22974+121875</f>
        <v>144849</v>
      </c>
      <c r="E59" s="95">
        <f>22974+121875</f>
        <v>144849</v>
      </c>
      <c r="F59" s="95">
        <f>22974+121875</f>
        <v>144849</v>
      </c>
      <c r="G59" s="95">
        <f>22974+121875</f>
        <v>144849</v>
      </c>
      <c r="H59" s="95">
        <f>22974+115255</f>
        <v>138229</v>
      </c>
      <c r="I59" s="95">
        <f>23000+116000</f>
        <v>139000</v>
      </c>
      <c r="J59" s="95">
        <f>23000+116700</f>
        <v>139700</v>
      </c>
      <c r="K59" s="95">
        <f>23000+147900</f>
        <v>170900</v>
      </c>
      <c r="L59" s="95">
        <f>23000+148900</f>
        <v>171900</v>
      </c>
      <c r="M59" s="95">
        <f>23000+150300</f>
        <v>173300</v>
      </c>
      <c r="N59" s="95">
        <f>23000+150900</f>
        <v>173900</v>
      </c>
      <c r="O59" s="43">
        <f t="shared" ref="O59:O62" si="52">RATE(5,,-H59,M59)</f>
        <v>4.6260620011080285E-2</v>
      </c>
      <c r="P59" s="72" t="str">
        <f>A59</f>
        <v>Common Stock</v>
      </c>
      <c r="Q59" s="43">
        <f t="shared" ref="Q59:AA62" si="53">B59/B$38</f>
        <v>0.14490872805271771</v>
      </c>
      <c r="R59" s="43">
        <f t="shared" si="53"/>
        <v>0.12627449941348337</v>
      </c>
      <c r="S59" s="43">
        <f t="shared" si="53"/>
        <v>0.17371234907248839</v>
      </c>
      <c r="T59" s="43">
        <f t="shared" si="53"/>
        <v>0.17414110034852506</v>
      </c>
      <c r="U59" s="43">
        <f t="shared" si="53"/>
        <v>0.15920761651857746</v>
      </c>
      <c r="V59" s="43">
        <f t="shared" si="53"/>
        <v>0.14318405579916729</v>
      </c>
      <c r="W59" s="43">
        <f t="shared" si="53"/>
        <v>0.12491110309871781</v>
      </c>
      <c r="X59" s="43">
        <f t="shared" si="53"/>
        <v>0.12950712755054505</v>
      </c>
      <c r="Y59" s="43">
        <f t="shared" si="53"/>
        <v>0.11963689303759527</v>
      </c>
      <c r="Z59" s="43">
        <f t="shared" si="53"/>
        <v>0.13095785440613028</v>
      </c>
      <c r="AA59" s="43">
        <f t="shared" si="53"/>
        <v>0.12836980061235159</v>
      </c>
      <c r="AB59" s="43">
        <f t="shared" ref="AB59:AC62" si="54">M59/M$38</f>
        <v>0.1227945865514065</v>
      </c>
      <c r="AC59" s="43">
        <f t="shared" si="54"/>
        <v>0.13580632565404138</v>
      </c>
      <c r="AD59" s="43">
        <f t="shared" si="36"/>
        <v>0.12603358170497739</v>
      </c>
      <c r="AE59" s="2"/>
    </row>
    <row r="60" spans="1:31" ht="15">
      <c r="A60" s="83" t="s">
        <v>28</v>
      </c>
      <c r="B60" s="72">
        <v>158544</v>
      </c>
      <c r="C60" s="95">
        <v>159207</v>
      </c>
      <c r="D60" s="95">
        <v>161080</v>
      </c>
      <c r="E60" s="95">
        <v>168979</v>
      </c>
      <c r="F60" s="95">
        <v>164161</v>
      </c>
      <c r="G60" s="95">
        <v>170122</v>
      </c>
      <c r="H60" s="95">
        <v>180097</v>
      </c>
      <c r="I60" s="95">
        <v>190600</v>
      </c>
      <c r="J60" s="95">
        <f>201000</f>
        <v>201000</v>
      </c>
      <c r="K60" s="95">
        <v>213700</v>
      </c>
      <c r="L60" s="95">
        <v>227100</v>
      </c>
      <c r="M60" s="95">
        <v>242200</v>
      </c>
      <c r="N60" s="95">
        <v>260800</v>
      </c>
      <c r="O60" s="51">
        <f t="shared" si="52"/>
        <v>6.1044337639820173E-2</v>
      </c>
      <c r="P60" s="72" t="str">
        <f>A60</f>
        <v>Retained Earnings</v>
      </c>
      <c r="Q60" s="77">
        <f t="shared" si="53"/>
        <v>0.21911901286984212</v>
      </c>
      <c r="R60" s="77">
        <f t="shared" si="53"/>
        <v>0.19174035258440661</v>
      </c>
      <c r="S60" s="77">
        <f t="shared" si="53"/>
        <v>0.19317762075400194</v>
      </c>
      <c r="T60" s="77">
        <f t="shared" si="53"/>
        <v>0.20315079148488022</v>
      </c>
      <c r="U60" s="77">
        <f t="shared" si="53"/>
        <v>0.18043397976724862</v>
      </c>
      <c r="V60" s="77">
        <f t="shared" si="53"/>
        <v>0.16816655924905202</v>
      </c>
      <c r="W60" s="77">
        <f t="shared" si="53"/>
        <v>0.16274526282306737</v>
      </c>
      <c r="X60" s="77">
        <f t="shared" si="53"/>
        <v>0.17758315475635889</v>
      </c>
      <c r="Y60" s="77">
        <f t="shared" si="53"/>
        <v>0.17213325340412777</v>
      </c>
      <c r="Z60" s="77">
        <f t="shared" si="53"/>
        <v>0.16375478927203066</v>
      </c>
      <c r="AA60" s="77">
        <f t="shared" si="53"/>
        <v>0.16959151669031439</v>
      </c>
      <c r="AB60" s="77">
        <f t="shared" si="54"/>
        <v>0.17161482321264082</v>
      </c>
      <c r="AC60" s="77">
        <f t="shared" si="54"/>
        <v>0.20367044123389302</v>
      </c>
      <c r="AD60" s="51">
        <f t="shared" si="36"/>
        <v>0.16948450355186176</v>
      </c>
      <c r="AE60" s="2"/>
    </row>
    <row r="61" spans="1:31" ht="15">
      <c r="A61" s="72" t="s">
        <v>68</v>
      </c>
      <c r="B61" s="78">
        <f t="shared" ref="B61:K61" si="55">SUM(B58:B60)</f>
        <v>263393</v>
      </c>
      <c r="C61" s="96">
        <f t="shared" si="55"/>
        <v>264056</v>
      </c>
      <c r="D61" s="96">
        <f t="shared" si="55"/>
        <v>305929</v>
      </c>
      <c r="E61" s="96">
        <f t="shared" si="55"/>
        <v>313828</v>
      </c>
      <c r="F61" s="96">
        <f t="shared" si="55"/>
        <v>309010</v>
      </c>
      <c r="G61" s="96">
        <f t="shared" si="55"/>
        <v>314971</v>
      </c>
      <c r="H61" s="96">
        <f t="shared" si="55"/>
        <v>318326</v>
      </c>
      <c r="I61" s="96">
        <f t="shared" si="55"/>
        <v>329600</v>
      </c>
      <c r="J61" s="96">
        <f t="shared" si="55"/>
        <v>340700</v>
      </c>
      <c r="K61" s="96">
        <f t="shared" si="55"/>
        <v>384600</v>
      </c>
      <c r="L61" s="96">
        <f t="shared" ref="L61" si="56">SUM(L58:L60)</f>
        <v>399000</v>
      </c>
      <c r="M61" s="96">
        <f t="shared" ref="M61:N61" si="57">SUM(M58:M60)</f>
        <v>415500</v>
      </c>
      <c r="N61" s="96">
        <f t="shared" si="57"/>
        <v>434700</v>
      </c>
      <c r="O61" s="178">
        <f t="shared" si="52"/>
        <v>5.4726318868210409E-2</v>
      </c>
      <c r="P61" s="72" t="str">
        <f>A61</f>
        <v>Total Common Equity</v>
      </c>
      <c r="Q61" s="77">
        <f t="shared" si="53"/>
        <v>0.36402774092255979</v>
      </c>
      <c r="R61" s="77">
        <f t="shared" si="53"/>
        <v>0.31801485199788998</v>
      </c>
      <c r="S61" s="77">
        <f t="shared" si="53"/>
        <v>0.3668899698264903</v>
      </c>
      <c r="T61" s="77">
        <f t="shared" si="53"/>
        <v>0.37729189183340528</v>
      </c>
      <c r="U61" s="77">
        <f t="shared" si="53"/>
        <v>0.33964159628582608</v>
      </c>
      <c r="V61" s="77">
        <f t="shared" si="53"/>
        <v>0.31135061504821931</v>
      </c>
      <c r="W61" s="77">
        <f t="shared" si="53"/>
        <v>0.28765636592178517</v>
      </c>
      <c r="X61" s="77">
        <f t="shared" si="53"/>
        <v>0.30709028230690394</v>
      </c>
      <c r="Y61" s="77">
        <f t="shared" si="53"/>
        <v>0.29177014644172306</v>
      </c>
      <c r="Z61" s="77">
        <f t="shared" si="53"/>
        <v>0.29471264367816091</v>
      </c>
      <c r="AA61" s="77">
        <f t="shared" si="53"/>
        <v>0.29796131730266595</v>
      </c>
      <c r="AB61" s="77">
        <f t="shared" si="54"/>
        <v>0.29440940976404734</v>
      </c>
      <c r="AC61" s="77">
        <f t="shared" si="54"/>
        <v>0.33947676688793438</v>
      </c>
      <c r="AD61" s="178">
        <f t="shared" si="36"/>
        <v>0.29551808525683915</v>
      </c>
      <c r="AE61" s="2"/>
    </row>
    <row r="62" spans="1:31" ht="15.75" thickBot="1">
      <c r="A62" s="72" t="s">
        <v>41</v>
      </c>
      <c r="B62" s="84">
        <f t="shared" ref="B62:K62" si="58">B61+B54+B56</f>
        <v>723552</v>
      </c>
      <c r="C62" s="100">
        <f t="shared" si="58"/>
        <v>830326</v>
      </c>
      <c r="D62" s="100">
        <f t="shared" si="58"/>
        <v>833844</v>
      </c>
      <c r="E62" s="100">
        <f t="shared" si="58"/>
        <v>831791</v>
      </c>
      <c r="F62" s="100">
        <f t="shared" si="58"/>
        <v>909812</v>
      </c>
      <c r="G62" s="100">
        <f t="shared" si="58"/>
        <v>1011628</v>
      </c>
      <c r="H62" s="100">
        <f t="shared" si="58"/>
        <v>1106619</v>
      </c>
      <c r="I62" s="100">
        <f t="shared" si="58"/>
        <v>1073300</v>
      </c>
      <c r="J62" s="100">
        <f t="shared" si="58"/>
        <v>1167700</v>
      </c>
      <c r="K62" s="100">
        <f t="shared" si="58"/>
        <v>1305000</v>
      </c>
      <c r="L62" s="100">
        <f t="shared" ref="L62" si="59">L61+L54+L56</f>
        <v>1339100</v>
      </c>
      <c r="M62" s="100">
        <f t="shared" ref="M62:N62" si="60">M61+M54+M56</f>
        <v>1411300</v>
      </c>
      <c r="N62" s="100">
        <f t="shared" si="60"/>
        <v>1280500</v>
      </c>
      <c r="O62" s="179">
        <f t="shared" si="52"/>
        <v>4.9842726724598024E-2</v>
      </c>
      <c r="P62" s="72" t="str">
        <f>A62</f>
        <v>Total Liabilities &amp; Equity</v>
      </c>
      <c r="Q62" s="85">
        <f t="shared" si="53"/>
        <v>1</v>
      </c>
      <c r="R62" s="85">
        <f t="shared" si="53"/>
        <v>1</v>
      </c>
      <c r="S62" s="85">
        <f t="shared" si="53"/>
        <v>1</v>
      </c>
      <c r="T62" s="85">
        <f t="shared" si="53"/>
        <v>1</v>
      </c>
      <c r="U62" s="85">
        <f t="shared" si="53"/>
        <v>1</v>
      </c>
      <c r="V62" s="85">
        <f t="shared" si="53"/>
        <v>1</v>
      </c>
      <c r="W62" s="85">
        <f t="shared" si="53"/>
        <v>1</v>
      </c>
      <c r="X62" s="85">
        <f t="shared" si="53"/>
        <v>1</v>
      </c>
      <c r="Y62" s="85">
        <f t="shared" si="53"/>
        <v>1</v>
      </c>
      <c r="Z62" s="85">
        <f t="shared" si="53"/>
        <v>1</v>
      </c>
      <c r="AA62" s="85">
        <f t="shared" si="53"/>
        <v>1</v>
      </c>
      <c r="AB62" s="85">
        <f t="shared" si="54"/>
        <v>1</v>
      </c>
      <c r="AC62" s="85">
        <f t="shared" si="54"/>
        <v>1</v>
      </c>
      <c r="AD62" s="179">
        <f t="shared" si="36"/>
        <v>1</v>
      </c>
      <c r="AE62" s="2"/>
    </row>
    <row r="63" spans="1:31" ht="15.75" thickTop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43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43"/>
      <c r="AE63" s="2"/>
    </row>
    <row r="64" spans="1:31" ht="1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43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2"/>
    </row>
    <row r="65" spans="1:3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AE65" s="2"/>
    </row>
    <row r="66" spans="1:3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91" t="s">
        <v>117</v>
      </c>
      <c r="P66" s="2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91" t="s">
        <v>117</v>
      </c>
      <c r="AE66" s="2"/>
    </row>
    <row r="67" spans="1:3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53" t="s">
        <v>187</v>
      </c>
      <c r="P67" s="2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153" t="s">
        <v>190</v>
      </c>
      <c r="AE67" s="2"/>
    </row>
    <row r="68" spans="1:31" ht="20.25">
      <c r="A68" s="64" t="str">
        <f>A3</f>
        <v>Questar Gas Company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/>
      <c r="P68" s="64" t="str">
        <f>A3</f>
        <v>Questar Gas Company</v>
      </c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7"/>
      <c r="AE68" s="2"/>
    </row>
    <row r="69" spans="1:31" ht="15.75">
      <c r="A69" s="65" t="s">
        <v>13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86"/>
      <c r="P69" s="65" t="s">
        <v>45</v>
      </c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7"/>
      <c r="AE69" s="2"/>
    </row>
    <row r="70" spans="1:31" ht="15.75">
      <c r="A70" s="68" t="str">
        <f>A5</f>
        <v>Years Ended December 31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86"/>
      <c r="P70" s="65" t="s">
        <v>13</v>
      </c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7"/>
      <c r="AE70" s="2"/>
    </row>
    <row r="71" spans="1:31" ht="15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86"/>
      <c r="P71" s="65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7"/>
      <c r="AE71" s="2"/>
    </row>
    <row r="72" spans="1:31" ht="15.75">
      <c r="A72" s="128" t="s">
        <v>134</v>
      </c>
      <c r="B72" s="87"/>
      <c r="C72" s="87"/>
      <c r="D72" s="87"/>
      <c r="E72" s="87"/>
      <c r="F72" s="87"/>
      <c r="G72" s="87"/>
      <c r="H72" s="87"/>
      <c r="I72" s="89"/>
      <c r="J72" s="106"/>
      <c r="K72" s="121"/>
      <c r="L72" s="121"/>
      <c r="M72" s="121"/>
      <c r="N72" s="196"/>
      <c r="O72" s="119" t="str">
        <f>O7</f>
        <v>2005 to 2010</v>
      </c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8"/>
      <c r="AE72" s="2"/>
    </row>
    <row r="73" spans="1:31" ht="15" customHeight="1">
      <c r="A73" s="87"/>
      <c r="B73" s="87"/>
      <c r="C73" s="87"/>
      <c r="D73" s="87"/>
      <c r="E73" s="87"/>
      <c r="F73" s="87"/>
      <c r="G73" s="87"/>
      <c r="H73" s="89"/>
      <c r="I73" s="89"/>
      <c r="J73" s="89"/>
      <c r="K73" s="90"/>
      <c r="L73" s="90"/>
      <c r="M73" s="90"/>
      <c r="N73" s="194" t="str">
        <f t="shared" ref="N73:N74" si="61">+N8</f>
        <v>2nd Qrtr</v>
      </c>
      <c r="O73" s="122" t="s">
        <v>3</v>
      </c>
      <c r="P73" s="87"/>
      <c r="Q73" s="87"/>
      <c r="R73" s="87"/>
      <c r="S73" s="87"/>
      <c r="T73" s="87"/>
      <c r="U73" s="87"/>
      <c r="V73" s="87"/>
      <c r="W73" s="89"/>
      <c r="X73" s="89"/>
      <c r="Y73" s="89"/>
      <c r="Z73" s="90"/>
      <c r="AA73" s="90"/>
      <c r="AB73" s="90"/>
      <c r="AC73" s="90" t="str">
        <f>+N73</f>
        <v>2nd Qrtr</v>
      </c>
      <c r="AD73" s="119" t="str">
        <f>O7</f>
        <v>2005 to 2010</v>
      </c>
      <c r="AE73" s="2"/>
    </row>
    <row r="74" spans="1:31" ht="15.75">
      <c r="A74" s="94" t="s">
        <v>0</v>
      </c>
      <c r="B74" s="93">
        <f>B9</f>
        <v>1999</v>
      </c>
      <c r="C74" s="93">
        <f t="shared" ref="C74:J74" si="62">B74+1</f>
        <v>2000</v>
      </c>
      <c r="D74" s="93">
        <f t="shared" si="62"/>
        <v>2001</v>
      </c>
      <c r="E74" s="93">
        <f t="shared" si="62"/>
        <v>2002</v>
      </c>
      <c r="F74" s="93">
        <f t="shared" si="62"/>
        <v>2003</v>
      </c>
      <c r="G74" s="93">
        <f t="shared" si="62"/>
        <v>2004</v>
      </c>
      <c r="H74" s="93">
        <f t="shared" si="62"/>
        <v>2005</v>
      </c>
      <c r="I74" s="93">
        <f t="shared" si="62"/>
        <v>2006</v>
      </c>
      <c r="J74" s="93">
        <f t="shared" si="62"/>
        <v>2007</v>
      </c>
      <c r="K74" s="93">
        <f>J74+1</f>
        <v>2008</v>
      </c>
      <c r="L74" s="93">
        <f>+L9</f>
        <v>2009</v>
      </c>
      <c r="M74" s="93">
        <f>+M9</f>
        <v>2010</v>
      </c>
      <c r="N74" s="195">
        <f t="shared" si="61"/>
        <v>2011</v>
      </c>
      <c r="O74" s="120" t="s">
        <v>24</v>
      </c>
      <c r="P74" s="94" t="s">
        <v>0</v>
      </c>
      <c r="Q74" s="93">
        <f t="shared" ref="Q74:Z74" si="63">B74</f>
        <v>1999</v>
      </c>
      <c r="R74" s="93">
        <f t="shared" si="63"/>
        <v>2000</v>
      </c>
      <c r="S74" s="93">
        <f t="shared" si="63"/>
        <v>2001</v>
      </c>
      <c r="T74" s="93">
        <f t="shared" si="63"/>
        <v>2002</v>
      </c>
      <c r="U74" s="93">
        <f t="shared" si="63"/>
        <v>2003</v>
      </c>
      <c r="V74" s="93">
        <f t="shared" si="63"/>
        <v>2004</v>
      </c>
      <c r="W74" s="93">
        <f t="shared" si="63"/>
        <v>2005</v>
      </c>
      <c r="X74" s="93">
        <f t="shared" si="63"/>
        <v>2006</v>
      </c>
      <c r="Y74" s="93">
        <f t="shared" si="63"/>
        <v>2007</v>
      </c>
      <c r="Z74" s="93">
        <f t="shared" si="63"/>
        <v>2008</v>
      </c>
      <c r="AA74" s="93">
        <f>+L74</f>
        <v>2009</v>
      </c>
      <c r="AB74" s="93">
        <f>+AB9</f>
        <v>2010</v>
      </c>
      <c r="AC74" s="93">
        <f>+AC9</f>
        <v>2011</v>
      </c>
      <c r="AD74" s="120" t="s">
        <v>2</v>
      </c>
      <c r="AE74" s="2"/>
    </row>
    <row r="75" spans="1:31" ht="15" customHeight="1">
      <c r="A75" s="73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5"/>
      <c r="P75" s="73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5"/>
      <c r="AE75" s="2"/>
    </row>
    <row r="76" spans="1:31" ht="15.75">
      <c r="A76" s="117" t="s">
        <v>22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43"/>
      <c r="P76" s="117" t="s">
        <v>21</v>
      </c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7"/>
    </row>
    <row r="77" spans="1:31" ht="15">
      <c r="A77" s="72" t="s">
        <v>129</v>
      </c>
      <c r="B77" s="101">
        <f>449937-B78</f>
        <v>192672</v>
      </c>
      <c r="C77" s="107">
        <f>536762-C78</f>
        <v>202569</v>
      </c>
      <c r="D77" s="107">
        <f>704113-D78</f>
        <v>205568</v>
      </c>
      <c r="E77" s="107">
        <f>595511-E78</f>
        <v>225217</v>
      </c>
      <c r="F77" s="95">
        <v>226472</v>
      </c>
      <c r="G77" s="95">
        <v>228065</v>
      </c>
      <c r="H77" s="95">
        <v>242374</v>
      </c>
      <c r="I77" s="108">
        <v>242800</v>
      </c>
      <c r="J77" s="109">
        <v>245300</v>
      </c>
      <c r="K77" s="109">
        <v>263400</v>
      </c>
      <c r="L77" s="109">
        <f>919900-626600</f>
        <v>293300</v>
      </c>
      <c r="M77" s="109">
        <v>310700</v>
      </c>
      <c r="N77" s="109">
        <f>579700-398500</f>
        <v>181200</v>
      </c>
      <c r="O77" s="43">
        <f t="shared" ref="O77:O79" si="64">RATE(5,,-H77,M77)</f>
        <v>5.0923357402338942E-2</v>
      </c>
      <c r="P77" s="72" t="str">
        <f>A77</f>
        <v>Revenues</v>
      </c>
      <c r="Q77" s="43">
        <f t="shared" ref="Q77:AC79" si="65">B77/B$79</f>
        <v>0.42821995079311104</v>
      </c>
      <c r="R77" s="43">
        <f t="shared" si="65"/>
        <v>0.37739072438063798</v>
      </c>
      <c r="S77" s="43">
        <f t="shared" si="65"/>
        <v>0.29195313820366903</v>
      </c>
      <c r="T77" s="43">
        <f t="shared" si="65"/>
        <v>0.37819116691379334</v>
      </c>
      <c r="U77" s="43">
        <f t="shared" si="65"/>
        <v>0.36469214727976879</v>
      </c>
      <c r="V77" s="43">
        <f t="shared" si="65"/>
        <v>0.2984390069000894</v>
      </c>
      <c r="W77" s="43">
        <f t="shared" si="65"/>
        <v>0.25180484693214983</v>
      </c>
      <c r="X77" s="43">
        <f t="shared" si="65"/>
        <v>0.22806687957918467</v>
      </c>
      <c r="Y77" s="43">
        <f t="shared" si="65"/>
        <v>0.26305630026809651</v>
      </c>
      <c r="Z77" s="43">
        <f t="shared" si="65"/>
        <v>0.26332100369889033</v>
      </c>
      <c r="AA77" s="43">
        <f t="shared" si="65"/>
        <v>0.31883900423959127</v>
      </c>
      <c r="AB77" s="43">
        <f t="shared" si="65"/>
        <v>0.34411341233802195</v>
      </c>
      <c r="AC77" s="43">
        <f t="shared" si="65"/>
        <v>0.31257547007072622</v>
      </c>
      <c r="AD77" s="43">
        <f>SUM(H77:M77)/SUM(H$79:M$79)</f>
        <v>0.27631746642210009</v>
      </c>
      <c r="AE77" s="2"/>
    </row>
    <row r="78" spans="1:31" ht="15">
      <c r="A78" s="72" t="s">
        <v>130</v>
      </c>
      <c r="B78" s="101">
        <f>B82+B83</f>
        <v>257265</v>
      </c>
      <c r="C78" s="107">
        <f>C82+C83</f>
        <v>334193</v>
      </c>
      <c r="D78" s="107">
        <f>D82+D83</f>
        <v>498545</v>
      </c>
      <c r="E78" s="107">
        <f>E82+E83</f>
        <v>370294</v>
      </c>
      <c r="F78" s="107">
        <v>394523</v>
      </c>
      <c r="G78" s="107">
        <v>536128</v>
      </c>
      <c r="H78" s="107">
        <v>720173</v>
      </c>
      <c r="I78" s="108">
        <v>821800</v>
      </c>
      <c r="J78" s="109">
        <v>687200</v>
      </c>
      <c r="K78" s="109">
        <v>736900</v>
      </c>
      <c r="L78" s="109">
        <f>305600+321000</f>
        <v>626600</v>
      </c>
      <c r="M78" s="109">
        <v>592200</v>
      </c>
      <c r="N78" s="109">
        <v>398500</v>
      </c>
      <c r="O78" s="51">
        <f t="shared" si="64"/>
        <v>-3.8373742048109095E-2</v>
      </c>
      <c r="P78" s="72" t="str">
        <f>A78</f>
        <v>Commodity Pass Through</v>
      </c>
      <c r="Q78" s="77">
        <f t="shared" si="65"/>
        <v>0.57178004920688896</v>
      </c>
      <c r="R78" s="77">
        <f t="shared" si="65"/>
        <v>0.62260927561936208</v>
      </c>
      <c r="S78" s="77">
        <f t="shared" si="65"/>
        <v>0.70804686179633103</v>
      </c>
      <c r="T78" s="77">
        <f t="shared" si="65"/>
        <v>0.6218088330862066</v>
      </c>
      <c r="U78" s="77">
        <f t="shared" si="65"/>
        <v>0.63530785272023127</v>
      </c>
      <c r="V78" s="77">
        <f t="shared" si="65"/>
        <v>0.7015609930999106</v>
      </c>
      <c r="W78" s="77">
        <f t="shared" si="65"/>
        <v>0.74819515306785023</v>
      </c>
      <c r="X78" s="77">
        <f t="shared" si="65"/>
        <v>0.7719331204208153</v>
      </c>
      <c r="Y78" s="77">
        <f t="shared" si="65"/>
        <v>0.73694369973190343</v>
      </c>
      <c r="Z78" s="77">
        <f t="shared" si="65"/>
        <v>0.73667899630110967</v>
      </c>
      <c r="AA78" s="77">
        <f t="shared" si="65"/>
        <v>0.68116099576040878</v>
      </c>
      <c r="AB78" s="77">
        <f t="shared" si="65"/>
        <v>0.65588658766197805</v>
      </c>
      <c r="AC78" s="77">
        <f t="shared" si="65"/>
        <v>0.68742452992927372</v>
      </c>
      <c r="AD78" s="51">
        <f t="shared" ref="AD78:AD79" si="66">SUM(H78:M78)/SUM(H$79:M$79)</f>
        <v>0.72368253357789991</v>
      </c>
      <c r="AE78" s="2"/>
    </row>
    <row r="79" spans="1:31" ht="15">
      <c r="A79" s="72" t="s">
        <v>54</v>
      </c>
      <c r="B79" s="103">
        <f t="shared" ref="B79:J79" si="67">SUM(B76:B78)</f>
        <v>449937</v>
      </c>
      <c r="C79" s="110">
        <f t="shared" si="67"/>
        <v>536762</v>
      </c>
      <c r="D79" s="110">
        <f t="shared" si="67"/>
        <v>704113</v>
      </c>
      <c r="E79" s="110">
        <f t="shared" si="67"/>
        <v>595511</v>
      </c>
      <c r="F79" s="110">
        <f t="shared" si="67"/>
        <v>620995</v>
      </c>
      <c r="G79" s="110">
        <f t="shared" si="67"/>
        <v>764193</v>
      </c>
      <c r="H79" s="110">
        <f t="shared" si="67"/>
        <v>962547</v>
      </c>
      <c r="I79" s="111">
        <f t="shared" si="67"/>
        <v>1064600</v>
      </c>
      <c r="J79" s="111">
        <f t="shared" si="67"/>
        <v>932500</v>
      </c>
      <c r="K79" s="111">
        <f>SUM(K76:K78)</f>
        <v>1000300</v>
      </c>
      <c r="L79" s="111">
        <f>SUM(L76:L78)</f>
        <v>919900</v>
      </c>
      <c r="M79" s="111">
        <f>SUM(M76:M78)</f>
        <v>902900</v>
      </c>
      <c r="N79" s="111">
        <f>SUM(N76:N78)</f>
        <v>579700</v>
      </c>
      <c r="O79" s="43">
        <f t="shared" si="64"/>
        <v>-1.2712720094086636E-2</v>
      </c>
      <c r="P79" s="72" t="str">
        <f>A79</f>
        <v>Total Revenues</v>
      </c>
      <c r="Q79" s="43">
        <f t="shared" si="65"/>
        <v>1</v>
      </c>
      <c r="R79" s="43">
        <f t="shared" si="65"/>
        <v>1</v>
      </c>
      <c r="S79" s="43">
        <f t="shared" si="65"/>
        <v>1</v>
      </c>
      <c r="T79" s="43">
        <f t="shared" si="65"/>
        <v>1</v>
      </c>
      <c r="U79" s="43">
        <f t="shared" si="65"/>
        <v>1</v>
      </c>
      <c r="V79" s="43">
        <f t="shared" si="65"/>
        <v>1</v>
      </c>
      <c r="W79" s="43">
        <f t="shared" si="65"/>
        <v>1</v>
      </c>
      <c r="X79" s="43">
        <f t="shared" si="65"/>
        <v>1</v>
      </c>
      <c r="Y79" s="43">
        <f t="shared" si="65"/>
        <v>1</v>
      </c>
      <c r="Z79" s="43">
        <f t="shared" si="65"/>
        <v>1</v>
      </c>
      <c r="AA79" s="43">
        <f t="shared" si="65"/>
        <v>1</v>
      </c>
      <c r="AB79" s="43">
        <f t="shared" si="65"/>
        <v>1</v>
      </c>
      <c r="AC79" s="43">
        <f t="shared" si="65"/>
        <v>1</v>
      </c>
      <c r="AD79" s="43">
        <f t="shared" si="66"/>
        <v>1</v>
      </c>
      <c r="AE79" s="2"/>
    </row>
    <row r="80" spans="1:31" ht="15">
      <c r="A80" s="72"/>
      <c r="B80" s="101"/>
      <c r="C80" s="107"/>
      <c r="D80" s="107"/>
      <c r="E80" s="107"/>
      <c r="F80" s="107"/>
      <c r="G80" s="107"/>
      <c r="H80" s="107"/>
      <c r="I80" s="108"/>
      <c r="J80" s="109"/>
      <c r="K80" s="109"/>
      <c r="L80" s="109"/>
      <c r="M80" s="109"/>
      <c r="N80" s="109"/>
      <c r="O80" s="43"/>
      <c r="P80" s="72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2"/>
    </row>
    <row r="81" spans="1:38" ht="15.75">
      <c r="A81" s="117" t="s">
        <v>20</v>
      </c>
      <c r="B81" s="101"/>
      <c r="C81" s="107"/>
      <c r="D81" s="107"/>
      <c r="E81" s="107"/>
      <c r="F81" s="107"/>
      <c r="G81" s="107"/>
      <c r="H81" s="107"/>
      <c r="I81" s="108"/>
      <c r="J81" s="109"/>
      <c r="K81" s="109"/>
      <c r="L81" s="144"/>
      <c r="M81" s="109"/>
      <c r="N81" s="109"/>
      <c r="O81" s="43"/>
      <c r="P81" s="117" t="s">
        <v>20</v>
      </c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2"/>
    </row>
    <row r="82" spans="1:38" ht="15">
      <c r="A82" s="104" t="s">
        <v>101</v>
      </c>
      <c r="B82" s="101">
        <v>106305</v>
      </c>
      <c r="C82" s="107">
        <v>167995</v>
      </c>
      <c r="D82" s="107">
        <v>325150</v>
      </c>
      <c r="E82" s="107">
        <v>190515</v>
      </c>
      <c r="F82" s="107">
        <v>201371</v>
      </c>
      <c r="G82" s="107">
        <v>324393</v>
      </c>
      <c r="H82" s="107">
        <v>484182</v>
      </c>
      <c r="I82" s="108">
        <v>569800</v>
      </c>
      <c r="J82" s="109">
        <v>441200</v>
      </c>
      <c r="K82" s="109">
        <v>304200</v>
      </c>
      <c r="L82" s="109">
        <v>305600</v>
      </c>
      <c r="M82" s="109">
        <v>278500</v>
      </c>
      <c r="N82" s="109">
        <v>398500</v>
      </c>
      <c r="O82" s="43">
        <f t="shared" ref="O82:O86" si="68">RATE(5,,-H82,M82)</f>
        <v>-0.10471086941575905</v>
      </c>
      <c r="P82" s="118" t="str">
        <f t="shared" ref="P82:P88" si="69">A82</f>
        <v xml:space="preserve">   Cost of Natural Gas Sold</v>
      </c>
      <c r="Q82" s="43">
        <f t="shared" ref="Q82:AC90" si="70">B82/B$79</f>
        <v>0.23626641063082165</v>
      </c>
      <c r="R82" s="43">
        <f t="shared" si="70"/>
        <v>0.31297856405632291</v>
      </c>
      <c r="S82" s="43">
        <f t="shared" si="70"/>
        <v>0.46178667344588153</v>
      </c>
      <c r="T82" s="43">
        <f t="shared" si="70"/>
        <v>0.31991852375522872</v>
      </c>
      <c r="U82" s="43">
        <f t="shared" si="70"/>
        <v>0.324271531976908</v>
      </c>
      <c r="V82" s="43">
        <f t="shared" si="70"/>
        <v>0.42449093357306333</v>
      </c>
      <c r="W82" s="43">
        <f t="shared" si="70"/>
        <v>0.5030216706301095</v>
      </c>
      <c r="X82" s="43">
        <f t="shared" si="70"/>
        <v>0.53522449746383616</v>
      </c>
      <c r="Y82" s="43">
        <f t="shared" si="70"/>
        <v>0.47313672922252009</v>
      </c>
      <c r="Z82" s="43">
        <f t="shared" si="70"/>
        <v>0.30410876736978909</v>
      </c>
      <c r="AA82" s="43">
        <f t="shared" si="70"/>
        <v>0.33221002282856832</v>
      </c>
      <c r="AB82" s="43">
        <f t="shared" si="70"/>
        <v>0.30845054823346996</v>
      </c>
      <c r="AC82" s="43">
        <f t="shared" si="70"/>
        <v>0.68742452992927372</v>
      </c>
      <c r="AD82" s="43">
        <f t="shared" ref="AD82:AD90" si="71">SUM(H82:M82)/SUM(H$79:M$79)</f>
        <v>0.41217123972395819</v>
      </c>
      <c r="AE82" s="3">
        <f t="shared" ref="AE82:AK82" si="72">+V82+V83</f>
        <v>0.7015609930999106</v>
      </c>
      <c r="AF82" s="3">
        <f t="shared" si="72"/>
        <v>0.74819515306785023</v>
      </c>
      <c r="AG82" s="3">
        <f t="shared" si="72"/>
        <v>0.7719331204208153</v>
      </c>
      <c r="AH82" s="3">
        <f t="shared" si="72"/>
        <v>0.73694369973190343</v>
      </c>
      <c r="AI82" s="3">
        <f t="shared" si="72"/>
        <v>0.73667899630110967</v>
      </c>
      <c r="AJ82" s="3">
        <f t="shared" si="72"/>
        <v>0.68116099576040878</v>
      </c>
      <c r="AK82" s="3">
        <f t="shared" si="72"/>
        <v>0.65588658766197816</v>
      </c>
      <c r="AL82" s="3">
        <f t="shared" ref="AL82" si="73">+AD82+AD83</f>
        <v>0.72368253357789991</v>
      </c>
    </row>
    <row r="83" spans="1:38" ht="15">
      <c r="A83" s="104" t="s">
        <v>133</v>
      </c>
      <c r="B83" s="101">
        <v>150960</v>
      </c>
      <c r="C83" s="107">
        <v>166198</v>
      </c>
      <c r="D83" s="107">
        <v>173395</v>
      </c>
      <c r="E83" s="107">
        <v>179779</v>
      </c>
      <c r="F83" s="107">
        <v>193152</v>
      </c>
      <c r="G83" s="107">
        <v>211735</v>
      </c>
      <c r="H83" s="112">
        <v>235991</v>
      </c>
      <c r="I83" s="113">
        <v>252000</v>
      </c>
      <c r="J83" s="107">
        <v>246000</v>
      </c>
      <c r="K83" s="107">
        <v>432700</v>
      </c>
      <c r="L83" s="107">
        <v>321000</v>
      </c>
      <c r="M83" s="107">
        <v>313700</v>
      </c>
      <c r="N83" s="107"/>
      <c r="O83" s="43">
        <f t="shared" si="68"/>
        <v>5.858031959847014E-2</v>
      </c>
      <c r="P83" s="118" t="str">
        <f t="shared" si="69"/>
        <v xml:space="preserve">   Cost of Natural Gas Sold - Affiliates</v>
      </c>
      <c r="Q83" s="43">
        <f t="shared" si="70"/>
        <v>0.33551363857606731</v>
      </c>
      <c r="R83" s="43">
        <f t="shared" si="70"/>
        <v>0.30963071156303912</v>
      </c>
      <c r="S83" s="43">
        <f t="shared" si="70"/>
        <v>0.24626018835044944</v>
      </c>
      <c r="T83" s="43">
        <f t="shared" si="70"/>
        <v>0.30189030933097794</v>
      </c>
      <c r="U83" s="43">
        <f t="shared" si="70"/>
        <v>0.31103632074332321</v>
      </c>
      <c r="V83" s="43">
        <f t="shared" si="70"/>
        <v>0.27707005952684727</v>
      </c>
      <c r="W83" s="43">
        <f t="shared" si="70"/>
        <v>0.2451734824377407</v>
      </c>
      <c r="X83" s="43">
        <f t="shared" si="70"/>
        <v>0.23670862295697914</v>
      </c>
      <c r="Y83" s="43">
        <f t="shared" si="70"/>
        <v>0.2638069705093834</v>
      </c>
      <c r="Z83" s="43">
        <f t="shared" si="70"/>
        <v>0.43257022893132058</v>
      </c>
      <c r="AA83" s="43">
        <f t="shared" si="70"/>
        <v>0.34895097293184041</v>
      </c>
      <c r="AB83" s="43">
        <f t="shared" si="70"/>
        <v>0.34743603942850815</v>
      </c>
      <c r="AC83" s="43">
        <f t="shared" si="70"/>
        <v>0</v>
      </c>
      <c r="AD83" s="43">
        <f t="shared" si="71"/>
        <v>0.31151129385394172</v>
      </c>
      <c r="AE83" s="2"/>
    </row>
    <row r="84" spans="1:38" ht="15">
      <c r="A84" s="104" t="s">
        <v>102</v>
      </c>
      <c r="B84" s="101">
        <v>103308</v>
      </c>
      <c r="C84" s="107">
        <v>101486</v>
      </c>
      <c r="D84" s="107">
        <v>103427</v>
      </c>
      <c r="E84" s="107">
        <v>105544</v>
      </c>
      <c r="F84" s="107">
        <v>100279</v>
      </c>
      <c r="G84" s="107">
        <f>104786-200</f>
        <v>104586</v>
      </c>
      <c r="H84" s="107">
        <f>73834</f>
        <v>73834</v>
      </c>
      <c r="I84" s="108">
        <f>73200</f>
        <v>73200</v>
      </c>
      <c r="J84" s="109">
        <v>73400</v>
      </c>
      <c r="K84" s="109">
        <f>87100</f>
        <v>87100</v>
      </c>
      <c r="L84" s="109">
        <f>106400</f>
        <v>106400</v>
      </c>
      <c r="M84" s="109">
        <v>114400</v>
      </c>
      <c r="N84" s="109">
        <v>61800</v>
      </c>
      <c r="O84" s="43">
        <f t="shared" si="68"/>
        <v>9.1525598984385434E-2</v>
      </c>
      <c r="P84" s="118" t="str">
        <f t="shared" si="69"/>
        <v xml:space="preserve">   Operating and Maintenance</v>
      </c>
      <c r="Q84" s="43">
        <f t="shared" si="70"/>
        <v>0.22960547810026738</v>
      </c>
      <c r="R84" s="43">
        <f t="shared" si="70"/>
        <v>0.18907076134301609</v>
      </c>
      <c r="S84" s="43">
        <f t="shared" si="70"/>
        <v>0.14688977479467075</v>
      </c>
      <c r="T84" s="43">
        <f t="shared" si="70"/>
        <v>0.17723266236895707</v>
      </c>
      <c r="U84" s="43">
        <f t="shared" si="70"/>
        <v>0.16148117134598508</v>
      </c>
      <c r="V84" s="43">
        <f t="shared" si="70"/>
        <v>0.13685809736545612</v>
      </c>
      <c r="W84" s="43">
        <f>H84/H$79</f>
        <v>7.6706903662886072E-2</v>
      </c>
      <c r="X84" s="43">
        <f t="shared" si="70"/>
        <v>6.8758219049408223E-2</v>
      </c>
      <c r="Y84" s="43">
        <f t="shared" si="70"/>
        <v>7.8713136729222519E-2</v>
      </c>
      <c r="Z84" s="43">
        <f t="shared" si="70"/>
        <v>8.7073877836649008E-2</v>
      </c>
      <c r="AA84" s="43">
        <f t="shared" si="70"/>
        <v>0.11566474616806174</v>
      </c>
      <c r="AB84" s="161">
        <f t="shared" si="70"/>
        <v>0.12670284638387419</v>
      </c>
      <c r="AC84" s="161">
        <f t="shared" si="70"/>
        <v>0.10660686562014836</v>
      </c>
      <c r="AD84" s="43">
        <f t="shared" si="71"/>
        <v>9.1363844899318605E-2</v>
      </c>
      <c r="AE84" s="2"/>
    </row>
    <row r="85" spans="1:38" ht="15">
      <c r="A85" s="156" t="s">
        <v>170</v>
      </c>
      <c r="B85" s="101"/>
      <c r="C85" s="107"/>
      <c r="D85" s="107"/>
      <c r="E85" s="107"/>
      <c r="F85" s="107"/>
      <c r="G85" s="107"/>
      <c r="H85" s="107">
        <v>39252</v>
      </c>
      <c r="I85" s="108">
        <v>41900</v>
      </c>
      <c r="J85" s="109">
        <v>45500</v>
      </c>
      <c r="K85" s="109">
        <v>38700</v>
      </c>
      <c r="L85" s="109">
        <v>42900</v>
      </c>
      <c r="M85" s="109">
        <v>49900</v>
      </c>
      <c r="N85" s="109">
        <v>24800</v>
      </c>
      <c r="O85" s="43">
        <f t="shared" si="68"/>
        <v>4.9174559172637917E-2</v>
      </c>
      <c r="P85" s="118" t="str">
        <f>+A85</f>
        <v xml:space="preserve">   General and Administrative</v>
      </c>
      <c r="Q85" s="43"/>
      <c r="R85" s="43"/>
      <c r="S85" s="43"/>
      <c r="T85" s="43"/>
      <c r="U85" s="43"/>
      <c r="V85" s="43"/>
      <c r="W85" s="43">
        <f t="shared" ref="W85" si="74">H85/H$79</f>
        <v>4.0779307400054234E-2</v>
      </c>
      <c r="X85" s="43">
        <f t="shared" ref="X85" si="75">I85/I$79</f>
        <v>3.9357505166259625E-2</v>
      </c>
      <c r="Y85" s="43">
        <f t="shared" ref="Y85" si="76">J85/J$79</f>
        <v>4.8793565683646116E-2</v>
      </c>
      <c r="Z85" s="43">
        <f t="shared" ref="Z85" si="77">K85/K$79</f>
        <v>3.8688393481955415E-2</v>
      </c>
      <c r="AA85" s="43">
        <f t="shared" ref="AA85" si="78">L85/L$79</f>
        <v>4.6635503859115121E-2</v>
      </c>
      <c r="AB85" s="43">
        <f t="shared" ref="AB85:AC85" si="79">M85/M$79</f>
        <v>5.5266363938420646E-2</v>
      </c>
      <c r="AC85" s="43">
        <f t="shared" si="79"/>
        <v>4.2780748663101602E-2</v>
      </c>
      <c r="AD85" s="43">
        <f t="shared" si="71"/>
        <v>4.4641759357620173E-2</v>
      </c>
      <c r="AE85" s="2"/>
    </row>
    <row r="86" spans="1:38" ht="15">
      <c r="A86" s="105" t="s">
        <v>48</v>
      </c>
      <c r="B86" s="101">
        <v>36426</v>
      </c>
      <c r="C86" s="107">
        <v>34450</v>
      </c>
      <c r="D86" s="107">
        <v>35030</v>
      </c>
      <c r="E86" s="107">
        <v>39771</v>
      </c>
      <c r="F86" s="107">
        <v>40126</v>
      </c>
      <c r="G86" s="107">
        <v>41956</v>
      </c>
      <c r="H86" s="107">
        <v>45828</v>
      </c>
      <c r="I86" s="108">
        <v>40900</v>
      </c>
      <c r="J86" s="109">
        <v>38800</v>
      </c>
      <c r="K86" s="109">
        <v>41500</v>
      </c>
      <c r="L86" s="109">
        <v>43800</v>
      </c>
      <c r="M86" s="109">
        <v>43700</v>
      </c>
      <c r="N86" s="109">
        <v>21800</v>
      </c>
      <c r="O86" s="43">
        <f t="shared" si="68"/>
        <v>-9.4643595269836601E-3</v>
      </c>
      <c r="P86" s="118" t="str">
        <f t="shared" si="69"/>
        <v xml:space="preserve">   Depreciation and amortization</v>
      </c>
      <c r="Q86" s="43">
        <f t="shared" si="70"/>
        <v>8.0958000786776813E-2</v>
      </c>
      <c r="R86" s="43">
        <f t="shared" si="70"/>
        <v>6.4181145461116848E-2</v>
      </c>
      <c r="S86" s="43">
        <f t="shared" si="70"/>
        <v>4.9750537200704999E-2</v>
      </c>
      <c r="T86" s="43">
        <f t="shared" si="70"/>
        <v>6.6784660568822402E-2</v>
      </c>
      <c r="U86" s="43">
        <f t="shared" si="70"/>
        <v>6.4615657130894774E-2</v>
      </c>
      <c r="V86" s="43">
        <f t="shared" si="70"/>
        <v>5.4902361052770701E-2</v>
      </c>
      <c r="W86" s="43">
        <f t="shared" si="70"/>
        <v>4.7611181583860324E-2</v>
      </c>
      <c r="X86" s="43">
        <f t="shared" si="70"/>
        <v>3.8418185233890664E-2</v>
      </c>
      <c r="Y86" s="43">
        <f t="shared" si="70"/>
        <v>4.1608579088471848E-2</v>
      </c>
      <c r="Z86" s="43">
        <f t="shared" si="70"/>
        <v>4.1487553733879835E-2</v>
      </c>
      <c r="AA86" s="43">
        <f t="shared" si="70"/>
        <v>4.7613871072942709E-2</v>
      </c>
      <c r="AB86" s="43">
        <f t="shared" si="70"/>
        <v>4.8399601284749141E-2</v>
      </c>
      <c r="AC86" s="43">
        <f t="shared" si="70"/>
        <v>3.7605658099016732E-2</v>
      </c>
      <c r="AD86" s="43">
        <f t="shared" si="71"/>
        <v>4.4015067579473904E-2</v>
      </c>
      <c r="AE86" s="2"/>
    </row>
    <row r="87" spans="1:38" s="8" customFormat="1" ht="15">
      <c r="A87" s="104" t="s">
        <v>127</v>
      </c>
      <c r="B87" s="101">
        <v>0</v>
      </c>
      <c r="C87" s="107">
        <v>0</v>
      </c>
      <c r="D87" s="107">
        <v>0</v>
      </c>
      <c r="E87" s="107">
        <v>0</v>
      </c>
      <c r="F87" s="107">
        <v>24939</v>
      </c>
      <c r="G87" s="107">
        <v>4090</v>
      </c>
      <c r="H87" s="107"/>
      <c r="I87" s="108"/>
      <c r="J87" s="109"/>
      <c r="K87" s="109"/>
      <c r="L87" s="109"/>
      <c r="M87" s="109"/>
      <c r="N87" s="109"/>
      <c r="O87" s="43"/>
      <c r="P87" s="118" t="str">
        <f t="shared" si="69"/>
        <v xml:space="preserve">   Miscellaneous</v>
      </c>
      <c r="Q87" s="43">
        <f t="shared" si="70"/>
        <v>0</v>
      </c>
      <c r="R87" s="43">
        <f t="shared" si="70"/>
        <v>0</v>
      </c>
      <c r="S87" s="43">
        <f t="shared" si="70"/>
        <v>0</v>
      </c>
      <c r="T87" s="43">
        <f t="shared" si="70"/>
        <v>0</v>
      </c>
      <c r="U87" s="43">
        <f t="shared" si="70"/>
        <v>4.0159743637227352E-2</v>
      </c>
      <c r="V87" s="43">
        <f>G87/G$79</f>
        <v>5.3520511179767413E-3</v>
      </c>
      <c r="W87" s="43"/>
      <c r="X87" s="43"/>
      <c r="Y87" s="43"/>
      <c r="Z87" s="43"/>
      <c r="AA87" s="43"/>
      <c r="AB87" s="43"/>
      <c r="AC87" s="43"/>
      <c r="AD87" s="43"/>
      <c r="AE87" s="2"/>
    </row>
    <row r="88" spans="1:38" s="8" customFormat="1" ht="15">
      <c r="A88" s="105" t="s">
        <v>49</v>
      </c>
      <c r="B88" s="101">
        <v>7625</v>
      </c>
      <c r="C88" s="107">
        <v>10213</v>
      </c>
      <c r="D88" s="107">
        <v>8729</v>
      </c>
      <c r="E88" s="107">
        <v>9548</v>
      </c>
      <c r="F88" s="107">
        <v>9743</v>
      </c>
      <c r="G88" s="107">
        <v>9767</v>
      </c>
      <c r="H88" s="107">
        <v>11013</v>
      </c>
      <c r="I88" s="108">
        <v>11600</v>
      </c>
      <c r="J88" s="109">
        <v>11500</v>
      </c>
      <c r="K88" s="109">
        <v>11900</v>
      </c>
      <c r="L88" s="109">
        <v>13300</v>
      </c>
      <c r="M88" s="109">
        <v>14100</v>
      </c>
      <c r="N88" s="109">
        <v>8300</v>
      </c>
      <c r="O88" s="51">
        <f t="shared" ref="O88:O90" si="80">RATE(5,,-H88,M88)</f>
        <v>5.0661200600952069E-2</v>
      </c>
      <c r="P88" s="118" t="str">
        <f t="shared" si="69"/>
        <v xml:space="preserve">   Taxes, other than income taxes</v>
      </c>
      <c r="Q88" s="77">
        <f t="shared" si="70"/>
        <v>1.694681699882428E-2</v>
      </c>
      <c r="R88" s="77">
        <f t="shared" si="70"/>
        <v>1.9027054821317457E-2</v>
      </c>
      <c r="S88" s="77">
        <f t="shared" si="70"/>
        <v>1.2397157842562203E-2</v>
      </c>
      <c r="T88" s="77">
        <f t="shared" si="70"/>
        <v>1.6033289057632856E-2</v>
      </c>
      <c r="U88" s="77">
        <f t="shared" si="70"/>
        <v>1.5689337273246968E-2</v>
      </c>
      <c r="V88" s="77">
        <f t="shared" si="70"/>
        <v>1.2780802755324899E-2</v>
      </c>
      <c r="W88" s="77">
        <f t="shared" si="70"/>
        <v>1.1441519219321239E-2</v>
      </c>
      <c r="X88" s="77">
        <f t="shared" si="70"/>
        <v>1.0896111215479993E-2</v>
      </c>
      <c r="Y88" s="43">
        <f t="shared" si="70"/>
        <v>1.2332439678284183E-2</v>
      </c>
      <c r="Z88" s="43">
        <f t="shared" si="70"/>
        <v>1.1896431070678797E-2</v>
      </c>
      <c r="AA88" s="43">
        <f t="shared" si="70"/>
        <v>1.4458093271007718E-2</v>
      </c>
      <c r="AB88" s="43">
        <f t="shared" si="70"/>
        <v>1.5616347325285192E-2</v>
      </c>
      <c r="AC88" s="43">
        <f t="shared" si="70"/>
        <v>1.4317750560634812E-2</v>
      </c>
      <c r="AD88" s="51">
        <f t="shared" si="71"/>
        <v>1.2695177568722961E-2</v>
      </c>
      <c r="AE88" s="2"/>
    </row>
    <row r="89" spans="1:38" s="8" customFormat="1" ht="15">
      <c r="A89" s="72" t="s">
        <v>43</v>
      </c>
      <c r="B89" s="103">
        <f t="shared" ref="B89:J89" si="81">SUM(B81:B88)</f>
        <v>404624</v>
      </c>
      <c r="C89" s="110">
        <f t="shared" si="81"/>
        <v>480342</v>
      </c>
      <c r="D89" s="110">
        <f t="shared" si="81"/>
        <v>645731</v>
      </c>
      <c r="E89" s="110">
        <f t="shared" si="81"/>
        <v>525157</v>
      </c>
      <c r="F89" s="110">
        <f t="shared" si="81"/>
        <v>569610</v>
      </c>
      <c r="G89" s="110">
        <f t="shared" si="81"/>
        <v>696527</v>
      </c>
      <c r="H89" s="110">
        <f t="shared" si="81"/>
        <v>890100</v>
      </c>
      <c r="I89" s="111">
        <f t="shared" si="81"/>
        <v>989400</v>
      </c>
      <c r="J89" s="111">
        <f t="shared" si="81"/>
        <v>856400</v>
      </c>
      <c r="K89" s="111">
        <f>SUM(K81:K88)</f>
        <v>916100</v>
      </c>
      <c r="L89" s="111">
        <f>SUM(L81:L88)</f>
        <v>833000</v>
      </c>
      <c r="M89" s="111">
        <f>SUM(M81:M88)</f>
        <v>814300</v>
      </c>
      <c r="N89" s="111">
        <f>SUM(N81:N88)</f>
        <v>515200</v>
      </c>
      <c r="O89" s="178">
        <f t="shared" si="80"/>
        <v>-1.7643491760758145E-2</v>
      </c>
      <c r="P89" s="72" t="s">
        <v>43</v>
      </c>
      <c r="Q89" s="77">
        <f t="shared" si="70"/>
        <v>0.8992903450927574</v>
      </c>
      <c r="R89" s="77">
        <f t="shared" si="70"/>
        <v>0.89488823724481237</v>
      </c>
      <c r="S89" s="77">
        <f t="shared" si="70"/>
        <v>0.91708433163426895</v>
      </c>
      <c r="T89" s="77">
        <f t="shared" si="70"/>
        <v>0.88185944508161895</v>
      </c>
      <c r="U89" s="77">
        <f t="shared" si="70"/>
        <v>0.91725376210758536</v>
      </c>
      <c r="V89" s="77">
        <f t="shared" si="70"/>
        <v>0.91145430539143912</v>
      </c>
      <c r="W89" s="77">
        <f t="shared" si="70"/>
        <v>0.92473406493397203</v>
      </c>
      <c r="X89" s="77">
        <f t="shared" si="70"/>
        <v>0.92936314108585383</v>
      </c>
      <c r="Y89" s="80">
        <f t="shared" si="70"/>
        <v>0.91839142091152814</v>
      </c>
      <c r="Z89" s="80">
        <f t="shared" si="70"/>
        <v>0.91582525242427271</v>
      </c>
      <c r="AA89" s="80">
        <f t="shared" si="70"/>
        <v>0.90553321013153598</v>
      </c>
      <c r="AB89" s="80">
        <f t="shared" si="70"/>
        <v>0.90187174659430724</v>
      </c>
      <c r="AC89" s="80">
        <f t="shared" si="70"/>
        <v>0.88873555287217532</v>
      </c>
      <c r="AD89" s="178">
        <f t="shared" si="71"/>
        <v>0.91639838298303555</v>
      </c>
      <c r="AE89" s="2"/>
    </row>
    <row r="90" spans="1:38" s="8" customFormat="1" ht="15">
      <c r="A90" s="72" t="s">
        <v>12</v>
      </c>
      <c r="B90" s="103">
        <f t="shared" ref="B90:K90" si="82">B79-B89</f>
        <v>45313</v>
      </c>
      <c r="C90" s="110">
        <f t="shared" si="82"/>
        <v>56420</v>
      </c>
      <c r="D90" s="110">
        <f t="shared" si="82"/>
        <v>58382</v>
      </c>
      <c r="E90" s="110">
        <f t="shared" si="82"/>
        <v>70354</v>
      </c>
      <c r="F90" s="110">
        <f t="shared" si="82"/>
        <v>51385</v>
      </c>
      <c r="G90" s="110">
        <f t="shared" si="82"/>
        <v>67666</v>
      </c>
      <c r="H90" s="110">
        <f t="shared" si="82"/>
        <v>72447</v>
      </c>
      <c r="I90" s="111">
        <f t="shared" si="82"/>
        <v>75200</v>
      </c>
      <c r="J90" s="111">
        <f t="shared" si="82"/>
        <v>76100</v>
      </c>
      <c r="K90" s="111">
        <f t="shared" si="82"/>
        <v>84200</v>
      </c>
      <c r="L90" s="111">
        <f t="shared" ref="L90" si="83">L79-L89</f>
        <v>86900</v>
      </c>
      <c r="M90" s="111">
        <f t="shared" ref="M90:N90" si="84">M79-M89</f>
        <v>88600</v>
      </c>
      <c r="N90" s="111">
        <f t="shared" si="84"/>
        <v>64500</v>
      </c>
      <c r="O90" s="43">
        <f t="shared" si="80"/>
        <v>4.1076547420490682E-2</v>
      </c>
      <c r="P90" s="72" t="s">
        <v>12</v>
      </c>
      <c r="Q90" s="43">
        <f t="shared" si="70"/>
        <v>0.10070965490724257</v>
      </c>
      <c r="R90" s="43">
        <f t="shared" si="70"/>
        <v>0.10511176275518759</v>
      </c>
      <c r="S90" s="43">
        <f t="shared" si="70"/>
        <v>8.2915668365731068E-2</v>
      </c>
      <c r="T90" s="43">
        <f t="shared" si="70"/>
        <v>0.11814055491838102</v>
      </c>
      <c r="U90" s="43">
        <f t="shared" si="70"/>
        <v>8.2746237892414587E-2</v>
      </c>
      <c r="V90" s="43">
        <f t="shared" si="70"/>
        <v>8.8545694608560932E-2</v>
      </c>
      <c r="W90" s="43">
        <f t="shared" si="70"/>
        <v>7.5265935066027939E-2</v>
      </c>
      <c r="X90" s="43">
        <f t="shared" si="70"/>
        <v>7.0636858914146158E-2</v>
      </c>
      <c r="Y90" s="80">
        <f t="shared" si="70"/>
        <v>8.1608579088471855E-2</v>
      </c>
      <c r="Z90" s="80">
        <f t="shared" si="70"/>
        <v>8.417474757572728E-2</v>
      </c>
      <c r="AA90" s="80">
        <f t="shared" si="70"/>
        <v>9.4466789868463963E-2</v>
      </c>
      <c r="AB90" s="80">
        <f t="shared" si="70"/>
        <v>9.812825340569277E-2</v>
      </c>
      <c r="AC90" s="80">
        <f t="shared" si="70"/>
        <v>0.11126444712782474</v>
      </c>
      <c r="AD90" s="43">
        <f t="shared" si="71"/>
        <v>8.3601617016964433E-2</v>
      </c>
      <c r="AE90" s="7"/>
    </row>
    <row r="91" spans="1:38" ht="15" customHeight="1">
      <c r="A91" s="72"/>
      <c r="B91" s="101"/>
      <c r="C91" s="107"/>
      <c r="D91" s="107"/>
      <c r="E91" s="107"/>
      <c r="F91" s="107"/>
      <c r="G91" s="107"/>
      <c r="H91" s="107"/>
      <c r="I91" s="108"/>
      <c r="J91" s="109"/>
      <c r="K91" s="109"/>
      <c r="L91" s="109"/>
      <c r="M91" s="109"/>
      <c r="N91" s="109"/>
      <c r="O91" s="43"/>
      <c r="P91" s="72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7"/>
    </row>
    <row r="92" spans="1:38" ht="15">
      <c r="A92" s="105" t="s">
        <v>50</v>
      </c>
      <c r="B92" s="101">
        <v>20062</v>
      </c>
      <c r="C92" s="107">
        <v>21041</v>
      </c>
      <c r="D92" s="107">
        <v>23777</v>
      </c>
      <c r="E92" s="107">
        <v>22495</v>
      </c>
      <c r="F92" s="107">
        <v>20984</v>
      </c>
      <c r="G92" s="107">
        <v>19733</v>
      </c>
      <c r="H92" s="107">
        <v>20158</v>
      </c>
      <c r="I92" s="108">
        <v>22600</v>
      </c>
      <c r="J92" s="109">
        <v>23800</v>
      </c>
      <c r="K92" s="109">
        <v>25200</v>
      </c>
      <c r="L92" s="109">
        <v>28500</v>
      </c>
      <c r="M92" s="109">
        <v>26200</v>
      </c>
      <c r="N92" s="109">
        <v>13100</v>
      </c>
      <c r="O92" s="43">
        <f t="shared" ref="O92:O93" si="85">RATE(5,,-H92,M92)</f>
        <v>5.3830515300835935E-2</v>
      </c>
      <c r="P92" s="118" t="str">
        <f>A92</f>
        <v xml:space="preserve">   Interest expense (net)</v>
      </c>
      <c r="Q92" s="79">
        <f t="shared" ref="Q92:AC96" si="86">B92/B$79</f>
        <v>4.4588464607267238E-2</v>
      </c>
      <c r="R92" s="79">
        <f t="shared" si="86"/>
        <v>3.9199868843174446E-2</v>
      </c>
      <c r="S92" s="79">
        <f t="shared" si="86"/>
        <v>3.376872746277941E-2</v>
      </c>
      <c r="T92" s="79">
        <f t="shared" si="86"/>
        <v>3.7774281247533632E-2</v>
      </c>
      <c r="U92" s="79">
        <f t="shared" si="86"/>
        <v>3.3790932294140853E-2</v>
      </c>
      <c r="V92" s="79">
        <f t="shared" si="86"/>
        <v>2.5822010931793409E-2</v>
      </c>
      <c r="W92" s="79">
        <f t="shared" si="86"/>
        <v>2.094235398375352E-2</v>
      </c>
      <c r="X92" s="79">
        <f t="shared" si="86"/>
        <v>2.1228630471538605E-2</v>
      </c>
      <c r="Y92" s="79">
        <f t="shared" si="86"/>
        <v>2.5522788203753352E-2</v>
      </c>
      <c r="Z92" s="79">
        <f t="shared" si="86"/>
        <v>2.5192442267319804E-2</v>
      </c>
      <c r="AA92" s="79">
        <f t="shared" si="86"/>
        <v>3.0981628437873682E-2</v>
      </c>
      <c r="AB92" s="79">
        <f t="shared" si="86"/>
        <v>2.9017609923579577E-2</v>
      </c>
      <c r="AC92" s="79">
        <f t="shared" si="86"/>
        <v>2.2597895463170606E-2</v>
      </c>
      <c r="AD92" s="43">
        <f t="shared" ref="AD92:AD101" si="87">SUM(H92:M92)/SUM(H$79:M$79)</f>
        <v>2.5326717561740122E-2</v>
      </c>
      <c r="AE92" s="2"/>
    </row>
    <row r="93" spans="1:38" ht="15">
      <c r="A93" s="104" t="s">
        <v>119</v>
      </c>
      <c r="B93" s="101">
        <v>-2980</v>
      </c>
      <c r="C93" s="107">
        <v>-1673</v>
      </c>
      <c r="D93" s="107">
        <v>-5158</v>
      </c>
      <c r="E93" s="107">
        <v>-2329</v>
      </c>
      <c r="F93" s="107">
        <v>-3228</v>
      </c>
      <c r="G93" s="107">
        <v>-3508</v>
      </c>
      <c r="H93" s="107">
        <v>-4962</v>
      </c>
      <c r="I93" s="108">
        <v>-6600</v>
      </c>
      <c r="J93" s="109">
        <v>-7400</v>
      </c>
      <c r="K93" s="109">
        <v>-5200</v>
      </c>
      <c r="L93" s="109">
        <v>-7600</v>
      </c>
      <c r="M93" s="109">
        <v>-6700</v>
      </c>
      <c r="N93" s="109">
        <v>-2900</v>
      </c>
      <c r="O93" s="43">
        <f t="shared" si="85"/>
        <v>6.1899970052083961E-2</v>
      </c>
      <c r="P93" s="118" t="str">
        <f>A93</f>
        <v xml:space="preserve">   Interest and Other Income</v>
      </c>
      <c r="Q93" s="79">
        <f t="shared" si="86"/>
        <v>-6.6231494631470624E-3</v>
      </c>
      <c r="R93" s="79">
        <f t="shared" si="86"/>
        <v>-3.1168376300855873E-3</v>
      </c>
      <c r="S93" s="79">
        <f t="shared" si="86"/>
        <v>-7.3255287148511674E-3</v>
      </c>
      <c r="T93" s="79">
        <f t="shared" si="86"/>
        <v>-3.9109269182265316E-3</v>
      </c>
      <c r="U93" s="79">
        <f t="shared" si="86"/>
        <v>-5.1981094855836196E-3</v>
      </c>
      <c r="V93" s="79">
        <f t="shared" si="86"/>
        <v>-4.59046340387834E-3</v>
      </c>
      <c r="W93" s="79">
        <f t="shared" si="86"/>
        <v>-5.1550729470872594E-3</v>
      </c>
      <c r="X93" s="79">
        <f t="shared" si="86"/>
        <v>-6.1995115536351685E-3</v>
      </c>
      <c r="Y93" s="79">
        <f t="shared" si="86"/>
        <v>-7.9356568364611253E-3</v>
      </c>
      <c r="Z93" s="79">
        <f t="shared" si="86"/>
        <v>-5.198440467859642E-3</v>
      </c>
      <c r="AA93" s="79">
        <f t="shared" si="86"/>
        <v>-8.2617675834329822E-3</v>
      </c>
      <c r="AB93" s="79">
        <f t="shared" si="86"/>
        <v>-7.4205338354192052E-3</v>
      </c>
      <c r="AC93" s="79">
        <f t="shared" si="86"/>
        <v>-5.0025875452820428E-3</v>
      </c>
      <c r="AD93" s="43">
        <f t="shared" si="87"/>
        <v>-6.6511642304254359E-3</v>
      </c>
      <c r="AE93" s="2"/>
      <c r="AG93">
        <f>AVERAGE(C93:J93)</f>
        <v>-4357.25</v>
      </c>
    </row>
    <row r="94" spans="1:38" ht="15">
      <c r="A94" s="105" t="s">
        <v>55</v>
      </c>
      <c r="B94" s="101">
        <v>0</v>
      </c>
      <c r="C94" s="107">
        <v>0</v>
      </c>
      <c r="D94" s="107">
        <v>0</v>
      </c>
      <c r="E94" s="107">
        <v>0</v>
      </c>
      <c r="F94" s="107">
        <v>0</v>
      </c>
      <c r="G94" s="107">
        <v>200</v>
      </c>
      <c r="H94" s="107"/>
      <c r="I94" s="108">
        <v>300</v>
      </c>
      <c r="J94" s="109"/>
      <c r="K94" s="109"/>
      <c r="L94" s="109"/>
      <c r="M94" s="109"/>
      <c r="N94" s="109"/>
      <c r="O94" s="43"/>
      <c r="P94" s="118" t="str">
        <f>A94</f>
        <v xml:space="preserve">   Loss (Gain) on Sale of Assets</v>
      </c>
      <c r="Q94" s="79">
        <f t="shared" si="86"/>
        <v>0</v>
      </c>
      <c r="R94" s="79">
        <f t="shared" si="86"/>
        <v>0</v>
      </c>
      <c r="S94" s="79">
        <f t="shared" si="86"/>
        <v>0</v>
      </c>
      <c r="T94" s="79">
        <f t="shared" si="86"/>
        <v>0</v>
      </c>
      <c r="U94" s="79">
        <f t="shared" si="86"/>
        <v>0</v>
      </c>
      <c r="V94" s="79">
        <f t="shared" si="86"/>
        <v>2.6171399109910714E-4</v>
      </c>
      <c r="W94" s="79"/>
      <c r="X94" s="79">
        <f t="shared" si="86"/>
        <v>2.8179597971068947E-4</v>
      </c>
      <c r="Y94" s="79"/>
      <c r="Z94" s="79"/>
      <c r="AA94" s="79"/>
      <c r="AB94" s="79"/>
      <c r="AC94" s="79"/>
      <c r="AD94" s="43"/>
      <c r="AE94" s="2"/>
    </row>
    <row r="95" spans="1:38" ht="15">
      <c r="A95" s="72" t="s">
        <v>51</v>
      </c>
      <c r="B95" s="101">
        <v>0</v>
      </c>
      <c r="C95" s="107">
        <v>0</v>
      </c>
      <c r="D95" s="107">
        <v>0</v>
      </c>
      <c r="E95" s="107">
        <v>0</v>
      </c>
      <c r="F95" s="107">
        <v>0</v>
      </c>
      <c r="G95" s="107"/>
      <c r="H95" s="107"/>
      <c r="I95" s="108"/>
      <c r="J95" s="109"/>
      <c r="K95" s="109"/>
      <c r="L95" s="109"/>
      <c r="M95" s="109"/>
      <c r="N95" s="109"/>
      <c r="O95" s="51"/>
      <c r="P95" s="118" t="str">
        <f>A95</f>
        <v xml:space="preserve">   Other Income (Expense)</v>
      </c>
      <c r="Q95" s="77">
        <f t="shared" si="86"/>
        <v>0</v>
      </c>
      <c r="R95" s="77">
        <f t="shared" si="86"/>
        <v>0</v>
      </c>
      <c r="S95" s="77">
        <f t="shared" si="86"/>
        <v>0</v>
      </c>
      <c r="T95" s="77">
        <f t="shared" si="86"/>
        <v>0</v>
      </c>
      <c r="U95" s="77">
        <f t="shared" si="86"/>
        <v>0</v>
      </c>
      <c r="V95" s="77"/>
      <c r="W95" s="77"/>
      <c r="X95" s="77"/>
      <c r="Y95" s="77"/>
      <c r="Z95" s="77"/>
      <c r="AA95" s="77"/>
      <c r="AB95" s="77"/>
      <c r="AC95" s="77"/>
      <c r="AD95" s="51"/>
      <c r="AE95" s="2"/>
    </row>
    <row r="96" spans="1:38" ht="15">
      <c r="A96" s="72" t="s">
        <v>52</v>
      </c>
      <c r="B96" s="103">
        <f t="shared" ref="B96:M96" si="88">SUM(B92:B95)</f>
        <v>17082</v>
      </c>
      <c r="C96" s="110">
        <f t="shared" si="88"/>
        <v>19368</v>
      </c>
      <c r="D96" s="110">
        <f t="shared" si="88"/>
        <v>18619</v>
      </c>
      <c r="E96" s="110">
        <f t="shared" si="88"/>
        <v>20166</v>
      </c>
      <c r="F96" s="110">
        <f t="shared" si="88"/>
        <v>17756</v>
      </c>
      <c r="G96" s="110">
        <f t="shared" si="88"/>
        <v>16425</v>
      </c>
      <c r="H96" s="110">
        <f t="shared" si="88"/>
        <v>15196</v>
      </c>
      <c r="I96" s="111">
        <f t="shared" si="88"/>
        <v>16300</v>
      </c>
      <c r="J96" s="111">
        <f t="shared" si="88"/>
        <v>16400</v>
      </c>
      <c r="K96" s="111">
        <f t="shared" si="88"/>
        <v>20000</v>
      </c>
      <c r="L96" s="111">
        <f t="shared" si="88"/>
        <v>20900</v>
      </c>
      <c r="M96" s="111">
        <f t="shared" si="88"/>
        <v>19500</v>
      </c>
      <c r="N96" s="111">
        <f t="shared" ref="N96" si="89">SUM(N92:N95)</f>
        <v>10200</v>
      </c>
      <c r="O96" s="43">
        <f t="shared" ref="O96" si="90">RATE(5,,-H96,M96)</f>
        <v>5.1141215702165517E-2</v>
      </c>
      <c r="P96" s="118" t="str">
        <f>A96</f>
        <v>Total Other Income/Expense</v>
      </c>
      <c r="Q96" s="79">
        <f t="shared" si="86"/>
        <v>3.7965315144120174E-2</v>
      </c>
      <c r="R96" s="79">
        <f t="shared" si="86"/>
        <v>3.6083031213088854E-2</v>
      </c>
      <c r="S96" s="79">
        <f t="shared" si="86"/>
        <v>2.6443198747928245E-2</v>
      </c>
      <c r="T96" s="79">
        <f t="shared" si="86"/>
        <v>3.3863354329307101E-2</v>
      </c>
      <c r="U96" s="79">
        <f t="shared" si="86"/>
        <v>2.8592822808557235E-2</v>
      </c>
      <c r="V96" s="79">
        <f t="shared" si="86"/>
        <v>2.1493261519014175E-2</v>
      </c>
      <c r="W96" s="79">
        <f t="shared" si="86"/>
        <v>1.5787281036666261E-2</v>
      </c>
      <c r="X96" s="79">
        <f t="shared" si="86"/>
        <v>1.5310914897614127E-2</v>
      </c>
      <c r="Y96" s="79">
        <f t="shared" si="86"/>
        <v>1.7587131367292227E-2</v>
      </c>
      <c r="Z96" s="79">
        <f t="shared" si="86"/>
        <v>1.9994001799460162E-2</v>
      </c>
      <c r="AA96" s="79">
        <f t="shared" si="86"/>
        <v>2.27198608544407E-2</v>
      </c>
      <c r="AB96" s="79">
        <f t="shared" si="86"/>
        <v>2.1597076088160371E-2</v>
      </c>
      <c r="AC96" s="79">
        <f t="shared" si="86"/>
        <v>1.7595307917888565E-2</v>
      </c>
      <c r="AD96" s="43">
        <f t="shared" si="87"/>
        <v>1.8727431789770502E-2</v>
      </c>
      <c r="AE96" s="2"/>
    </row>
    <row r="97" spans="1:31" ht="12" customHeight="1">
      <c r="A97" s="72"/>
      <c r="B97" s="101"/>
      <c r="C97" s="107"/>
      <c r="D97" s="107"/>
      <c r="E97" s="107"/>
      <c r="F97" s="107"/>
      <c r="G97" s="107"/>
      <c r="H97" s="107"/>
      <c r="I97" s="108"/>
      <c r="J97" s="109"/>
      <c r="K97" s="109"/>
      <c r="L97" s="109"/>
      <c r="M97" s="109"/>
      <c r="N97" s="109"/>
      <c r="O97" s="43"/>
      <c r="P97" s="118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43"/>
      <c r="AE97" s="2"/>
    </row>
    <row r="98" spans="1:31" ht="15">
      <c r="A98" s="72" t="s">
        <v>11</v>
      </c>
      <c r="B98" s="101">
        <f t="shared" ref="B98:G98" si="91">B90-B96</f>
        <v>28231</v>
      </c>
      <c r="C98" s="107">
        <f t="shared" si="91"/>
        <v>37052</v>
      </c>
      <c r="D98" s="107">
        <f t="shared" si="91"/>
        <v>39763</v>
      </c>
      <c r="E98" s="107">
        <f t="shared" si="91"/>
        <v>50188</v>
      </c>
      <c r="F98" s="107">
        <f t="shared" si="91"/>
        <v>33629</v>
      </c>
      <c r="G98" s="107">
        <f t="shared" si="91"/>
        <v>51241</v>
      </c>
      <c r="H98" s="107">
        <f t="shared" ref="H98:M98" si="92">H90-H96</f>
        <v>57251</v>
      </c>
      <c r="I98" s="108">
        <f t="shared" si="92"/>
        <v>58900</v>
      </c>
      <c r="J98" s="108">
        <f t="shared" si="92"/>
        <v>59700</v>
      </c>
      <c r="K98" s="108">
        <f t="shared" si="92"/>
        <v>64200</v>
      </c>
      <c r="L98" s="108">
        <f t="shared" si="92"/>
        <v>66000</v>
      </c>
      <c r="M98" s="108">
        <f t="shared" si="92"/>
        <v>69100</v>
      </c>
      <c r="N98" s="108">
        <f t="shared" ref="N98" si="93">N90-N96</f>
        <v>54300</v>
      </c>
      <c r="O98" s="51">
        <f t="shared" ref="O98" si="94">RATE(5,,-H98,M98)</f>
        <v>3.833858801678669E-2</v>
      </c>
      <c r="P98" s="118" t="str">
        <f>A98</f>
        <v>Earnings Before Taxes</v>
      </c>
      <c r="Q98" s="43">
        <f t="shared" ref="Q98:AC101" si="95">B98/B$79</f>
        <v>6.2744339763122395E-2</v>
      </c>
      <c r="R98" s="43">
        <f t="shared" si="95"/>
        <v>6.9028731542098737E-2</v>
      </c>
      <c r="S98" s="43">
        <f t="shared" si="95"/>
        <v>5.6472469617802827E-2</v>
      </c>
      <c r="T98" s="43">
        <f t="shared" si="95"/>
        <v>8.4277200589073925E-2</v>
      </c>
      <c r="U98" s="43">
        <f t="shared" si="95"/>
        <v>5.4153415083857355E-2</v>
      </c>
      <c r="V98" s="43">
        <f t="shared" si="95"/>
        <v>6.7052433089546754E-2</v>
      </c>
      <c r="W98" s="43">
        <f t="shared" si="95"/>
        <v>5.9478654029361686E-2</v>
      </c>
      <c r="X98" s="43">
        <f t="shared" si="95"/>
        <v>5.5325944016532028E-2</v>
      </c>
      <c r="Y98" s="43">
        <f t="shared" si="95"/>
        <v>6.4021447721179625E-2</v>
      </c>
      <c r="Z98" s="43">
        <f t="shared" si="95"/>
        <v>6.4180745776267117E-2</v>
      </c>
      <c r="AA98" s="43">
        <f t="shared" si="95"/>
        <v>7.174692901402327E-2</v>
      </c>
      <c r="AB98" s="43">
        <f t="shared" si="95"/>
        <v>7.6531177317532395E-2</v>
      </c>
      <c r="AC98" s="43">
        <f t="shared" si="95"/>
        <v>9.3669139209936178E-2</v>
      </c>
      <c r="AD98" s="43">
        <f t="shared" si="87"/>
        <v>6.4874185227193931E-2</v>
      </c>
      <c r="AE98" s="2"/>
    </row>
    <row r="99" spans="1:31" ht="15">
      <c r="A99" s="72" t="s">
        <v>53</v>
      </c>
      <c r="B99" s="103">
        <v>0</v>
      </c>
      <c r="C99" s="110">
        <v>0</v>
      </c>
      <c r="D99" s="110">
        <v>0</v>
      </c>
      <c r="E99" s="110">
        <v>0</v>
      </c>
      <c r="F99" s="110">
        <v>334</v>
      </c>
      <c r="G99" s="110"/>
      <c r="H99" s="110"/>
      <c r="I99" s="111"/>
      <c r="J99" s="111"/>
      <c r="K99" s="111"/>
      <c r="L99" s="111"/>
      <c r="M99" s="111"/>
      <c r="N99" s="111"/>
      <c r="O99" s="43"/>
      <c r="P99" s="118" t="str">
        <f>A99</f>
        <v>Extraordinary Items</v>
      </c>
      <c r="Q99" s="43">
        <f t="shared" si="95"/>
        <v>0</v>
      </c>
      <c r="R99" s="43">
        <f t="shared" si="95"/>
        <v>0</v>
      </c>
      <c r="S99" s="43">
        <f t="shared" si="95"/>
        <v>0</v>
      </c>
      <c r="T99" s="43">
        <f t="shared" si="95"/>
        <v>0</v>
      </c>
      <c r="U99" s="43">
        <f t="shared" si="95"/>
        <v>5.3784652050338565E-4</v>
      </c>
      <c r="V99" s="43"/>
      <c r="W99" s="43"/>
      <c r="X99" s="43"/>
      <c r="Y99" s="43"/>
      <c r="Z99" s="43"/>
      <c r="AA99" s="43"/>
      <c r="AB99" s="43"/>
      <c r="AC99" s="43"/>
      <c r="AD99" s="43"/>
      <c r="AE99" s="2"/>
    </row>
    <row r="100" spans="1:31" ht="15">
      <c r="A100" s="72" t="s">
        <v>14</v>
      </c>
      <c r="B100" s="101">
        <v>9012</v>
      </c>
      <c r="C100" s="107">
        <v>12889</v>
      </c>
      <c r="D100" s="107">
        <v>13890</v>
      </c>
      <c r="E100" s="107">
        <v>17789</v>
      </c>
      <c r="F100" s="107">
        <v>13113</v>
      </c>
      <c r="G100" s="107">
        <v>19780</v>
      </c>
      <c r="H100" s="107">
        <v>21276</v>
      </c>
      <c r="I100" s="108">
        <v>21900</v>
      </c>
      <c r="J100" s="108">
        <v>22300</v>
      </c>
      <c r="K100" s="108">
        <v>24000</v>
      </c>
      <c r="L100" s="108">
        <v>24400</v>
      </c>
      <c r="M100" s="108">
        <v>25200</v>
      </c>
      <c r="N100" s="108">
        <v>20500</v>
      </c>
      <c r="O100" s="51">
        <f t="shared" ref="O100:O101" si="96">RATE(5,,-H100,M100)</f>
        <v>3.4432392797476979E-2</v>
      </c>
      <c r="P100" s="118" t="str">
        <f>A100</f>
        <v>Income Taxes</v>
      </c>
      <c r="Q100" s="77">
        <f t="shared" si="95"/>
        <v>2.0029470792577629E-2</v>
      </c>
      <c r="R100" s="77">
        <f t="shared" si="95"/>
        <v>2.4012504610982147E-2</v>
      </c>
      <c r="S100" s="77">
        <f t="shared" si="95"/>
        <v>1.9726947237162219E-2</v>
      </c>
      <c r="T100" s="77">
        <f t="shared" si="95"/>
        <v>2.9871824365964691E-2</v>
      </c>
      <c r="U100" s="77">
        <f t="shared" si="95"/>
        <v>2.1116112045990707E-2</v>
      </c>
      <c r="V100" s="77">
        <f t="shared" si="95"/>
        <v>2.5883513719701698E-2</v>
      </c>
      <c r="W100" s="77">
        <f t="shared" si="95"/>
        <v>2.2103855707825176E-2</v>
      </c>
      <c r="X100" s="77">
        <f t="shared" si="95"/>
        <v>2.057110651888033E-2</v>
      </c>
      <c r="Y100" s="77">
        <f t="shared" si="95"/>
        <v>2.3914209115281502E-2</v>
      </c>
      <c r="Z100" s="77">
        <f t="shared" si="95"/>
        <v>2.3992802159352195E-2</v>
      </c>
      <c r="AA100" s="77">
        <f t="shared" si="95"/>
        <v>2.6524622241547995E-2</v>
      </c>
      <c r="AB100" s="77">
        <f t="shared" si="95"/>
        <v>2.7910067560084174E-2</v>
      </c>
      <c r="AC100" s="77">
        <f t="shared" si="95"/>
        <v>3.5363118854579954E-2</v>
      </c>
      <c r="AD100" s="51">
        <f t="shared" si="87"/>
        <v>2.4050161627337318E-2</v>
      </c>
      <c r="AE100" s="2"/>
    </row>
    <row r="101" spans="1:31" ht="16.5" thickBot="1">
      <c r="A101" s="117" t="s">
        <v>16</v>
      </c>
      <c r="B101" s="103">
        <f t="shared" ref="B101:K101" si="97">B98-B99-B100</f>
        <v>19219</v>
      </c>
      <c r="C101" s="110">
        <f t="shared" si="97"/>
        <v>24163</v>
      </c>
      <c r="D101" s="110">
        <f t="shared" si="97"/>
        <v>25873</v>
      </c>
      <c r="E101" s="110">
        <f t="shared" si="97"/>
        <v>32399</v>
      </c>
      <c r="F101" s="110">
        <f t="shared" si="97"/>
        <v>20182</v>
      </c>
      <c r="G101" s="110">
        <f t="shared" si="97"/>
        <v>31461</v>
      </c>
      <c r="H101" s="110">
        <f t="shared" si="97"/>
        <v>35975</v>
      </c>
      <c r="I101" s="111">
        <f t="shared" si="97"/>
        <v>37000</v>
      </c>
      <c r="J101" s="111">
        <f t="shared" si="97"/>
        <v>37400</v>
      </c>
      <c r="K101" s="111">
        <f t="shared" si="97"/>
        <v>40200</v>
      </c>
      <c r="L101" s="111">
        <f t="shared" ref="L101" si="98">L98-L99-L100</f>
        <v>41600</v>
      </c>
      <c r="M101" s="111">
        <f t="shared" ref="M101:N101" si="99">M98-M99-M100</f>
        <v>43900</v>
      </c>
      <c r="N101" s="111">
        <f t="shared" si="99"/>
        <v>33800</v>
      </c>
      <c r="O101" s="179">
        <f t="shared" si="96"/>
        <v>4.0621377876868023E-2</v>
      </c>
      <c r="P101" s="155" t="str">
        <f>A101</f>
        <v>Net Income</v>
      </c>
      <c r="Q101" s="85">
        <f t="shared" si="95"/>
        <v>4.2714868970544766E-2</v>
      </c>
      <c r="R101" s="85">
        <f t="shared" si="95"/>
        <v>4.5016226931116586E-2</v>
      </c>
      <c r="S101" s="85">
        <f t="shared" si="95"/>
        <v>3.6745522380640605E-2</v>
      </c>
      <c r="T101" s="85">
        <f t="shared" si="95"/>
        <v>5.4405376223109231E-2</v>
      </c>
      <c r="U101" s="85">
        <f t="shared" si="95"/>
        <v>3.2499456517363266E-2</v>
      </c>
      <c r="V101" s="85">
        <f t="shared" si="95"/>
        <v>4.1168919369845056E-2</v>
      </c>
      <c r="W101" s="85">
        <f t="shared" si="95"/>
        <v>3.7374798321536506E-2</v>
      </c>
      <c r="X101" s="85">
        <f t="shared" si="95"/>
        <v>3.4754837497651701E-2</v>
      </c>
      <c r="Y101" s="85">
        <f t="shared" si="95"/>
        <v>4.0107238605898127E-2</v>
      </c>
      <c r="Z101" s="85">
        <f t="shared" si="95"/>
        <v>4.0187943616914926E-2</v>
      </c>
      <c r="AA101" s="85">
        <f t="shared" si="95"/>
        <v>4.5222306772475268E-2</v>
      </c>
      <c r="AB101" s="85">
        <f t="shared" si="95"/>
        <v>4.8621109757448225E-2</v>
      </c>
      <c r="AC101" s="85">
        <f t="shared" si="95"/>
        <v>5.8306020355356217E-2</v>
      </c>
      <c r="AD101" s="179">
        <f t="shared" si="87"/>
        <v>4.082402359985661E-2</v>
      </c>
      <c r="AE101" s="2"/>
    </row>
    <row r="102" spans="1:31" ht="15.75" thickTop="1">
      <c r="A102" s="72"/>
      <c r="B102" s="103"/>
      <c r="C102" s="114"/>
      <c r="D102" s="114"/>
      <c r="E102" s="114"/>
      <c r="F102" s="114"/>
      <c r="G102" s="114"/>
      <c r="H102" s="114"/>
      <c r="I102" s="115"/>
      <c r="J102" s="115"/>
      <c r="K102" s="115"/>
      <c r="L102" s="115"/>
      <c r="M102" s="115"/>
      <c r="N102" s="115"/>
      <c r="O102" s="43"/>
      <c r="P102" s="118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43"/>
      <c r="AE102" s="2"/>
    </row>
    <row r="103" spans="1:31" ht="15">
      <c r="A103" s="72" t="s">
        <v>56</v>
      </c>
      <c r="B103" s="101">
        <v>0</v>
      </c>
      <c r="C103" s="107">
        <v>0</v>
      </c>
      <c r="D103" s="107">
        <v>0</v>
      </c>
      <c r="E103" s="107">
        <v>0</v>
      </c>
      <c r="F103" s="107">
        <v>0</v>
      </c>
      <c r="G103" s="107"/>
      <c r="H103" s="107"/>
      <c r="I103" s="108"/>
      <c r="J103" s="108"/>
      <c r="K103" s="108"/>
      <c r="L103" s="108"/>
      <c r="M103" s="108"/>
      <c r="N103" s="108"/>
      <c r="O103" s="43"/>
      <c r="P103" s="118" t="str">
        <f>A103</f>
        <v>Preferred Stock Dividends</v>
      </c>
      <c r="Q103" s="43">
        <f t="shared" ref="Q103:AC104" si="100">B103/B$101</f>
        <v>0</v>
      </c>
      <c r="R103" s="43">
        <f t="shared" si="100"/>
        <v>0</v>
      </c>
      <c r="S103" s="43">
        <f t="shared" si="100"/>
        <v>0</v>
      </c>
      <c r="T103" s="43">
        <f t="shared" si="100"/>
        <v>0</v>
      </c>
      <c r="U103" s="43">
        <f t="shared" si="100"/>
        <v>0</v>
      </c>
      <c r="V103" s="43"/>
      <c r="W103" s="43"/>
      <c r="X103" s="43"/>
      <c r="Y103" s="43"/>
      <c r="Z103" s="43"/>
      <c r="AA103" s="43"/>
      <c r="AB103" s="43"/>
      <c r="AC103" s="43"/>
      <c r="AD103" s="43"/>
      <c r="AE103" s="2"/>
    </row>
    <row r="104" spans="1:31" ht="15">
      <c r="A104" s="72" t="s">
        <v>57</v>
      </c>
      <c r="B104" s="101">
        <f>'Historical CF - Exhibit 1B'!B41*-1</f>
        <v>23000</v>
      </c>
      <c r="C104" s="107">
        <f>'Historical CF - Exhibit 1B'!C41*-1</f>
        <v>23500</v>
      </c>
      <c r="D104" s="107">
        <f>'Historical CF - Exhibit 1B'!D41*-1</f>
        <v>24000</v>
      </c>
      <c r="E104" s="107">
        <f>'Historical CF - Exhibit 1B'!E41*-1</f>
        <v>24500</v>
      </c>
      <c r="F104" s="107">
        <f>'Historical CF - Exhibit 1B'!F41*-1</f>
        <v>25000</v>
      </c>
      <c r="G104" s="107">
        <f>'Historical CF - Exhibit 1B'!G41*-1</f>
        <v>25500</v>
      </c>
      <c r="H104" s="107">
        <f>'Historical CF - Exhibit 1B'!H41*-1</f>
        <v>26000</v>
      </c>
      <c r="I104" s="108">
        <v>26500</v>
      </c>
      <c r="J104" s="108">
        <v>27000</v>
      </c>
      <c r="K104" s="108">
        <v>27500</v>
      </c>
      <c r="L104" s="108">
        <v>28200</v>
      </c>
      <c r="M104" s="108">
        <v>28800</v>
      </c>
      <c r="N104" s="108">
        <v>15200</v>
      </c>
      <c r="O104" s="43">
        <f t="shared" ref="O104" si="101">RATE(5,,-F104,K104)</f>
        <v>1.9244876491456748E-2</v>
      </c>
      <c r="P104" s="118" t="str">
        <f>A104</f>
        <v>Common Stock Dividends</v>
      </c>
      <c r="Q104" s="43">
        <f t="shared" si="100"/>
        <v>1.1967324002289401</v>
      </c>
      <c r="R104" s="43">
        <f t="shared" si="100"/>
        <v>0.9725613541364897</v>
      </c>
      <c r="S104" s="43">
        <f t="shared" si="100"/>
        <v>0.92760793104781047</v>
      </c>
      <c r="T104" s="43">
        <f t="shared" si="100"/>
        <v>0.75619617889441038</v>
      </c>
      <c r="U104" s="43">
        <f t="shared" si="100"/>
        <v>1.2387275790308196</v>
      </c>
      <c r="V104" s="43">
        <f t="shared" si="100"/>
        <v>0.81052731953847623</v>
      </c>
      <c r="W104" s="43">
        <f t="shared" si="100"/>
        <v>0.72272411396803338</v>
      </c>
      <c r="X104" s="43">
        <f t="shared" si="100"/>
        <v>0.71621621621621623</v>
      </c>
      <c r="Y104" s="43">
        <f t="shared" si="100"/>
        <v>0.72192513368983957</v>
      </c>
      <c r="Z104" s="43">
        <f>K104/K$101</f>
        <v>0.6840796019900498</v>
      </c>
      <c r="AA104" s="43">
        <f t="shared" si="100"/>
        <v>0.67788461538461542</v>
      </c>
      <c r="AB104" s="43">
        <f t="shared" si="100"/>
        <v>0.6560364464692483</v>
      </c>
      <c r="AC104" s="43">
        <f t="shared" si="100"/>
        <v>0.44970414201183434</v>
      </c>
      <c r="AD104" s="43">
        <f>SUM(H104:M104)/SUM(H$101:M$101)</f>
        <v>0.6946944826855872</v>
      </c>
      <c r="AE104" s="2"/>
    </row>
    <row r="105" spans="1:31" ht="15">
      <c r="A105" s="72"/>
      <c r="B105" s="101"/>
      <c r="C105" s="101"/>
      <c r="D105" s="101"/>
      <c r="E105" s="101"/>
      <c r="F105" s="101"/>
      <c r="G105" s="101"/>
      <c r="H105" s="101"/>
      <c r="I105" s="101"/>
      <c r="J105" s="102"/>
      <c r="K105" s="102"/>
      <c r="L105" s="102"/>
      <c r="M105" s="102"/>
      <c r="N105" s="102"/>
      <c r="O105" s="43"/>
      <c r="AE105" s="2"/>
    </row>
    <row r="106" spans="1:31" ht="1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43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</row>
    <row r="107" spans="1:31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91" t="s">
        <v>117</v>
      </c>
      <c r="AD107" s="23" t="str">
        <f>+O107</f>
        <v>Exhibit 1</v>
      </c>
    </row>
    <row r="108" spans="1:31" ht="15.75">
      <c r="A108" s="3"/>
      <c r="B108" s="2"/>
      <c r="C108" s="2"/>
      <c r="D108" s="2"/>
      <c r="E108" s="2"/>
      <c r="G108" s="144"/>
      <c r="H108" s="144"/>
      <c r="I108" s="144"/>
      <c r="J108" s="144"/>
      <c r="K108" s="144"/>
      <c r="L108" s="144"/>
      <c r="O108" s="153" t="s">
        <v>188</v>
      </c>
      <c r="AD108" s="153" t="s">
        <v>191</v>
      </c>
    </row>
    <row r="109" spans="1:31" ht="20.25">
      <c r="A109" s="64" t="str">
        <f>A3</f>
        <v>Questar Gas Company</v>
      </c>
      <c r="B109" s="5"/>
      <c r="C109" s="5"/>
      <c r="D109" s="5"/>
      <c r="E109" s="5"/>
      <c r="F109" s="4"/>
      <c r="G109" s="4"/>
      <c r="H109" s="4"/>
      <c r="I109" s="4"/>
      <c r="J109" s="4"/>
      <c r="K109" s="4"/>
      <c r="L109" s="4"/>
      <c r="M109" s="4"/>
      <c r="N109" s="4"/>
      <c r="O109" s="5"/>
      <c r="P109" s="198" t="str">
        <f>+A109</f>
        <v>Questar Gas Company</v>
      </c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</row>
    <row r="110" spans="1:31" ht="15.75">
      <c r="A110" s="65" t="s">
        <v>47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86"/>
      <c r="P110" s="199" t="s">
        <v>150</v>
      </c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</row>
    <row r="111" spans="1:31" ht="15.75">
      <c r="A111" s="68" t="str">
        <f>A5</f>
        <v>Years Ended December 31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86"/>
      <c r="P111" s="200" t="str">
        <f>+A111</f>
        <v>Years Ended December 31</v>
      </c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</row>
    <row r="112" spans="1:31" ht="15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86"/>
    </row>
    <row r="113" spans="1:30" ht="15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193"/>
      <c r="O113" s="88"/>
    </row>
    <row r="114" spans="1:30" ht="15.75">
      <c r="A114" s="87"/>
      <c r="B114" s="87"/>
      <c r="C114" s="87"/>
      <c r="D114" s="87"/>
      <c r="E114" s="87"/>
      <c r="F114" s="87"/>
      <c r="G114" s="87"/>
      <c r="H114" s="89"/>
      <c r="I114" s="89"/>
      <c r="J114" s="89"/>
      <c r="K114" s="90"/>
      <c r="L114" s="90"/>
      <c r="M114" s="90"/>
      <c r="N114" s="194" t="str">
        <f t="shared" ref="N114:N115" si="102">+N8</f>
        <v>2nd Qrtr</v>
      </c>
      <c r="O114" s="122" t="str">
        <f>O7</f>
        <v>2005 to 2010</v>
      </c>
      <c r="AB114" s="148"/>
      <c r="AC114" s="148" t="str">
        <f t="shared" ref="W114:AC115" si="103">+N114</f>
        <v>2nd Qrtr</v>
      </c>
      <c r="AD114" s="160" t="str">
        <f>+O114</f>
        <v>2005 to 2010</v>
      </c>
    </row>
    <row r="115" spans="1:30" ht="15.75">
      <c r="A115" s="94" t="s">
        <v>27</v>
      </c>
      <c r="B115" s="93">
        <f t="shared" ref="B115:K115" si="104">Q9</f>
        <v>1999</v>
      </c>
      <c r="C115" s="93">
        <f t="shared" si="104"/>
        <v>2000</v>
      </c>
      <c r="D115" s="93">
        <f t="shared" si="104"/>
        <v>2001</v>
      </c>
      <c r="E115" s="93">
        <f t="shared" si="104"/>
        <v>2002</v>
      </c>
      <c r="F115" s="93">
        <f t="shared" si="104"/>
        <v>2003</v>
      </c>
      <c r="G115" s="93">
        <f t="shared" si="104"/>
        <v>2004</v>
      </c>
      <c r="H115" s="93">
        <f t="shared" si="104"/>
        <v>2005</v>
      </c>
      <c r="I115" s="93">
        <f t="shared" si="104"/>
        <v>2006</v>
      </c>
      <c r="J115" s="93">
        <f t="shared" si="104"/>
        <v>2007</v>
      </c>
      <c r="K115" s="93">
        <f t="shared" si="104"/>
        <v>2008</v>
      </c>
      <c r="L115" s="93">
        <f>+L74</f>
        <v>2009</v>
      </c>
      <c r="M115" s="93">
        <f>+M9</f>
        <v>2010</v>
      </c>
      <c r="N115" s="195">
        <f t="shared" si="102"/>
        <v>2011</v>
      </c>
      <c r="O115" s="120" t="s">
        <v>2</v>
      </c>
      <c r="P115" s="8"/>
      <c r="V115" s="148">
        <f>+G115</f>
        <v>2004</v>
      </c>
      <c r="W115" s="148">
        <f t="shared" si="103"/>
        <v>2005</v>
      </c>
      <c r="X115" s="148">
        <f t="shared" si="103"/>
        <v>2006</v>
      </c>
      <c r="Y115" s="148">
        <f t="shared" si="103"/>
        <v>2007</v>
      </c>
      <c r="Z115" s="148">
        <f t="shared" si="103"/>
        <v>2008</v>
      </c>
      <c r="AA115" s="148">
        <f t="shared" si="103"/>
        <v>2009</v>
      </c>
      <c r="AB115" s="148">
        <f t="shared" si="103"/>
        <v>2010</v>
      </c>
      <c r="AC115" s="148">
        <f t="shared" si="103"/>
        <v>2011</v>
      </c>
      <c r="AD115" s="162" t="str">
        <f>+O115</f>
        <v>Average</v>
      </c>
    </row>
    <row r="116" spans="1:30" ht="15.75" customHeight="1">
      <c r="A116" s="73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5"/>
      <c r="P116" s="163" t="s">
        <v>156</v>
      </c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5"/>
    </row>
    <row r="117" spans="1:30" ht="15.75">
      <c r="A117" s="117" t="s">
        <v>35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43"/>
      <c r="P117" s="166" t="s">
        <v>151</v>
      </c>
      <c r="Q117" s="8"/>
      <c r="R117" s="8"/>
      <c r="S117" s="8"/>
      <c r="T117" s="8"/>
      <c r="U117" s="8"/>
      <c r="V117" s="167">
        <v>680.7</v>
      </c>
      <c r="W117" s="167">
        <v>867.8</v>
      </c>
      <c r="X117" s="167">
        <v>988.4</v>
      </c>
      <c r="Y117" s="167">
        <v>876.6</v>
      </c>
      <c r="Z117" s="167">
        <v>926.7</v>
      </c>
      <c r="AA117" s="167">
        <v>874</v>
      </c>
      <c r="AB117" s="167">
        <v>833</v>
      </c>
      <c r="AC117" s="167">
        <v>542.9</v>
      </c>
      <c r="AD117" s="168">
        <f>AVERAGE(W117:AB117)</f>
        <v>894.41666666666663</v>
      </c>
    </row>
    <row r="118" spans="1:30" ht="15">
      <c r="A118" s="72" t="s">
        <v>6</v>
      </c>
      <c r="B118" s="116">
        <f t="shared" ref="B118:J118" si="105">B20/B47</f>
        <v>0.74089079724873141</v>
      </c>
      <c r="C118" s="116">
        <f t="shared" si="105"/>
        <v>0.71808631481641061</v>
      </c>
      <c r="D118" s="116">
        <f t="shared" si="105"/>
        <v>0.97588302316748954</v>
      </c>
      <c r="E118" s="116">
        <f t="shared" si="105"/>
        <v>0.94074924113422664</v>
      </c>
      <c r="F118" s="116">
        <f t="shared" si="105"/>
        <v>0.84477470859297543</v>
      </c>
      <c r="G118" s="116">
        <f t="shared" si="105"/>
        <v>0.81890669001086347</v>
      </c>
      <c r="H118" s="116">
        <f t="shared" si="105"/>
        <v>1.0078733653598355</v>
      </c>
      <c r="I118" s="116">
        <f t="shared" si="105"/>
        <v>0.83897002305918522</v>
      </c>
      <c r="J118" s="116">
        <f t="shared" si="105"/>
        <v>0.60538236077804419</v>
      </c>
      <c r="K118" s="116">
        <f>K20/K47</f>
        <v>0.84523809523809523</v>
      </c>
      <c r="L118" s="116">
        <f>L20/L47</f>
        <v>0.86538461538461542</v>
      </c>
      <c r="M118" s="116">
        <f>M20/M47</f>
        <v>0.84213564213564218</v>
      </c>
      <c r="N118" s="116">
        <f>N20/N47</f>
        <v>0.78993055555555558</v>
      </c>
      <c r="O118" s="116">
        <f>AVERAGE(H118:M118)</f>
        <v>0.83416401699256959</v>
      </c>
      <c r="P118" s="166" t="s">
        <v>152</v>
      </c>
      <c r="Q118" s="8"/>
      <c r="R118" s="8"/>
      <c r="S118" s="8"/>
      <c r="T118" s="8"/>
      <c r="U118" s="8"/>
      <c r="V118" s="167">
        <v>49.1</v>
      </c>
      <c r="W118" s="167">
        <v>40.1</v>
      </c>
      <c r="X118" s="167">
        <v>23.5</v>
      </c>
      <c r="Y118" s="167">
        <v>9.9</v>
      </c>
      <c r="Z118" s="167">
        <v>12</v>
      </c>
      <c r="AA118" s="167">
        <v>8.3000000000000007</v>
      </c>
      <c r="AB118" s="167">
        <v>26.7</v>
      </c>
      <c r="AC118" s="167">
        <v>14.5</v>
      </c>
      <c r="AD118" s="168">
        <f t="shared" ref="AD118:AD122" si="106">AVERAGE(W118:AB118)</f>
        <v>20.083333333333332</v>
      </c>
    </row>
    <row r="119" spans="1:30" ht="15">
      <c r="A119" s="72" t="s">
        <v>26</v>
      </c>
      <c r="B119" s="116">
        <f t="shared" ref="B119:J119" si="107">(B12+B13)/B47</f>
        <v>0.57075363762400222</v>
      </c>
      <c r="C119" s="116">
        <f t="shared" si="107"/>
        <v>0.4543043815462714</v>
      </c>
      <c r="D119" s="116">
        <f t="shared" si="107"/>
        <v>0.73504721243631888</v>
      </c>
      <c r="E119" s="116">
        <f t="shared" si="107"/>
        <v>0.69394388095061821</v>
      </c>
      <c r="F119" s="116">
        <f t="shared" si="107"/>
        <v>0.68902028675786886</v>
      </c>
      <c r="G119" s="116">
        <f t="shared" si="107"/>
        <v>0.48582297083030107</v>
      </c>
      <c r="H119" s="116">
        <f t="shared" si="107"/>
        <v>0.63653334038180698</v>
      </c>
      <c r="I119" s="116">
        <f t="shared" si="107"/>
        <v>0.60146041506533432</v>
      </c>
      <c r="J119" s="116">
        <f t="shared" si="107"/>
        <v>0.41859845456967759</v>
      </c>
      <c r="K119" s="116">
        <f>(K12+K13)/K47</f>
        <v>0.52321428571428574</v>
      </c>
      <c r="L119" s="116">
        <f>(L12+L13)/L47</f>
        <v>0.54001240694789077</v>
      </c>
      <c r="M119" s="116">
        <f>(M12+M13)/M47</f>
        <v>0.50793650793650791</v>
      </c>
      <c r="N119" s="116">
        <f>(N12+N13)/N47</f>
        <v>0.38657407407407407</v>
      </c>
      <c r="O119" s="116">
        <f t="shared" ref="O119:O120" si="108">AVERAGE(H119:M119)</f>
        <v>0.53795923510258392</v>
      </c>
      <c r="P119" s="166" t="s">
        <v>160</v>
      </c>
      <c r="Q119" s="8"/>
      <c r="R119" s="8"/>
      <c r="S119" s="8"/>
      <c r="T119" s="8"/>
      <c r="U119" s="8"/>
      <c r="V119" s="167">
        <v>6.4</v>
      </c>
      <c r="W119" s="167">
        <v>5.9</v>
      </c>
      <c r="X119" s="167">
        <v>6.7</v>
      </c>
      <c r="Y119" s="167">
        <v>9.9</v>
      </c>
      <c r="Z119" s="167">
        <v>9.9</v>
      </c>
      <c r="AA119" s="167">
        <v>11.2</v>
      </c>
      <c r="AB119" s="167">
        <v>9.6999999999999993</v>
      </c>
      <c r="AC119" s="167">
        <v>5.3</v>
      </c>
      <c r="AD119" s="168">
        <f t="shared" si="106"/>
        <v>8.8833333333333329</v>
      </c>
    </row>
    <row r="120" spans="1:30" ht="15">
      <c r="A120" s="72" t="s">
        <v>9</v>
      </c>
      <c r="B120" s="116">
        <f>365*(B13/B79)</f>
        <v>67.411148671925176</v>
      </c>
      <c r="C120" s="116">
        <f t="shared" ref="C120:J120" si="109">365*(((B13+C13)/2)/((B79+C79)/2))</f>
        <v>73.317835530389715</v>
      </c>
      <c r="D120" s="116">
        <f t="shared" si="109"/>
        <v>65.591018434572376</v>
      </c>
      <c r="E120" s="116">
        <f t="shared" si="109"/>
        <v>55.783642038004842</v>
      </c>
      <c r="F120" s="116">
        <f t="shared" si="109"/>
        <v>66.299155121306427</v>
      </c>
      <c r="G120" s="116">
        <f t="shared" si="109"/>
        <v>70.166930409446223</v>
      </c>
      <c r="H120" s="116">
        <f t="shared" si="109"/>
        <v>68.80598990004286</v>
      </c>
      <c r="I120" s="116">
        <f t="shared" si="109"/>
        <v>61.642354994482396</v>
      </c>
      <c r="J120" s="116">
        <f t="shared" si="109"/>
        <v>55.907816333683847</v>
      </c>
      <c r="K120" s="116">
        <f>365*(((J13+K13)/2)/((J79+K79)/2))</f>
        <v>61.86568708609272</v>
      </c>
      <c r="L120" s="116">
        <f>365*(((K13+L13)/2)/((K79+L79)/2))</f>
        <v>64.913811061347772</v>
      </c>
      <c r="M120" s="116">
        <f>365*(((K13+M13)/2)/((K79+M79)/2))</f>
        <v>66.337484237074392</v>
      </c>
      <c r="N120" s="116">
        <f>365*(((L13+N13)/2)/((L79+N79)/2))</f>
        <v>56.882168578287541</v>
      </c>
      <c r="O120" s="116">
        <f t="shared" si="108"/>
        <v>63.245523935454003</v>
      </c>
      <c r="P120" s="166" t="s">
        <v>153</v>
      </c>
      <c r="Q120" s="8"/>
      <c r="R120" s="8"/>
      <c r="S120" s="8"/>
      <c r="T120" s="8"/>
      <c r="U120" s="8"/>
      <c r="V120" s="167">
        <v>5.3</v>
      </c>
      <c r="W120" s="167">
        <v>6.6</v>
      </c>
      <c r="X120" s="167">
        <v>7.1</v>
      </c>
      <c r="Y120" s="167">
        <v>5.9</v>
      </c>
      <c r="Z120" s="167">
        <v>5.6</v>
      </c>
      <c r="AA120" s="167">
        <v>5.4</v>
      </c>
      <c r="AB120" s="167">
        <v>4.8</v>
      </c>
      <c r="AC120" s="167">
        <v>3</v>
      </c>
      <c r="AD120" s="168">
        <f t="shared" si="106"/>
        <v>5.8999999999999995</v>
      </c>
    </row>
    <row r="121" spans="1:30" ht="15">
      <c r="A121" s="72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66" t="s">
        <v>154</v>
      </c>
      <c r="Q121" s="8"/>
      <c r="R121" s="8"/>
      <c r="S121" s="8"/>
      <c r="T121" s="8"/>
      <c r="U121" s="8"/>
      <c r="V121" s="150">
        <v>22.7</v>
      </c>
      <c r="W121" s="150">
        <v>42.1</v>
      </c>
      <c r="X121" s="150">
        <v>38.9</v>
      </c>
      <c r="Y121" s="150">
        <v>30.2</v>
      </c>
      <c r="Z121" s="150">
        <v>46.1</v>
      </c>
      <c r="AA121" s="150">
        <v>21</v>
      </c>
      <c r="AB121" s="150">
        <v>28.7</v>
      </c>
      <c r="AC121" s="150">
        <v>14</v>
      </c>
      <c r="AD121" s="180">
        <f t="shared" si="106"/>
        <v>34.5</v>
      </c>
    </row>
    <row r="122" spans="1:30" ht="15.75">
      <c r="A122" s="117" t="s">
        <v>15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66" t="s">
        <v>155</v>
      </c>
      <c r="Q122" s="8"/>
      <c r="R122" s="8"/>
      <c r="S122" s="8"/>
      <c r="T122" s="8"/>
      <c r="U122" s="8"/>
      <c r="V122" s="167">
        <f t="shared" ref="V122:AA122" si="110">+V121+V120+V119+V118+V117</f>
        <v>764.2</v>
      </c>
      <c r="W122" s="167">
        <f t="shared" si="110"/>
        <v>962.5</v>
      </c>
      <c r="X122" s="167">
        <f t="shared" si="110"/>
        <v>1064.5999999999999</v>
      </c>
      <c r="Y122" s="167">
        <f t="shared" si="110"/>
        <v>932.5</v>
      </c>
      <c r="Z122" s="167">
        <f t="shared" si="110"/>
        <v>1000.3000000000001</v>
      </c>
      <c r="AA122" s="167">
        <f t="shared" si="110"/>
        <v>919.9</v>
      </c>
      <c r="AB122" s="167">
        <f>+AB121+AB120+AB119+AB118+AB117</f>
        <v>902.9</v>
      </c>
      <c r="AC122" s="167">
        <f>+AC121+AC120+AC119+AC118+AC117</f>
        <v>579.69999999999993</v>
      </c>
      <c r="AD122" s="168">
        <f t="shared" si="106"/>
        <v>963.7833333333333</v>
      </c>
    </row>
    <row r="123" spans="1:30" ht="15">
      <c r="A123" s="72" t="s">
        <v>19</v>
      </c>
      <c r="B123" s="116">
        <f t="shared" ref="B123:G123" si="111">B61/B54</f>
        <v>0.57239562846755143</v>
      </c>
      <c r="C123" s="116">
        <f t="shared" si="111"/>
        <v>0.46630759178483761</v>
      </c>
      <c r="D123" s="116">
        <f t="shared" si="111"/>
        <v>0.57950427625659429</v>
      </c>
      <c r="E123" s="116">
        <f t="shared" si="111"/>
        <v>0.60588883761967549</v>
      </c>
      <c r="F123" s="116">
        <f t="shared" si="111"/>
        <v>0.51432917999607197</v>
      </c>
      <c r="G123" s="116">
        <f t="shared" si="111"/>
        <v>0.45211775665786752</v>
      </c>
      <c r="H123" s="116">
        <f t="shared" ref="H123:M123" si="112">H61/H54</f>
        <v>0.4038168549003987</v>
      </c>
      <c r="I123" s="116">
        <f t="shared" si="112"/>
        <v>0.44318945811483124</v>
      </c>
      <c r="J123" s="116">
        <f t="shared" si="112"/>
        <v>0.41197097944377264</v>
      </c>
      <c r="K123" s="116">
        <f t="shared" si="112"/>
        <v>0.41786179921773142</v>
      </c>
      <c r="L123" s="116">
        <f t="shared" si="112"/>
        <v>0.4244229337304542</v>
      </c>
      <c r="M123" s="116">
        <f t="shared" si="112"/>
        <v>0.4172524603334003</v>
      </c>
      <c r="N123" s="116">
        <f t="shared" ref="N123" si="113">N61/N54</f>
        <v>0.51395128872073781</v>
      </c>
      <c r="O123" s="116">
        <f t="shared" ref="O123:O126" si="114">AVERAGE(H123:M123)</f>
        <v>0.41975241429009807</v>
      </c>
      <c r="P123" s="169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170"/>
    </row>
    <row r="124" spans="1:30" ht="15.75">
      <c r="A124" s="72" t="s">
        <v>18</v>
      </c>
      <c r="B124" s="116">
        <f t="shared" ref="B124:G124" si="115">B61/B52</f>
        <v>0.84536529160100526</v>
      </c>
      <c r="C124" s="116">
        <f t="shared" si="115"/>
        <v>0.84913111148270581</v>
      </c>
      <c r="D124" s="116">
        <f t="shared" si="115"/>
        <v>0.81537362640291466</v>
      </c>
      <c r="E124" s="116">
        <f t="shared" si="115"/>
        <v>0.81962323677894344</v>
      </c>
      <c r="F124" s="116">
        <f t="shared" si="115"/>
        <v>0.76084039365445177</v>
      </c>
      <c r="G124" s="116">
        <f t="shared" si="115"/>
        <v>0.76408841923448267</v>
      </c>
      <c r="H124" s="116">
        <f t="shared" ref="H124:M124" si="116">H61/H52</f>
        <v>0.65549485510484384</v>
      </c>
      <c r="I124" s="116">
        <f t="shared" si="116"/>
        <v>0.68169596690796275</v>
      </c>
      <c r="J124" s="116">
        <f t="shared" si="116"/>
        <v>0.75426167810493694</v>
      </c>
      <c r="K124" s="116">
        <f t="shared" si="116"/>
        <v>0.65811088295687881</v>
      </c>
      <c r="L124" s="116">
        <f t="shared" si="116"/>
        <v>0.64594463331714425</v>
      </c>
      <c r="M124" s="116">
        <f t="shared" si="116"/>
        <v>0.63991991375327273</v>
      </c>
      <c r="N124" s="116">
        <f t="shared" ref="N124" si="117">N61/N52</f>
        <v>0.64591381872213971</v>
      </c>
      <c r="O124" s="116">
        <f t="shared" si="114"/>
        <v>0.67257132169083989</v>
      </c>
      <c r="P124" s="171" t="s">
        <v>175</v>
      </c>
      <c r="Q124" s="8"/>
      <c r="R124" s="8"/>
      <c r="S124" s="8"/>
      <c r="T124" s="8"/>
      <c r="U124" s="8"/>
      <c r="V124" s="172"/>
      <c r="W124" s="187">
        <f>+(W122-V122)/V122</f>
        <v>0.25948704527610567</v>
      </c>
      <c r="X124" s="187">
        <f t="shared" ref="X124:AB124" si="118">+(X122-W122)/W122</f>
        <v>0.10607792207792198</v>
      </c>
      <c r="Y124" s="187">
        <f t="shared" si="118"/>
        <v>-0.12408416306594018</v>
      </c>
      <c r="Z124" s="187">
        <f t="shared" si="118"/>
        <v>7.2707774798927691E-2</v>
      </c>
      <c r="AA124" s="187">
        <f t="shared" si="118"/>
        <v>-8.0375887233829935E-2</v>
      </c>
      <c r="AB124" s="187">
        <f t="shared" si="118"/>
        <v>-1.8480269594521145E-2</v>
      </c>
      <c r="AC124" s="187"/>
      <c r="AD124" s="188">
        <f>AVERAGE(W124:AB124)</f>
        <v>3.5888737043110686E-2</v>
      </c>
    </row>
    <row r="125" spans="1:30" ht="15">
      <c r="A125" s="72" t="s">
        <v>17</v>
      </c>
      <c r="B125" s="116">
        <f t="shared" ref="B125:J125" si="119">B61/B30</f>
        <v>0.44455415130770581</v>
      </c>
      <c r="C125" s="116">
        <f t="shared" si="119"/>
        <v>0.42598884274988463</v>
      </c>
      <c r="D125" s="116">
        <f t="shared" si="119"/>
        <v>0.46715846760893731</v>
      </c>
      <c r="E125" s="116">
        <f t="shared" si="119"/>
        <v>0.46146561814406795</v>
      </c>
      <c r="F125" s="116">
        <f t="shared" si="119"/>
        <v>0.43657442858636408</v>
      </c>
      <c r="G125" s="116">
        <f t="shared" si="119"/>
        <v>0.42377702163614517</v>
      </c>
      <c r="H125" s="116">
        <f t="shared" si="119"/>
        <v>0.41479591570805341</v>
      </c>
      <c r="I125" s="116">
        <f t="shared" si="119"/>
        <v>0.40190220704792101</v>
      </c>
      <c r="J125" s="116">
        <f t="shared" si="119"/>
        <v>0.37484871823082849</v>
      </c>
      <c r="K125" s="116">
        <f>K61/K30</f>
        <v>0.3886811520970187</v>
      </c>
      <c r="L125" s="116">
        <f>L61/L30</f>
        <v>0.38681531749878817</v>
      </c>
      <c r="M125" s="116">
        <f>M61/M30</f>
        <v>0.37900209796588524</v>
      </c>
      <c r="N125" s="116">
        <f>N61/N30</f>
        <v>0.3877095968605066</v>
      </c>
      <c r="O125" s="116">
        <f t="shared" si="114"/>
        <v>0.39100756809141579</v>
      </c>
      <c r="P125" s="169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170"/>
    </row>
    <row r="126" spans="1:30" ht="15.75">
      <c r="A126" s="72" t="s">
        <v>36</v>
      </c>
      <c r="B126" s="116">
        <f t="shared" ref="B126:J126" si="120">(B98+B92)/B92</f>
        <v>2.4071877180739705</v>
      </c>
      <c r="C126" s="116">
        <f t="shared" si="120"/>
        <v>2.7609429209638323</v>
      </c>
      <c r="D126" s="116">
        <f t="shared" si="120"/>
        <v>2.6723304033309501</v>
      </c>
      <c r="E126" s="116">
        <f t="shared" si="120"/>
        <v>3.2310735719048678</v>
      </c>
      <c r="F126" s="116">
        <f t="shared" si="120"/>
        <v>2.6026019824628288</v>
      </c>
      <c r="G126" s="116">
        <f t="shared" si="120"/>
        <v>3.5967161607459586</v>
      </c>
      <c r="H126" s="116">
        <f t="shared" si="120"/>
        <v>3.8401131064589742</v>
      </c>
      <c r="I126" s="116">
        <f t="shared" si="120"/>
        <v>3.6061946902654869</v>
      </c>
      <c r="J126" s="116">
        <f t="shared" si="120"/>
        <v>3.5084033613445378</v>
      </c>
      <c r="K126" s="116">
        <f>(K98+K92)/K92</f>
        <v>3.5476190476190474</v>
      </c>
      <c r="L126" s="116">
        <f>(L98+L92)/L92</f>
        <v>3.3157894736842106</v>
      </c>
      <c r="M126" s="116">
        <f>(M98+M92)/M92</f>
        <v>3.6374045801526718</v>
      </c>
      <c r="N126" s="116">
        <f>(N98+N92)/N92</f>
        <v>5.1450381679389317</v>
      </c>
      <c r="O126" s="116">
        <f t="shared" si="114"/>
        <v>3.5759207099208221</v>
      </c>
      <c r="P126" s="173" t="s">
        <v>157</v>
      </c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170"/>
    </row>
    <row r="127" spans="1:30" ht="15">
      <c r="A127" s="72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66" t="str">
        <f t="shared" ref="P127:P132" si="121">+P117</f>
        <v xml:space="preserve">   Residential &amp; Commercial Sales</v>
      </c>
      <c r="Q127" s="8"/>
      <c r="R127" s="8"/>
      <c r="S127" s="8"/>
      <c r="T127" s="8"/>
      <c r="U127" s="8"/>
      <c r="V127" s="172">
        <f t="shared" ref="V127:AB132" si="122">+V117/V$122</f>
        <v>0.89073540957864439</v>
      </c>
      <c r="W127" s="187">
        <f t="shared" si="122"/>
        <v>0.90161038961038953</v>
      </c>
      <c r="X127" s="187">
        <f t="shared" si="122"/>
        <v>0.92842382115348498</v>
      </c>
      <c r="Y127" s="187">
        <f t="shared" si="122"/>
        <v>0.94005361930294906</v>
      </c>
      <c r="Z127" s="187">
        <f t="shared" si="122"/>
        <v>0.92642207337798654</v>
      </c>
      <c r="AA127" s="187">
        <f t="shared" si="122"/>
        <v>0.95010327209479295</v>
      </c>
      <c r="AB127" s="187">
        <f t="shared" si="122"/>
        <v>0.92258278879167133</v>
      </c>
      <c r="AC127" s="187">
        <f t="shared" ref="AC127" si="123">+AC117/AC$122</f>
        <v>0.93651888908055902</v>
      </c>
      <c r="AD127" s="189">
        <f t="shared" ref="AD127:AD132" si="124">AVERAGE(W127:AB127)</f>
        <v>0.92819932738854571</v>
      </c>
    </row>
    <row r="128" spans="1:30" ht="15.75">
      <c r="A128" s="117" t="s">
        <v>71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66" t="str">
        <f t="shared" si="121"/>
        <v xml:space="preserve">   Industrial Sales</v>
      </c>
      <c r="Q128" s="8"/>
      <c r="R128" s="8"/>
      <c r="S128" s="8"/>
      <c r="T128" s="8"/>
      <c r="U128" s="8"/>
      <c r="V128" s="172">
        <f t="shared" si="122"/>
        <v>6.4250196283695368E-2</v>
      </c>
      <c r="W128" s="187">
        <f t="shared" si="122"/>
        <v>4.1662337662337665E-2</v>
      </c>
      <c r="X128" s="187">
        <f t="shared" si="122"/>
        <v>2.2074018410670675E-2</v>
      </c>
      <c r="Y128" s="187">
        <f t="shared" si="122"/>
        <v>1.061662198391421E-2</v>
      </c>
      <c r="Z128" s="187">
        <f t="shared" si="122"/>
        <v>1.1996401079676096E-2</v>
      </c>
      <c r="AA128" s="187">
        <f t="shared" si="122"/>
        <v>9.0227198608544418E-3</v>
      </c>
      <c r="AB128" s="187">
        <f t="shared" si="122"/>
        <v>2.9571381105327279E-2</v>
      </c>
      <c r="AC128" s="187">
        <f t="shared" ref="AC128" si="125">+AC118/AC$122</f>
        <v>2.5012937726410216E-2</v>
      </c>
      <c r="AD128" s="189">
        <f t="shared" si="124"/>
        <v>2.0823913350463397E-2</v>
      </c>
    </row>
    <row r="129" spans="1:30" ht="15">
      <c r="A129" s="72" t="s">
        <v>147</v>
      </c>
      <c r="B129" s="43">
        <f t="shared" ref="B129:M129" si="126">(+B79-B82-B83)/B79</f>
        <v>0.42821995079311104</v>
      </c>
      <c r="C129" s="43">
        <f t="shared" si="126"/>
        <v>0.37739072438063798</v>
      </c>
      <c r="D129" s="43">
        <f t="shared" si="126"/>
        <v>0.29195313820366903</v>
      </c>
      <c r="E129" s="43">
        <f t="shared" si="126"/>
        <v>0.37819116691379334</v>
      </c>
      <c r="F129" s="43">
        <f t="shared" si="126"/>
        <v>0.36469214727976879</v>
      </c>
      <c r="G129" s="43">
        <f t="shared" si="126"/>
        <v>0.2984390069000894</v>
      </c>
      <c r="H129" s="43">
        <f t="shared" si="126"/>
        <v>0.25180484693214983</v>
      </c>
      <c r="I129" s="43">
        <f t="shared" si="126"/>
        <v>0.22806687957918467</v>
      </c>
      <c r="J129" s="43">
        <f t="shared" si="126"/>
        <v>0.26305630026809651</v>
      </c>
      <c r="K129" s="43">
        <f t="shared" si="126"/>
        <v>0.26332100369889033</v>
      </c>
      <c r="L129" s="43">
        <f t="shared" si="126"/>
        <v>0.31883900423959127</v>
      </c>
      <c r="M129" s="43">
        <f t="shared" si="126"/>
        <v>0.34411341233802195</v>
      </c>
      <c r="N129" s="43">
        <f t="shared" ref="N129" si="127">(+N79-N82-N83)/N79</f>
        <v>0.31257547007072622</v>
      </c>
      <c r="O129" s="43">
        <f t="shared" ref="O129:O133" si="128">AVERAGE(H129:M129)</f>
        <v>0.27820024117598902</v>
      </c>
      <c r="P129" s="166" t="str">
        <f t="shared" si="121"/>
        <v xml:space="preserve">   Transportation for Industrial </v>
      </c>
      <c r="Q129" s="8"/>
      <c r="R129" s="8"/>
      <c r="S129" s="8"/>
      <c r="T129" s="8"/>
      <c r="U129" s="8"/>
      <c r="V129" s="172">
        <f t="shared" si="122"/>
        <v>8.3747710023554037E-3</v>
      </c>
      <c r="W129" s="187">
        <f t="shared" si="122"/>
        <v>6.1298701298701302E-3</v>
      </c>
      <c r="X129" s="187">
        <f t="shared" si="122"/>
        <v>6.2934435468720651E-3</v>
      </c>
      <c r="Y129" s="187">
        <f t="shared" si="122"/>
        <v>1.061662198391421E-2</v>
      </c>
      <c r="Z129" s="187">
        <f t="shared" si="122"/>
        <v>9.8970308907327803E-3</v>
      </c>
      <c r="AA129" s="187">
        <f t="shared" si="122"/>
        <v>1.2175236438743341E-2</v>
      </c>
      <c r="AB129" s="187">
        <f t="shared" si="122"/>
        <v>1.0743160925905415E-2</v>
      </c>
      <c r="AC129" s="187">
        <f t="shared" ref="AC129" si="129">+AC119/AC$122</f>
        <v>9.1426599965499407E-3</v>
      </c>
      <c r="AD129" s="189">
        <f t="shared" si="124"/>
        <v>9.3092273193396569E-3</v>
      </c>
    </row>
    <row r="130" spans="1:30" ht="15">
      <c r="A130" s="72" t="s">
        <v>148</v>
      </c>
      <c r="B130" s="43">
        <f t="shared" ref="B130:M130" si="130">+B101/B79</f>
        <v>4.2714868970544766E-2</v>
      </c>
      <c r="C130" s="43">
        <f t="shared" si="130"/>
        <v>4.5016226931116586E-2</v>
      </c>
      <c r="D130" s="43">
        <f t="shared" si="130"/>
        <v>3.6745522380640605E-2</v>
      </c>
      <c r="E130" s="43">
        <f t="shared" si="130"/>
        <v>5.4405376223109231E-2</v>
      </c>
      <c r="F130" s="43">
        <f t="shared" si="130"/>
        <v>3.2499456517363266E-2</v>
      </c>
      <c r="G130" s="43">
        <f t="shared" si="130"/>
        <v>4.1168919369845056E-2</v>
      </c>
      <c r="H130" s="43">
        <f t="shared" si="130"/>
        <v>3.7374798321536506E-2</v>
      </c>
      <c r="I130" s="43">
        <f t="shared" si="130"/>
        <v>3.4754837497651701E-2</v>
      </c>
      <c r="J130" s="43">
        <f t="shared" si="130"/>
        <v>4.0107238605898127E-2</v>
      </c>
      <c r="K130" s="43">
        <f t="shared" si="130"/>
        <v>4.0187943616914926E-2</v>
      </c>
      <c r="L130" s="43">
        <f t="shared" si="130"/>
        <v>4.5222306772475268E-2</v>
      </c>
      <c r="M130" s="43">
        <f t="shared" si="130"/>
        <v>4.8621109757448225E-2</v>
      </c>
      <c r="N130" s="43">
        <f t="shared" ref="N130" si="131">+N101/N79</f>
        <v>5.8306020355356217E-2</v>
      </c>
      <c r="O130" s="43">
        <f t="shared" si="128"/>
        <v>4.104470576198746E-2</v>
      </c>
      <c r="P130" s="166" t="str">
        <f t="shared" si="121"/>
        <v xml:space="preserve">   Service</v>
      </c>
      <c r="Q130" s="8"/>
      <c r="R130" s="8"/>
      <c r="S130" s="8"/>
      <c r="T130" s="8"/>
      <c r="U130" s="8"/>
      <c r="V130" s="172">
        <f t="shared" si="122"/>
        <v>6.935357236325569E-3</v>
      </c>
      <c r="W130" s="187">
        <f t="shared" si="122"/>
        <v>6.8571428571428568E-3</v>
      </c>
      <c r="X130" s="187">
        <f t="shared" si="122"/>
        <v>6.6691715198196506E-3</v>
      </c>
      <c r="Y130" s="187">
        <f t="shared" si="122"/>
        <v>6.3270777479892768E-3</v>
      </c>
      <c r="Z130" s="187">
        <f t="shared" si="122"/>
        <v>5.598320503848845E-3</v>
      </c>
      <c r="AA130" s="187">
        <f t="shared" si="122"/>
        <v>5.8702032829655399E-3</v>
      </c>
      <c r="AB130" s="187">
        <f t="shared" si="122"/>
        <v>5.3162033447779374E-3</v>
      </c>
      <c r="AC130" s="187">
        <f t="shared" ref="AC130" si="132">+AC120/AC$122</f>
        <v>5.1750905640848719E-3</v>
      </c>
      <c r="AD130" s="189">
        <f t="shared" si="124"/>
        <v>6.1063532094240173E-3</v>
      </c>
    </row>
    <row r="131" spans="1:30" ht="15">
      <c r="A131" s="72" t="s">
        <v>29</v>
      </c>
      <c r="B131" s="43">
        <f>(B101+(B92*(1-(B100/B98))))/((B38)/1)</f>
        <v>4.5437974282927861E-2</v>
      </c>
      <c r="C131" s="43">
        <f t="shared" ref="C131:J131" si="133">(C101+(C92*(1-(C100/C98))))/((B38+C38)/2)</f>
        <v>4.8761390410488763E-2</v>
      </c>
      <c r="D131" s="43">
        <f t="shared" si="133"/>
        <v>4.968750191785988E-2</v>
      </c>
      <c r="E131" s="43">
        <f t="shared" si="133"/>
        <v>5.6339724460796936E-2</v>
      </c>
      <c r="F131" s="43">
        <f t="shared" si="133"/>
        <v>3.7877382395332809E-2</v>
      </c>
      <c r="G131" s="43">
        <f t="shared" si="133"/>
        <v>4.5358363426255467E-2</v>
      </c>
      <c r="H131" s="43">
        <f t="shared" si="133"/>
        <v>4.5926418451123302E-2</v>
      </c>
      <c r="I131" s="43">
        <f t="shared" si="133"/>
        <v>4.6971418637880867E-2</v>
      </c>
      <c r="J131" s="43">
        <f t="shared" si="133"/>
        <v>4.6684411197740902E-2</v>
      </c>
      <c r="K131" s="43">
        <f>(K101+(K92*(1-(K100/K98))))/((J38+K38)/2)</f>
        <v>4.5277987020128967E-2</v>
      </c>
      <c r="L131" s="43">
        <f>(L101+(L92*(1-(L100/L98))))/((K38+L38)/2)</f>
        <v>4.505399671997002E-2</v>
      </c>
      <c r="M131" s="43">
        <f>(M101+(M92*(1-(M100/M98))))/((K38+M38)/2)</f>
        <v>4.4579134818459161E-2</v>
      </c>
      <c r="N131" s="43">
        <f>(N101+(N92*(1-(N100/N98))))/((L38+N38)/2)</f>
        <v>3.2031094677409874E-2</v>
      </c>
      <c r="O131" s="43">
        <f t="shared" si="128"/>
        <v>4.5748894474217205E-2</v>
      </c>
      <c r="P131" s="166" t="str">
        <f t="shared" si="121"/>
        <v xml:space="preserve">   Other</v>
      </c>
      <c r="Q131" s="8"/>
      <c r="R131" s="8"/>
      <c r="S131" s="8"/>
      <c r="T131" s="8"/>
      <c r="U131" s="8"/>
      <c r="V131" s="152">
        <f t="shared" si="122"/>
        <v>2.9704265898979322E-2</v>
      </c>
      <c r="W131" s="185">
        <f t="shared" si="122"/>
        <v>4.3740259740259739E-2</v>
      </c>
      <c r="X131" s="185">
        <f t="shared" si="122"/>
        <v>3.6539545369152736E-2</v>
      </c>
      <c r="Y131" s="185">
        <f t="shared" si="122"/>
        <v>3.2386058981233243E-2</v>
      </c>
      <c r="Z131" s="185">
        <f t="shared" si="122"/>
        <v>4.6086174147755669E-2</v>
      </c>
      <c r="AA131" s="185">
        <f t="shared" si="122"/>
        <v>2.2828568322643766E-2</v>
      </c>
      <c r="AB131" s="185">
        <f t="shared" si="122"/>
        <v>3.1786465832318089E-2</v>
      </c>
      <c r="AC131" s="185">
        <f t="shared" ref="AC131" si="134">+AC121/AC$122</f>
        <v>2.4150422632396071E-2</v>
      </c>
      <c r="AD131" s="186">
        <f t="shared" si="124"/>
        <v>3.5561178732227208E-2</v>
      </c>
    </row>
    <row r="132" spans="1:30" ht="15">
      <c r="A132" s="72" t="s">
        <v>70</v>
      </c>
      <c r="B132" s="43">
        <f>(B101+(B92*(1-(B100/B98))))/((B49+B56+B61)/1)</f>
        <v>6.7316151477111702E-2</v>
      </c>
      <c r="C132" s="43">
        <f t="shared" ref="C132:L132" si="135">(C101+(C92*(1-(C100/C98))))/((B49+C49+B56+C56+B61+C61)/2)</f>
        <v>7.7517345465870302E-2</v>
      </c>
      <c r="D132" s="43">
        <f t="shared" si="135"/>
        <v>7.6564443086380718E-2</v>
      </c>
      <c r="E132" s="43">
        <f t="shared" si="135"/>
        <v>7.8874439866510146E-2</v>
      </c>
      <c r="F132" s="43">
        <f t="shared" si="135"/>
        <v>5.5072023772712843E-2</v>
      </c>
      <c r="G132" s="43">
        <f t="shared" si="135"/>
        <v>7.3424405126741116E-2</v>
      </c>
      <c r="H132" s="43">
        <f t="shared" si="135"/>
        <v>7.9137505505046044E-2</v>
      </c>
      <c r="I132" s="43">
        <f t="shared" si="135"/>
        <v>7.9750614868513148E-2</v>
      </c>
      <c r="J132" s="43">
        <f t="shared" si="135"/>
        <v>8.3475437240993669E-2</v>
      </c>
      <c r="K132" s="43">
        <f t="shared" si="135"/>
        <v>8.200313374692221E-2</v>
      </c>
      <c r="L132" s="43">
        <f t="shared" si="135"/>
        <v>7.8188023580515048E-2</v>
      </c>
      <c r="M132" s="43">
        <f>(M101+(M92*(1-(M100/M98))))/((K49+M49+K56+M56+K61+M61)/2)</f>
        <v>7.872719843142878E-2</v>
      </c>
      <c r="N132" s="43">
        <f>(N101+(N92*(1-(N100/N98))))/((L49+N49+L56+N56+L61+N61)/2)</f>
        <v>5.3387195786055171E-2</v>
      </c>
      <c r="O132" s="43">
        <f t="shared" si="128"/>
        <v>8.0213652228903157E-2</v>
      </c>
      <c r="P132" s="174" t="str">
        <f t="shared" si="121"/>
        <v xml:space="preserve">      Total Revenue</v>
      </c>
      <c r="Q132" s="149"/>
      <c r="R132" s="149"/>
      <c r="S132" s="149"/>
      <c r="T132" s="149"/>
      <c r="U132" s="149"/>
      <c r="V132" s="152">
        <f t="shared" si="122"/>
        <v>1</v>
      </c>
      <c r="W132" s="185">
        <f t="shared" si="122"/>
        <v>1</v>
      </c>
      <c r="X132" s="185">
        <f t="shared" si="122"/>
        <v>1</v>
      </c>
      <c r="Y132" s="185">
        <f t="shared" si="122"/>
        <v>1</v>
      </c>
      <c r="Z132" s="185">
        <f t="shared" si="122"/>
        <v>1</v>
      </c>
      <c r="AA132" s="185">
        <f t="shared" si="122"/>
        <v>1</v>
      </c>
      <c r="AB132" s="185">
        <f t="shared" si="122"/>
        <v>1</v>
      </c>
      <c r="AC132" s="185">
        <f t="shared" ref="AC132" si="136">+AC122/AC$122</f>
        <v>1</v>
      </c>
      <c r="AD132" s="190">
        <f t="shared" si="124"/>
        <v>1</v>
      </c>
    </row>
    <row r="133" spans="1:30" ht="15">
      <c r="A133" s="72" t="s">
        <v>69</v>
      </c>
      <c r="B133" s="43">
        <f>(B101-B103)/((B61)/1)</f>
        <v>7.2967011272129484E-2</v>
      </c>
      <c r="C133" s="43">
        <f t="shared" ref="C133:L133" si="137">(C101-C103)/((C61+B61)/2)</f>
        <v>9.1622128395351971E-2</v>
      </c>
      <c r="D133" s="43">
        <f t="shared" si="137"/>
        <v>9.0784845215224966E-2</v>
      </c>
      <c r="E133" s="43">
        <f t="shared" si="137"/>
        <v>0.10455388160198271</v>
      </c>
      <c r="F133" s="43">
        <f t="shared" si="137"/>
        <v>6.4806578917792429E-2</v>
      </c>
      <c r="G133" s="43">
        <f t="shared" si="137"/>
        <v>0.10083960889834787</v>
      </c>
      <c r="H133" s="43">
        <f t="shared" si="137"/>
        <v>0.11361178088637716</v>
      </c>
      <c r="I133" s="43">
        <f t="shared" si="137"/>
        <v>0.11421057342968179</v>
      </c>
      <c r="J133" s="43">
        <f t="shared" si="137"/>
        <v>0.11159182455616888</v>
      </c>
      <c r="K133" s="43">
        <f t="shared" si="137"/>
        <v>0.11085068247621674</v>
      </c>
      <c r="L133" s="43">
        <f t="shared" si="137"/>
        <v>0.10617662072485962</v>
      </c>
      <c r="M133" s="43">
        <f>(M101-M103)/((M61+K61)/2)</f>
        <v>0.10973628296462942</v>
      </c>
      <c r="N133" s="43">
        <f>(N101-N103)/((N61+L61)/2)</f>
        <v>8.1084322897924915E-2</v>
      </c>
      <c r="O133" s="43">
        <f t="shared" si="128"/>
        <v>0.11102962750632227</v>
      </c>
    </row>
    <row r="134" spans="1:30" ht="15">
      <c r="A134" s="72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1:30" ht="15.75">
      <c r="A135" s="117" t="s">
        <v>1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201" t="s">
        <v>158</v>
      </c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  <c r="AD135" s="203"/>
    </row>
    <row r="136" spans="1:30" ht="15.75">
      <c r="A136" s="72" t="s">
        <v>31</v>
      </c>
      <c r="B136" s="116">
        <f>B79/B12</f>
        <v>263.42915690866511</v>
      </c>
      <c r="C136" s="116">
        <f>C79/((B12+C12)/2)</f>
        <v>414.48803088803089</v>
      </c>
      <c r="D136" s="116">
        <f>D79/((C12+D12)/2)</f>
        <v>268.33574695121951</v>
      </c>
      <c r="E136" s="116">
        <f>E79/((D12+E12)/2)</f>
        <v>161.8456311998913</v>
      </c>
      <c r="F136" s="116">
        <f>F79/((D12+F12)/2)</f>
        <v>150.36198547215497</v>
      </c>
      <c r="G136" s="116">
        <f>G79/((F12+G12)/2)</f>
        <v>253.67402489626556</v>
      </c>
      <c r="H136" s="116">
        <f t="shared" ref="H136:N136" si="138">H79/((G12+H12)/2)</f>
        <v>360.70713884204611</v>
      </c>
      <c r="I136" s="116">
        <f t="shared" si="138"/>
        <v>312.8416103438143</v>
      </c>
      <c r="J136" s="116">
        <f t="shared" si="138"/>
        <v>242.20779220779221</v>
      </c>
      <c r="K136" s="116">
        <f t="shared" si="138"/>
        <v>377.47169811320754</v>
      </c>
      <c r="L136" s="116">
        <f t="shared" si="138"/>
        <v>219.02380952380952</v>
      </c>
      <c r="M136" s="116">
        <f t="shared" si="138"/>
        <v>151.74789915966386</v>
      </c>
      <c r="N136" s="116">
        <f t="shared" si="138"/>
        <v>246.68085106382978</v>
      </c>
      <c r="O136" s="116">
        <f t="shared" ref="O136:O140" si="139">AVERAGE(H136:M136)</f>
        <v>277.33332469838894</v>
      </c>
      <c r="P136" s="173" t="s">
        <v>159</v>
      </c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170"/>
    </row>
    <row r="137" spans="1:30" ht="15">
      <c r="A137" s="72" t="s">
        <v>30</v>
      </c>
      <c r="B137" s="116">
        <f>B79/B13</f>
        <v>5.4145346458398516</v>
      </c>
      <c r="C137" s="116">
        <f>C79/((B13+C13)/2)</f>
        <v>5.416394633676255</v>
      </c>
      <c r="D137" s="116">
        <f>D79/((C13+D13)/2)</f>
        <v>6.3152829537147905</v>
      </c>
      <c r="E137" s="116">
        <f>E79/((D13+E13)/2)</f>
        <v>5.9963649911390364</v>
      </c>
      <c r="F137" s="116">
        <f t="shared" ref="F137" si="140">F79/((D13+F13)/2)</f>
        <v>5.2159031732432934</v>
      </c>
      <c r="G137" s="116">
        <f>G79/((F13+G13)/2)</f>
        <v>5.739640837295239</v>
      </c>
      <c r="H137" s="116">
        <f t="shared" ref="H137:N137" si="141">H79/((G13+H13)/2)</f>
        <v>5.9141400952974896</v>
      </c>
      <c r="I137" s="116">
        <f t="shared" si="141"/>
        <v>6.2193479791208439</v>
      </c>
      <c r="J137" s="116">
        <f t="shared" si="141"/>
        <v>6.0967636482510628</v>
      </c>
      <c r="K137" s="116">
        <f t="shared" si="141"/>
        <v>6.1068376068376065</v>
      </c>
      <c r="L137" s="116">
        <f t="shared" si="141"/>
        <v>5.3874084919472915</v>
      </c>
      <c r="M137" s="116">
        <f t="shared" si="141"/>
        <v>5.3394441159077468</v>
      </c>
      <c r="N137" s="116">
        <f t="shared" si="141"/>
        <v>4.8693826123477528</v>
      </c>
      <c r="O137" s="116">
        <f t="shared" si="139"/>
        <v>5.8439903228936734</v>
      </c>
      <c r="P137" s="166" t="str">
        <f>+P127</f>
        <v xml:space="preserve">   Residential &amp; Commercial Sales</v>
      </c>
      <c r="Q137" s="8"/>
      <c r="R137" s="8"/>
      <c r="S137" s="8"/>
      <c r="T137" s="8"/>
      <c r="U137" s="8"/>
      <c r="V137" s="167">
        <v>93</v>
      </c>
      <c r="W137" s="167">
        <v>96.3</v>
      </c>
      <c r="X137" s="167">
        <v>102.2</v>
      </c>
      <c r="Y137" s="167">
        <v>106.1</v>
      </c>
      <c r="Z137" s="167">
        <v>112.3</v>
      </c>
      <c r="AA137" s="167">
        <v>109.4</v>
      </c>
      <c r="AB137" s="167">
        <v>105.8</v>
      </c>
      <c r="AC137" s="167">
        <v>68.2</v>
      </c>
      <c r="AD137" s="168">
        <f t="shared" ref="AD137:AD140" si="142">AVERAGE(W137:AB137)</f>
        <v>105.35000000000001</v>
      </c>
    </row>
    <row r="138" spans="1:30" ht="15">
      <c r="A138" s="72" t="s">
        <v>34</v>
      </c>
      <c r="B138" s="116">
        <f>B79/(B20-B47)</f>
        <v>-11.686675324675324</v>
      </c>
      <c r="C138" s="116">
        <f t="shared" ref="C138:L138" si="143">C79/((B20+C20-B47-C47)/2)</f>
        <v>-9.7176117025128548</v>
      </c>
      <c r="D138" s="116">
        <f t="shared" si="143"/>
        <v>-18.613786266604983</v>
      </c>
      <c r="E138" s="116">
        <f t="shared" si="143"/>
        <v>-101.91870614410405</v>
      </c>
      <c r="F138" s="116">
        <f t="shared" si="143"/>
        <v>-32.496663962950365</v>
      </c>
      <c r="G138" s="116">
        <f t="shared" si="143"/>
        <v>-18.701343513692095</v>
      </c>
      <c r="H138" s="116">
        <f t="shared" si="143"/>
        <v>-39.186068760559365</v>
      </c>
      <c r="I138" s="116">
        <f t="shared" si="143"/>
        <v>-53.880608345775237</v>
      </c>
      <c r="J138" s="116">
        <f t="shared" si="143"/>
        <v>-9.8157894736842106</v>
      </c>
      <c r="K138" s="116">
        <f t="shared" si="143"/>
        <v>-9.998000999500249</v>
      </c>
      <c r="L138" s="116">
        <f t="shared" si="143"/>
        <v>-19.285115303983229</v>
      </c>
      <c r="M138" s="116">
        <f>M79/((K20+M20-K47-M47)/2)</f>
        <v>-16.924086223055294</v>
      </c>
      <c r="N138" s="116">
        <f>N79/((L20+N20-L47-N47)/2)</f>
        <v>-14.547051442910917</v>
      </c>
      <c r="O138" s="116">
        <f t="shared" si="139"/>
        <v>-24.848278184426263</v>
      </c>
      <c r="P138" s="166" t="str">
        <f>+P128</f>
        <v xml:space="preserve">   Industrial Sales</v>
      </c>
      <c r="Q138" s="8"/>
      <c r="R138" s="8"/>
      <c r="S138" s="8"/>
      <c r="T138" s="8"/>
      <c r="U138" s="8"/>
      <c r="V138" s="167">
        <v>8.8000000000000007</v>
      </c>
      <c r="W138" s="167">
        <v>5.7</v>
      </c>
      <c r="X138" s="167">
        <v>3.1</v>
      </c>
      <c r="Y138" s="167">
        <v>1.6</v>
      </c>
      <c r="Z138" s="167">
        <v>1.7</v>
      </c>
      <c r="AA138" s="167">
        <v>1.3</v>
      </c>
      <c r="AB138" s="167">
        <v>4.5</v>
      </c>
      <c r="AC138" s="167">
        <v>2.2999999999999998</v>
      </c>
      <c r="AD138" s="168">
        <f t="shared" si="142"/>
        <v>2.9833333333333329</v>
      </c>
    </row>
    <row r="139" spans="1:30" ht="15">
      <c r="A139" s="72" t="s">
        <v>32</v>
      </c>
      <c r="B139" s="116">
        <f>B79/(B30)</f>
        <v>0.75940272208044723</v>
      </c>
      <c r="C139" s="116">
        <f>C79/((B30+C30)/2)</f>
        <v>0.8854872421751403</v>
      </c>
      <c r="D139" s="116">
        <f>D79/((C30+D30)/2)</f>
        <v>1.1047179891083501</v>
      </c>
      <c r="E139" s="116">
        <f>E79/((D30+E30)/2)</f>
        <v>0.89219140935173114</v>
      </c>
      <c r="F139" s="116">
        <f t="shared" ref="F139" si="144">F79/((D30+F30)/2)</f>
        <v>0.91143322193504261</v>
      </c>
      <c r="G139" s="116">
        <f>G79/((F30+G30)/2)</f>
        <v>1.0532944006869494</v>
      </c>
      <c r="H139" s="116">
        <f t="shared" ref="H139:N139" si="145">H79/((G30+H30)/2)</f>
        <v>1.2743270392374271</v>
      </c>
      <c r="I139" s="116">
        <f t="shared" si="145"/>
        <v>1.341204690562938</v>
      </c>
      <c r="J139" s="116">
        <f t="shared" si="145"/>
        <v>1.0786581839213418</v>
      </c>
      <c r="K139" s="116">
        <f t="shared" si="145"/>
        <v>1.053834808259587</v>
      </c>
      <c r="L139" s="116">
        <f t="shared" si="145"/>
        <v>0.91034141514101929</v>
      </c>
      <c r="M139" s="116">
        <f t="shared" si="145"/>
        <v>0.84866998778080649</v>
      </c>
      <c r="N139" s="116">
        <f t="shared" si="145"/>
        <v>0.52284103720405861</v>
      </c>
      <c r="O139" s="116">
        <f t="shared" si="139"/>
        <v>1.0845060208171866</v>
      </c>
      <c r="P139" s="166" t="str">
        <f>+P129</f>
        <v xml:space="preserve">   Transportation for Industrial </v>
      </c>
      <c r="Q139" s="8"/>
      <c r="R139" s="8"/>
      <c r="S139" s="8"/>
      <c r="T139" s="8"/>
      <c r="U139" s="8"/>
      <c r="V139" s="167">
        <v>34.299999999999997</v>
      </c>
      <c r="W139" s="167">
        <v>31.2</v>
      </c>
      <c r="X139" s="167">
        <v>35.5</v>
      </c>
      <c r="Y139" s="167">
        <v>53.8</v>
      </c>
      <c r="Z139" s="167">
        <v>62.2</v>
      </c>
      <c r="AA139" s="167">
        <v>58</v>
      </c>
      <c r="AB139" s="167">
        <v>59.3</v>
      </c>
      <c r="AC139" s="167">
        <v>25.3</v>
      </c>
      <c r="AD139" s="168">
        <f t="shared" si="142"/>
        <v>50</v>
      </c>
    </row>
    <row r="140" spans="1:30" ht="15">
      <c r="A140" s="72" t="s">
        <v>33</v>
      </c>
      <c r="B140" s="116">
        <f>B79/B38</f>
        <v>0.62184473265224893</v>
      </c>
      <c r="C140" s="116">
        <f>C79/((B38+C38)/2)</f>
        <v>0.69086762281208691</v>
      </c>
      <c r="D140" s="116">
        <f>D79/((C38+D38)/2)</f>
        <v>0.84620321241219343</v>
      </c>
      <c r="E140" s="116">
        <f>E79/((D38+E38)/2)</f>
        <v>0.71505581955230291</v>
      </c>
      <c r="F140" s="116">
        <f t="shared" ref="F140" si="146">F79/((D38+F38)/2)</f>
        <v>0.71229072707001839</v>
      </c>
      <c r="G140" s="116">
        <f>G79/((F38+G38)/2)</f>
        <v>0.79543779665251058</v>
      </c>
      <c r="H140" s="116">
        <f t="shared" ref="H140:N140" si="147">H79/((G38+H38)/2)</f>
        <v>0.90881469441476848</v>
      </c>
      <c r="I140" s="116">
        <f t="shared" si="147"/>
        <v>0.97673353918196049</v>
      </c>
      <c r="J140" s="116">
        <f t="shared" si="147"/>
        <v>0.83221775992860325</v>
      </c>
      <c r="K140" s="116">
        <f t="shared" si="147"/>
        <v>0.80907510009301575</v>
      </c>
      <c r="L140" s="116">
        <f t="shared" si="147"/>
        <v>0.69581332022238196</v>
      </c>
      <c r="M140" s="116">
        <f t="shared" si="147"/>
        <v>0.65655904595695169</v>
      </c>
      <c r="N140" s="116">
        <f t="shared" si="147"/>
        <v>0.43071550635262651</v>
      </c>
      <c r="O140" s="116">
        <f t="shared" si="139"/>
        <v>0.81320224329961366</v>
      </c>
      <c r="P140" s="166" t="s">
        <v>161</v>
      </c>
      <c r="Q140" s="8"/>
      <c r="R140" s="8"/>
      <c r="S140" s="8"/>
      <c r="T140" s="8"/>
      <c r="U140" s="8"/>
      <c r="V140" s="167">
        <f t="shared" ref="V140:AA140" si="148">+V139+V138+V137</f>
        <v>136.1</v>
      </c>
      <c r="W140" s="167">
        <f t="shared" si="148"/>
        <v>133.19999999999999</v>
      </c>
      <c r="X140" s="167">
        <f t="shared" si="148"/>
        <v>140.80000000000001</v>
      </c>
      <c r="Y140" s="167">
        <f t="shared" si="148"/>
        <v>161.5</v>
      </c>
      <c r="Z140" s="167">
        <f t="shared" si="148"/>
        <v>176.2</v>
      </c>
      <c r="AA140" s="167">
        <f t="shared" si="148"/>
        <v>168.7</v>
      </c>
      <c r="AB140" s="167">
        <f>+AB139+AB138+AB137</f>
        <v>169.6</v>
      </c>
      <c r="AC140" s="167">
        <f>+AC139+AC138+AC137</f>
        <v>95.800000000000011</v>
      </c>
      <c r="AD140" s="168">
        <f t="shared" si="142"/>
        <v>158.33333333333334</v>
      </c>
    </row>
    <row r="141" spans="1:30" ht="1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116"/>
      <c r="P141" s="169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70"/>
    </row>
    <row r="142" spans="1:30" ht="15.75">
      <c r="A142" s="117" t="s">
        <v>72</v>
      </c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116"/>
      <c r="P142" s="173" t="s">
        <v>162</v>
      </c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70"/>
    </row>
    <row r="143" spans="1:30" ht="15">
      <c r="A143" s="72" t="s">
        <v>140</v>
      </c>
      <c r="B143" s="72"/>
      <c r="C143" s="72"/>
      <c r="D143" s="72"/>
      <c r="E143" s="72"/>
      <c r="F143" s="72"/>
      <c r="G143" s="72"/>
      <c r="H143" s="28" t="s">
        <v>114</v>
      </c>
      <c r="I143" s="28" t="s">
        <v>114</v>
      </c>
      <c r="J143" s="28" t="s">
        <v>114</v>
      </c>
      <c r="K143" s="28" t="s">
        <v>114</v>
      </c>
      <c r="L143" s="28" t="s">
        <v>141</v>
      </c>
      <c r="M143" s="28" t="s">
        <v>172</v>
      </c>
      <c r="N143" s="28" t="s">
        <v>172</v>
      </c>
      <c r="O143" s="116"/>
      <c r="P143" s="166" t="str">
        <f>+P137</f>
        <v xml:space="preserve">   Residential &amp; Commercial Sales</v>
      </c>
      <c r="Q143" s="8"/>
      <c r="R143" s="8"/>
      <c r="S143" s="8"/>
      <c r="T143" s="8"/>
      <c r="U143" s="8"/>
      <c r="V143" s="172">
        <f t="shared" ref="V143:AB146" si="149">+V137/V$140</f>
        <v>0.68332108743570907</v>
      </c>
      <c r="W143" s="187">
        <f t="shared" si="149"/>
        <v>0.72297297297297303</v>
      </c>
      <c r="X143" s="187">
        <f t="shared" si="149"/>
        <v>0.72585227272727271</v>
      </c>
      <c r="Y143" s="187">
        <f t="shared" si="149"/>
        <v>0.65696594427244581</v>
      </c>
      <c r="Z143" s="187">
        <f t="shared" si="149"/>
        <v>0.63734392735527812</v>
      </c>
      <c r="AA143" s="187">
        <f t="shared" si="149"/>
        <v>0.64848844101956138</v>
      </c>
      <c r="AB143" s="187">
        <f t="shared" si="149"/>
        <v>0.62382075471698117</v>
      </c>
      <c r="AC143" s="187">
        <f t="shared" ref="AC143" si="150">+AC137/AC$140</f>
        <v>0.71189979123173275</v>
      </c>
      <c r="AD143" s="189">
        <f t="shared" ref="AD143:AD146" si="151">AVERAGE(W143:AB143)</f>
        <v>0.66924071884408542</v>
      </c>
    </row>
    <row r="144" spans="1:30" ht="15">
      <c r="A144" s="72" t="s">
        <v>139</v>
      </c>
      <c r="B144" s="72"/>
      <c r="C144" s="72"/>
      <c r="D144" s="72"/>
      <c r="E144" s="72"/>
      <c r="F144" s="72"/>
      <c r="G144" s="72"/>
      <c r="H144" s="28"/>
      <c r="I144" s="28"/>
      <c r="J144" s="28" t="s">
        <v>137</v>
      </c>
      <c r="K144" s="28" t="s">
        <v>138</v>
      </c>
      <c r="L144" s="28" t="s">
        <v>138</v>
      </c>
      <c r="M144" s="28" t="s">
        <v>138</v>
      </c>
      <c r="N144" s="28" t="s">
        <v>138</v>
      </c>
      <c r="O144" s="116"/>
      <c r="P144" s="166" t="str">
        <f>+P138</f>
        <v xml:space="preserve">   Industrial Sales</v>
      </c>
      <c r="Q144" s="8"/>
      <c r="R144" s="8"/>
      <c r="S144" s="8"/>
      <c r="T144" s="8"/>
      <c r="U144" s="8"/>
      <c r="V144" s="172">
        <f t="shared" si="149"/>
        <v>6.465833945628216E-2</v>
      </c>
      <c r="W144" s="187">
        <f t="shared" si="149"/>
        <v>4.27927927927928E-2</v>
      </c>
      <c r="X144" s="187">
        <f t="shared" si="149"/>
        <v>2.2017045454545452E-2</v>
      </c>
      <c r="Y144" s="187">
        <f t="shared" si="149"/>
        <v>9.9071207430340563E-3</v>
      </c>
      <c r="Z144" s="187">
        <f t="shared" si="149"/>
        <v>9.6481271282633368E-3</v>
      </c>
      <c r="AA144" s="187">
        <f t="shared" si="149"/>
        <v>7.7059869590989927E-3</v>
      </c>
      <c r="AB144" s="187">
        <f t="shared" si="149"/>
        <v>2.6533018867924529E-2</v>
      </c>
      <c r="AC144" s="187">
        <f t="shared" ref="AC144" si="152">+AC138/AC$140</f>
        <v>2.4008350730688931E-2</v>
      </c>
      <c r="AD144" s="189">
        <f t="shared" si="151"/>
        <v>1.9767348657609863E-2</v>
      </c>
    </row>
    <row r="145" spans="1:30" ht="15">
      <c r="A145" s="72" t="s">
        <v>135</v>
      </c>
      <c r="B145" s="72"/>
      <c r="C145" s="72"/>
      <c r="D145" s="72"/>
      <c r="E145" s="72"/>
      <c r="F145" s="72"/>
      <c r="G145" s="72"/>
      <c r="H145" s="28"/>
      <c r="I145" s="28"/>
      <c r="J145" s="28"/>
      <c r="K145" s="28" t="s">
        <v>136</v>
      </c>
      <c r="L145" s="28" t="s">
        <v>136</v>
      </c>
      <c r="M145" s="28" t="s">
        <v>136</v>
      </c>
      <c r="N145" s="28" t="s">
        <v>136</v>
      </c>
      <c r="O145" s="116"/>
      <c r="P145" s="166" t="str">
        <f>+P139</f>
        <v xml:space="preserve">   Transportation for Industrial </v>
      </c>
      <c r="Q145" s="8"/>
      <c r="R145" s="8"/>
      <c r="S145" s="8"/>
      <c r="T145" s="8"/>
      <c r="U145" s="8"/>
      <c r="V145" s="172">
        <f t="shared" si="149"/>
        <v>0.25202057310800879</v>
      </c>
      <c r="W145" s="187">
        <f t="shared" si="149"/>
        <v>0.23423423423423426</v>
      </c>
      <c r="X145" s="187">
        <f t="shared" si="149"/>
        <v>0.25213068181818182</v>
      </c>
      <c r="Y145" s="187">
        <f t="shared" si="149"/>
        <v>0.33312693498452012</v>
      </c>
      <c r="Z145" s="187">
        <f t="shared" si="149"/>
        <v>0.35300794551645859</v>
      </c>
      <c r="AA145" s="187">
        <f t="shared" si="149"/>
        <v>0.34380557202133966</v>
      </c>
      <c r="AB145" s="187">
        <f t="shared" si="149"/>
        <v>0.34964622641509435</v>
      </c>
      <c r="AC145" s="187">
        <f t="shared" ref="AC145" si="153">+AC139/AC$140</f>
        <v>0.26409185803757829</v>
      </c>
      <c r="AD145" s="189">
        <f t="shared" si="151"/>
        <v>0.31099193249830476</v>
      </c>
    </row>
    <row r="146" spans="1:30" ht="15">
      <c r="A146" s="72" t="s">
        <v>145</v>
      </c>
      <c r="B146" s="116">
        <f t="shared" ref="B146:F146" si="154">(+B98+B92)/B92</f>
        <v>2.4071877180739705</v>
      </c>
      <c r="C146" s="116">
        <f t="shared" si="154"/>
        <v>2.7609429209638323</v>
      </c>
      <c r="D146" s="116">
        <f t="shared" si="154"/>
        <v>2.6723304033309501</v>
      </c>
      <c r="E146" s="116">
        <f t="shared" si="154"/>
        <v>3.2310735719048678</v>
      </c>
      <c r="F146" s="116">
        <f t="shared" si="154"/>
        <v>2.6026019824628288</v>
      </c>
      <c r="G146" s="116">
        <f t="shared" ref="G146:J146" si="155">(+G98+G92)/G92</f>
        <v>3.5967161607459586</v>
      </c>
      <c r="H146" s="116">
        <f t="shared" si="155"/>
        <v>3.8401131064589742</v>
      </c>
      <c r="I146" s="116">
        <f t="shared" si="155"/>
        <v>3.6061946902654869</v>
      </c>
      <c r="J146" s="116">
        <f t="shared" si="155"/>
        <v>3.5084033613445378</v>
      </c>
      <c r="K146" s="116">
        <f>(+K98+K92)/K92</f>
        <v>3.5476190476190474</v>
      </c>
      <c r="L146" s="116">
        <f>(+L98+L92)/L92</f>
        <v>3.3157894736842106</v>
      </c>
      <c r="M146" s="116">
        <f>(+M98+M92)/M92</f>
        <v>3.6374045801526718</v>
      </c>
      <c r="N146" s="116">
        <f>(+N98+N92)/N92</f>
        <v>5.1450381679389317</v>
      </c>
      <c r="O146" s="116"/>
      <c r="P146" s="174" t="str">
        <f>+P140</f>
        <v xml:space="preserve">      Total Deliveries</v>
      </c>
      <c r="Q146" s="149"/>
      <c r="R146" s="149"/>
      <c r="S146" s="149"/>
      <c r="T146" s="149"/>
      <c r="U146" s="149"/>
      <c r="V146" s="152">
        <f t="shared" si="149"/>
        <v>1</v>
      </c>
      <c r="W146" s="185">
        <f t="shared" si="149"/>
        <v>1</v>
      </c>
      <c r="X146" s="185">
        <f t="shared" si="149"/>
        <v>1</v>
      </c>
      <c r="Y146" s="185">
        <f t="shared" si="149"/>
        <v>1</v>
      </c>
      <c r="Z146" s="185">
        <f t="shared" si="149"/>
        <v>1</v>
      </c>
      <c r="AA146" s="185">
        <f t="shared" si="149"/>
        <v>1</v>
      </c>
      <c r="AB146" s="185">
        <f t="shared" si="149"/>
        <v>1</v>
      </c>
      <c r="AC146" s="185">
        <f t="shared" ref="AC146" si="156">+AC140/AC$140</f>
        <v>1</v>
      </c>
      <c r="AD146" s="186">
        <f t="shared" si="151"/>
        <v>1</v>
      </c>
    </row>
    <row r="147" spans="1:30" ht="15">
      <c r="A147" s="72" t="s">
        <v>144</v>
      </c>
      <c r="B147" s="45">
        <f t="shared" ref="B147:F147" si="157">(B41+B49)/(B61+B49+B41)</f>
        <v>0.53602915660400952</v>
      </c>
      <c r="C147" s="45">
        <f t="shared" si="157"/>
        <v>0.55595167626325137</v>
      </c>
      <c r="D147" s="45">
        <f t="shared" si="157"/>
        <v>0.5347292666939405</v>
      </c>
      <c r="E147" s="45">
        <f t="shared" si="157"/>
        <v>0.50596006473266297</v>
      </c>
      <c r="F147" s="45">
        <f t="shared" si="157"/>
        <v>0.52526462951867381</v>
      </c>
      <c r="G147" s="45">
        <f t="shared" ref="G147:J147" si="158">(G41+G49)/(G61+G49+G41)</f>
        <v>0.53895730351551807</v>
      </c>
      <c r="H147" s="45">
        <f t="shared" si="158"/>
        <v>0.5570968630604709</v>
      </c>
      <c r="I147" s="45">
        <f t="shared" si="158"/>
        <v>0.49740774626410489</v>
      </c>
      <c r="J147" s="45">
        <f t="shared" si="158"/>
        <v>0.50160912814511405</v>
      </c>
      <c r="K147" s="45">
        <f>(K41+K49)/(K61+K49+K41)</f>
        <v>0.54371811602799858</v>
      </c>
      <c r="L147" s="45">
        <f>(L41+L49)/(L61+L49+L41)</f>
        <v>0.53387850467289721</v>
      </c>
      <c r="M147" s="45">
        <f>(M41+M49)/(M61+M49+M41)</f>
        <v>0.55661082061679645</v>
      </c>
      <c r="N147" s="45">
        <f>(N41+N49)/(N61+N49+N41)</f>
        <v>0.48659501594425414</v>
      </c>
      <c r="O147" s="45"/>
    </row>
    <row r="148" spans="1:30" ht="15">
      <c r="A148" s="72" t="s">
        <v>143</v>
      </c>
      <c r="B148" s="45">
        <f>+('Historical CF - Exhibit 1B'!B27+'Historical CF - Exhibit 1B'!B41)/(B41+B49)</f>
        <v>0.13213604995070655</v>
      </c>
      <c r="C148" s="45">
        <f>+('Historical CF - Exhibit 1B'!C27+'Historical CF - Exhibit 1B'!C41)/(C41+C49)</f>
        <v>0.1153750756200847</v>
      </c>
      <c r="D148" s="45">
        <f>+('Historical CF - Exhibit 1B'!D27+'Historical CF - Exhibit 1B'!D41)/(D41+D49)</f>
        <v>5.1936860068259386E-2</v>
      </c>
      <c r="E148" s="45">
        <f>+('Historical CF - Exhibit 1B'!E27+'Historical CF - Exhibit 1B'!E41)/(E41+E49)</f>
        <v>0.31064405724953331</v>
      </c>
      <c r="F148" s="45">
        <f>+('Historical CF - Exhibit 1B'!F27+'Historical CF - Exhibit 1B'!F41)/(F41+F49)</f>
        <v>0.14961099736765135</v>
      </c>
      <c r="G148" s="45">
        <f>+('Historical CF - Exhibit 1B'!G27+'Historical CF - Exhibit 1B'!G41)/(G41+G49)</f>
        <v>0.14139326453014667</v>
      </c>
      <c r="H148" s="45">
        <f>+('Historical CF - Exhibit 1B'!H27+'Historical CF - Exhibit 1B'!H41)/(H41+H49)</f>
        <v>9.0347152847152848E-2</v>
      </c>
      <c r="I148" s="45">
        <f>+('Historical CF - Exhibit 1B'!I27+'Historical CF - Exhibit 1B'!I41)/(I41+I49)</f>
        <v>0.4619865113427345</v>
      </c>
      <c r="J148" s="45">
        <f>+('Historical CF - Exhibit 1B'!J27+'Historical CF - Exhibit 1B'!J41)/(J41+J49)</f>
        <v>0.25517643627879849</v>
      </c>
      <c r="K148" s="45">
        <f>+('Historical CF - Exhibit 1B'!K27+'Historical CF - Exhibit 1B'!K41)/(K41+K49)</f>
        <v>5.4985817150338206E-2</v>
      </c>
      <c r="L148" s="45">
        <f>+('Historical CF - Exhibit 1B'!L27+'Historical CF - Exhibit 1B'!L41)/(L41+L49)</f>
        <v>0.19934354485776806</v>
      </c>
      <c r="M148" s="45">
        <f>+('Historical CF - Exhibit 1B'!M27+'Historical CF - Exhibit 1B'!M41)/(M41+M49)</f>
        <v>7.7645705521472388E-2</v>
      </c>
      <c r="N148" s="45">
        <f>+('Historical CF - Exhibit 1B'!N27+'Historical CF - Exhibit 1B'!N41)/(N41+N49)</f>
        <v>0.38349514563106796</v>
      </c>
      <c r="O148" s="45"/>
    </row>
    <row r="149" spans="1:30" ht="15.75">
      <c r="A149" s="72" t="s">
        <v>146</v>
      </c>
      <c r="B149" s="43">
        <f t="shared" ref="B149:F149" si="159">+B101/B61</f>
        <v>7.2967011272129484E-2</v>
      </c>
      <c r="C149" s="43">
        <f t="shared" si="159"/>
        <v>9.1507104553579549E-2</v>
      </c>
      <c r="D149" s="43">
        <f t="shared" si="159"/>
        <v>8.4571910475960105E-2</v>
      </c>
      <c r="E149" s="43">
        <f t="shared" si="159"/>
        <v>0.10323807945753725</v>
      </c>
      <c r="F149" s="43">
        <f t="shared" si="159"/>
        <v>6.5311802207048311E-2</v>
      </c>
      <c r="G149" s="43">
        <f t="shared" ref="G149:L149" si="160">+G101/G61</f>
        <v>9.9885386273656937E-2</v>
      </c>
      <c r="H149" s="43">
        <f t="shared" si="160"/>
        <v>0.11301307464674579</v>
      </c>
      <c r="I149" s="43">
        <f t="shared" si="160"/>
        <v>0.11225728155339806</v>
      </c>
      <c r="J149" s="43">
        <f t="shared" si="160"/>
        <v>0.10977399471675961</v>
      </c>
      <c r="K149" s="43">
        <f t="shared" si="160"/>
        <v>0.10452418096723869</v>
      </c>
      <c r="L149" s="43">
        <f t="shared" si="160"/>
        <v>0.10426065162907268</v>
      </c>
      <c r="M149" s="43">
        <f t="shared" ref="M149:N149" si="161">+M101/M61</f>
        <v>0.10565583634175692</v>
      </c>
      <c r="N149" s="43">
        <f t="shared" si="161"/>
        <v>7.7754773406947322E-2</v>
      </c>
      <c r="O149" s="43"/>
      <c r="P149" s="163" t="s">
        <v>163</v>
      </c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165"/>
    </row>
    <row r="150" spans="1:30" ht="15">
      <c r="A150" s="72" t="s">
        <v>142</v>
      </c>
      <c r="B150" s="72"/>
      <c r="C150" s="45">
        <f t="shared" ref="C150:F150" si="162">+C92/((C41+B41+C49+B49)*0.5)</f>
        <v>6.6281304142384631E-2</v>
      </c>
      <c r="D150" s="45">
        <f t="shared" si="162"/>
        <v>6.9706830841395478E-2</v>
      </c>
      <c r="E150" s="45">
        <f t="shared" si="162"/>
        <v>6.6849925705794955E-2</v>
      </c>
      <c r="F150" s="45">
        <f t="shared" si="162"/>
        <v>6.3271521181968937E-2</v>
      </c>
      <c r="G150" s="45">
        <f t="shared" ref="G150:N150" si="163">+G92/((G41+F41+G49+F49)*0.5)</f>
        <v>5.5578087593296716E-2</v>
      </c>
      <c r="H150" s="45">
        <f t="shared" si="163"/>
        <v>5.2453812125943272E-2</v>
      </c>
      <c r="I150" s="45">
        <f t="shared" si="163"/>
        <v>6.2207541976328107E-2</v>
      </c>
      <c r="J150" s="45">
        <f t="shared" si="163"/>
        <v>7.1140337767149897E-2</v>
      </c>
      <c r="K150" s="45">
        <f t="shared" si="163"/>
        <v>6.2905641537693457E-2</v>
      </c>
      <c r="L150" s="45">
        <f t="shared" si="163"/>
        <v>6.2274664044575552E-2</v>
      </c>
      <c r="M150" s="45">
        <f t="shared" si="163"/>
        <v>5.3545881872062127E-2</v>
      </c>
      <c r="N150" s="45">
        <f t="shared" si="163"/>
        <v>2.8063410454155956E-2</v>
      </c>
      <c r="O150" s="45"/>
      <c r="P150" s="166" t="str">
        <f>+P143</f>
        <v xml:space="preserve">   Residential &amp; Commercial Sales</v>
      </c>
      <c r="Q150" s="73"/>
      <c r="R150" s="73"/>
      <c r="S150" s="73"/>
      <c r="T150" s="73"/>
      <c r="U150" s="73"/>
      <c r="V150" s="175">
        <v>7.32</v>
      </c>
      <c r="W150" s="182">
        <v>9.01</v>
      </c>
      <c r="X150" s="182">
        <v>9.67</v>
      </c>
      <c r="Y150" s="182">
        <v>8.26</v>
      </c>
      <c r="Z150" s="182">
        <v>8.25</v>
      </c>
      <c r="AA150" s="182">
        <v>7.99</v>
      </c>
      <c r="AB150" s="182">
        <v>7.88</v>
      </c>
      <c r="AC150" s="182">
        <v>7.96</v>
      </c>
      <c r="AD150" s="181">
        <f>AVERAGE(W150:AB150)</f>
        <v>8.51</v>
      </c>
    </row>
    <row r="151" spans="1:30" ht="1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144"/>
      <c r="L151" s="72"/>
      <c r="M151" s="72"/>
      <c r="N151" s="72"/>
      <c r="O151" s="116"/>
      <c r="P151" s="166" t="str">
        <f>+P144</f>
        <v xml:space="preserve">   Industrial Sales</v>
      </c>
      <c r="Q151" s="73"/>
      <c r="R151" s="73"/>
      <c r="S151" s="73"/>
      <c r="T151" s="73"/>
      <c r="U151" s="73"/>
      <c r="V151" s="175">
        <v>5.56</v>
      </c>
      <c r="W151" s="182">
        <v>7.06</v>
      </c>
      <c r="X151" s="182">
        <v>7.64</v>
      </c>
      <c r="Y151" s="182">
        <v>6.18</v>
      </c>
      <c r="Z151" s="182">
        <v>6.99</v>
      </c>
      <c r="AA151" s="182">
        <v>6.5</v>
      </c>
      <c r="AB151" s="182">
        <v>5.89</v>
      </c>
      <c r="AC151" s="182">
        <v>6.09</v>
      </c>
      <c r="AD151" s="181">
        <f t="shared" ref="AD151:AD160" si="164">AVERAGE(W151:AB151)</f>
        <v>6.71</v>
      </c>
    </row>
    <row r="152" spans="1:30" ht="15.75">
      <c r="A152" s="117" t="s">
        <v>121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116"/>
      <c r="P152" s="166" t="str">
        <f>+P145</f>
        <v xml:space="preserve">   Transportation for Industrial </v>
      </c>
      <c r="Q152" s="73"/>
      <c r="R152" s="73"/>
      <c r="S152" s="73"/>
      <c r="T152" s="73"/>
      <c r="U152" s="73"/>
      <c r="V152" s="175">
        <v>0.19</v>
      </c>
      <c r="W152" s="182">
        <v>0.19</v>
      </c>
      <c r="X152" s="182">
        <v>0.19</v>
      </c>
      <c r="Y152" s="182">
        <v>0.18</v>
      </c>
      <c r="Z152" s="182">
        <v>0.16</v>
      </c>
      <c r="AA152" s="182">
        <v>0.19</v>
      </c>
      <c r="AB152" s="182">
        <v>0.16</v>
      </c>
      <c r="AC152" s="182">
        <v>0.21</v>
      </c>
      <c r="AD152" s="181">
        <f t="shared" si="164"/>
        <v>0.17833333333333334</v>
      </c>
    </row>
    <row r="153" spans="1:30" ht="15">
      <c r="A153" s="72" t="s">
        <v>61</v>
      </c>
      <c r="B153" s="43">
        <f>(B42+B49)/(B$42+B$49+B$61)</f>
        <v>0.46069456359939637</v>
      </c>
      <c r="C153" s="43">
        <f>(C42+C49)/(C$42+C$49+C$61)</f>
        <v>0.46007001243211409</v>
      </c>
      <c r="D153" s="43">
        <f t="shared" ref="D153:J153" si="165">(D42+D49)/(D$42+D$49+D$61)</f>
        <v>0.48229144279600428</v>
      </c>
      <c r="E153" s="43">
        <f t="shared" si="165"/>
        <v>0.47592964924819814</v>
      </c>
      <c r="F153" s="43">
        <f t="shared" si="165"/>
        <v>0.48413215138311549</v>
      </c>
      <c r="G153" s="43">
        <f t="shared" si="165"/>
        <v>0.46430861386020739</v>
      </c>
      <c r="H153" s="43">
        <f t="shared" si="165"/>
        <v>0.50364401256147417</v>
      </c>
      <c r="I153" s="43">
        <f t="shared" si="165"/>
        <v>0.49494330370824396</v>
      </c>
      <c r="J153" s="43">
        <f t="shared" si="165"/>
        <v>0.47881291112130947</v>
      </c>
      <c r="K153" s="43">
        <f>(K42+K49)/(K$42+K$49+K$61)</f>
        <v>0.49032600053008218</v>
      </c>
      <c r="L153" s="43">
        <f>(L42+L49)/(L$42+L$49+L$61)</f>
        <v>0.48114434330299088</v>
      </c>
      <c r="M153" s="43">
        <f>(M42+M49)/(M$42+M$49+M$61)</f>
        <v>0.47103755569700828</v>
      </c>
      <c r="N153" s="43">
        <f>(N42+N49)/(N$42+N$49+N$61)</f>
        <v>0.45979868273890889</v>
      </c>
      <c r="O153" s="184">
        <f t="shared" ref="O153:O161" si="166">AVERAGE(H153:M153)</f>
        <v>0.48665135448685154</v>
      </c>
      <c r="P153" s="166"/>
      <c r="Q153" s="73"/>
      <c r="R153" s="73"/>
      <c r="S153" s="73"/>
      <c r="T153" s="73"/>
      <c r="U153" s="73"/>
      <c r="V153" s="73"/>
      <c r="W153" s="182"/>
      <c r="X153" s="182"/>
      <c r="Y153" s="182"/>
      <c r="Z153" s="182"/>
      <c r="AA153" s="182"/>
      <c r="AB153" s="182"/>
      <c r="AC153" s="182"/>
      <c r="AD153" s="181"/>
    </row>
    <row r="154" spans="1:30" ht="15">
      <c r="A154" s="72" t="s">
        <v>122</v>
      </c>
      <c r="B154" s="51">
        <f>B61/(B$42+B$49+B$61)</f>
        <v>0.53930543640060358</v>
      </c>
      <c r="C154" s="51">
        <f>C61/(C$42+C$49+C$61)</f>
        <v>0.53992998756788591</v>
      </c>
      <c r="D154" s="51">
        <f t="shared" ref="D154:J154" si="167">D61/(D$42+D$49+D$61)</f>
        <v>0.51770855720399578</v>
      </c>
      <c r="E154" s="51">
        <f t="shared" si="167"/>
        <v>0.52407035075180186</v>
      </c>
      <c r="F154" s="51">
        <f t="shared" si="167"/>
        <v>0.51586784861688451</v>
      </c>
      <c r="G154" s="51">
        <f t="shared" si="167"/>
        <v>0.53569138613979261</v>
      </c>
      <c r="H154" s="51">
        <f t="shared" si="167"/>
        <v>0.49635598743852583</v>
      </c>
      <c r="I154" s="51">
        <f t="shared" si="167"/>
        <v>0.50505669629175609</v>
      </c>
      <c r="J154" s="51">
        <f t="shared" si="167"/>
        <v>0.52118708887869059</v>
      </c>
      <c r="K154" s="51">
        <f>K61/(K$42+K$49+K$61)</f>
        <v>0.50967399946991787</v>
      </c>
      <c r="L154" s="51">
        <f>L61/(L$42+L$49+L$61)</f>
        <v>0.51885565669700906</v>
      </c>
      <c r="M154" s="51">
        <f>M61/(M$42+M$49+M$61)</f>
        <v>0.52896244430299177</v>
      </c>
      <c r="N154" s="51">
        <f>N61/(N$42+N$49+N$61)</f>
        <v>0.54020131726109111</v>
      </c>
      <c r="O154" s="183">
        <f t="shared" si="166"/>
        <v>0.51334864551314852</v>
      </c>
      <c r="P154" s="166" t="s">
        <v>167</v>
      </c>
      <c r="Q154" s="73"/>
      <c r="R154" s="73"/>
      <c r="S154" s="73"/>
      <c r="T154" s="73"/>
      <c r="U154" s="73"/>
      <c r="V154" s="175">
        <v>5.2</v>
      </c>
      <c r="W154" s="182">
        <v>6.46</v>
      </c>
      <c r="X154" s="182">
        <v>6.54</v>
      </c>
      <c r="Y154" s="182">
        <v>5.93</v>
      </c>
      <c r="Z154" s="182">
        <v>6.14</v>
      </c>
      <c r="AA154" s="182">
        <v>5.01</v>
      </c>
      <c r="AB154" s="182">
        <v>5.34</v>
      </c>
      <c r="AC154" s="182">
        <f>+AC122/AC140</f>
        <v>6.0511482254697269</v>
      </c>
      <c r="AD154" s="181">
        <f t="shared" si="164"/>
        <v>5.9033333333333333</v>
      </c>
    </row>
    <row r="155" spans="1:30" ht="15">
      <c r="A155" s="72"/>
      <c r="B155" s="43">
        <f>SUM(B153:B154)</f>
        <v>1</v>
      </c>
      <c r="C155" s="43">
        <f>SUM(C153:C154)</f>
        <v>1</v>
      </c>
      <c r="D155" s="43">
        <f t="shared" ref="D155:K155" si="168">SUM(D153:D154)</f>
        <v>1</v>
      </c>
      <c r="E155" s="43">
        <f t="shared" si="168"/>
        <v>1</v>
      </c>
      <c r="F155" s="43">
        <f t="shared" si="168"/>
        <v>1</v>
      </c>
      <c r="G155" s="43">
        <f t="shared" si="168"/>
        <v>1</v>
      </c>
      <c r="H155" s="43">
        <f t="shared" si="168"/>
        <v>1</v>
      </c>
      <c r="I155" s="43">
        <f t="shared" si="168"/>
        <v>1</v>
      </c>
      <c r="J155" s="43">
        <f t="shared" si="168"/>
        <v>1</v>
      </c>
      <c r="K155" s="43">
        <f t="shared" si="168"/>
        <v>1</v>
      </c>
      <c r="L155" s="43">
        <f t="shared" ref="L155" si="169">SUM(L153:L154)</f>
        <v>1</v>
      </c>
      <c r="M155" s="43">
        <f t="shared" ref="M155:N155" si="170">SUM(M153:M154)</f>
        <v>1</v>
      </c>
      <c r="N155" s="43">
        <f t="shared" si="170"/>
        <v>1</v>
      </c>
      <c r="O155" s="184">
        <f t="shared" si="166"/>
        <v>1</v>
      </c>
      <c r="P155" s="169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197"/>
      <c r="AC155" s="8"/>
      <c r="AD155" s="168"/>
    </row>
    <row r="156" spans="1:30" ht="1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184"/>
      <c r="P156" s="166" t="s">
        <v>165</v>
      </c>
      <c r="Q156" s="73"/>
      <c r="R156" s="73"/>
      <c r="S156" s="73"/>
      <c r="T156" s="73"/>
      <c r="U156" s="73"/>
      <c r="V156" s="176">
        <v>0.03</v>
      </c>
      <c r="W156" s="191">
        <v>-0.03</v>
      </c>
      <c r="X156" s="191">
        <v>-0.02</v>
      </c>
      <c r="Y156" s="191">
        <v>0.02</v>
      </c>
      <c r="Z156" s="191">
        <v>0.08</v>
      </c>
      <c r="AA156" s="191">
        <v>0.05</v>
      </c>
      <c r="AB156" s="191">
        <v>0.01</v>
      </c>
      <c r="AC156" s="191">
        <v>0.04</v>
      </c>
      <c r="AD156" s="192">
        <f t="shared" si="164"/>
        <v>1.8333333333333333E-2</v>
      </c>
    </row>
    <row r="157" spans="1:30" ht="15.75">
      <c r="A157" s="117" t="s">
        <v>123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184"/>
      <c r="P157" s="166" t="s">
        <v>166</v>
      </c>
      <c r="Q157" s="73"/>
      <c r="R157" s="73"/>
      <c r="S157" s="73"/>
      <c r="T157" s="73"/>
      <c r="U157" s="73"/>
      <c r="V157" s="167">
        <v>114.9</v>
      </c>
      <c r="W157" s="167">
        <v>113.3</v>
      </c>
      <c r="X157" s="167">
        <v>113.6</v>
      </c>
      <c r="Y157" s="167">
        <v>110.8</v>
      </c>
      <c r="Z157" s="167">
        <v>109.9</v>
      </c>
      <c r="AA157" s="167">
        <v>109</v>
      </c>
      <c r="AB157" s="167">
        <v>106.9</v>
      </c>
      <c r="AC157" s="167">
        <v>50</v>
      </c>
      <c r="AD157" s="168">
        <f t="shared" si="164"/>
        <v>110.58333333333333</v>
      </c>
    </row>
    <row r="158" spans="1:30" ht="15">
      <c r="A158" s="72" t="s">
        <v>124</v>
      </c>
      <c r="B158" s="43">
        <f>(B$41)/(B$41+B$42+B$56+B$61+B$49)</f>
        <v>0.13968817653203405</v>
      </c>
      <c r="C158" s="43">
        <f>(C$41)/(C$41+C$42+C$56+C$61+C$49)</f>
        <v>0.17758166065759026</v>
      </c>
      <c r="D158" s="43">
        <f t="shared" ref="D158:N158" si="171">(D$41)/(D$41+D$42+D$56+D$61+D$49)</f>
        <v>0.10128830819629249</v>
      </c>
      <c r="E158" s="43">
        <f t="shared" si="171"/>
        <v>5.7302259975945645E-2</v>
      </c>
      <c r="F158" s="43">
        <f t="shared" si="171"/>
        <v>7.9734525510439233E-2</v>
      </c>
      <c r="G158" s="43">
        <f t="shared" si="171"/>
        <v>0.13935017733481075</v>
      </c>
      <c r="H158" s="43">
        <f t="shared" si="171"/>
        <v>0.10769055244975137</v>
      </c>
      <c r="I158" s="43">
        <f t="shared" si="171"/>
        <v>1.9825773505557226E-2</v>
      </c>
      <c r="J158" s="43">
        <f t="shared" si="171"/>
        <v>0.10033030553261767</v>
      </c>
      <c r="K158" s="43">
        <f t="shared" si="171"/>
        <v>0.1047573852177008</v>
      </c>
      <c r="L158" s="43">
        <f t="shared" si="171"/>
        <v>0.10163551401869159</v>
      </c>
      <c r="M158" s="43">
        <f t="shared" si="171"/>
        <v>0.16356085613885635</v>
      </c>
      <c r="N158" s="43">
        <f t="shared" si="171"/>
        <v>5.1843996700836573E-2</v>
      </c>
      <c r="O158" s="184">
        <f t="shared" si="166"/>
        <v>9.9633397810529156E-2</v>
      </c>
      <c r="P158" s="166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168"/>
    </row>
    <row r="159" spans="1:30" ht="15">
      <c r="A159" s="72" t="s">
        <v>61</v>
      </c>
      <c r="B159" s="43">
        <f>(B$49+B42)/(B$41+B$42+B$56+B$61+B$49)</f>
        <v>0.39634098007197555</v>
      </c>
      <c r="C159" s="43">
        <f>(C$49+C42)/(C$41+C$42+C$56+C$61+C$49)</f>
        <v>0.37837001560566108</v>
      </c>
      <c r="D159" s="43">
        <f t="shared" ref="D159:J159" si="172">(D$49+D42)/(D$41+D$42+D$56+D$61+D$49)</f>
        <v>0.43344095849764802</v>
      </c>
      <c r="E159" s="43">
        <f t="shared" si="172"/>
        <v>0.44865780475671729</v>
      </c>
      <c r="F159" s="43">
        <f t="shared" si="172"/>
        <v>0.44553010400823462</v>
      </c>
      <c r="G159" s="43">
        <f t="shared" si="172"/>
        <v>0.39960712618070732</v>
      </c>
      <c r="H159" s="43">
        <f t="shared" si="172"/>
        <v>0.44940631061071951</v>
      </c>
      <c r="I159" s="43">
        <f t="shared" si="172"/>
        <v>0.48513066987083209</v>
      </c>
      <c r="J159" s="43">
        <f t="shared" si="172"/>
        <v>0.4307734654555464</v>
      </c>
      <c r="K159" s="43">
        <f>(K$49+K42)/(K$41+K$42+K$56+K$61+K$49)</f>
        <v>0.43896073081029779</v>
      </c>
      <c r="L159" s="43">
        <f>(L$49+L42)/(L$41+L$42+L$56+L$61+L$49)</f>
        <v>0.43224299065420563</v>
      </c>
      <c r="M159" s="43">
        <f>(M$49+M42)/(M$41+M$42+M$56+M$61+M$49)</f>
        <v>0.39399424981365139</v>
      </c>
      <c r="N159" s="43">
        <f>(N$49+N42)/(N$41+N$42+N$56+N$61+N$49)</f>
        <v>0.43596088134794392</v>
      </c>
      <c r="O159" s="184">
        <f t="shared" si="166"/>
        <v>0.43841806953587548</v>
      </c>
      <c r="P159" s="166" t="s">
        <v>164</v>
      </c>
      <c r="Q159" s="73"/>
      <c r="R159" s="73"/>
      <c r="S159" s="73"/>
      <c r="T159" s="73"/>
      <c r="U159" s="73"/>
      <c r="V159" s="167">
        <v>794.1</v>
      </c>
      <c r="W159" s="167">
        <v>824.4</v>
      </c>
      <c r="X159" s="167">
        <v>850.5</v>
      </c>
      <c r="Y159" s="167">
        <v>873.6</v>
      </c>
      <c r="Z159" s="167">
        <v>888.6</v>
      </c>
      <c r="AA159" s="167">
        <v>898.6</v>
      </c>
      <c r="AB159" s="167">
        <v>909.6</v>
      </c>
      <c r="AC159" s="167">
        <v>913.6</v>
      </c>
      <c r="AD159" s="168">
        <f t="shared" si="164"/>
        <v>874.2166666666667</v>
      </c>
    </row>
    <row r="160" spans="1:30" ht="15">
      <c r="A160" s="72" t="s">
        <v>5</v>
      </c>
      <c r="B160" s="43">
        <f>B$61/(B$41+B$42+B$56+B$61+B$49)</f>
        <v>0.46397084339599043</v>
      </c>
      <c r="C160" s="43">
        <f>C$61/(C$41+C$42+C$56+C$61+C$49)</f>
        <v>0.44404832373674863</v>
      </c>
      <c r="D160" s="43">
        <f t="shared" ref="D160:N160" si="173">D$61/(D$41+D$42+D$56+D$61+D$49)</f>
        <v>0.4652707333060595</v>
      </c>
      <c r="E160" s="43">
        <f t="shared" si="173"/>
        <v>0.49403993526733708</v>
      </c>
      <c r="F160" s="43">
        <f t="shared" si="173"/>
        <v>0.47473537048132614</v>
      </c>
      <c r="G160" s="43">
        <f t="shared" si="173"/>
        <v>0.46104269648448193</v>
      </c>
      <c r="H160" s="43">
        <f t="shared" si="173"/>
        <v>0.4429031369395291</v>
      </c>
      <c r="I160" s="43">
        <f t="shared" si="173"/>
        <v>0.49504355662361071</v>
      </c>
      <c r="J160" s="43">
        <f t="shared" si="173"/>
        <v>0.46889622901183597</v>
      </c>
      <c r="K160" s="43">
        <f t="shared" si="173"/>
        <v>0.45628188397200142</v>
      </c>
      <c r="L160" s="43">
        <f t="shared" si="173"/>
        <v>0.46612149532710279</v>
      </c>
      <c r="M160" s="43">
        <f t="shared" si="173"/>
        <v>0.44244489404749227</v>
      </c>
      <c r="N160" s="43">
        <f t="shared" si="173"/>
        <v>0.51219512195121952</v>
      </c>
      <c r="O160" s="183">
        <f t="shared" si="166"/>
        <v>0.46194853265359531</v>
      </c>
      <c r="P160" s="174" t="s">
        <v>168</v>
      </c>
      <c r="Q160" s="149"/>
      <c r="R160" s="149"/>
      <c r="S160" s="149"/>
      <c r="T160" s="149"/>
      <c r="U160" s="149"/>
      <c r="V160" s="152">
        <v>3.8193364450000003E-2</v>
      </c>
      <c r="W160" s="185">
        <f t="shared" ref="W160:X160" si="174">(+W159-V159)/V159</f>
        <v>3.8156403475632733E-2</v>
      </c>
      <c r="X160" s="185">
        <f t="shared" si="174"/>
        <v>3.1659388646288235E-2</v>
      </c>
      <c r="Y160" s="185">
        <f>(+Y159-X159)/X159</f>
        <v>2.7160493827160521E-2</v>
      </c>
      <c r="Z160" s="185">
        <f>(+Z159-Y159)/Y159</f>
        <v>1.7170329670329668E-2</v>
      </c>
      <c r="AA160" s="185">
        <f>(+AA159-Z159)/Z159</f>
        <v>1.1253657438667566E-2</v>
      </c>
      <c r="AB160" s="185">
        <f>(+AB159-AA159)/AA159</f>
        <v>1.2241264188738037E-2</v>
      </c>
      <c r="AC160" s="185">
        <f>(+AC159-AB159)/AB159</f>
        <v>4.3975373790677216E-3</v>
      </c>
      <c r="AD160" s="186">
        <f t="shared" si="164"/>
        <v>2.2940256207802791E-2</v>
      </c>
    </row>
    <row r="161" spans="1:30" ht="15">
      <c r="A161" s="72"/>
      <c r="B161" s="80">
        <f>SUM(B158:B160)</f>
        <v>1</v>
      </c>
      <c r="C161" s="80">
        <f>SUM(C158:C160)</f>
        <v>1</v>
      </c>
      <c r="D161" s="80">
        <f t="shared" ref="D161:K161" si="175">SUM(D158:D160)</f>
        <v>1</v>
      </c>
      <c r="E161" s="80">
        <f t="shared" si="175"/>
        <v>1</v>
      </c>
      <c r="F161" s="80">
        <f t="shared" si="175"/>
        <v>1</v>
      </c>
      <c r="G161" s="80">
        <f t="shared" si="175"/>
        <v>1</v>
      </c>
      <c r="H161" s="80">
        <f t="shared" si="175"/>
        <v>1</v>
      </c>
      <c r="I161" s="80">
        <f t="shared" si="175"/>
        <v>1</v>
      </c>
      <c r="J161" s="80">
        <f t="shared" si="175"/>
        <v>1</v>
      </c>
      <c r="K161" s="80">
        <f t="shared" si="175"/>
        <v>1</v>
      </c>
      <c r="L161" s="80">
        <f t="shared" ref="L161" si="176">SUM(L158:L160)</f>
        <v>1</v>
      </c>
      <c r="M161" s="80">
        <f t="shared" ref="M161:N161" si="177">SUM(M158:M160)</f>
        <v>1</v>
      </c>
      <c r="N161" s="80">
        <f t="shared" si="177"/>
        <v>1</v>
      </c>
      <c r="O161" s="184">
        <f t="shared" si="166"/>
        <v>1</v>
      </c>
      <c r="P161" s="8"/>
    </row>
    <row r="162" spans="1:30" ht="1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43"/>
    </row>
    <row r="163" spans="1:30" ht="15">
      <c r="A163" s="72" t="s">
        <v>176</v>
      </c>
      <c r="B163" s="72" t="s">
        <v>115</v>
      </c>
      <c r="C163" s="76"/>
      <c r="D163" s="72"/>
      <c r="E163" s="72"/>
      <c r="F163" s="72"/>
      <c r="G163" s="159"/>
      <c r="H163" s="151">
        <f>(+H79-G79)/G79</f>
        <v>0.25956008495236149</v>
      </c>
      <c r="I163" s="151">
        <f t="shared" ref="I163:N163" si="178">(+I79-H79)/H79</f>
        <v>0.10602391363746394</v>
      </c>
      <c r="J163" s="151">
        <f t="shared" si="178"/>
        <v>-0.12408416306594026</v>
      </c>
      <c r="K163" s="151">
        <f t="shared" si="178"/>
        <v>7.2707774798927607E-2</v>
      </c>
      <c r="L163" s="151">
        <f t="shared" si="178"/>
        <v>-8.0375887233829851E-2</v>
      </c>
      <c r="M163" s="151">
        <f t="shared" si="178"/>
        <v>-1.8480269594521145E-2</v>
      </c>
      <c r="N163" s="151">
        <f t="shared" si="178"/>
        <v>-0.3579576918817145</v>
      </c>
      <c r="O163" s="43"/>
      <c r="P163" s="72" t="s">
        <v>173</v>
      </c>
      <c r="Q163" s="72"/>
      <c r="R163" s="72"/>
      <c r="S163" s="72"/>
      <c r="T163" s="72"/>
      <c r="U163" s="72"/>
      <c r="V163" s="157">
        <f t="shared" ref="V163:AA163" si="179">+V150-V154</f>
        <v>2.12</v>
      </c>
      <c r="W163" s="157">
        <f t="shared" si="179"/>
        <v>2.5499999999999998</v>
      </c>
      <c r="X163" s="157">
        <f t="shared" si="179"/>
        <v>3.13</v>
      </c>
      <c r="Y163" s="157">
        <f t="shared" si="179"/>
        <v>2.33</v>
      </c>
      <c r="Z163" s="157">
        <f t="shared" si="179"/>
        <v>2.1100000000000003</v>
      </c>
      <c r="AA163" s="157">
        <f t="shared" si="179"/>
        <v>2.9800000000000004</v>
      </c>
      <c r="AB163" s="157">
        <f>+AB150-AB154</f>
        <v>2.54</v>
      </c>
      <c r="AC163" s="157">
        <f>+AC150-AC154</f>
        <v>1.9088517745302731</v>
      </c>
      <c r="AD163" s="158">
        <f>AVERAGE(V163:AA163)</f>
        <v>2.5366666666666666</v>
      </c>
    </row>
    <row r="164" spans="1:30" ht="15">
      <c r="A164" s="72" t="s">
        <v>177</v>
      </c>
      <c r="B164" s="72"/>
      <c r="C164" s="72"/>
      <c r="D164" s="72"/>
      <c r="E164" s="72"/>
      <c r="F164" s="72"/>
      <c r="G164" s="151">
        <f>+G82/(G$82+G$83)</f>
        <v>0.60506632744419242</v>
      </c>
      <c r="H164" s="151">
        <f>+H82/(H$82+H$83)</f>
        <v>0.67231345801633779</v>
      </c>
      <c r="I164" s="151">
        <f t="shared" ref="I164:L164" si="180">+I82/(I$82+I$83)</f>
        <v>0.69335604770017034</v>
      </c>
      <c r="J164" s="151">
        <f t="shared" si="180"/>
        <v>0.64202561117578583</v>
      </c>
      <c r="K164" s="151">
        <f t="shared" si="180"/>
        <v>0.4128104220382684</v>
      </c>
      <c r="L164" s="151">
        <f t="shared" si="180"/>
        <v>0.4877114586658155</v>
      </c>
      <c r="M164" s="151">
        <f>+M82/(M$82+M$83)</f>
        <v>0.47028031070584264</v>
      </c>
      <c r="N164" s="151">
        <f>+N82/(N$82+N$83)</f>
        <v>1</v>
      </c>
      <c r="O164" s="43"/>
      <c r="P164" s="72" t="s">
        <v>174</v>
      </c>
      <c r="Q164" s="72"/>
      <c r="R164" s="72"/>
      <c r="S164" s="72"/>
      <c r="T164" s="72"/>
      <c r="U164" s="72"/>
      <c r="V164" s="157">
        <f t="shared" ref="V164:AA164" si="181">+V151-V154</f>
        <v>0.35999999999999943</v>
      </c>
      <c r="W164" s="157">
        <f t="shared" si="181"/>
        <v>0.59999999999999964</v>
      </c>
      <c r="X164" s="157">
        <f t="shared" si="181"/>
        <v>1.0999999999999996</v>
      </c>
      <c r="Y164" s="157">
        <f t="shared" si="181"/>
        <v>0.25</v>
      </c>
      <c r="Z164" s="157">
        <f t="shared" si="181"/>
        <v>0.85000000000000053</v>
      </c>
      <c r="AA164" s="157">
        <f t="shared" si="181"/>
        <v>1.4900000000000002</v>
      </c>
      <c r="AB164" s="157">
        <f>+AB151-AB154</f>
        <v>0.54999999999999982</v>
      </c>
      <c r="AC164" s="157">
        <f>+AC151-AC154</f>
        <v>3.8851774530272998E-2</v>
      </c>
      <c r="AD164" s="158">
        <f>AVERAGE(V164:AA164)</f>
        <v>0.77499999999999991</v>
      </c>
    </row>
    <row r="165" spans="1:30" ht="15">
      <c r="A165" s="72" t="s">
        <v>178</v>
      </c>
      <c r="B165" s="72"/>
      <c r="C165" s="72"/>
      <c r="D165" s="72"/>
      <c r="E165" s="72"/>
      <c r="F165" s="72"/>
      <c r="G165" s="151">
        <f>+G83/(G$82+G$83)</f>
        <v>0.39493367255580758</v>
      </c>
      <c r="H165" s="151">
        <f>+H83/(H$82+H$83)</f>
        <v>0.32768654198366226</v>
      </c>
      <c r="I165" s="151">
        <f t="shared" ref="I165:L165" si="182">+I83/(I$82+I$83)</f>
        <v>0.30664395229982966</v>
      </c>
      <c r="J165" s="151">
        <f t="shared" si="182"/>
        <v>0.35797438882421423</v>
      </c>
      <c r="K165" s="151">
        <f t="shared" si="182"/>
        <v>0.58718957796173155</v>
      </c>
      <c r="L165" s="151">
        <f t="shared" si="182"/>
        <v>0.51228854133418444</v>
      </c>
      <c r="M165" s="151">
        <f t="shared" ref="M165:N165" si="183">+M83/(M$82+M$83)</f>
        <v>0.52971968929415736</v>
      </c>
      <c r="N165" s="151">
        <f t="shared" si="183"/>
        <v>0</v>
      </c>
      <c r="O165" s="43"/>
      <c r="P165" s="72" t="s">
        <v>180</v>
      </c>
      <c r="Q165" s="72"/>
      <c r="R165" s="72"/>
      <c r="S165" s="72"/>
      <c r="T165" s="72"/>
      <c r="U165" s="72"/>
      <c r="V165" s="158">
        <f t="shared" ref="V165:AD165" si="184">+V163-V164</f>
        <v>1.7600000000000007</v>
      </c>
      <c r="W165" s="158">
        <f t="shared" si="184"/>
        <v>1.9500000000000002</v>
      </c>
      <c r="X165" s="158">
        <f t="shared" si="184"/>
        <v>2.0300000000000002</v>
      </c>
      <c r="Y165" s="158">
        <f t="shared" si="184"/>
        <v>2.08</v>
      </c>
      <c r="Z165" s="158">
        <f t="shared" si="184"/>
        <v>1.2599999999999998</v>
      </c>
      <c r="AA165" s="158">
        <f t="shared" si="184"/>
        <v>1.4900000000000002</v>
      </c>
      <c r="AB165" s="158">
        <f t="shared" si="184"/>
        <v>1.9900000000000002</v>
      </c>
      <c r="AC165" s="158">
        <f t="shared" ref="AC165" si="185">+AC163-AC164</f>
        <v>1.87</v>
      </c>
      <c r="AD165" s="158">
        <f t="shared" si="184"/>
        <v>1.7616666666666667</v>
      </c>
    </row>
    <row r="166" spans="1:30" ht="15">
      <c r="A166" s="72" t="s">
        <v>147</v>
      </c>
      <c r="B166" s="72"/>
      <c r="C166" s="72"/>
      <c r="D166" s="72"/>
      <c r="E166" s="72"/>
      <c r="F166" s="72"/>
      <c r="G166" s="159">
        <f>+G129</f>
        <v>0.2984390069000894</v>
      </c>
      <c r="H166" s="159">
        <f>+H129</f>
        <v>0.25180484693214983</v>
      </c>
      <c r="I166" s="159">
        <f t="shared" ref="I166:L166" si="186">+I129</f>
        <v>0.22806687957918467</v>
      </c>
      <c r="J166" s="159">
        <f t="shared" si="186"/>
        <v>0.26305630026809651</v>
      </c>
      <c r="K166" s="159">
        <f t="shared" si="186"/>
        <v>0.26332100369889033</v>
      </c>
      <c r="L166" s="159">
        <f t="shared" si="186"/>
        <v>0.31883900423959127</v>
      </c>
      <c r="M166" s="159">
        <f t="shared" ref="M166:N166" si="187">+M129</f>
        <v>0.34411341233802195</v>
      </c>
      <c r="N166" s="159">
        <f t="shared" si="187"/>
        <v>0.31257547007072622</v>
      </c>
      <c r="O166" s="43"/>
      <c r="P166" s="72"/>
      <c r="Q166" s="72"/>
      <c r="R166" s="72"/>
      <c r="S166" s="72"/>
      <c r="T166" s="72"/>
      <c r="U166" s="72"/>
    </row>
    <row r="167" spans="1:30" ht="15">
      <c r="A167" s="72" t="s">
        <v>179</v>
      </c>
      <c r="B167" s="72"/>
      <c r="C167" s="72"/>
      <c r="D167" s="72"/>
      <c r="E167" s="72"/>
      <c r="F167" s="72"/>
      <c r="G167" s="151"/>
      <c r="H167" s="151">
        <f>(+H101-G101)/G101</f>
        <v>0.14347922825085027</v>
      </c>
      <c r="I167" s="151">
        <f t="shared" ref="I167:N167" si="188">(+I101-H101)/H101</f>
        <v>2.8492008339124391E-2</v>
      </c>
      <c r="J167" s="151">
        <f t="shared" si="188"/>
        <v>1.0810810810810811E-2</v>
      </c>
      <c r="K167" s="151">
        <f t="shared" si="188"/>
        <v>7.4866310160427801E-2</v>
      </c>
      <c r="L167" s="151">
        <f t="shared" si="188"/>
        <v>3.482587064676617E-2</v>
      </c>
      <c r="M167" s="151">
        <f t="shared" si="188"/>
        <v>5.5288461538461536E-2</v>
      </c>
      <c r="N167" s="151">
        <f t="shared" si="188"/>
        <v>-0.23006833712984054</v>
      </c>
      <c r="O167" s="43"/>
    </row>
    <row r="168" spans="1:30" ht="1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43"/>
    </row>
    <row r="169" spans="1:30" ht="1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43"/>
    </row>
    <row r="170" spans="1:30" ht="1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43"/>
    </row>
    <row r="171" spans="1:30" ht="1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43"/>
    </row>
    <row r="172" spans="1:30" ht="1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43"/>
    </row>
    <row r="173" spans="1:30" ht="1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43"/>
    </row>
    <row r="174" spans="1:30" ht="1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43"/>
    </row>
    <row r="175" spans="1:30" ht="1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43"/>
    </row>
    <row r="176" spans="1:30" ht="1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43"/>
    </row>
    <row r="177" spans="1:15" ht="1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43"/>
    </row>
    <row r="178" spans="1:15" ht="1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43"/>
    </row>
    <row r="179" spans="1:15" ht="1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43"/>
    </row>
    <row r="180" spans="1:15" ht="1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43"/>
    </row>
    <row r="181" spans="1:15" ht="1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43"/>
    </row>
    <row r="182" spans="1:15" ht="1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43"/>
    </row>
    <row r="183" spans="1:15" ht="1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43"/>
    </row>
    <row r="184" spans="1:15" ht="1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43"/>
    </row>
    <row r="185" spans="1:15" ht="1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43"/>
    </row>
    <row r="186" spans="1:15" ht="1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43"/>
    </row>
    <row r="187" spans="1:15" ht="1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43"/>
    </row>
  </sheetData>
  <mergeCells count="4">
    <mergeCell ref="P109:AD109"/>
    <mergeCell ref="P110:AD110"/>
    <mergeCell ref="P111:AD111"/>
    <mergeCell ref="P135:AD135"/>
  </mergeCells>
  <phoneticPr fontId="4" type="noConversion"/>
  <printOptions horizontalCentered="1"/>
  <pageMargins left="0.5" right="0.5" top="1" bottom="1" header="0.5" footer="0.5"/>
  <pageSetup scale="70" fitToWidth="2" orientation="portrait" r:id="rId1"/>
  <headerFooter alignWithMargins="0"/>
  <rowBreaks count="2" manualBreakCount="2">
    <brk id="64" max="27" man="1"/>
    <brk id="106" max="27" man="1"/>
  </rowBreaks>
  <colBreaks count="1" manualBreakCount="1">
    <brk id="15" max="1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"/>
  <sheetViews>
    <sheetView showGridLines="0" tabSelected="1" view="pageBreakPreview" zoomScaleNormal="100" zoomScaleSheetLayoutView="100" workbookViewId="0">
      <selection activeCell="O10" sqref="O10"/>
    </sheetView>
  </sheetViews>
  <sheetFormatPr defaultRowHeight="12.75"/>
  <cols>
    <col min="1" max="1" width="52.28515625" style="10" customWidth="1"/>
    <col min="2" max="5" width="10.7109375" style="9" hidden="1" customWidth="1"/>
    <col min="6" max="6" width="10.7109375" style="11" hidden="1" customWidth="1"/>
    <col min="7" max="8" width="10.7109375" style="9" hidden="1" customWidth="1"/>
    <col min="9" max="14" width="10.7109375" style="9" customWidth="1"/>
    <col min="15" max="15" width="11.28515625" style="12" customWidth="1"/>
    <col min="16" max="16" width="52.28515625" style="9" customWidth="1"/>
    <col min="17" max="22" width="11" style="9" hidden="1" customWidth="1"/>
    <col min="23" max="23" width="11" style="9" customWidth="1"/>
    <col min="24" max="24" width="12.28515625" style="9" customWidth="1"/>
    <col min="25" max="25" width="11" style="9" customWidth="1"/>
    <col min="26" max="26" width="11.28515625" style="9" customWidth="1"/>
    <col min="27" max="28" width="11" style="9" customWidth="1"/>
    <col min="29" max="29" width="11.140625" style="9" customWidth="1"/>
    <col min="30" max="16384" width="9.140625" style="9"/>
  </cols>
  <sheetData>
    <row r="1" spans="1:30" ht="15.75">
      <c r="O1" s="22" t="s">
        <v>117</v>
      </c>
      <c r="P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117</v>
      </c>
      <c r="AD1" s="12"/>
    </row>
    <row r="2" spans="1:30" ht="15.75">
      <c r="O2" s="153" t="s">
        <v>185</v>
      </c>
      <c r="P2" s="12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53" t="s">
        <v>169</v>
      </c>
      <c r="AD2" s="12"/>
    </row>
    <row r="3" spans="1:30" ht="20.25">
      <c r="A3" s="63" t="str">
        <f>+'Historical - Exhibit 1'!A3</f>
        <v>Questar Gas Company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3"/>
      <c r="P3" s="63" t="str">
        <f>A3</f>
        <v>Questar Gas Company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3"/>
      <c r="AD3" s="12"/>
    </row>
    <row r="4" spans="1:30" ht="15.75">
      <c r="A4" s="21" t="s">
        <v>93</v>
      </c>
      <c r="B4" s="13"/>
      <c r="C4" s="13"/>
      <c r="D4" s="13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21" t="s">
        <v>116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3"/>
      <c r="AD4" s="12"/>
    </row>
    <row r="5" spans="1:30" ht="15" customHeight="1">
      <c r="A5" s="21" t="str">
        <f>'Historical - Exhibit 1'!A5</f>
        <v>Years Ended December 31</v>
      </c>
      <c r="B5" s="13"/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21" t="str">
        <f>A5</f>
        <v>Years Ended December 31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3"/>
      <c r="AD5" s="12"/>
    </row>
    <row r="6" spans="1:30" ht="1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 t="str">
        <f>'Historical - Exhibit 1'!O7</f>
        <v>2005 to 2010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5"/>
      <c r="AD6" s="12"/>
    </row>
    <row r="7" spans="1:30" ht="15.75">
      <c r="A7" s="128" t="s">
        <v>134</v>
      </c>
      <c r="B7" s="204"/>
      <c r="C7" s="204"/>
      <c r="D7" s="204"/>
      <c r="E7" s="204"/>
      <c r="F7" s="204"/>
      <c r="G7" s="204"/>
      <c r="H7" s="129"/>
      <c r="I7" s="130"/>
      <c r="J7" s="130"/>
      <c r="K7" s="130"/>
      <c r="L7" s="130"/>
      <c r="M7" s="145"/>
      <c r="N7" s="145" t="str">
        <f>+'Historical - Exhibit 1'!AC8</f>
        <v>2nd Qrtr</v>
      </c>
      <c r="O7" s="131" t="s">
        <v>3</v>
      </c>
      <c r="P7" s="24"/>
      <c r="Q7" s="24"/>
      <c r="R7" s="24"/>
      <c r="S7" s="24"/>
      <c r="T7" s="24"/>
      <c r="U7" s="136"/>
      <c r="V7" s="136"/>
      <c r="W7" s="89"/>
      <c r="X7" s="89"/>
      <c r="Y7" s="89"/>
      <c r="Z7" s="89"/>
      <c r="AA7" s="89"/>
      <c r="AB7" s="146"/>
      <c r="AC7" s="137" t="str">
        <f>O6</f>
        <v>2005 to 2010</v>
      </c>
      <c r="AD7" s="12"/>
    </row>
    <row r="8" spans="1:30" ht="15.75">
      <c r="A8" s="128"/>
      <c r="B8" s="132">
        <f>'Historical - Exhibit 1'!B9</f>
        <v>1999</v>
      </c>
      <c r="C8" s="133">
        <f>'Historical - Exhibit 1'!C9</f>
        <v>2000</v>
      </c>
      <c r="D8" s="133">
        <f>'Historical - Exhibit 1'!D9</f>
        <v>2001</v>
      </c>
      <c r="E8" s="133">
        <f>'Historical - Exhibit 1'!E9</f>
        <v>2002</v>
      </c>
      <c r="F8" s="133">
        <f>'Historical - Exhibit 1'!F9</f>
        <v>2003</v>
      </c>
      <c r="G8" s="133">
        <f>'Historical - Exhibit 1'!G9</f>
        <v>2004</v>
      </c>
      <c r="H8" s="133">
        <f>'Historical - Exhibit 1'!H9</f>
        <v>2005</v>
      </c>
      <c r="I8" s="133">
        <f>'Historical - Exhibit 1'!I9</f>
        <v>2006</v>
      </c>
      <c r="J8" s="133">
        <f>'Historical - Exhibit 1'!J9</f>
        <v>2007</v>
      </c>
      <c r="K8" s="133">
        <f>'Historical - Exhibit 1'!K9</f>
        <v>2008</v>
      </c>
      <c r="L8" s="133">
        <f>+'Historical - Exhibit 1'!L9</f>
        <v>2009</v>
      </c>
      <c r="M8" s="133">
        <f>'Historical - Exhibit 1'!M9</f>
        <v>2010</v>
      </c>
      <c r="N8" s="133">
        <f>'Historical - Exhibit 1'!N9</f>
        <v>2011</v>
      </c>
      <c r="O8" s="134" t="s">
        <v>24</v>
      </c>
      <c r="P8" s="25"/>
      <c r="Q8" s="29">
        <f t="shared" ref="Q8:Y8" si="0">B8</f>
        <v>1999</v>
      </c>
      <c r="R8" s="29">
        <f t="shared" si="0"/>
        <v>2000</v>
      </c>
      <c r="S8" s="29">
        <f t="shared" si="0"/>
        <v>2001</v>
      </c>
      <c r="T8" s="29">
        <f t="shared" si="0"/>
        <v>2002</v>
      </c>
      <c r="U8" s="138">
        <f t="shared" si="0"/>
        <v>2003</v>
      </c>
      <c r="V8" s="138">
        <f t="shared" si="0"/>
        <v>2004</v>
      </c>
      <c r="W8" s="138">
        <f t="shared" si="0"/>
        <v>2005</v>
      </c>
      <c r="X8" s="138">
        <f t="shared" si="0"/>
        <v>2006</v>
      </c>
      <c r="Y8" s="138">
        <f t="shared" si="0"/>
        <v>2007</v>
      </c>
      <c r="Z8" s="138">
        <f>K8</f>
        <v>2008</v>
      </c>
      <c r="AA8" s="138">
        <f>+L8</f>
        <v>2009</v>
      </c>
      <c r="AB8" s="138">
        <f>M8</f>
        <v>2010</v>
      </c>
      <c r="AC8" s="139" t="s">
        <v>2</v>
      </c>
      <c r="AD8" s="12"/>
    </row>
    <row r="9" spans="1:30" ht="12.75" customHeight="1">
      <c r="A9" s="2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25"/>
      <c r="Q9" s="32"/>
      <c r="R9" s="33"/>
      <c r="S9" s="33"/>
      <c r="T9" s="33"/>
      <c r="U9" s="33"/>
      <c r="V9" s="33"/>
      <c r="W9" s="34"/>
      <c r="X9" s="33"/>
      <c r="Y9" s="33"/>
      <c r="Z9" s="33"/>
      <c r="AA9" s="33"/>
      <c r="AB9" s="33"/>
      <c r="AC9" s="25"/>
      <c r="AD9" s="12"/>
    </row>
    <row r="10" spans="1:30" ht="15">
      <c r="A10" s="26" t="str">
        <f>+P10</f>
        <v>Total Revenues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25" t="s">
        <v>54</v>
      </c>
      <c r="Q10" s="135">
        <f>'Historical - Exhibit 1'!B79</f>
        <v>449937</v>
      </c>
      <c r="R10" s="135">
        <f>'Historical - Exhibit 1'!C79</f>
        <v>536762</v>
      </c>
      <c r="S10" s="135">
        <f>'Historical - Exhibit 1'!D79</f>
        <v>704113</v>
      </c>
      <c r="T10" s="135">
        <f>'Historical - Exhibit 1'!E79</f>
        <v>595511</v>
      </c>
      <c r="U10" s="135">
        <f>'Historical - Exhibit 1'!F79</f>
        <v>620995</v>
      </c>
      <c r="V10" s="135">
        <f>'Historical - Exhibit 1'!G79</f>
        <v>764193</v>
      </c>
      <c r="W10" s="135">
        <f>'Historical - Exhibit 1'!H79</f>
        <v>962547</v>
      </c>
      <c r="X10" s="135">
        <f>'Historical - Exhibit 1'!I79</f>
        <v>1064600</v>
      </c>
      <c r="Y10" s="135">
        <f>'Historical - Exhibit 1'!J79</f>
        <v>932500</v>
      </c>
      <c r="Z10" s="135">
        <f>'Historical - Exhibit 1'!K79</f>
        <v>1000300</v>
      </c>
      <c r="AA10" s="135">
        <f>'Historical - Exhibit 1'!L79</f>
        <v>919900</v>
      </c>
      <c r="AB10" s="135">
        <f>'Historical - Exhibit 1'!M79</f>
        <v>902900</v>
      </c>
      <c r="AC10" s="140">
        <f>AVERAGE(V10:AA10)</f>
        <v>940673.33333333337</v>
      </c>
      <c r="AD10" s="12"/>
    </row>
    <row r="11" spans="1:30" ht="15">
      <c r="A11" s="36" t="s">
        <v>75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40" t="s">
        <v>75</v>
      </c>
      <c r="Q11" s="25"/>
      <c r="R11" s="25"/>
      <c r="S11" s="25"/>
      <c r="T11" s="25"/>
      <c r="U11" s="41"/>
      <c r="V11" s="25"/>
      <c r="W11" s="25"/>
      <c r="X11" s="25"/>
      <c r="Y11" s="25"/>
      <c r="Z11" s="25"/>
      <c r="AA11" s="25"/>
      <c r="AB11" s="25"/>
      <c r="AC11" s="25"/>
    </row>
    <row r="12" spans="1:30" ht="15">
      <c r="A12" s="42" t="s">
        <v>76</v>
      </c>
      <c r="B12" s="37">
        <f>'Historical - Exhibit 1'!B101</f>
        <v>19219</v>
      </c>
      <c r="C12" s="37">
        <f>'Historical - Exhibit 1'!C101</f>
        <v>24163</v>
      </c>
      <c r="D12" s="37">
        <f>'Historical - Exhibit 1'!D101</f>
        <v>25873</v>
      </c>
      <c r="E12" s="37">
        <f>'Historical - Exhibit 1'!E101</f>
        <v>32399</v>
      </c>
      <c r="F12" s="37">
        <f>'Historical - Exhibit 1'!F101</f>
        <v>20182</v>
      </c>
      <c r="G12" s="37">
        <f>'Historical - Exhibit 1'!G101</f>
        <v>31461</v>
      </c>
      <c r="H12" s="37">
        <f>'Historical - Exhibit 1'!H101</f>
        <v>35975</v>
      </c>
      <c r="I12" s="37">
        <f>'Historical - Exhibit 1'!I101</f>
        <v>37000</v>
      </c>
      <c r="J12" s="37">
        <f>'Historical - Exhibit 1'!J101</f>
        <v>37400</v>
      </c>
      <c r="K12" s="37">
        <f>'Historical - Exhibit 1'!K101</f>
        <v>40200</v>
      </c>
      <c r="L12" s="37">
        <v>41600</v>
      </c>
      <c r="M12" s="37">
        <f>'Historical - Exhibit 1'!M101</f>
        <v>43900</v>
      </c>
      <c r="N12" s="37">
        <f>'Historical - Exhibit 1'!N101</f>
        <v>33800</v>
      </c>
      <c r="O12" s="43">
        <f>RATE(5,,-H12,M12)</f>
        <v>4.0621377876868023E-2</v>
      </c>
      <c r="P12" s="44" t="str">
        <f t="shared" ref="P12:P25" si="1">A12</f>
        <v xml:space="preserve">   Net income</v>
      </c>
      <c r="Q12" s="45">
        <f t="shared" ref="Q12:AA12" si="2">B12/Q$10</f>
        <v>4.2714868970544766E-2</v>
      </c>
      <c r="R12" s="45">
        <f t="shared" si="2"/>
        <v>4.5016226931116586E-2</v>
      </c>
      <c r="S12" s="45">
        <f t="shared" si="2"/>
        <v>3.6745522380640605E-2</v>
      </c>
      <c r="T12" s="45">
        <f t="shared" si="2"/>
        <v>5.4405376223109231E-2</v>
      </c>
      <c r="U12" s="45">
        <f t="shared" si="2"/>
        <v>3.2499456517363266E-2</v>
      </c>
      <c r="V12" s="45">
        <f t="shared" si="2"/>
        <v>4.1168919369845056E-2</v>
      </c>
      <c r="W12" s="45">
        <f t="shared" si="2"/>
        <v>3.7374798321536506E-2</v>
      </c>
      <c r="X12" s="45">
        <f t="shared" si="2"/>
        <v>3.4754837497651701E-2</v>
      </c>
      <c r="Y12" s="45">
        <f t="shared" si="2"/>
        <v>4.0107238605898127E-2</v>
      </c>
      <c r="Z12" s="45">
        <f t="shared" si="2"/>
        <v>4.0187943616914926E-2</v>
      </c>
      <c r="AA12" s="45">
        <f t="shared" si="2"/>
        <v>4.5222306772475268E-2</v>
      </c>
      <c r="AB12" s="45">
        <f t="shared" ref="AB12" si="3">M12/AB$10</f>
        <v>4.8621109757448225E-2</v>
      </c>
      <c r="AC12" s="35">
        <f>AVERAGE(V12:AA12)</f>
        <v>3.9802674030720263E-2</v>
      </c>
    </row>
    <row r="13" spans="1:30" ht="15">
      <c r="A13" s="36" t="s">
        <v>77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43"/>
      <c r="P13" s="44" t="str">
        <f t="shared" si="1"/>
        <v xml:space="preserve">   Adjustments to reconcile net income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35"/>
    </row>
    <row r="14" spans="1:30" ht="15">
      <c r="A14" s="42" t="s">
        <v>78</v>
      </c>
      <c r="B14" s="37">
        <v>39479</v>
      </c>
      <c r="C14" s="38">
        <v>37994</v>
      </c>
      <c r="D14" s="38">
        <v>38310</v>
      </c>
      <c r="E14" s="38">
        <v>42782</v>
      </c>
      <c r="F14" s="38">
        <v>43215</v>
      </c>
      <c r="G14" s="38">
        <v>45700</v>
      </c>
      <c r="H14" s="46">
        <v>50100</v>
      </c>
      <c r="I14" s="46">
        <v>44800</v>
      </c>
      <c r="J14" s="46">
        <f>42700</f>
        <v>42700</v>
      </c>
      <c r="K14" s="46">
        <v>45200</v>
      </c>
      <c r="L14" s="46">
        <v>47800</v>
      </c>
      <c r="M14" s="46">
        <v>48000</v>
      </c>
      <c r="N14" s="46">
        <v>24000</v>
      </c>
      <c r="O14" s="43">
        <f t="shared" ref="O14:O15" si="4">RATE(5,,-H14,M14)</f>
        <v>-8.5274328532633902E-3</v>
      </c>
      <c r="P14" s="44" t="str">
        <f t="shared" si="1"/>
        <v xml:space="preserve">       Depreciation and amortization</v>
      </c>
      <c r="Q14" s="45">
        <f t="shared" ref="Q14:AA15" si="5">B14/Q$10</f>
        <v>8.7743395186437215E-2</v>
      </c>
      <c r="R14" s="45">
        <f t="shared" si="5"/>
        <v>7.0783699293169036E-2</v>
      </c>
      <c r="S14" s="45">
        <f t="shared" si="5"/>
        <v>5.4408880392777866E-2</v>
      </c>
      <c r="T14" s="45">
        <f t="shared" si="5"/>
        <v>7.1840822419736994E-2</v>
      </c>
      <c r="U14" s="45">
        <f t="shared" si="5"/>
        <v>6.9589932286089257E-2</v>
      </c>
      <c r="V14" s="45">
        <f t="shared" si="5"/>
        <v>5.980164696614599E-2</v>
      </c>
      <c r="W14" s="45">
        <f t="shared" si="5"/>
        <v>5.2049406418595665E-2</v>
      </c>
      <c r="X14" s="45">
        <f t="shared" si="5"/>
        <v>4.2081532970129627E-2</v>
      </c>
      <c r="Y14" s="45">
        <f t="shared" si="5"/>
        <v>4.579088471849866E-2</v>
      </c>
      <c r="Z14" s="45">
        <f t="shared" si="5"/>
        <v>4.5186444066779963E-2</v>
      </c>
      <c r="AA14" s="45">
        <f t="shared" si="5"/>
        <v>5.1962169801065335E-2</v>
      </c>
      <c r="AB14" s="45">
        <f t="shared" ref="AB14:AB17" si="6">M14/AB$10</f>
        <v>5.316203344777938E-2</v>
      </c>
      <c r="AC14" s="35">
        <f t="shared" ref="AC14:AC17" si="7">AVERAGE(V14:AA14)</f>
        <v>4.9478680823535875E-2</v>
      </c>
    </row>
    <row r="15" spans="1:30" ht="15">
      <c r="A15" s="42" t="s">
        <v>79</v>
      </c>
      <c r="B15" s="47">
        <v>5320</v>
      </c>
      <c r="C15" s="38">
        <v>13637</v>
      </c>
      <c r="D15" s="38">
        <v>-12374</v>
      </c>
      <c r="E15" s="38">
        <v>2243</v>
      </c>
      <c r="F15" s="38">
        <v>9636</v>
      </c>
      <c r="G15" s="38">
        <v>32300</v>
      </c>
      <c r="H15" s="38">
        <v>3700</v>
      </c>
      <c r="I15" s="38">
        <v>-15200</v>
      </c>
      <c r="J15" s="38">
        <f>4000</f>
        <v>4000</v>
      </c>
      <c r="K15" s="38">
        <v>30300</v>
      </c>
      <c r="L15" s="38">
        <v>34100</v>
      </c>
      <c r="M15" s="38">
        <v>43600</v>
      </c>
      <c r="N15" s="38">
        <v>20400</v>
      </c>
      <c r="O15" s="43">
        <f t="shared" si="4"/>
        <v>0.63778524068297027</v>
      </c>
      <c r="P15" s="44" t="str">
        <f t="shared" si="1"/>
        <v xml:space="preserve">       Deferred income taxes and investment tax credits - net</v>
      </c>
      <c r="Q15" s="45">
        <f t="shared" si="5"/>
        <v>1.1823877565081334E-2</v>
      </c>
      <c r="R15" s="45">
        <f t="shared" si="5"/>
        <v>2.5406045882532667E-2</v>
      </c>
      <c r="S15" s="45">
        <f t="shared" si="5"/>
        <v>-1.7573883737411467E-2</v>
      </c>
      <c r="T15" s="45">
        <f t="shared" si="5"/>
        <v>3.7665131290605882E-3</v>
      </c>
      <c r="U15" s="45">
        <f t="shared" si="5"/>
        <v>1.5517033148415044E-2</v>
      </c>
      <c r="V15" s="45">
        <f t="shared" si="5"/>
        <v>4.2266809562505808E-2</v>
      </c>
      <c r="W15" s="45">
        <f t="shared" si="5"/>
        <v>3.8439681386986816E-3</v>
      </c>
      <c r="X15" s="45">
        <f t="shared" si="5"/>
        <v>-1.4277662972008266E-2</v>
      </c>
      <c r="Y15" s="45">
        <f t="shared" si="5"/>
        <v>4.2895442359249334E-3</v>
      </c>
      <c r="Z15" s="45">
        <f t="shared" si="5"/>
        <v>3.0290912726182145E-2</v>
      </c>
      <c r="AA15" s="45">
        <f t="shared" si="5"/>
        <v>3.7069246657245356E-2</v>
      </c>
      <c r="AB15" s="45">
        <f t="shared" si="6"/>
        <v>4.82888470483996E-2</v>
      </c>
      <c r="AC15" s="35">
        <f t="shared" si="7"/>
        <v>1.7247136391424774E-2</v>
      </c>
    </row>
    <row r="16" spans="1:30" ht="15">
      <c r="A16" s="48" t="s">
        <v>104</v>
      </c>
      <c r="B16" s="47">
        <v>0</v>
      </c>
      <c r="C16" s="38">
        <v>-103</v>
      </c>
      <c r="D16" s="38">
        <v>-1195</v>
      </c>
      <c r="E16" s="38">
        <v>422</v>
      </c>
      <c r="F16" s="38">
        <v>14</v>
      </c>
      <c r="G16" s="38">
        <v>200</v>
      </c>
      <c r="H16" s="38"/>
      <c r="I16" s="38">
        <v>300</v>
      </c>
      <c r="J16" s="38"/>
      <c r="K16" s="38"/>
      <c r="L16" s="38"/>
      <c r="M16" s="38"/>
      <c r="N16" s="38"/>
      <c r="O16" s="43"/>
      <c r="P16" s="44" t="str">
        <f t="shared" si="1"/>
        <v xml:space="preserve">       (Gain) Loss on sale of assets</v>
      </c>
      <c r="Q16" s="45">
        <f t="shared" ref="Q16:V16" si="8">B16/Q$10</f>
        <v>0</v>
      </c>
      <c r="R16" s="45">
        <f t="shared" si="8"/>
        <v>-1.9189137830174268E-4</v>
      </c>
      <c r="S16" s="45">
        <f t="shared" si="8"/>
        <v>-1.6971707666241073E-3</v>
      </c>
      <c r="T16" s="45">
        <f t="shared" si="8"/>
        <v>7.0863510497707011E-4</v>
      </c>
      <c r="U16" s="45">
        <f t="shared" si="8"/>
        <v>2.2544464931279639E-5</v>
      </c>
      <c r="V16" s="45">
        <f t="shared" si="8"/>
        <v>2.6171399109910714E-4</v>
      </c>
      <c r="W16" s="45"/>
      <c r="X16" s="45">
        <f>I16/X$10</f>
        <v>2.8179597971068947E-4</v>
      </c>
      <c r="Y16" s="45"/>
      <c r="Z16" s="45"/>
      <c r="AA16" s="45"/>
      <c r="AB16" s="45"/>
      <c r="AC16" s="35">
        <f t="shared" si="7"/>
        <v>2.7175498540489833E-4</v>
      </c>
    </row>
    <row r="17" spans="1:29" ht="15">
      <c r="A17" s="48" t="s">
        <v>131</v>
      </c>
      <c r="B17" s="47">
        <v>0</v>
      </c>
      <c r="C17" s="38">
        <v>0</v>
      </c>
      <c r="D17" s="38">
        <v>0</v>
      </c>
      <c r="E17" s="38">
        <v>0</v>
      </c>
      <c r="F17" s="38">
        <v>334</v>
      </c>
      <c r="G17" s="38"/>
      <c r="H17" s="38"/>
      <c r="I17" s="38">
        <v>700</v>
      </c>
      <c r="J17" s="38">
        <v>700</v>
      </c>
      <c r="K17" s="38">
        <v>1200</v>
      </c>
      <c r="L17" s="38">
        <v>1000</v>
      </c>
      <c r="M17" s="38">
        <v>1400</v>
      </c>
      <c r="N17" s="38"/>
      <c r="O17" s="43"/>
      <c r="P17" s="44" t="str">
        <f t="shared" si="1"/>
        <v xml:space="preserve">       Cumulative Affect of Accounting Chng and Other</v>
      </c>
      <c r="Q17" s="45">
        <f>B17/Q$10</f>
        <v>0</v>
      </c>
      <c r="R17" s="45">
        <f>C17/R$10</f>
        <v>0</v>
      </c>
      <c r="S17" s="45">
        <f>D17/S$10</f>
        <v>0</v>
      </c>
      <c r="T17" s="45">
        <f>E17/T$10</f>
        <v>0</v>
      </c>
      <c r="U17" s="45">
        <f>F17/U$10</f>
        <v>5.3784652050338565E-4</v>
      </c>
      <c r="V17" s="45"/>
      <c r="W17" s="45"/>
      <c r="X17" s="45">
        <f>I17/X$10</f>
        <v>6.5752395265827543E-4</v>
      </c>
      <c r="Y17" s="45">
        <f>J17/Y$10</f>
        <v>7.5067024128686326E-4</v>
      </c>
      <c r="Z17" s="45">
        <f>K17/Z$10</f>
        <v>1.1996401079676098E-3</v>
      </c>
      <c r="AA17" s="45">
        <f>L17/AA$10</f>
        <v>1.0870746820306554E-3</v>
      </c>
      <c r="AB17" s="45">
        <f t="shared" si="6"/>
        <v>1.5505593088935652E-3</v>
      </c>
      <c r="AC17" s="35">
        <f t="shared" si="7"/>
        <v>9.2372724598585099E-4</v>
      </c>
    </row>
    <row r="18" spans="1:29" ht="15">
      <c r="A18" s="36" t="s">
        <v>80</v>
      </c>
      <c r="B18" s="37"/>
      <c r="C18" s="38"/>
      <c r="D18" s="38"/>
      <c r="E18" s="49"/>
      <c r="F18" s="49"/>
      <c r="G18" s="38"/>
      <c r="H18" s="38"/>
      <c r="I18" s="38"/>
      <c r="J18" s="38"/>
      <c r="K18" s="38"/>
      <c r="L18" s="38"/>
      <c r="M18" s="38"/>
      <c r="N18" s="38"/>
      <c r="O18" s="43"/>
      <c r="P18" s="44" t="str">
        <f t="shared" si="1"/>
        <v xml:space="preserve">   Changes in: 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35"/>
    </row>
    <row r="19" spans="1:29" ht="15">
      <c r="A19" s="50" t="s">
        <v>103</v>
      </c>
      <c r="B19" s="30">
        <v>-2586</v>
      </c>
      <c r="C19" s="38">
        <v>-32003</v>
      </c>
      <c r="D19" s="38">
        <v>7402</v>
      </c>
      <c r="E19" s="38">
        <v>25099</v>
      </c>
      <c r="F19" s="38">
        <v>-22359</v>
      </c>
      <c r="G19" s="38">
        <v>-5800</v>
      </c>
      <c r="H19" s="38">
        <v>-53100</v>
      </c>
      <c r="I19" s="38">
        <v>36600</v>
      </c>
      <c r="J19" s="38"/>
      <c r="K19" s="38">
        <v>-21600</v>
      </c>
      <c r="L19" s="38">
        <v>7700</v>
      </c>
      <c r="M19" s="38">
        <v>-4400</v>
      </c>
      <c r="N19" s="38"/>
      <c r="O19" s="43">
        <f t="shared" ref="O19" si="9">RATE(5,,-H19,M19)</f>
        <v>-0.39232463421473923</v>
      </c>
      <c r="P19" s="44" t="str">
        <f t="shared" si="1"/>
        <v xml:space="preserve">      Accounts receivable</v>
      </c>
      <c r="Q19" s="45">
        <f t="shared" ref="Q19:X21" si="10">B19/Q$10</f>
        <v>-5.7474713126504373E-3</v>
      </c>
      <c r="R19" s="45">
        <f t="shared" si="10"/>
        <v>-5.9622327959132727E-2</v>
      </c>
      <c r="S19" s="45">
        <f t="shared" si="10"/>
        <v>1.0512517166988821E-2</v>
      </c>
      <c r="T19" s="45">
        <f t="shared" si="10"/>
        <v>4.2146996445069862E-2</v>
      </c>
      <c r="U19" s="45">
        <f t="shared" si="10"/>
        <v>-3.6005120814177248E-2</v>
      </c>
      <c r="V19" s="45">
        <f t="shared" si="10"/>
        <v>-7.5897057418741077E-3</v>
      </c>
      <c r="W19" s="45">
        <f t="shared" si="10"/>
        <v>-5.5166137341864867E-2</v>
      </c>
      <c r="X19" s="45">
        <f t="shared" si="10"/>
        <v>3.4379109524704111E-2</v>
      </c>
      <c r="Y19" s="45"/>
      <c r="Z19" s="45">
        <f t="shared" ref="Z19:AA24" si="11">K19/Z$10</f>
        <v>-2.1593521943416974E-2</v>
      </c>
      <c r="AA19" s="45">
        <f t="shared" si="11"/>
        <v>8.3704750516360466E-3</v>
      </c>
      <c r="AB19" s="45"/>
      <c r="AC19" s="35">
        <f t="shared" ref="AC19:AC24" si="12">AVERAGE(V19:AA19)</f>
        <v>-8.3199560901631598E-3</v>
      </c>
    </row>
    <row r="20" spans="1:29" ht="15">
      <c r="A20" s="50" t="s">
        <v>183</v>
      </c>
      <c r="B20" s="47">
        <v>616</v>
      </c>
      <c r="C20" s="38">
        <v>-4306</v>
      </c>
      <c r="D20" s="38">
        <v>-877</v>
      </c>
      <c r="E20" s="38">
        <v>208</v>
      </c>
      <c r="F20" s="38">
        <v>-1172</v>
      </c>
      <c r="G20" s="38">
        <v>-22000</v>
      </c>
      <c r="H20" s="38">
        <v>-14200</v>
      </c>
      <c r="I20" s="38">
        <v>6200</v>
      </c>
      <c r="J20" s="38">
        <f>8000</f>
        <v>8000</v>
      </c>
      <c r="K20" s="38">
        <v>-23600</v>
      </c>
      <c r="L20" s="38">
        <v>21200</v>
      </c>
      <c r="M20" s="38">
        <v>3400</v>
      </c>
      <c r="N20" s="38"/>
      <c r="O20" s="43"/>
      <c r="P20" s="44" t="str">
        <f t="shared" si="1"/>
        <v xml:space="preserve">      Inventories</v>
      </c>
      <c r="Q20" s="45">
        <f t="shared" si="10"/>
        <v>1.3690805601673122E-3</v>
      </c>
      <c r="R20" s="45">
        <f t="shared" si="10"/>
        <v>-8.022177426867028E-3</v>
      </c>
      <c r="S20" s="45">
        <f t="shared" si="10"/>
        <v>-1.2455387132463112E-3</v>
      </c>
      <c r="T20" s="45">
        <f t="shared" si="10"/>
        <v>3.4927986216879288E-4</v>
      </c>
      <c r="U20" s="45">
        <f t="shared" si="10"/>
        <v>-1.8872937785328384E-3</v>
      </c>
      <c r="V20" s="45">
        <f t="shared" si="10"/>
        <v>-2.8788539020901789E-2</v>
      </c>
      <c r="W20" s="45">
        <f t="shared" si="10"/>
        <v>-1.4752526370140887E-2</v>
      </c>
      <c r="X20" s="45">
        <f t="shared" si="10"/>
        <v>5.8237835806875821E-3</v>
      </c>
      <c r="Y20" s="45">
        <f>J20/Y$10</f>
        <v>8.5790884718498668E-3</v>
      </c>
      <c r="Z20" s="45">
        <f t="shared" si="11"/>
        <v>-2.3592922123362992E-2</v>
      </c>
      <c r="AA20" s="45">
        <f t="shared" si="11"/>
        <v>2.3045983259049895E-2</v>
      </c>
      <c r="AB20" s="45"/>
      <c r="AC20" s="35">
        <f t="shared" si="12"/>
        <v>-4.9475220338030543E-3</v>
      </c>
    </row>
    <row r="21" spans="1:29" ht="15">
      <c r="A21" s="50" t="s">
        <v>105</v>
      </c>
      <c r="B21" s="47">
        <v>-3019</v>
      </c>
      <c r="C21" s="38">
        <v>61717</v>
      </c>
      <c r="D21" s="38">
        <v>-47661</v>
      </c>
      <c r="E21" s="38">
        <v>-4164</v>
      </c>
      <c r="F21" s="38">
        <v>13832</v>
      </c>
      <c r="G21" s="38">
        <v>40200</v>
      </c>
      <c r="H21" s="38">
        <v>52200</v>
      </c>
      <c r="I21" s="38">
        <v>-27300</v>
      </c>
      <c r="J21" s="38">
        <f>10300</f>
        <v>10300</v>
      </c>
      <c r="K21" s="38">
        <v>4300</v>
      </c>
      <c r="L21" s="38">
        <f>-1400+800+7900</f>
        <v>7300</v>
      </c>
      <c r="M21" s="38">
        <v>-21600</v>
      </c>
      <c r="N21" s="38"/>
      <c r="O21" s="43"/>
      <c r="P21" s="44" t="str">
        <f t="shared" si="1"/>
        <v xml:space="preserve">      Accounts payable and accrued expenses</v>
      </c>
      <c r="Q21" s="45">
        <f t="shared" si="10"/>
        <v>-6.7098282648459674E-3</v>
      </c>
      <c r="R21" s="45">
        <f t="shared" si="10"/>
        <v>0.11498019606455002</v>
      </c>
      <c r="S21" s="45">
        <f t="shared" si="10"/>
        <v>-6.7689419169934373E-2</v>
      </c>
      <c r="T21" s="45">
        <f t="shared" si="10"/>
        <v>-6.9923141638021796E-3</v>
      </c>
      <c r="U21" s="45">
        <f t="shared" si="10"/>
        <v>2.2273931352104284E-2</v>
      </c>
      <c r="V21" s="45">
        <f t="shared" si="10"/>
        <v>5.2604512210920537E-2</v>
      </c>
      <c r="W21" s="45">
        <f t="shared" si="10"/>
        <v>5.4231118064884107E-2</v>
      </c>
      <c r="X21" s="45">
        <f t="shared" si="10"/>
        <v>-2.5643434153672741E-2</v>
      </c>
      <c r="Y21" s="45">
        <f>J21/Y$10</f>
        <v>1.1045576407506702E-2</v>
      </c>
      <c r="Z21" s="45">
        <f t="shared" si="11"/>
        <v>4.2987103868839345E-3</v>
      </c>
      <c r="AA21" s="45">
        <f t="shared" si="11"/>
        <v>7.9356451788237855E-3</v>
      </c>
      <c r="AB21" s="45"/>
      <c r="AC21" s="35">
        <f t="shared" si="12"/>
        <v>1.7412021349224389E-2</v>
      </c>
    </row>
    <row r="22" spans="1:29" ht="15">
      <c r="A22" s="50" t="s">
        <v>106</v>
      </c>
      <c r="B22" s="47">
        <v>0</v>
      </c>
      <c r="C22" s="38">
        <v>0</v>
      </c>
      <c r="D22" s="38">
        <v>0</v>
      </c>
      <c r="E22" s="38">
        <v>0</v>
      </c>
      <c r="F22" s="38">
        <v>24939</v>
      </c>
      <c r="G22" s="38">
        <v>-4300</v>
      </c>
      <c r="H22" s="38">
        <v>-20600</v>
      </c>
      <c r="I22" s="38"/>
      <c r="J22" s="38"/>
      <c r="K22" s="38"/>
      <c r="L22" s="38"/>
      <c r="M22" s="38"/>
      <c r="N22" s="38"/>
      <c r="O22" s="43"/>
      <c r="P22" s="44" t="str">
        <f t="shared" si="1"/>
        <v xml:space="preserve">      Rate-refund obligation</v>
      </c>
      <c r="Q22" s="45">
        <f t="shared" ref="Q22:W24" si="13">B22/Q$10</f>
        <v>0</v>
      </c>
      <c r="R22" s="45">
        <f t="shared" si="13"/>
        <v>0</v>
      </c>
      <c r="S22" s="45">
        <f t="shared" si="13"/>
        <v>0</v>
      </c>
      <c r="T22" s="45">
        <f t="shared" si="13"/>
        <v>0</v>
      </c>
      <c r="U22" s="45">
        <f t="shared" si="13"/>
        <v>4.0159743637227352E-2</v>
      </c>
      <c r="V22" s="45">
        <f t="shared" si="13"/>
        <v>-5.6268508086308039E-3</v>
      </c>
      <c r="W22" s="45">
        <f t="shared" si="13"/>
        <v>-2.1401552339781849E-2</v>
      </c>
      <c r="X22" s="45"/>
      <c r="Y22" s="45"/>
      <c r="Z22" s="45">
        <f t="shared" si="11"/>
        <v>0</v>
      </c>
      <c r="AA22" s="45">
        <f t="shared" si="11"/>
        <v>0</v>
      </c>
      <c r="AB22" s="45"/>
      <c r="AC22" s="35">
        <f t="shared" si="12"/>
        <v>-6.7571007871031633E-3</v>
      </c>
    </row>
    <row r="23" spans="1:29" ht="15">
      <c r="A23" s="50" t="s">
        <v>107</v>
      </c>
      <c r="B23" s="47">
        <v>1635</v>
      </c>
      <c r="C23" s="38">
        <v>-35133</v>
      </c>
      <c r="D23" s="38">
        <v>27246</v>
      </c>
      <c r="E23" s="38">
        <v>21578</v>
      </c>
      <c r="F23" s="38">
        <v>-13834</v>
      </c>
      <c r="G23" s="38">
        <v>-35300</v>
      </c>
      <c r="H23" s="38">
        <v>-4000</v>
      </c>
      <c r="I23" s="38">
        <v>81700</v>
      </c>
      <c r="J23" s="38">
        <f>16200</f>
        <v>16200</v>
      </c>
      <c r="K23" s="38">
        <v>-12300</v>
      </c>
      <c r="L23" s="38">
        <v>-23700</v>
      </c>
      <c r="M23" s="38"/>
      <c r="N23" s="38"/>
      <c r="O23" s="43"/>
      <c r="P23" s="44" t="str">
        <f t="shared" si="1"/>
        <v xml:space="preserve">      Purchased-gas adjustments</v>
      </c>
      <c r="Q23" s="45">
        <f t="shared" si="13"/>
        <v>3.6338420712233046E-3</v>
      </c>
      <c r="R23" s="45">
        <f t="shared" si="13"/>
        <v>-6.5453590231797337E-2</v>
      </c>
      <c r="S23" s="45">
        <f t="shared" si="13"/>
        <v>3.8695493479029647E-2</v>
      </c>
      <c r="T23" s="45">
        <f t="shared" si="13"/>
        <v>3.6234427239799097E-2</v>
      </c>
      <c r="U23" s="45">
        <f t="shared" si="13"/>
        <v>-2.2277151989951609E-2</v>
      </c>
      <c r="V23" s="45">
        <f t="shared" si="13"/>
        <v>-4.6192519428992412E-2</v>
      </c>
      <c r="W23" s="45">
        <f t="shared" si="13"/>
        <v>-4.1556412310256021E-3</v>
      </c>
      <c r="X23" s="45">
        <f>I23/X$10</f>
        <v>7.6742438474544428E-2</v>
      </c>
      <c r="Y23" s="45">
        <f>J23/Y$10</f>
        <v>1.7372654155495978E-2</v>
      </c>
      <c r="Z23" s="45">
        <f t="shared" si="11"/>
        <v>-1.2296311106668E-2</v>
      </c>
      <c r="AA23" s="45">
        <f t="shared" si="11"/>
        <v>-2.5763669964126535E-2</v>
      </c>
      <c r="AB23" s="45"/>
      <c r="AC23" s="35">
        <f t="shared" si="12"/>
        <v>9.5115848320464298E-4</v>
      </c>
    </row>
    <row r="24" spans="1:29" ht="15">
      <c r="A24" s="50" t="s">
        <v>126</v>
      </c>
      <c r="B24" s="47">
        <f>-330+2875</f>
        <v>2545</v>
      </c>
      <c r="C24" s="38">
        <f>2395-6156-562</f>
        <v>-4323</v>
      </c>
      <c r="D24" s="38">
        <f>-340+3328+2549</f>
        <v>5537</v>
      </c>
      <c r="E24" s="38">
        <f>-377+4522-371</f>
        <v>3774</v>
      </c>
      <c r="F24" s="38">
        <f>-306-3798+5469</f>
        <v>1365</v>
      </c>
      <c r="G24" s="38">
        <f>4600-9100-400</f>
        <v>-4900</v>
      </c>
      <c r="H24" s="38">
        <f>10900+1200+0</f>
        <v>12100</v>
      </c>
      <c r="I24" s="38">
        <f>5300+6300+800</f>
        <v>12400</v>
      </c>
      <c r="J24" s="38">
        <f>500-500-4800</f>
        <v>-4800</v>
      </c>
      <c r="K24" s="38">
        <f>500-3100-8400</f>
        <v>-11000</v>
      </c>
      <c r="L24" s="38">
        <v>-17700</v>
      </c>
      <c r="M24" s="38">
        <f>-8500+500</f>
        <v>-8000</v>
      </c>
      <c r="N24" s="38">
        <v>95000</v>
      </c>
      <c r="O24" s="43"/>
      <c r="P24" s="44" t="str">
        <f t="shared" si="1"/>
        <v xml:space="preserve">      Other Assets and Liabilities</v>
      </c>
      <c r="Q24" s="45">
        <f t="shared" si="13"/>
        <v>5.6563474441977436E-3</v>
      </c>
      <c r="R24" s="45">
        <f t="shared" si="13"/>
        <v>-8.0538488194022671E-3</v>
      </c>
      <c r="S24" s="45">
        <f t="shared" si="13"/>
        <v>7.8637945897888552E-3</v>
      </c>
      <c r="T24" s="45">
        <f t="shared" si="13"/>
        <v>6.337414422235693E-3</v>
      </c>
      <c r="U24" s="45">
        <f t="shared" si="13"/>
        <v>2.198085330799765E-3</v>
      </c>
      <c r="V24" s="45">
        <f t="shared" si="13"/>
        <v>-6.4119927819281256E-3</v>
      </c>
      <c r="W24" s="45">
        <f t="shared" si="13"/>
        <v>1.2570814723852446E-2</v>
      </c>
      <c r="X24" s="45">
        <f>I24/X$10</f>
        <v>1.1647567161375164E-2</v>
      </c>
      <c r="Y24" s="45">
        <f>J24/Y$10</f>
        <v>-5.1474530831099197E-3</v>
      </c>
      <c r="Z24" s="45">
        <f t="shared" si="11"/>
        <v>-1.0996700989703088E-2</v>
      </c>
      <c r="AA24" s="45">
        <f t="shared" si="11"/>
        <v>-1.9241221871942601E-2</v>
      </c>
      <c r="AB24" s="45">
        <f t="shared" ref="AB24" si="14">M24/AB$10</f>
        <v>-8.8603389079632295E-3</v>
      </c>
      <c r="AC24" s="35">
        <f t="shared" si="12"/>
        <v>-2.9298311402426876E-3</v>
      </c>
    </row>
    <row r="25" spans="1:29" ht="15">
      <c r="A25" s="177" t="s">
        <v>184</v>
      </c>
      <c r="B25" s="4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>
        <v>-37000</v>
      </c>
      <c r="N25" s="38"/>
      <c r="O25" s="43"/>
      <c r="P25" s="44" t="str">
        <f t="shared" si="1"/>
        <v xml:space="preserve">      Regulatory Assets, Liabilities &amp; Other</v>
      </c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35"/>
    </row>
    <row r="26" spans="1:29" ht="12.75" customHeight="1">
      <c r="A26" s="42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51"/>
      <c r="P26" s="44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125"/>
    </row>
    <row r="27" spans="1:29" ht="15">
      <c r="A27" s="42" t="s">
        <v>81</v>
      </c>
      <c r="B27" s="52">
        <f t="shared" ref="B27:I27" si="15">SUM(B11:B26)</f>
        <v>63209</v>
      </c>
      <c r="C27" s="52">
        <f t="shared" si="15"/>
        <v>61643</v>
      </c>
      <c r="D27" s="52">
        <f t="shared" si="15"/>
        <v>42261</v>
      </c>
      <c r="E27" s="52">
        <f t="shared" si="15"/>
        <v>124341</v>
      </c>
      <c r="F27" s="52">
        <f t="shared" si="15"/>
        <v>76152</v>
      </c>
      <c r="G27" s="52">
        <f t="shared" si="15"/>
        <v>77561</v>
      </c>
      <c r="H27" s="52">
        <f t="shared" si="15"/>
        <v>62175</v>
      </c>
      <c r="I27" s="52">
        <f t="shared" si="15"/>
        <v>177200</v>
      </c>
      <c r="J27" s="52">
        <f>SUM(J11:J26)</f>
        <v>114500</v>
      </c>
      <c r="K27" s="52">
        <f t="shared" ref="K27:N27" si="16">SUM(K11:K26)</f>
        <v>52700</v>
      </c>
      <c r="L27" s="52">
        <f t="shared" si="16"/>
        <v>119300</v>
      </c>
      <c r="M27" s="52">
        <f t="shared" si="16"/>
        <v>69300</v>
      </c>
      <c r="N27" s="52">
        <f t="shared" si="16"/>
        <v>173200</v>
      </c>
      <c r="O27" s="43">
        <f>RATE(5,,-H27,M27)</f>
        <v>2.1935505168306703E-2</v>
      </c>
      <c r="P27" s="44" t="s">
        <v>81</v>
      </c>
      <c r="Q27" s="53">
        <f t="shared" ref="Q27:AA27" si="17">(B27/Q$10)</f>
        <v>0.14048411222015528</v>
      </c>
      <c r="R27" s="53">
        <f t="shared" si="17"/>
        <v>0.11484233235586722</v>
      </c>
      <c r="S27" s="53">
        <f t="shared" si="17"/>
        <v>6.0020195622009533E-2</v>
      </c>
      <c r="T27" s="53">
        <f t="shared" si="17"/>
        <v>0.20879715068235516</v>
      </c>
      <c r="U27" s="53">
        <f t="shared" si="17"/>
        <v>0.12262900667477195</v>
      </c>
      <c r="V27" s="53">
        <f t="shared" si="17"/>
        <v>0.10149399431818926</v>
      </c>
      <c r="W27" s="53">
        <f t="shared" si="17"/>
        <v>6.4594248384754194E-2</v>
      </c>
      <c r="X27" s="53">
        <f t="shared" si="17"/>
        <v>0.16644749201578057</v>
      </c>
      <c r="Y27" s="53">
        <f t="shared" si="17"/>
        <v>0.12278820375335121</v>
      </c>
      <c r="Z27" s="53">
        <f t="shared" si="17"/>
        <v>5.2684194741577525E-2</v>
      </c>
      <c r="AA27" s="53">
        <f t="shared" si="17"/>
        <v>0.1296880095662572</v>
      </c>
      <c r="AB27" s="53">
        <f t="shared" ref="AB27" si="18">(M27/AB$10)</f>
        <v>7.6752685790231479E-2</v>
      </c>
      <c r="AC27" s="35">
        <f>AVERAGE(V27:AA27)</f>
        <v>0.10628269046331833</v>
      </c>
    </row>
    <row r="28" spans="1:29" ht="12" customHeight="1">
      <c r="A28" s="42"/>
      <c r="B28" s="4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43"/>
      <c r="P28" s="44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35"/>
    </row>
    <row r="29" spans="1:29" ht="15">
      <c r="A29" s="36" t="s">
        <v>82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43"/>
      <c r="P29" s="40" t="s">
        <v>82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35"/>
    </row>
    <row r="30" spans="1:29" ht="15">
      <c r="A30" s="42" t="s">
        <v>83</v>
      </c>
      <c r="B30" s="30">
        <v>-68447</v>
      </c>
      <c r="C30" s="38">
        <v>-65767</v>
      </c>
      <c r="D30" s="38">
        <v>-78791</v>
      </c>
      <c r="E30" s="38">
        <v>-72019</v>
      </c>
      <c r="F30" s="38">
        <v>-71383</v>
      </c>
      <c r="G30" s="38">
        <v>-77000</v>
      </c>
      <c r="H30" s="38">
        <v>-67900</v>
      </c>
      <c r="I30" s="38">
        <v>-86700</v>
      </c>
      <c r="J30" s="38">
        <f>-135900</f>
        <v>-135900</v>
      </c>
      <c r="K30" s="38">
        <v>-126300</v>
      </c>
      <c r="L30" s="38">
        <f>-82600</f>
        <v>-82600</v>
      </c>
      <c r="M30" s="38">
        <v>-108600</v>
      </c>
      <c r="N30" s="38">
        <v>-55200</v>
      </c>
      <c r="O30" s="43">
        <f t="shared" ref="O30" si="19">RATE(5,,-H30,M30)</f>
        <v>9.8479635915104627E-2</v>
      </c>
      <c r="P30" s="40" t="str">
        <f>A30</f>
        <v xml:space="preserve">     Capital expenditures</v>
      </c>
      <c r="Q30" s="45">
        <f t="shared" ref="Q30:AA31" si="20">(B30/Q$10)</f>
        <v>-0.15212574204833121</v>
      </c>
      <c r="R30" s="45">
        <f t="shared" si="20"/>
        <v>-0.12252543958029816</v>
      </c>
      <c r="S30" s="45">
        <f t="shared" si="20"/>
        <v>-0.1119010726971381</v>
      </c>
      <c r="T30" s="45">
        <f t="shared" si="20"/>
        <v>-0.12093647304583795</v>
      </c>
      <c r="U30" s="45">
        <f t="shared" si="20"/>
        <v>-0.11494939572782389</v>
      </c>
      <c r="V30" s="45">
        <f t="shared" si="20"/>
        <v>-0.10075988657315625</v>
      </c>
      <c r="W30" s="45">
        <f t="shared" si="20"/>
        <v>-7.0542009896659597E-2</v>
      </c>
      <c r="X30" s="45">
        <f t="shared" si="20"/>
        <v>-8.1439038136389252E-2</v>
      </c>
      <c r="Y30" s="45">
        <f t="shared" si="20"/>
        <v>-0.1457372654155496</v>
      </c>
      <c r="Z30" s="45">
        <f t="shared" si="20"/>
        <v>-0.12626212136359091</v>
      </c>
      <c r="AA30" s="45">
        <f t="shared" si="20"/>
        <v>-8.9792368735732139E-2</v>
      </c>
      <c r="AB30" s="45">
        <f t="shared" ref="AB30:AB32" si="21">(M30/AB$10)</f>
        <v>-0.12027910067560084</v>
      </c>
      <c r="AC30" s="35">
        <f t="shared" ref="AC30:AC32" si="22">AVERAGE(V30:AA30)</f>
        <v>-0.10242211502017963</v>
      </c>
    </row>
    <row r="31" spans="1:29" ht="15">
      <c r="A31" s="42" t="s">
        <v>84</v>
      </c>
      <c r="B31" s="37">
        <v>2103</v>
      </c>
      <c r="C31" s="38">
        <v>498</v>
      </c>
      <c r="D31" s="38">
        <v>3014</v>
      </c>
      <c r="E31" s="38">
        <v>1005</v>
      </c>
      <c r="F31" s="38">
        <v>632</v>
      </c>
      <c r="G31" s="38">
        <v>-3200</v>
      </c>
      <c r="H31" s="38">
        <v>600</v>
      </c>
      <c r="I31" s="38">
        <v>600</v>
      </c>
      <c r="J31" s="38">
        <f>-2800</f>
        <v>-2800</v>
      </c>
      <c r="K31" s="38">
        <f>-3400+300</f>
        <v>-3100</v>
      </c>
      <c r="L31" s="38">
        <v>-1300</v>
      </c>
      <c r="M31" s="38">
        <v>-1000</v>
      </c>
      <c r="N31" s="38"/>
      <c r="O31" s="43"/>
      <c r="P31" s="40" t="str">
        <f>A31</f>
        <v xml:space="preserve">     Proceeds from sales of assets</v>
      </c>
      <c r="Q31" s="45">
        <f t="shared" si="20"/>
        <v>4.673987691610159E-3</v>
      </c>
      <c r="R31" s="45">
        <f t="shared" si="20"/>
        <v>9.2778549897347428E-4</v>
      </c>
      <c r="S31" s="45">
        <f t="shared" si="20"/>
        <v>4.2805629210084179E-3</v>
      </c>
      <c r="T31" s="45">
        <f t="shared" si="20"/>
        <v>1.6876262571136386E-3</v>
      </c>
      <c r="U31" s="45">
        <f t="shared" si="20"/>
        <v>1.0177215597549094E-3</v>
      </c>
      <c r="V31" s="45">
        <f t="shared" si="20"/>
        <v>-4.1874238575857143E-3</v>
      </c>
      <c r="W31" s="45">
        <f t="shared" si="20"/>
        <v>6.2334618465384028E-4</v>
      </c>
      <c r="X31" s="45">
        <f t="shared" si="20"/>
        <v>5.6359195942137894E-4</v>
      </c>
      <c r="Y31" s="45">
        <f t="shared" si="20"/>
        <v>-3.002680965147453E-3</v>
      </c>
      <c r="Z31" s="45">
        <f t="shared" si="20"/>
        <v>-3.0990702789163251E-3</v>
      </c>
      <c r="AA31" s="45">
        <f t="shared" si="20"/>
        <v>-1.4131970866398521E-3</v>
      </c>
      <c r="AB31" s="45">
        <f t="shared" si="21"/>
        <v>-1.1075423634954037E-3</v>
      </c>
      <c r="AC31" s="35">
        <f t="shared" si="22"/>
        <v>-1.7525723407023543E-3</v>
      </c>
    </row>
    <row r="32" spans="1:29" ht="15">
      <c r="A32" s="42" t="s">
        <v>85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2000</v>
      </c>
      <c r="K32" s="38">
        <v>500</v>
      </c>
      <c r="L32" s="38">
        <v>100</v>
      </c>
      <c r="M32" s="38"/>
      <c r="N32" s="38">
        <v>-800</v>
      </c>
      <c r="O32" s="43"/>
      <c r="P32" s="40" t="str">
        <f>A32</f>
        <v xml:space="preserve">     Other</v>
      </c>
      <c r="Q32" s="45">
        <f>(B32/Q$10)</f>
        <v>0</v>
      </c>
      <c r="R32" s="45">
        <f>(C32/R$10)</f>
        <v>0</v>
      </c>
      <c r="S32" s="45">
        <f>(D32/S$10)</f>
        <v>0</v>
      </c>
      <c r="T32" s="45">
        <f>(E32/T$10)</f>
        <v>0</v>
      </c>
      <c r="U32" s="45">
        <f>(F32/U$10)</f>
        <v>0</v>
      </c>
      <c r="V32" s="45"/>
      <c r="W32" s="45"/>
      <c r="X32" s="45"/>
      <c r="Y32" s="45">
        <f>(J32/Y$10)</f>
        <v>2.1447721179624667E-3</v>
      </c>
      <c r="Z32" s="45">
        <f>(K32/Z$10)</f>
        <v>4.9985004498650403E-4</v>
      </c>
      <c r="AA32" s="45">
        <f>(L32/AA$10)</f>
        <v>1.0870746820306555E-4</v>
      </c>
      <c r="AB32" s="45">
        <f t="shared" si="21"/>
        <v>0</v>
      </c>
      <c r="AC32" s="35">
        <f t="shared" si="22"/>
        <v>9.1777654371734548E-4</v>
      </c>
    </row>
    <row r="33" spans="1:29" ht="12.75" customHeight="1">
      <c r="A33" s="42"/>
      <c r="B33" s="37"/>
      <c r="C33" s="38"/>
      <c r="D33" s="38"/>
      <c r="E33" s="38"/>
      <c r="F33" s="38"/>
      <c r="G33" s="38"/>
      <c r="H33" s="38"/>
      <c r="I33" s="38"/>
      <c r="J33" s="38"/>
      <c r="K33" s="124"/>
      <c r="L33" s="124"/>
      <c r="M33" s="124"/>
      <c r="N33" s="124"/>
      <c r="O33" s="51"/>
      <c r="P33" s="44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125"/>
    </row>
    <row r="34" spans="1:29" ht="15">
      <c r="A34" s="42" t="s">
        <v>86</v>
      </c>
      <c r="B34" s="52">
        <f t="shared" ref="B34:J34" si="23">SUM(B29:B33)</f>
        <v>-66344</v>
      </c>
      <c r="C34" s="52">
        <f t="shared" si="23"/>
        <v>-65269</v>
      </c>
      <c r="D34" s="52">
        <f t="shared" si="23"/>
        <v>-75777</v>
      </c>
      <c r="E34" s="52">
        <f t="shared" si="23"/>
        <v>-71014</v>
      </c>
      <c r="F34" s="52">
        <f t="shared" si="23"/>
        <v>-70751</v>
      </c>
      <c r="G34" s="52">
        <f t="shared" si="23"/>
        <v>-80200</v>
      </c>
      <c r="H34" s="52">
        <f t="shared" si="23"/>
        <v>-67300</v>
      </c>
      <c r="I34" s="52">
        <f t="shared" si="23"/>
        <v>-86100</v>
      </c>
      <c r="J34" s="52">
        <f t="shared" si="23"/>
        <v>-136700</v>
      </c>
      <c r="K34" s="37">
        <f t="shared" ref="K34:N34" si="24">SUM(K29:K33)</f>
        <v>-128900</v>
      </c>
      <c r="L34" s="37">
        <f t="shared" si="24"/>
        <v>-83800</v>
      </c>
      <c r="M34" s="37">
        <f t="shared" si="24"/>
        <v>-109600</v>
      </c>
      <c r="N34" s="37">
        <f t="shared" si="24"/>
        <v>-56000</v>
      </c>
      <c r="O34" s="43">
        <f t="shared" ref="O34" si="25">RATE(5,,-H34,M34)</f>
        <v>0.10245049801639189</v>
      </c>
      <c r="P34" s="44" t="s">
        <v>86</v>
      </c>
      <c r="Q34" s="53">
        <f t="shared" ref="Q34:AA34" si="26">B34/Q$10</f>
        <v>-0.14745175435672106</v>
      </c>
      <c r="R34" s="53">
        <f t="shared" si="26"/>
        <v>-0.12159765408132468</v>
      </c>
      <c r="S34" s="53">
        <f t="shared" si="26"/>
        <v>-0.10762050977612968</v>
      </c>
      <c r="T34" s="53">
        <f t="shared" si="26"/>
        <v>-0.1192488467887243</v>
      </c>
      <c r="U34" s="53">
        <f t="shared" si="26"/>
        <v>-0.11393167416806899</v>
      </c>
      <c r="V34" s="53">
        <f t="shared" si="26"/>
        <v>-0.10494731043074197</v>
      </c>
      <c r="W34" s="53">
        <f t="shared" si="26"/>
        <v>-6.9918663712005752E-2</v>
      </c>
      <c r="X34" s="53">
        <f t="shared" si="26"/>
        <v>-8.0875446176967875E-2</v>
      </c>
      <c r="Y34" s="53">
        <f t="shared" si="26"/>
        <v>-0.14659517426273458</v>
      </c>
      <c r="Z34" s="53">
        <f t="shared" si="26"/>
        <v>-0.12886134159752075</v>
      </c>
      <c r="AA34" s="53">
        <f t="shared" si="26"/>
        <v>-9.1096858354168933E-2</v>
      </c>
      <c r="AB34" s="53">
        <f t="shared" ref="AB34" si="27">M34/AB$10</f>
        <v>-0.12138664303909624</v>
      </c>
      <c r="AC34" s="35">
        <f>AVERAGE(V34:AA34)</f>
        <v>-0.1037157990890233</v>
      </c>
    </row>
    <row r="35" spans="1:29" ht="13.5" customHeight="1">
      <c r="A35" s="42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43"/>
      <c r="P35" s="44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35"/>
    </row>
    <row r="36" spans="1:29" ht="15">
      <c r="A36" s="36" t="s">
        <v>87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3"/>
      <c r="P36" s="40" t="s">
        <v>87</v>
      </c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35"/>
    </row>
    <row r="37" spans="1:29" ht="15">
      <c r="A37" s="50" t="s">
        <v>112</v>
      </c>
      <c r="B37" s="37">
        <v>40000</v>
      </c>
      <c r="C37" s="38">
        <v>0</v>
      </c>
      <c r="D37" s="38">
        <v>40000</v>
      </c>
      <c r="E37" s="38">
        <v>0</v>
      </c>
      <c r="F37" s="38">
        <v>0</v>
      </c>
      <c r="G37" s="38">
        <v>0</v>
      </c>
      <c r="H37" s="38">
        <v>0</v>
      </c>
      <c r="I37" s="38"/>
      <c r="J37" s="38"/>
      <c r="K37" s="38">
        <v>30000</v>
      </c>
      <c r="L37" s="38"/>
      <c r="M37" s="38"/>
      <c r="N37" s="38"/>
      <c r="O37" s="43"/>
      <c r="P37" s="40" t="str">
        <f t="shared" ref="P37:P42" si="28">A37</f>
        <v xml:space="preserve">     Issuance of Common Stock</v>
      </c>
      <c r="Q37" s="45">
        <f t="shared" ref="Q37:U42" si="29">B37/Q$10</f>
        <v>8.8901335075799504E-2</v>
      </c>
      <c r="R37" s="45">
        <f t="shared" si="29"/>
        <v>0</v>
      </c>
      <c r="S37" s="45">
        <f t="shared" si="29"/>
        <v>5.6809063317961747E-2</v>
      </c>
      <c r="T37" s="45">
        <f t="shared" si="29"/>
        <v>0</v>
      </c>
      <c r="U37" s="45">
        <f t="shared" si="29"/>
        <v>0</v>
      </c>
      <c r="V37" s="45"/>
      <c r="W37" s="45"/>
      <c r="X37" s="45"/>
      <c r="Y37" s="45"/>
      <c r="Z37" s="45">
        <f>K37/Z$10</f>
        <v>2.9991002699190243E-2</v>
      </c>
      <c r="AA37" s="45"/>
      <c r="AB37" s="45"/>
      <c r="AC37" s="35">
        <f t="shared" ref="AC37:AC41" si="30">AVERAGE(V37:AA37)</f>
        <v>2.9991002699190243E-2</v>
      </c>
    </row>
    <row r="38" spans="1:29" ht="15">
      <c r="A38" s="50" t="s">
        <v>108</v>
      </c>
      <c r="B38" s="37">
        <v>0</v>
      </c>
      <c r="C38" s="38">
        <v>0</v>
      </c>
      <c r="D38" s="38">
        <v>60000</v>
      </c>
      <c r="E38" s="38">
        <v>0</v>
      </c>
      <c r="F38" s="38">
        <v>110000</v>
      </c>
      <c r="G38" s="38">
        <v>0</v>
      </c>
      <c r="H38" s="38">
        <v>50000</v>
      </c>
      <c r="I38" s="38"/>
      <c r="J38" s="38"/>
      <c r="K38" s="38">
        <v>148400</v>
      </c>
      <c r="L38" s="38"/>
      <c r="M38" s="38"/>
      <c r="N38" s="38"/>
      <c r="O38" s="43"/>
      <c r="P38" s="44" t="str">
        <f t="shared" si="28"/>
        <v xml:space="preserve">     Proceeds from long-term debt</v>
      </c>
      <c r="Q38" s="45">
        <f t="shared" si="29"/>
        <v>0</v>
      </c>
      <c r="R38" s="45">
        <f t="shared" si="29"/>
        <v>0</v>
      </c>
      <c r="S38" s="45">
        <f t="shared" si="29"/>
        <v>8.5213594976942628E-2</v>
      </c>
      <c r="T38" s="45">
        <f t="shared" si="29"/>
        <v>0</v>
      </c>
      <c r="U38" s="45">
        <f t="shared" si="29"/>
        <v>0.17713508160291144</v>
      </c>
      <c r="V38" s="45"/>
      <c r="W38" s="45">
        <f>H38/W$10</f>
        <v>5.1945515387820024E-2</v>
      </c>
      <c r="X38" s="45"/>
      <c r="Y38" s="45"/>
      <c r="Z38" s="45">
        <f>K38/Z$10</f>
        <v>0.14835549335199441</v>
      </c>
      <c r="AA38" s="45"/>
      <c r="AB38" s="45"/>
      <c r="AC38" s="35">
        <f t="shared" si="30"/>
        <v>0.10015050436990722</v>
      </c>
    </row>
    <row r="39" spans="1:29" ht="15">
      <c r="A39" s="50" t="s">
        <v>109</v>
      </c>
      <c r="B39" s="37">
        <v>0</v>
      </c>
      <c r="C39" s="38">
        <v>0</v>
      </c>
      <c r="D39" s="38">
        <v>0</v>
      </c>
      <c r="E39" s="38">
        <v>0</v>
      </c>
      <c r="F39" s="38">
        <v>-105000</v>
      </c>
      <c r="G39" s="38">
        <v>-17000</v>
      </c>
      <c r="H39" s="38">
        <v>0</v>
      </c>
      <c r="I39" s="38"/>
      <c r="J39" s="38">
        <v>-10000</v>
      </c>
      <c r="K39" s="38">
        <v>-93000</v>
      </c>
      <c r="L39" s="38"/>
      <c r="M39" s="38"/>
      <c r="N39" s="38"/>
      <c r="O39" s="43"/>
      <c r="P39" s="44" t="str">
        <f t="shared" si="28"/>
        <v xml:space="preserve">     Long-term debt repaid</v>
      </c>
      <c r="Q39" s="45">
        <f t="shared" si="29"/>
        <v>0</v>
      </c>
      <c r="R39" s="45">
        <f t="shared" si="29"/>
        <v>0</v>
      </c>
      <c r="S39" s="45">
        <f t="shared" si="29"/>
        <v>0</v>
      </c>
      <c r="T39" s="45">
        <f t="shared" si="29"/>
        <v>0</v>
      </c>
      <c r="U39" s="45">
        <f t="shared" si="29"/>
        <v>-0.1690834869845973</v>
      </c>
      <c r="V39" s="45">
        <f>G39/V$10</f>
        <v>-2.224568924342411E-2</v>
      </c>
      <c r="W39" s="45"/>
      <c r="X39" s="45"/>
      <c r="Y39" s="45">
        <f>J39/Y$10</f>
        <v>-1.0723860589812333E-2</v>
      </c>
      <c r="Z39" s="45">
        <f>K39/Z$10</f>
        <v>-9.2972108367489759E-2</v>
      </c>
      <c r="AA39" s="45"/>
      <c r="AB39" s="45"/>
      <c r="AC39" s="35">
        <f t="shared" si="30"/>
        <v>-4.1980552733575399E-2</v>
      </c>
    </row>
    <row r="40" spans="1:29" ht="15">
      <c r="A40" s="50" t="s">
        <v>110</v>
      </c>
      <c r="B40" s="37">
        <v>-17400</v>
      </c>
      <c r="C40" s="38">
        <v>26300</v>
      </c>
      <c r="D40" s="38">
        <v>-39000</v>
      </c>
      <c r="E40" s="38">
        <v>-30200</v>
      </c>
      <c r="F40" s="38">
        <v>15500</v>
      </c>
      <c r="G40" s="38">
        <v>43300</v>
      </c>
      <c r="H40" s="38">
        <v>-17800</v>
      </c>
      <c r="I40" s="38">
        <v>-64200</v>
      </c>
      <c r="J40" s="38">
        <v>59700</v>
      </c>
      <c r="K40" s="38">
        <v>15400</v>
      </c>
      <c r="L40" s="38">
        <v>-1300</v>
      </c>
      <c r="M40" s="38">
        <v>66600</v>
      </c>
      <c r="N40" s="38">
        <v>-109600</v>
      </c>
      <c r="O40" s="43"/>
      <c r="P40" s="44" t="str">
        <f t="shared" si="28"/>
        <v xml:space="preserve">     Change in note payable to Questar</v>
      </c>
      <c r="Q40" s="45">
        <f t="shared" si="29"/>
        <v>-3.8672080757972786E-2</v>
      </c>
      <c r="R40" s="45">
        <f t="shared" si="29"/>
        <v>4.899750727510517E-2</v>
      </c>
      <c r="S40" s="45">
        <f t="shared" si="29"/>
        <v>-5.5388836735012707E-2</v>
      </c>
      <c r="T40" s="45">
        <f t="shared" si="29"/>
        <v>-5.0712749218738196E-2</v>
      </c>
      <c r="U40" s="45">
        <f t="shared" si="29"/>
        <v>2.4959943316773887E-2</v>
      </c>
      <c r="V40" s="45">
        <f>G40/V$10</f>
        <v>5.6661079072956699E-2</v>
      </c>
      <c r="W40" s="45">
        <f>H40/W$10</f>
        <v>-1.8492603478063929E-2</v>
      </c>
      <c r="X40" s="45">
        <f>I40/X$10</f>
        <v>-6.0304339658087541E-2</v>
      </c>
      <c r="Y40" s="45">
        <f>J40/Y$10</f>
        <v>6.4021447721179625E-2</v>
      </c>
      <c r="Z40" s="45">
        <f>K40/Z$10</f>
        <v>1.5395381385584325E-2</v>
      </c>
      <c r="AA40" s="45">
        <f>L40/AA$10</f>
        <v>-1.4131970866398521E-3</v>
      </c>
      <c r="AB40" s="45">
        <f t="shared" ref="AB40:AB42" si="31">M40/AB$10</f>
        <v>7.3762321408793879E-2</v>
      </c>
      <c r="AC40" s="35">
        <f t="shared" si="30"/>
        <v>9.3112946594882205E-3</v>
      </c>
    </row>
    <row r="41" spans="1:29" ht="12.75" customHeight="1">
      <c r="A41" s="42" t="s">
        <v>88</v>
      </c>
      <c r="B41" s="47">
        <v>-23000</v>
      </c>
      <c r="C41" s="38">
        <v>-23500</v>
      </c>
      <c r="D41" s="38">
        <v>-24000</v>
      </c>
      <c r="E41" s="38">
        <v>-24500</v>
      </c>
      <c r="F41" s="38">
        <v>-25000</v>
      </c>
      <c r="G41" s="38">
        <v>-25500</v>
      </c>
      <c r="H41" s="38">
        <v>-26000</v>
      </c>
      <c r="I41" s="38">
        <v>-26500</v>
      </c>
      <c r="J41" s="38">
        <v>-27000</v>
      </c>
      <c r="K41" s="38">
        <v>-27500</v>
      </c>
      <c r="L41" s="38">
        <v>-28200</v>
      </c>
      <c r="M41" s="38">
        <v>-28800</v>
      </c>
      <c r="N41" s="38">
        <v>-15200</v>
      </c>
      <c r="O41" s="43">
        <f t="shared" ref="O41" si="32">RATE(5,,-H41,M41)</f>
        <v>2.0666422989368837E-2</v>
      </c>
      <c r="P41" s="44" t="str">
        <f t="shared" si="28"/>
        <v xml:space="preserve">     Dividends paid</v>
      </c>
      <c r="Q41" s="45">
        <f t="shared" si="29"/>
        <v>-5.111826766858471E-2</v>
      </c>
      <c r="R41" s="45">
        <f t="shared" si="29"/>
        <v>-4.3781042622242257E-2</v>
      </c>
      <c r="S41" s="45">
        <f t="shared" si="29"/>
        <v>-3.4085437990777047E-2</v>
      </c>
      <c r="T41" s="45">
        <f t="shared" si="29"/>
        <v>-4.1141137611228007E-2</v>
      </c>
      <c r="U41" s="45">
        <f t="shared" si="29"/>
        <v>-4.0257973091570788E-2</v>
      </c>
      <c r="V41" s="45">
        <f>G41/V$10</f>
        <v>-3.3368533865136163E-2</v>
      </c>
      <c r="W41" s="45">
        <f>H41/W$10</f>
        <v>-2.7011668001666413E-2</v>
      </c>
      <c r="X41" s="45">
        <f>I41/X$10</f>
        <v>-2.4891978207777568E-2</v>
      </c>
      <c r="Y41" s="45">
        <f>J41/Y$10</f>
        <v>-2.8954423592493297E-2</v>
      </c>
      <c r="Z41" s="45">
        <f>K41/Z$10</f>
        <v>-2.7491752474257721E-2</v>
      </c>
      <c r="AA41" s="45">
        <f>L41/AA$10</f>
        <v>-3.0655506033264484E-2</v>
      </c>
      <c r="AB41" s="45">
        <f t="shared" si="31"/>
        <v>-3.1897220068667624E-2</v>
      </c>
      <c r="AC41" s="35">
        <f t="shared" si="30"/>
        <v>-2.8728977029099271E-2</v>
      </c>
    </row>
    <row r="42" spans="1:29" ht="12.75" customHeight="1">
      <c r="A42" s="42" t="s">
        <v>85</v>
      </c>
      <c r="B42" s="37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/>
      <c r="K42" s="38"/>
      <c r="L42" s="38"/>
      <c r="M42" s="38"/>
      <c r="N42" s="38">
        <v>2900</v>
      </c>
      <c r="O42" s="43"/>
      <c r="P42" s="44" t="str">
        <f t="shared" si="28"/>
        <v xml:space="preserve">     Other</v>
      </c>
      <c r="Q42" s="45">
        <f t="shared" si="29"/>
        <v>0</v>
      </c>
      <c r="R42" s="45">
        <f t="shared" si="29"/>
        <v>0</v>
      </c>
      <c r="S42" s="45">
        <f t="shared" si="29"/>
        <v>0</v>
      </c>
      <c r="T42" s="45">
        <f t="shared" si="29"/>
        <v>0</v>
      </c>
      <c r="U42" s="45">
        <f t="shared" si="29"/>
        <v>0</v>
      </c>
      <c r="V42" s="45"/>
      <c r="W42" s="45"/>
      <c r="X42" s="45"/>
      <c r="Y42" s="45"/>
      <c r="Z42" s="45"/>
      <c r="AA42" s="45"/>
      <c r="AB42" s="45">
        <f t="shared" si="31"/>
        <v>0</v>
      </c>
      <c r="AC42" s="35"/>
    </row>
    <row r="43" spans="1:29" ht="12.75" customHeight="1">
      <c r="A43" s="42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51"/>
      <c r="P43" s="44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125"/>
    </row>
    <row r="44" spans="1:29" ht="12.75" customHeight="1">
      <c r="A44" s="42" t="s">
        <v>89</v>
      </c>
      <c r="B44" s="54">
        <f t="shared" ref="B44:J44" si="33">SUM(B36:B43)</f>
        <v>-400</v>
      </c>
      <c r="C44" s="54">
        <f t="shared" si="33"/>
        <v>2800</v>
      </c>
      <c r="D44" s="54">
        <f t="shared" si="33"/>
        <v>37000</v>
      </c>
      <c r="E44" s="54">
        <f t="shared" si="33"/>
        <v>-54700</v>
      </c>
      <c r="F44" s="54">
        <f t="shared" si="33"/>
        <v>-4500</v>
      </c>
      <c r="G44" s="54">
        <f t="shared" si="33"/>
        <v>800</v>
      </c>
      <c r="H44" s="54">
        <f t="shared" si="33"/>
        <v>6200</v>
      </c>
      <c r="I44" s="54">
        <f t="shared" si="33"/>
        <v>-90700</v>
      </c>
      <c r="J44" s="54">
        <f t="shared" si="33"/>
        <v>22700</v>
      </c>
      <c r="K44" s="54">
        <f t="shared" ref="K44:M44" si="34">SUM(K36:K43)</f>
        <v>73300</v>
      </c>
      <c r="L44" s="54">
        <f t="shared" si="34"/>
        <v>-29500</v>
      </c>
      <c r="M44" s="54">
        <f t="shared" si="34"/>
        <v>37800</v>
      </c>
      <c r="N44" s="54">
        <f t="shared" ref="N44" si="35">SUM(N36:N43)</f>
        <v>-121900</v>
      </c>
      <c r="O44" s="43"/>
      <c r="P44" s="44" t="s">
        <v>89</v>
      </c>
      <c r="Q44" s="53">
        <f t="shared" ref="Q44:AA44" si="36">B44/Q$10</f>
        <v>-8.8901335075799504E-4</v>
      </c>
      <c r="R44" s="53">
        <f t="shared" si="36"/>
        <v>5.2164646528629075E-3</v>
      </c>
      <c r="S44" s="53">
        <f t="shared" si="36"/>
        <v>5.2548383569114614E-2</v>
      </c>
      <c r="T44" s="53">
        <f t="shared" si="36"/>
        <v>-9.1853886829966203E-2</v>
      </c>
      <c r="U44" s="53">
        <f t="shared" si="36"/>
        <v>-7.2464351564827416E-3</v>
      </c>
      <c r="V44" s="53">
        <f t="shared" si="36"/>
        <v>1.0468559643964286E-3</v>
      </c>
      <c r="W44" s="53">
        <f t="shared" si="36"/>
        <v>6.4412439080896826E-3</v>
      </c>
      <c r="X44" s="53">
        <f t="shared" si="36"/>
        <v>-8.5196317865865109E-2</v>
      </c>
      <c r="Y44" s="53">
        <f t="shared" si="36"/>
        <v>2.4343163538873995E-2</v>
      </c>
      <c r="Z44" s="53">
        <f t="shared" si="36"/>
        <v>7.3278016595021492E-2</v>
      </c>
      <c r="AA44" s="53">
        <f t="shared" si="36"/>
        <v>-3.206870311990434E-2</v>
      </c>
      <c r="AB44" s="53">
        <f t="shared" ref="AB44" si="37">M44/AB$10</f>
        <v>4.1865101340126262E-2</v>
      </c>
      <c r="AC44" s="35">
        <f>AVERAGE(V44:AA44)</f>
        <v>-2.0259568298979756E-3</v>
      </c>
    </row>
    <row r="45" spans="1:29" ht="12.75" customHeight="1">
      <c r="A45" s="42"/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51"/>
      <c r="P45" s="44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125"/>
    </row>
    <row r="46" spans="1:29" ht="12.75" customHeight="1">
      <c r="A46" s="42" t="s">
        <v>90</v>
      </c>
      <c r="B46" s="55">
        <f t="shared" ref="B46:J46" si="38">B27+B34+B44</f>
        <v>-3535</v>
      </c>
      <c r="C46" s="55">
        <f t="shared" si="38"/>
        <v>-826</v>
      </c>
      <c r="D46" s="55">
        <f t="shared" si="38"/>
        <v>3484</v>
      </c>
      <c r="E46" s="55">
        <f t="shared" si="38"/>
        <v>-1373</v>
      </c>
      <c r="F46" s="55">
        <f t="shared" si="38"/>
        <v>901</v>
      </c>
      <c r="G46" s="55">
        <f t="shared" si="38"/>
        <v>-1839</v>
      </c>
      <c r="H46" s="55">
        <f t="shared" si="38"/>
        <v>1075</v>
      </c>
      <c r="I46" s="55">
        <f t="shared" si="38"/>
        <v>400</v>
      </c>
      <c r="J46" s="55">
        <f t="shared" si="38"/>
        <v>500</v>
      </c>
      <c r="K46" s="55">
        <f>K27+K34+K44</f>
        <v>-2900</v>
      </c>
      <c r="L46" s="55">
        <f>L27+L34+L44</f>
        <v>6000</v>
      </c>
      <c r="M46" s="55">
        <f t="shared" ref="M46:N46" si="39">M27+M34+M44</f>
        <v>-2500</v>
      </c>
      <c r="N46" s="55">
        <f t="shared" si="39"/>
        <v>-4700</v>
      </c>
      <c r="O46" s="43"/>
      <c r="P46" s="44" t="s">
        <v>90</v>
      </c>
      <c r="Q46" s="53">
        <f t="shared" ref="Q46:AA46" si="40">B46/Q$10</f>
        <v>-7.8566554873237809E-3</v>
      </c>
      <c r="R46" s="53">
        <f t="shared" si="40"/>
        <v>-1.5388570725945578E-3</v>
      </c>
      <c r="S46" s="53">
        <f t="shared" si="40"/>
        <v>4.9480694149944679E-3</v>
      </c>
      <c r="T46" s="53">
        <f t="shared" si="40"/>
        <v>-2.3055829363353491E-3</v>
      </c>
      <c r="U46" s="53">
        <f t="shared" si="40"/>
        <v>1.4508973502202112E-3</v>
      </c>
      <c r="V46" s="53">
        <f t="shared" si="40"/>
        <v>-2.4064601481562902E-3</v>
      </c>
      <c r="W46" s="53">
        <f t="shared" si="40"/>
        <v>1.1168285808381305E-3</v>
      </c>
      <c r="X46" s="53">
        <f t="shared" si="40"/>
        <v>3.7572797294758596E-4</v>
      </c>
      <c r="Y46" s="53">
        <f t="shared" si="40"/>
        <v>5.3619302949061668E-4</v>
      </c>
      <c r="Z46" s="53">
        <f t="shared" si="40"/>
        <v>-2.8991302609217237E-3</v>
      </c>
      <c r="AA46" s="53">
        <f t="shared" si="40"/>
        <v>6.5224480921839334E-3</v>
      </c>
      <c r="AB46" s="53">
        <f t="shared" ref="AB46" si="41">M46/AB$10</f>
        <v>-2.7688559087385091E-3</v>
      </c>
      <c r="AC46" s="35">
        <f>AVERAGE(V46:AA46)</f>
        <v>5.4093454439704206E-4</v>
      </c>
    </row>
    <row r="47" spans="1:29" ht="12" customHeight="1">
      <c r="A47" s="42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51"/>
      <c r="P47" s="44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125"/>
    </row>
    <row r="48" spans="1:29" ht="12.75" customHeight="1">
      <c r="A48" s="42" t="s">
        <v>91</v>
      </c>
      <c r="B48" s="52">
        <v>3326</v>
      </c>
      <c r="C48" s="55">
        <v>1708</v>
      </c>
      <c r="D48" s="55">
        <f t="shared" ref="D48:J48" si="42">C50</f>
        <v>882</v>
      </c>
      <c r="E48" s="55">
        <f t="shared" si="42"/>
        <v>4366</v>
      </c>
      <c r="F48" s="55">
        <f t="shared" si="42"/>
        <v>2993</v>
      </c>
      <c r="G48" s="55">
        <f t="shared" si="42"/>
        <v>3894</v>
      </c>
      <c r="H48" s="55">
        <f t="shared" si="42"/>
        <v>2131</v>
      </c>
      <c r="I48" s="55">
        <f t="shared" si="42"/>
        <v>3206</v>
      </c>
      <c r="J48" s="55">
        <f t="shared" si="42"/>
        <v>3606</v>
      </c>
      <c r="K48" s="55">
        <f t="shared" ref="K48:L48" si="43">J50</f>
        <v>4106</v>
      </c>
      <c r="L48" s="55">
        <f t="shared" si="43"/>
        <v>1206</v>
      </c>
      <c r="M48" s="55">
        <f>L50</f>
        <v>7206</v>
      </c>
      <c r="N48" s="55">
        <f>M50</f>
        <v>4700</v>
      </c>
      <c r="O48" s="43">
        <f t="shared" ref="O48" si="44">RATE(5,,-H48,M48)</f>
        <v>0.27591622941893745</v>
      </c>
      <c r="P48" s="44" t="s">
        <v>91</v>
      </c>
      <c r="Q48" s="53">
        <f t="shared" ref="Q48:AA48" si="45">B48/Q$10</f>
        <v>7.3921460115527289E-3</v>
      </c>
      <c r="R48" s="53">
        <f t="shared" si="45"/>
        <v>3.1820434382463735E-3</v>
      </c>
      <c r="S48" s="53">
        <f t="shared" si="45"/>
        <v>1.2526398461610566E-3</v>
      </c>
      <c r="T48" s="53">
        <f t="shared" si="45"/>
        <v>7.3315186453314883E-3</v>
      </c>
      <c r="U48" s="53">
        <f t="shared" si="45"/>
        <v>4.8196845385228542E-3</v>
      </c>
      <c r="V48" s="53">
        <f t="shared" si="45"/>
        <v>5.0955714066996168E-3</v>
      </c>
      <c r="W48" s="53">
        <f t="shared" si="45"/>
        <v>2.2139178658288892E-3</v>
      </c>
      <c r="X48" s="53">
        <f t="shared" si="45"/>
        <v>3.0114597031749013E-3</v>
      </c>
      <c r="Y48" s="53">
        <f t="shared" si="45"/>
        <v>3.8670241286863269E-3</v>
      </c>
      <c r="Z48" s="53">
        <f t="shared" si="45"/>
        <v>4.1047685694291713E-3</v>
      </c>
      <c r="AA48" s="53">
        <f t="shared" si="45"/>
        <v>1.3110120665289706E-3</v>
      </c>
      <c r="AB48" s="53">
        <f t="shared" ref="AB48" si="46">M48/AB$10</f>
        <v>7.9809502713478787E-3</v>
      </c>
      <c r="AC48" s="35">
        <f>AVERAGE(V48:AA48)</f>
        <v>3.2672922900579791E-3</v>
      </c>
    </row>
    <row r="49" spans="1:29" ht="12" customHeight="1">
      <c r="A49" s="42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51"/>
      <c r="P49" s="44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125"/>
    </row>
    <row r="50" spans="1:29" ht="12.75" customHeight="1" thickBot="1">
      <c r="A50" s="42" t="s">
        <v>92</v>
      </c>
      <c r="B50" s="56">
        <f>B46+B48</f>
        <v>-209</v>
      </c>
      <c r="C50" s="55">
        <v>882</v>
      </c>
      <c r="D50" s="55">
        <v>4366</v>
      </c>
      <c r="E50" s="55">
        <v>2993</v>
      </c>
      <c r="F50" s="55">
        <v>3894</v>
      </c>
      <c r="G50" s="55">
        <v>2131</v>
      </c>
      <c r="H50" s="55">
        <f>H46+H48</f>
        <v>3206</v>
      </c>
      <c r="I50" s="55">
        <f>I46+I48</f>
        <v>3606</v>
      </c>
      <c r="J50" s="55">
        <f>J46+J48</f>
        <v>4106</v>
      </c>
      <c r="K50" s="55">
        <f t="shared" ref="K50:L50" si="47">K46+K48</f>
        <v>1206</v>
      </c>
      <c r="L50" s="55">
        <f t="shared" si="47"/>
        <v>7206</v>
      </c>
      <c r="M50" s="55">
        <f>M46+M48-6</f>
        <v>4700</v>
      </c>
      <c r="N50" s="55">
        <f t="shared" ref="N50" si="48">N46+N48</f>
        <v>0</v>
      </c>
      <c r="O50" s="43">
        <f t="shared" ref="O50" si="49">RATE(5,,-H50,M50)</f>
        <v>7.9510492721197798E-2</v>
      </c>
      <c r="P50" s="44" t="s">
        <v>92</v>
      </c>
      <c r="Q50" s="53">
        <f t="shared" ref="Q50:AA50" si="50">B50/Q$10</f>
        <v>-4.6450947577105238E-4</v>
      </c>
      <c r="R50" s="53">
        <f t="shared" si="50"/>
        <v>1.6431863656518159E-3</v>
      </c>
      <c r="S50" s="53">
        <f t="shared" si="50"/>
        <v>6.2007092611555247E-3</v>
      </c>
      <c r="T50" s="53">
        <f t="shared" si="50"/>
        <v>5.0259357089961392E-3</v>
      </c>
      <c r="U50" s="53">
        <f t="shared" si="50"/>
        <v>6.2705818887430652E-3</v>
      </c>
      <c r="V50" s="53">
        <f t="shared" si="50"/>
        <v>2.7885625751609866E-3</v>
      </c>
      <c r="W50" s="53">
        <f t="shared" si="50"/>
        <v>3.3307464466670201E-3</v>
      </c>
      <c r="X50" s="53">
        <f t="shared" si="50"/>
        <v>3.3871876761224873E-3</v>
      </c>
      <c r="Y50" s="53">
        <f t="shared" si="50"/>
        <v>4.4032171581769438E-3</v>
      </c>
      <c r="Z50" s="53">
        <f t="shared" si="50"/>
        <v>1.2056383085074479E-3</v>
      </c>
      <c r="AA50" s="53">
        <f t="shared" si="50"/>
        <v>7.8334601587129044E-3</v>
      </c>
      <c r="AB50" s="53">
        <f t="shared" ref="AB50" si="51">M50/AB$10</f>
        <v>5.2054491084283974E-3</v>
      </c>
      <c r="AC50" s="35">
        <f>AVERAGE(V50:AA50)</f>
        <v>3.8248020538912981E-3</v>
      </c>
    </row>
    <row r="51" spans="1:29" ht="12.75" customHeight="1" thickTop="1">
      <c r="A51" s="57"/>
      <c r="B51" s="58"/>
      <c r="C51" s="59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60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2"/>
    </row>
  </sheetData>
  <mergeCells count="1">
    <mergeCell ref="B7:G7"/>
  </mergeCells>
  <phoneticPr fontId="0" type="noConversion"/>
  <printOptions horizontalCentered="1"/>
  <pageMargins left="0.75" right="0.75" top="1" bottom="1" header="0.5" footer="0.5"/>
  <pageSetup scale="69" fitToWidth="2" orientation="portrait" r:id="rId1"/>
  <headerFooter alignWithMargins="0"/>
  <colBreaks count="1" manualBreakCount="1">
    <brk id="15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Historical - Exhibit 1</vt:lpstr>
      <vt:lpstr>Historical CF - Exhibit 1B</vt:lpstr>
      <vt:lpstr>'Historical - Exhibit 1'!Print_Area</vt:lpstr>
      <vt:lpstr>'Historical CF - Exhibit 1B'!Print_Area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Robyn Paschal</dc:creator>
  <cp:lastModifiedBy>MPaschal</cp:lastModifiedBy>
  <cp:lastPrinted>2011-08-23T22:21:04Z</cp:lastPrinted>
  <dcterms:created xsi:type="dcterms:W3CDTF">2005-09-19T14:11:29Z</dcterms:created>
  <dcterms:modified xsi:type="dcterms:W3CDTF">2011-08-29T17:48:43Z</dcterms:modified>
</cp:coreProperties>
</file>